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'Bulges_Constr_NonXtal_GPCRdb#'!$A$1:$AE$409</definedName>
    <definedName name="_xlnm._FilterDatabase" localSheetId="3" hidden="1">'SegEnds_NonXtal_BW#'!$A$1:$AK$409</definedName>
    <definedName name="_xlnm._FilterDatabase" localSheetId="0" hidden="1">'SegEnds_Xtal_Prot#'!$A$1:$CT$263</definedName>
    <definedName name="GPCRdb_alignment" localSheetId="6">Seqs!$A$411:$B$412</definedName>
    <definedName name="human_GPCR_fasta.fas" localSheetId="6">Seqs!$A$8:$B$409</definedName>
    <definedName name="Z_3E3401AF_8459_8641_BD70_AD04F80E86ED_.wvu.FilterData" localSheetId="5" hidden="1">'Bulges_Constr_NonXtal_GPCRdb#'!$A$1:$AE$409</definedName>
    <definedName name="Z_3E3401AF_8459_8641_BD70_AD04F80E86ED_.wvu.FilterData" localSheetId="3" hidden="1">'SegEnds_NonXtal_BW#'!$A$1:$AK$409</definedName>
    <definedName name="Z_3E3401AF_8459_8641_BD70_AD04F80E86ED_.wvu.FilterData" localSheetId="0" hidden="1">'SegEnds_Xtal_Prot#'!$A$1:$CT$263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91" i="1" l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D185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245" i="1"/>
  <c r="X53" i="2"/>
  <c r="B72" i="4"/>
  <c r="X72" i="4"/>
  <c r="X55" i="2"/>
  <c r="AJ270" i="4"/>
  <c r="AJ176" i="4"/>
  <c r="AJ5" i="4"/>
  <c r="AJ6" i="4"/>
  <c r="AJ8" i="4"/>
  <c r="AJ128" i="4"/>
  <c r="AJ160" i="4"/>
  <c r="AJ127" i="4"/>
  <c r="AJ274" i="4"/>
  <c r="AJ166" i="4"/>
  <c r="AJ3" i="4"/>
  <c r="AJ255" i="4"/>
  <c r="AJ179" i="4"/>
  <c r="AJ180" i="4"/>
  <c r="AJ126" i="4"/>
  <c r="AJ79" i="4"/>
  <c r="AJ82" i="4"/>
  <c r="AJ19" i="4"/>
  <c r="AJ296" i="4"/>
  <c r="AJ151" i="4"/>
  <c r="AJ162" i="4"/>
  <c r="AJ271" i="4"/>
  <c r="AJ92" i="4"/>
  <c r="AJ279" i="4"/>
  <c r="AJ297" i="4"/>
  <c r="AJ103" i="4"/>
  <c r="AJ292" i="4"/>
  <c r="AJ293" i="4"/>
  <c r="AJ165" i="4"/>
  <c r="AJ53" i="4"/>
  <c r="AJ233" i="4"/>
  <c r="AJ235" i="4"/>
  <c r="AJ281" i="4"/>
  <c r="AJ261" i="4"/>
  <c r="AJ234" i="4"/>
  <c r="AJ232" i="4"/>
  <c r="AJ236" i="4"/>
  <c r="AJ237" i="4"/>
  <c r="AJ238" i="4"/>
  <c r="AJ91" i="4"/>
  <c r="AJ154" i="4"/>
  <c r="AJ164" i="4"/>
  <c r="AJ108" i="4"/>
  <c r="AJ107" i="4"/>
  <c r="AJ246" i="4"/>
  <c r="AJ106" i="4"/>
  <c r="AJ89" i="4"/>
  <c r="AJ94" i="4"/>
  <c r="AJ123" i="4"/>
  <c r="AJ95" i="4"/>
  <c r="AJ98" i="4"/>
  <c r="AJ172" i="4"/>
  <c r="AJ99" i="4"/>
  <c r="AJ96" i="4"/>
  <c r="AJ97" i="4"/>
  <c r="AJ156" i="4"/>
  <c r="AJ288" i="4"/>
  <c r="AJ289" i="4"/>
  <c r="AJ290" i="4"/>
  <c r="AJ287" i="4"/>
  <c r="AJ291" i="4"/>
  <c r="AJ294" i="4"/>
  <c r="AJ50" i="4"/>
  <c r="AJ202" i="4"/>
  <c r="AJ203" i="4"/>
  <c r="AJ204" i="4"/>
  <c r="AJ205" i="4"/>
  <c r="AJ206" i="4"/>
  <c r="AJ173" i="4"/>
  <c r="AJ150" i="4"/>
  <c r="AJ54" i="4"/>
  <c r="AJ55" i="4"/>
  <c r="AJ199" i="4"/>
  <c r="AJ201" i="4"/>
  <c r="AJ16" i="4"/>
  <c r="AJ44" i="4"/>
  <c r="AJ139" i="4"/>
  <c r="AJ269" i="4"/>
  <c r="AJ200" i="4"/>
  <c r="AJ258" i="4"/>
  <c r="AJ252" i="4"/>
  <c r="AJ254" i="4"/>
  <c r="AJ242" i="4"/>
  <c r="AJ43" i="4"/>
  <c r="AJ211" i="4"/>
  <c r="AJ239" i="4"/>
  <c r="AJ263" i="4"/>
  <c r="AJ143" i="4"/>
  <c r="AJ100" i="4"/>
  <c r="AJ109" i="4"/>
  <c r="AJ101" i="4"/>
  <c r="AJ71" i="4"/>
  <c r="AJ102" i="4"/>
  <c r="AJ152" i="4"/>
  <c r="AJ272" i="4"/>
  <c r="AJ90" i="4"/>
  <c r="AJ248" i="4"/>
  <c r="AJ174" i="4"/>
  <c r="AJ249" i="4"/>
  <c r="AJ61" i="4"/>
  <c r="AJ75" i="4"/>
  <c r="AJ276" i="4"/>
  <c r="AJ177" i="4"/>
  <c r="AJ76" i="4"/>
  <c r="AJ178" i="4"/>
  <c r="AJ74" i="4"/>
  <c r="AJ17" i="4"/>
  <c r="AJ78" i="4"/>
  <c r="AJ88" i="4"/>
  <c r="AJ87" i="4"/>
  <c r="AJ253" i="4"/>
  <c r="AJ52" i="4"/>
  <c r="AJ86" i="4"/>
  <c r="AJ105" i="4"/>
  <c r="AJ104" i="4"/>
  <c r="AJ138" i="4"/>
  <c r="AJ9" i="4"/>
  <c r="AJ181" i="4"/>
  <c r="AJ10" i="4"/>
  <c r="AJ11" i="4"/>
  <c r="AJ122" i="4"/>
  <c r="AJ216" i="4"/>
  <c r="AJ14" i="4"/>
  <c r="AJ132" i="4"/>
  <c r="AJ83" i="4"/>
  <c r="AJ141" i="4"/>
  <c r="AJ62" i="4"/>
  <c r="AJ63" i="4"/>
  <c r="AJ66" i="4"/>
  <c r="AJ67" i="4"/>
  <c r="AJ68" i="4"/>
  <c r="AJ69" i="4"/>
  <c r="AJ77" i="4"/>
  <c r="AJ80" i="4"/>
  <c r="AJ133" i="4"/>
  <c r="AJ134" i="4"/>
  <c r="AJ81" i="4"/>
  <c r="AJ18" i="4"/>
  <c r="AJ295" i="4"/>
  <c r="AJ137" i="4"/>
  <c r="AJ13" i="4"/>
  <c r="AJ192" i="4"/>
  <c r="AJ244" i="4"/>
  <c r="AJ282" i="4"/>
  <c r="AJ223" i="4"/>
  <c r="AJ224" i="4"/>
  <c r="AJ35" i="4"/>
  <c r="AJ280" i="4"/>
  <c r="AJ284" i="4"/>
  <c r="AJ251" i="4"/>
  <c r="AJ285" i="4"/>
  <c r="AJ250" i="4"/>
  <c r="AJ283" i="4"/>
  <c r="AJ222" i="4"/>
  <c r="AJ85" i="4"/>
  <c r="AJ64" i="4"/>
  <c r="AJ65" i="4"/>
  <c r="AJ185" i="4"/>
  <c r="AJ194" i="4"/>
  <c r="AJ125" i="4"/>
  <c r="AJ158" i="4"/>
  <c r="AJ182" i="4"/>
  <c r="AJ183" i="4"/>
  <c r="AJ184" i="4"/>
  <c r="AJ195" i="4"/>
  <c r="AJ186" i="4"/>
  <c r="AJ188" i="4"/>
  <c r="AJ193" i="4"/>
  <c r="AJ187" i="4"/>
  <c r="AJ259" i="4"/>
  <c r="AJ260" i="4"/>
  <c r="AJ161" i="4"/>
  <c r="AJ163" i="4"/>
  <c r="AJ47" i="4"/>
  <c r="AJ240" i="4"/>
  <c r="AJ241" i="4"/>
  <c r="AJ226" i="4"/>
  <c r="AJ247" i="4"/>
  <c r="AJ243" i="4"/>
  <c r="AJ245" i="4"/>
  <c r="AJ119" i="4"/>
  <c r="AJ135" i="4"/>
  <c r="AJ196" i="4"/>
  <c r="AJ118" i="4"/>
  <c r="AJ117" i="4"/>
  <c r="AJ147" i="4"/>
  <c r="AJ225" i="4"/>
  <c r="AJ116" i="4"/>
  <c r="AJ48" i="4"/>
  <c r="AJ198" i="4"/>
  <c r="AJ221" i="4"/>
  <c r="AJ169" i="4"/>
  <c r="AJ142" i="4"/>
  <c r="AJ121" i="4"/>
  <c r="AJ267" i="4"/>
  <c r="AJ268" i="4"/>
  <c r="AJ168" i="4"/>
  <c r="AJ189" i="4"/>
  <c r="AJ286" i="4"/>
  <c r="AJ7" i="4"/>
  <c r="AJ257" i="4"/>
  <c r="AJ115" i="4"/>
  <c r="AJ190" i="4"/>
  <c r="AJ191" i="4"/>
  <c r="AJ229" i="4"/>
  <c r="AJ256" i="4"/>
  <c r="AJ45" i="4"/>
  <c r="AJ129" i="4"/>
  <c r="AJ51" i="4"/>
  <c r="AJ209" i="4"/>
  <c r="AJ155" i="4"/>
  <c r="AJ273" i="4"/>
  <c r="AJ136" i="4"/>
  <c r="AJ175" i="4"/>
  <c r="AJ208" i="4"/>
  <c r="AJ207" i="4"/>
  <c r="AJ130" i="4"/>
  <c r="AJ131" i="4"/>
  <c r="AJ73" i="4"/>
  <c r="AJ210" i="4"/>
  <c r="AJ214" i="4"/>
  <c r="AJ148" i="4"/>
  <c r="AJ228" i="4"/>
  <c r="AJ112" i="4"/>
  <c r="AJ213" i="4"/>
  <c r="AJ157" i="4"/>
  <c r="AJ262" i="4"/>
  <c r="AJ264" i="4"/>
  <c r="AJ265" i="4"/>
  <c r="AJ266" i="4"/>
  <c r="AJ2" i="4"/>
  <c r="AJ20" i="4"/>
  <c r="AJ40" i="4"/>
  <c r="AJ41" i="4"/>
  <c r="AJ24" i="4"/>
  <c r="AJ42" i="4"/>
  <c r="AJ27" i="4"/>
  <c r="AJ29" i="4"/>
  <c r="AJ145" i="4"/>
  <c r="AJ39" i="4"/>
  <c r="AJ23" i="4"/>
  <c r="AJ25" i="4"/>
  <c r="AJ149" i="4"/>
  <c r="AJ159" i="4"/>
  <c r="AJ120" i="4"/>
  <c r="AJ144" i="4"/>
  <c r="AJ110" i="4"/>
  <c r="AJ111" i="4"/>
  <c r="AJ49" i="4"/>
  <c r="AJ15" i="4"/>
  <c r="AJ56" i="4"/>
  <c r="AJ58" i="4"/>
  <c r="AJ70" i="4"/>
  <c r="AJ114" i="4"/>
  <c r="AJ167" i="4"/>
  <c r="AJ72" i="4"/>
  <c r="AJ215" i="4"/>
  <c r="AJ218" i="4"/>
  <c r="AJ219" i="4"/>
  <c r="AJ220" i="4"/>
  <c r="AJ113" i="4"/>
  <c r="AJ277" i="4"/>
  <c r="AJ93" i="4"/>
  <c r="AJ21" i="4"/>
  <c r="AJ22" i="4"/>
  <c r="AJ26" i="4"/>
  <c r="AJ28" i="4"/>
  <c r="AJ30" i="4"/>
  <c r="AJ31" i="4"/>
  <c r="AJ32" i="4"/>
  <c r="AJ33" i="4"/>
  <c r="AJ38" i="4"/>
  <c r="AJ34" i="4"/>
  <c r="AJ153" i="4"/>
  <c r="AJ231" i="4"/>
  <c r="AJ170" i="4"/>
  <c r="AJ171" i="4"/>
  <c r="AJ57" i="4"/>
  <c r="AJ84" i="4"/>
  <c r="AJ12" i="4"/>
  <c r="AJ124" i="4"/>
  <c r="AJ278" i="4"/>
  <c r="AJ230" i="4"/>
  <c r="AJ46" i="4"/>
  <c r="AJ4" i="4"/>
  <c r="AJ59" i="4"/>
  <c r="AJ60" i="4"/>
  <c r="AJ212" i="4"/>
  <c r="AJ227" i="4"/>
  <c r="AJ146" i="4"/>
  <c r="AJ275" i="4"/>
  <c r="AJ37" i="4"/>
  <c r="AJ140" i="4"/>
  <c r="AJ217" i="4"/>
  <c r="AJ197" i="4"/>
  <c r="AJ304" i="4"/>
  <c r="AJ302" i="4"/>
  <c r="AJ303" i="4"/>
  <c r="AJ305" i="4"/>
  <c r="AJ306" i="4"/>
  <c r="AJ300" i="4"/>
  <c r="AJ301" i="4"/>
  <c r="AJ299" i="4"/>
  <c r="AJ298" i="4"/>
  <c r="AJ312" i="4"/>
  <c r="AJ308" i="4"/>
  <c r="AJ307" i="4"/>
  <c r="AJ309" i="4"/>
  <c r="AJ310" i="4"/>
  <c r="AJ311" i="4"/>
  <c r="AJ313" i="4"/>
  <c r="AJ317" i="4"/>
  <c r="AJ343" i="4"/>
  <c r="AJ335" i="4"/>
  <c r="AJ329" i="4"/>
  <c r="AJ327" i="4"/>
  <c r="AJ328" i="4"/>
  <c r="AJ340" i="4"/>
  <c r="AJ339" i="4"/>
  <c r="AJ336" i="4"/>
  <c r="AJ334" i="4"/>
  <c r="AJ337" i="4"/>
  <c r="AJ316" i="4"/>
  <c r="AJ318" i="4"/>
  <c r="AJ319" i="4"/>
  <c r="AJ320" i="4"/>
  <c r="AJ322" i="4"/>
  <c r="AJ323" i="4"/>
  <c r="AJ324" i="4"/>
  <c r="AJ325" i="4"/>
  <c r="AJ338" i="4"/>
  <c r="AJ326" i="4"/>
  <c r="AJ344" i="4"/>
  <c r="AJ342" i="4"/>
  <c r="AJ341" i="4"/>
  <c r="AJ345" i="4"/>
  <c r="AJ314" i="4"/>
  <c r="AJ315" i="4"/>
  <c r="AJ333" i="4"/>
  <c r="AJ346" i="4"/>
  <c r="AJ332" i="4"/>
  <c r="AJ330" i="4"/>
  <c r="AJ331" i="4"/>
  <c r="AJ321" i="4"/>
  <c r="AJ354" i="4"/>
  <c r="AJ358" i="4"/>
  <c r="AJ353" i="4"/>
  <c r="AJ347" i="4"/>
  <c r="AJ363" i="4"/>
  <c r="AJ364" i="4"/>
  <c r="AJ365" i="4"/>
  <c r="AJ366" i="4"/>
  <c r="AJ355" i="4"/>
  <c r="AJ356" i="4"/>
  <c r="AJ367" i="4"/>
  <c r="AJ368" i="4"/>
  <c r="AJ362" i="4"/>
  <c r="AJ348" i="4"/>
  <c r="AJ349" i="4"/>
  <c r="AJ357" i="4"/>
  <c r="AJ359" i="4"/>
  <c r="AJ360" i="4"/>
  <c r="AJ361" i="4"/>
  <c r="AJ351" i="4"/>
  <c r="AJ350" i="4"/>
  <c r="AJ352" i="4"/>
  <c r="AJ374" i="4"/>
  <c r="AJ369" i="4"/>
  <c r="AJ379" i="4"/>
  <c r="AJ373" i="4"/>
  <c r="AJ377" i="4"/>
  <c r="AJ378" i="4"/>
  <c r="AJ375" i="4"/>
  <c r="AJ370" i="4"/>
  <c r="AJ371" i="4"/>
  <c r="AJ372" i="4"/>
  <c r="AJ376" i="4"/>
  <c r="AJ384" i="4"/>
  <c r="AJ380" i="4"/>
  <c r="AJ383" i="4"/>
  <c r="AJ381" i="4"/>
  <c r="AJ382" i="4"/>
  <c r="AJ393" i="4"/>
  <c r="AJ385" i="4"/>
  <c r="AJ399" i="4"/>
  <c r="AJ398" i="4"/>
  <c r="AJ400" i="4"/>
  <c r="AJ401" i="4"/>
  <c r="AJ402" i="4"/>
  <c r="AJ404" i="4"/>
  <c r="AJ386" i="4"/>
  <c r="AJ397" i="4"/>
  <c r="AJ388" i="4"/>
  <c r="AJ389" i="4"/>
  <c r="AJ390" i="4"/>
  <c r="AJ391" i="4"/>
  <c r="AJ409" i="4"/>
  <c r="AJ403" i="4"/>
  <c r="AJ392" i="4"/>
  <c r="AJ394" i="4"/>
  <c r="AJ395" i="4"/>
  <c r="AJ405" i="4"/>
  <c r="AJ396" i="4"/>
  <c r="AJ387" i="4"/>
  <c r="AJ406" i="4"/>
  <c r="AJ407" i="4"/>
  <c r="AJ408" i="4"/>
  <c r="AJ36" i="4"/>
  <c r="A7" i="3"/>
  <c r="B7" i="3"/>
  <c r="C7" i="3"/>
  <c r="AH33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U33" i="4" a="1"/>
  <c r="U33" i="4"/>
  <c r="AD94" i="5"/>
  <c r="G6" i="3"/>
  <c r="T33" i="4" a="1"/>
  <c r="T33" i="4"/>
  <c r="AC94" i="5"/>
  <c r="AH117" i="4"/>
  <c r="AD78" i="5"/>
  <c r="T117" i="4" a="1"/>
  <c r="T117" i="4"/>
  <c r="AC78" i="5"/>
  <c r="E7" i="3"/>
  <c r="G7" i="3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Y55" i="2"/>
  <c r="Z55" i="2"/>
  <c r="AA55" i="2"/>
  <c r="AB55" i="2"/>
  <c r="D54" i="2"/>
  <c r="D73" i="4"/>
  <c r="E20" i="5"/>
  <c r="E18" i="2"/>
  <c r="B117" i="4"/>
  <c r="E117" i="4"/>
  <c r="F78" i="5"/>
  <c r="D18" i="2"/>
  <c r="D117" i="4"/>
  <c r="E78" i="5"/>
  <c r="AC55" i="2"/>
  <c r="I78" i="5"/>
  <c r="F18" i="2"/>
  <c r="F117" i="4"/>
  <c r="H78" i="5"/>
  <c r="AD55" i="2"/>
  <c r="AE55" i="2"/>
  <c r="H54" i="2"/>
  <c r="H73" i="4"/>
  <c r="K20" i="5"/>
  <c r="H18" i="2"/>
  <c r="H117" i="4"/>
  <c r="K78" i="5"/>
  <c r="AF55" i="2"/>
  <c r="AG55" i="2"/>
  <c r="AH55" i="2"/>
  <c r="AI55" i="2"/>
  <c r="AJ55" i="2"/>
  <c r="AK55" i="2"/>
  <c r="M54" i="2"/>
  <c r="M73" i="4"/>
  <c r="R20" i="5"/>
  <c r="L54" i="2"/>
  <c r="L73" i="4"/>
  <c r="Q20" i="5"/>
  <c r="M18" i="2"/>
  <c r="M117" i="4"/>
  <c r="R78" i="5"/>
  <c r="L18" i="2"/>
  <c r="L117" i="4"/>
  <c r="Q78" i="5"/>
  <c r="AL55" i="2"/>
  <c r="AM55" i="2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S51" i="2"/>
  <c r="B348" i="4"/>
  <c r="S348" i="4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H7" i="2"/>
  <c r="B238" i="4"/>
  <c r="H238" i="4"/>
  <c r="H30" i="2"/>
  <c r="S9" i="2"/>
  <c r="B245" i="4"/>
  <c r="S8" i="2"/>
  <c r="S245" i="4"/>
  <c r="N30" i="2"/>
  <c r="B266" i="4"/>
  <c r="N266" i="4"/>
  <c r="N9" i="2"/>
  <c r="N25" i="2"/>
  <c r="N16" i="2"/>
  <c r="N21" i="2"/>
  <c r="N39" i="2"/>
  <c r="N5" i="2"/>
  <c r="N8" i="2"/>
  <c r="N7" i="2"/>
  <c r="N18" i="2"/>
  <c r="B226" i="4"/>
  <c r="N44" i="2"/>
  <c r="N226" i="4"/>
  <c r="B246" i="4"/>
  <c r="N246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244" i="4"/>
  <c r="D244" i="4"/>
  <c r="E44" i="5"/>
  <c r="D245" i="4"/>
  <c r="E45" i="5"/>
  <c r="AC9" i="2"/>
  <c r="AD9" i="2"/>
  <c r="AE9" i="2"/>
  <c r="H8" i="2"/>
  <c r="H244" i="4"/>
  <c r="K44" i="5"/>
  <c r="H245" i="4"/>
  <c r="K45" i="5"/>
  <c r="AF9" i="2"/>
  <c r="AG9" i="2"/>
  <c r="AH9" i="2"/>
  <c r="AI9" i="2"/>
  <c r="AJ9" i="2"/>
  <c r="AK9" i="2"/>
  <c r="M8" i="2"/>
  <c r="M244" i="4"/>
  <c r="R44" i="5"/>
  <c r="L8" i="2"/>
  <c r="L244" i="4"/>
  <c r="Q44" i="5"/>
  <c r="M245" i="4"/>
  <c r="R45" i="5"/>
  <c r="L245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S4" i="2"/>
  <c r="B123" i="4"/>
  <c r="S5" i="2"/>
  <c r="S123" i="4"/>
  <c r="S42" i="2"/>
  <c r="S16" i="2"/>
  <c r="B106" i="4"/>
  <c r="S106" i="4"/>
  <c r="S17" i="2"/>
  <c r="B107" i="4"/>
  <c r="S107" i="4"/>
  <c r="B108" i="4"/>
  <c r="S108" i="4"/>
  <c r="S12" i="2"/>
  <c r="B97" i="4"/>
  <c r="S97" i="4"/>
  <c r="S10" i="2"/>
  <c r="B98" i="4"/>
  <c r="S98" i="4"/>
  <c r="B99" i="4"/>
  <c r="S99" i="4"/>
  <c r="S11" i="2"/>
  <c r="B94" i="4"/>
  <c r="S94" i="4"/>
  <c r="S13" i="2"/>
  <c r="B95" i="4"/>
  <c r="S95" i="4"/>
  <c r="B96" i="4"/>
  <c r="S96" i="4"/>
  <c r="S7" i="2"/>
  <c r="S246" i="4"/>
  <c r="B91" i="4"/>
  <c r="S91" i="4"/>
  <c r="B89" i="4"/>
  <c r="S89" i="4"/>
  <c r="N4" i="2"/>
  <c r="N123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248" i="4"/>
  <c r="D248" i="4"/>
  <c r="E262" i="5"/>
  <c r="D123" i="4"/>
  <c r="E253" i="5"/>
  <c r="AC4" i="2"/>
  <c r="AD4" i="2"/>
  <c r="AE4" i="2"/>
  <c r="H5" i="2"/>
  <c r="H248" i="4"/>
  <c r="K262" i="5"/>
  <c r="H123" i="4"/>
  <c r="K253" i="5"/>
  <c r="L253" i="5"/>
  <c r="AF4" i="2"/>
  <c r="AG4" i="2"/>
  <c r="AH4" i="2"/>
  <c r="AI4" i="2"/>
  <c r="AJ4" i="2"/>
  <c r="N253" i="5"/>
  <c r="O253" i="5"/>
  <c r="AK4" i="2"/>
  <c r="M5" i="2"/>
  <c r="M248" i="4"/>
  <c r="R262" i="5"/>
  <c r="L5" i="2"/>
  <c r="L248" i="4"/>
  <c r="Q262" i="5"/>
  <c r="M123" i="4"/>
  <c r="R253" i="5"/>
  <c r="L123" i="4"/>
  <c r="Q253" i="5"/>
  <c r="AL4" i="2"/>
  <c r="AM4" i="2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N2" i="2"/>
  <c r="M19" i="2"/>
  <c r="B114" i="4"/>
  <c r="M114" i="4"/>
  <c r="M24" i="2"/>
  <c r="B40" i="4"/>
  <c r="M40" i="4"/>
  <c r="B113" i="4"/>
  <c r="N113" i="4"/>
  <c r="N19" i="2"/>
  <c r="N24" i="2"/>
  <c r="N40" i="4"/>
  <c r="N3" i="2"/>
  <c r="B23" i="4"/>
  <c r="N23" i="4"/>
  <c r="B41" i="4"/>
  <c r="N41" i="4"/>
  <c r="B24" i="4"/>
  <c r="N24" i="4"/>
  <c r="B25" i="4"/>
  <c r="N25" i="4"/>
  <c r="B111" i="4"/>
  <c r="N111" i="4"/>
  <c r="N32" i="2"/>
  <c r="B209" i="4"/>
  <c r="N209" i="4"/>
  <c r="N20" i="2"/>
  <c r="B112" i="4"/>
  <c r="N112" i="4"/>
  <c r="B130" i="4"/>
  <c r="N22" i="2"/>
  <c r="N130" i="4"/>
  <c r="B131" i="4"/>
  <c r="N131" i="4"/>
  <c r="B148" i="4"/>
  <c r="N148" i="4"/>
  <c r="N43" i="2"/>
  <c r="B157" i="4"/>
  <c r="N157" i="4"/>
  <c r="B262" i="4"/>
  <c r="N262" i="4"/>
  <c r="B264" i="4"/>
  <c r="N264" i="4"/>
  <c r="B265" i="4"/>
  <c r="N265" i="4"/>
  <c r="N41" i="2"/>
  <c r="B210" i="4"/>
  <c r="N210" i="4"/>
  <c r="B213" i="4"/>
  <c r="N213" i="4"/>
  <c r="B214" i="4"/>
  <c r="N214" i="4"/>
  <c r="B228" i="4"/>
  <c r="N42" i="2"/>
  <c r="N228" i="4"/>
  <c r="B20" i="4"/>
  <c r="N20" i="4"/>
  <c r="B110" i="4"/>
  <c r="N110" i="4"/>
  <c r="O41" i="2"/>
  <c r="O214" i="4"/>
  <c r="O54" i="2"/>
  <c r="O73" i="4"/>
  <c r="O3" i="2"/>
  <c r="O24" i="2"/>
  <c r="O20" i="4"/>
  <c r="N54" i="2"/>
  <c r="N73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3" i="2"/>
  <c r="C72" i="4"/>
  <c r="C54" i="2"/>
  <c r="C73" i="4"/>
  <c r="C20" i="5"/>
  <c r="D53" i="2"/>
  <c r="D72" i="4"/>
  <c r="F20" i="5"/>
  <c r="H20" i="5"/>
  <c r="I20" i="5"/>
  <c r="H53" i="2"/>
  <c r="H72" i="4"/>
  <c r="L20" i="5"/>
  <c r="N20" i="5"/>
  <c r="O20" i="5"/>
  <c r="L53" i="2"/>
  <c r="L72" i="4"/>
  <c r="M53" i="2"/>
  <c r="M72" i="4"/>
  <c r="N53" i="2"/>
  <c r="N72" i="4"/>
  <c r="T20" i="5"/>
  <c r="O53" i="2"/>
  <c r="O72" i="4"/>
  <c r="U20" i="5"/>
  <c r="P53" i="2"/>
  <c r="P72" i="4"/>
  <c r="P54" i="2"/>
  <c r="P73" i="4"/>
  <c r="W20" i="5"/>
  <c r="Q53" i="2"/>
  <c r="Q72" i="4"/>
  <c r="Q54" i="2"/>
  <c r="Q73" i="4"/>
  <c r="X20" i="5"/>
  <c r="R53" i="2"/>
  <c r="R72" i="4"/>
  <c r="R54" i="2"/>
  <c r="R73" i="4"/>
  <c r="Z20" i="5"/>
  <c r="S53" i="2"/>
  <c r="S72" i="4"/>
  <c r="S54" i="2"/>
  <c r="S73" i="4"/>
  <c r="AA20" i="5"/>
  <c r="AH72" i="4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T72" i="4" a="1"/>
  <c r="T72" i="4"/>
  <c r="AH73" i="4"/>
  <c r="T73" i="4" a="1"/>
  <c r="T73" i="4"/>
  <c r="AC20" i="5"/>
  <c r="U72" i="4" a="1"/>
  <c r="U72" i="4"/>
  <c r="U73" i="4" a="1"/>
  <c r="U73" i="4"/>
  <c r="AD20" i="5"/>
  <c r="AF20" i="5"/>
  <c r="AG20" i="5"/>
  <c r="X54" i="2"/>
  <c r="X73" i="4"/>
  <c r="AI20" i="5"/>
  <c r="Y53" i="2"/>
  <c r="Y72" i="4"/>
  <c r="Y54" i="2"/>
  <c r="Y73" i="4"/>
  <c r="AJ20" i="5"/>
  <c r="Z53" i="2"/>
  <c r="Z72" i="4"/>
  <c r="Z54" i="2"/>
  <c r="Z73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3" i="2"/>
  <c r="E54" i="2"/>
  <c r="E73" i="4"/>
  <c r="F53" i="2"/>
  <c r="F54" i="2"/>
  <c r="F73" i="4"/>
  <c r="I53" i="2"/>
  <c r="I54" i="2"/>
  <c r="I73" i="4"/>
  <c r="J53" i="2"/>
  <c r="J54" i="2"/>
  <c r="J73" i="4"/>
  <c r="K53" i="2"/>
  <c r="K54" i="2"/>
  <c r="K73" i="4"/>
  <c r="AA73" i="4"/>
  <c r="AB73" i="4"/>
  <c r="AC73" i="4"/>
  <c r="AD73" i="4"/>
  <c r="AE73" i="4"/>
  <c r="AF73" i="4"/>
  <c r="AG73" i="4"/>
  <c r="AI73" i="4"/>
  <c r="AK73" i="4"/>
  <c r="G54" i="2"/>
  <c r="T54" i="2"/>
  <c r="U54" i="2"/>
  <c r="V54" i="2"/>
  <c r="W54" i="2"/>
  <c r="AA54" i="2"/>
  <c r="AB54" i="2"/>
  <c r="E19" i="5"/>
  <c r="AC54" i="2"/>
  <c r="AD54" i="2"/>
  <c r="AE54" i="2"/>
  <c r="K19" i="5"/>
  <c r="AF54" i="2"/>
  <c r="AG54" i="2"/>
  <c r="AH54" i="2"/>
  <c r="AI54" i="2"/>
  <c r="AJ54" i="2"/>
  <c r="AK54" i="2"/>
  <c r="R19" i="5"/>
  <c r="Q19" i="5"/>
  <c r="AL54" i="2"/>
  <c r="AM54" i="2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D347" i="9"/>
  <c r="E347" i="9"/>
  <c r="F347" i="9"/>
  <c r="G347" i="9"/>
  <c r="C123" i="7"/>
  <c r="D123" i="7"/>
  <c r="E123" i="7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X29" i="2"/>
  <c r="B74" i="4"/>
  <c r="X74" i="4"/>
  <c r="N29" i="2"/>
  <c r="N74" i="4"/>
  <c r="X30" i="2"/>
  <c r="B253" i="4"/>
  <c r="X16" i="2"/>
  <c r="X12" i="2"/>
  <c r="X253" i="4"/>
  <c r="Q21" i="2"/>
  <c r="N38" i="2"/>
  <c r="B205" i="4"/>
  <c r="N205" i="4"/>
  <c r="N36" i="2"/>
  <c r="B206" i="4"/>
  <c r="N206" i="4"/>
  <c r="B203" i="4"/>
  <c r="N203" i="4"/>
  <c r="B204" i="4"/>
  <c r="N204" i="4"/>
  <c r="O28" i="2"/>
  <c r="B54" i="4"/>
  <c r="O54" i="4"/>
  <c r="B55" i="4"/>
  <c r="O55" i="4"/>
  <c r="H14" i="2"/>
  <c r="B53" i="4"/>
  <c r="O53" i="4"/>
  <c r="N28" i="2"/>
  <c r="N53" i="4"/>
  <c r="Y51" i="2"/>
  <c r="B352" i="4"/>
  <c r="Y352" i="4"/>
  <c r="AJ355" i="5"/>
  <c r="Q30" i="2"/>
  <c r="B241" i="4"/>
  <c r="Q241" i="4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V15" i="2"/>
  <c r="V8" i="2"/>
  <c r="V7" i="2"/>
  <c r="V40" i="2"/>
  <c r="V32" i="2"/>
  <c r="V39" i="2"/>
  <c r="V27" i="2"/>
  <c r="V18" i="2"/>
  <c r="V16" i="2"/>
  <c r="V21" i="2"/>
  <c r="B44" i="4"/>
  <c r="V44" i="4"/>
  <c r="V5" i="2"/>
  <c r="V248" i="4"/>
  <c r="V6" i="2"/>
  <c r="B249" i="4"/>
  <c r="V249" i="4"/>
  <c r="C5" i="2"/>
  <c r="C6" i="2"/>
  <c r="C249" i="4"/>
  <c r="D6" i="2"/>
  <c r="D249" i="4"/>
  <c r="E5" i="2"/>
  <c r="E6" i="2"/>
  <c r="E249" i="4"/>
  <c r="F5" i="2"/>
  <c r="F6" i="2"/>
  <c r="F249" i="4"/>
  <c r="H6" i="2"/>
  <c r="H249" i="4"/>
  <c r="I5" i="2"/>
  <c r="I6" i="2"/>
  <c r="I249" i="4"/>
  <c r="J5" i="2"/>
  <c r="J6" i="2"/>
  <c r="J249" i="4"/>
  <c r="L6" i="2"/>
  <c r="L249" i="4"/>
  <c r="M6" i="2"/>
  <c r="M249" i="4"/>
  <c r="N6" i="2"/>
  <c r="N249" i="4"/>
  <c r="O5" i="2"/>
  <c r="O6" i="2"/>
  <c r="O249" i="4"/>
  <c r="P5" i="2"/>
  <c r="P6" i="2"/>
  <c r="P249" i="4"/>
  <c r="Q5" i="2"/>
  <c r="Q6" i="2"/>
  <c r="Q249" i="4"/>
  <c r="R5" i="2"/>
  <c r="R6" i="2"/>
  <c r="R249" i="4"/>
  <c r="AH249" i="4"/>
  <c r="T249" i="4" a="1"/>
  <c r="T249" i="4"/>
  <c r="U249" i="4" a="1"/>
  <c r="U249" i="4"/>
  <c r="X5" i="2"/>
  <c r="X6" i="2"/>
  <c r="X249" i="4"/>
  <c r="Y5" i="2"/>
  <c r="Y6" i="2"/>
  <c r="Y249" i="4"/>
  <c r="Z5" i="2"/>
  <c r="Z6" i="2"/>
  <c r="Z249" i="4"/>
  <c r="AA249" i="4"/>
  <c r="AB249" i="4"/>
  <c r="AC249" i="4"/>
  <c r="AD249" i="4"/>
  <c r="AE249" i="4"/>
  <c r="AF249" i="4"/>
  <c r="AG249" i="4"/>
  <c r="AI249" i="4"/>
  <c r="AK249" i="4"/>
  <c r="G6" i="2"/>
  <c r="K6" i="2"/>
  <c r="S6" i="2"/>
  <c r="T6" i="2"/>
  <c r="U6" i="2"/>
  <c r="W6" i="2"/>
  <c r="AA6" i="2"/>
  <c r="AB6" i="2"/>
  <c r="E97" i="5"/>
  <c r="AC6" i="2"/>
  <c r="AD6" i="2"/>
  <c r="AE6" i="2"/>
  <c r="K97" i="5"/>
  <c r="AF6" i="2"/>
  <c r="AG6" i="2"/>
  <c r="AH6" i="2"/>
  <c r="AI6" i="2"/>
  <c r="AJ6" i="2"/>
  <c r="AK6" i="2"/>
  <c r="R97" i="5"/>
  <c r="Q97" i="5"/>
  <c r="AL6" i="2"/>
  <c r="AM6" i="2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55" i="4"/>
  <c r="C19" i="5"/>
  <c r="D28" i="2"/>
  <c r="D55" i="4"/>
  <c r="F19" i="5"/>
  <c r="H19" i="5"/>
  <c r="I19" i="5"/>
  <c r="H28" i="2"/>
  <c r="H55" i="4"/>
  <c r="O19" i="5"/>
  <c r="L28" i="2"/>
  <c r="L55" i="4"/>
  <c r="M28" i="2"/>
  <c r="M55" i="4"/>
  <c r="T19" i="5"/>
  <c r="U19" i="5"/>
  <c r="P28" i="2"/>
  <c r="P55" i="4"/>
  <c r="W19" i="5"/>
  <c r="Q28" i="2"/>
  <c r="Q55" i="4"/>
  <c r="X19" i="5"/>
  <c r="R28" i="2"/>
  <c r="R55" i="4"/>
  <c r="Z19" i="5"/>
  <c r="S28" i="2"/>
  <c r="S55" i="4"/>
  <c r="AA19" i="5"/>
  <c r="AH55" i="4"/>
  <c r="T55" i="4" a="1"/>
  <c r="T55" i="4"/>
  <c r="AC19" i="5"/>
  <c r="U55" i="4" a="1"/>
  <c r="U55" i="4"/>
  <c r="AD19" i="5"/>
  <c r="AF19" i="5"/>
  <c r="AG19" i="5"/>
  <c r="X28" i="2"/>
  <c r="X55" i="4"/>
  <c r="AI19" i="5"/>
  <c r="Y28" i="2"/>
  <c r="Y55" i="4"/>
  <c r="AJ19" i="5"/>
  <c r="Z28" i="2"/>
  <c r="Z55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72" i="4"/>
  <c r="F28" i="2"/>
  <c r="F72" i="4"/>
  <c r="I28" i="2"/>
  <c r="I72" i="4"/>
  <c r="J28" i="2"/>
  <c r="J72" i="4"/>
  <c r="K28" i="2"/>
  <c r="K72" i="4"/>
  <c r="AA72" i="4"/>
  <c r="AB72" i="4"/>
  <c r="AC72" i="4"/>
  <c r="AD72" i="4"/>
  <c r="AE72" i="4"/>
  <c r="AF72" i="4"/>
  <c r="AG72" i="4"/>
  <c r="AI72" i="4"/>
  <c r="AK72" i="4"/>
  <c r="G53" i="2"/>
  <c r="T53" i="2"/>
  <c r="U53" i="2"/>
  <c r="V53" i="2"/>
  <c r="W53" i="2"/>
  <c r="AA53" i="2"/>
  <c r="AB53" i="2"/>
  <c r="D52" i="2"/>
  <c r="B376" i="4"/>
  <c r="D376" i="4"/>
  <c r="E379" i="5"/>
  <c r="AC53" i="2"/>
  <c r="AD53" i="2"/>
  <c r="AE53" i="2"/>
  <c r="I52" i="2"/>
  <c r="I376" i="4"/>
  <c r="L379" i="5"/>
  <c r="H52" i="2"/>
  <c r="H376" i="4"/>
  <c r="K379" i="5"/>
  <c r="AF53" i="2"/>
  <c r="AG53" i="2"/>
  <c r="AH53" i="2"/>
  <c r="AI53" i="2"/>
  <c r="AJ53" i="2"/>
  <c r="K52" i="2"/>
  <c r="K376" i="4"/>
  <c r="O379" i="5"/>
  <c r="J52" i="2"/>
  <c r="J376" i="4"/>
  <c r="N379" i="5"/>
  <c r="AK53" i="2"/>
  <c r="M52" i="2"/>
  <c r="M376" i="4"/>
  <c r="R379" i="5"/>
  <c r="L52" i="2"/>
  <c r="L376" i="4"/>
  <c r="Q379" i="5"/>
  <c r="AL53" i="2"/>
  <c r="AM53" i="2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D346" i="9"/>
  <c r="E346" i="9"/>
  <c r="F346" i="9"/>
  <c r="G346" i="9"/>
  <c r="C122" i="7"/>
  <c r="E122" i="7"/>
  <c r="D122" i="7"/>
  <c r="AG3" i="5"/>
  <c r="AF3" i="5"/>
  <c r="C39" i="2"/>
  <c r="B150" i="4"/>
  <c r="C150" i="4"/>
  <c r="C3" i="5"/>
  <c r="D39" i="2"/>
  <c r="D150" i="4"/>
  <c r="E3" i="5"/>
  <c r="H39" i="2"/>
  <c r="H150" i="4"/>
  <c r="K3" i="5"/>
  <c r="L39" i="2"/>
  <c r="L150" i="4"/>
  <c r="Q3" i="5"/>
  <c r="M39" i="2"/>
  <c r="M150" i="4"/>
  <c r="R3" i="5"/>
  <c r="T3" i="5"/>
  <c r="O39" i="2"/>
  <c r="O150" i="4"/>
  <c r="U3" i="5"/>
  <c r="P39" i="2"/>
  <c r="P150" i="4"/>
  <c r="W3" i="5"/>
  <c r="Q39" i="2"/>
  <c r="Q150" i="4"/>
  <c r="X3" i="5"/>
  <c r="S39" i="2"/>
  <c r="S150" i="4"/>
  <c r="AA3" i="5"/>
  <c r="AH150" i="4"/>
  <c r="T150" i="4" a="1"/>
  <c r="T150" i="4"/>
  <c r="AC3" i="5"/>
  <c r="U150" i="4" a="1"/>
  <c r="U150" i="4"/>
  <c r="AD3" i="5"/>
  <c r="X39" i="2"/>
  <c r="X150" i="4"/>
  <c r="AI3" i="5"/>
  <c r="Y39" i="2"/>
  <c r="Y150" i="4"/>
  <c r="AJ3" i="5"/>
  <c r="Z39" i="2"/>
  <c r="Z150" i="4"/>
  <c r="AL3" i="5"/>
  <c r="F3" i="5"/>
  <c r="L3" i="5"/>
  <c r="N3" i="5"/>
  <c r="O3" i="5"/>
  <c r="AN3" i="5"/>
  <c r="O4" i="5"/>
  <c r="H27" i="2"/>
  <c r="B152" i="4"/>
  <c r="H152" i="4"/>
  <c r="K4" i="5"/>
  <c r="AG4" i="5"/>
  <c r="AF4" i="5"/>
  <c r="C27" i="2"/>
  <c r="C152" i="4"/>
  <c r="C4" i="5"/>
  <c r="D27" i="2"/>
  <c r="D152" i="4"/>
  <c r="E4" i="5"/>
  <c r="I27" i="2"/>
  <c r="I152" i="4"/>
  <c r="L4" i="5"/>
  <c r="J27" i="2"/>
  <c r="J152" i="4"/>
  <c r="N4" i="5"/>
  <c r="L27" i="2"/>
  <c r="L152" i="4"/>
  <c r="Q4" i="5"/>
  <c r="M27" i="2"/>
  <c r="M152" i="4"/>
  <c r="R4" i="5"/>
  <c r="T4" i="5"/>
  <c r="O27" i="2"/>
  <c r="O152" i="4"/>
  <c r="U4" i="5"/>
  <c r="W4" i="5"/>
  <c r="Q27" i="2"/>
  <c r="Q152" i="4"/>
  <c r="X4" i="5"/>
  <c r="AA4" i="5"/>
  <c r="AH152" i="4"/>
  <c r="T152" i="4" a="1"/>
  <c r="T152" i="4"/>
  <c r="AC4" i="5"/>
  <c r="U152" i="4" a="1"/>
  <c r="U152" i="4"/>
  <c r="AD4" i="5"/>
  <c r="X27" i="2"/>
  <c r="X152" i="4"/>
  <c r="AI4" i="5"/>
  <c r="Y27" i="2"/>
  <c r="Y152" i="4"/>
  <c r="AJ4" i="5"/>
  <c r="Z27" i="2"/>
  <c r="Z152" i="4"/>
  <c r="AL4" i="5"/>
  <c r="F4" i="5"/>
  <c r="AN4" i="5"/>
  <c r="AG5" i="5"/>
  <c r="AF5" i="5"/>
  <c r="B192" i="4"/>
  <c r="C16" i="2"/>
  <c r="C192" i="4"/>
  <c r="C5" i="5"/>
  <c r="D16" i="2"/>
  <c r="D192" i="4"/>
  <c r="E5" i="5"/>
  <c r="E27" i="2"/>
  <c r="E16" i="2"/>
  <c r="E192" i="4"/>
  <c r="F5" i="5"/>
  <c r="F27" i="2"/>
  <c r="F16" i="2"/>
  <c r="F192" i="4"/>
  <c r="H5" i="5"/>
  <c r="I5" i="5"/>
  <c r="H16" i="2"/>
  <c r="H192" i="4"/>
  <c r="K5" i="5"/>
  <c r="L16" i="2"/>
  <c r="L192" i="4"/>
  <c r="Q5" i="5"/>
  <c r="M16" i="2"/>
  <c r="M192" i="4"/>
  <c r="R5" i="5"/>
  <c r="T5" i="5"/>
  <c r="U5" i="5"/>
  <c r="P27" i="2"/>
  <c r="P16" i="2"/>
  <c r="P192" i="4"/>
  <c r="W5" i="5"/>
  <c r="Q16" i="2"/>
  <c r="Q192" i="4"/>
  <c r="X5" i="5"/>
  <c r="S27" i="2"/>
  <c r="S192" i="4"/>
  <c r="AA5" i="5"/>
  <c r="AH192" i="4"/>
  <c r="T192" i="4" a="1"/>
  <c r="T192" i="4"/>
  <c r="AC5" i="5"/>
  <c r="U192" i="4" a="1"/>
  <c r="U192" i="4"/>
  <c r="AD5" i="5"/>
  <c r="X192" i="4"/>
  <c r="AI5" i="5"/>
  <c r="Y16" i="2"/>
  <c r="Y192" i="4"/>
  <c r="AJ5" i="5"/>
  <c r="Z16" i="2"/>
  <c r="Z192" i="4"/>
  <c r="AL5" i="5"/>
  <c r="AN5" i="5"/>
  <c r="AG6" i="5"/>
  <c r="AF6" i="5"/>
  <c r="C40" i="2"/>
  <c r="B207" i="4"/>
  <c r="C207" i="4"/>
  <c r="C6" i="5"/>
  <c r="D40" i="2"/>
  <c r="D207" i="4"/>
  <c r="E6" i="5"/>
  <c r="H40" i="2"/>
  <c r="H207" i="4"/>
  <c r="K6" i="5"/>
  <c r="L40" i="2"/>
  <c r="L207" i="4"/>
  <c r="Q6" i="5"/>
  <c r="M40" i="2"/>
  <c r="M207" i="4"/>
  <c r="R6" i="5"/>
  <c r="N40" i="2"/>
  <c r="N207" i="4"/>
  <c r="T6" i="5"/>
  <c r="O40" i="2"/>
  <c r="O207" i="4"/>
  <c r="U6" i="5"/>
  <c r="P40" i="2"/>
  <c r="P207" i="4"/>
  <c r="W6" i="5"/>
  <c r="Q40" i="2"/>
  <c r="Q207" i="4"/>
  <c r="X6" i="5"/>
  <c r="S40" i="2"/>
  <c r="S207" i="4"/>
  <c r="AA6" i="5"/>
  <c r="AD6" i="5"/>
  <c r="X40" i="2"/>
  <c r="X207" i="4"/>
  <c r="AI6" i="5"/>
  <c r="Y40" i="2"/>
  <c r="Y207" i="4"/>
  <c r="AJ6" i="5"/>
  <c r="Z40" i="2"/>
  <c r="Z207" i="4"/>
  <c r="AL6" i="5"/>
  <c r="F6" i="5"/>
  <c r="AN6" i="5"/>
  <c r="AG7" i="5"/>
  <c r="AF7" i="5"/>
  <c r="B208" i="4"/>
  <c r="C208" i="4"/>
  <c r="C7" i="5"/>
  <c r="D208" i="4"/>
  <c r="E7" i="5"/>
  <c r="H208" i="4"/>
  <c r="K7" i="5"/>
  <c r="L208" i="4"/>
  <c r="Q7" i="5"/>
  <c r="M208" i="4"/>
  <c r="R7" i="5"/>
  <c r="N208" i="4"/>
  <c r="T7" i="5"/>
  <c r="O208" i="4"/>
  <c r="U7" i="5"/>
  <c r="P208" i="4"/>
  <c r="W7" i="5"/>
  <c r="Q208" i="4"/>
  <c r="X7" i="5"/>
  <c r="S208" i="4"/>
  <c r="AA7" i="5"/>
  <c r="AD7" i="5"/>
  <c r="X208" i="4"/>
  <c r="AI7" i="5"/>
  <c r="Y208" i="4"/>
  <c r="AJ7" i="5"/>
  <c r="Z208" i="4"/>
  <c r="AL7" i="5"/>
  <c r="F7" i="5"/>
  <c r="AN7" i="5"/>
  <c r="AG8" i="5"/>
  <c r="AF8" i="5"/>
  <c r="B259" i="4"/>
  <c r="C259" i="4"/>
  <c r="C8" i="5"/>
  <c r="D259" i="4"/>
  <c r="E8" i="5"/>
  <c r="H259" i="4"/>
  <c r="K8" i="5"/>
  <c r="L259" i="4"/>
  <c r="Q8" i="5"/>
  <c r="M259" i="4"/>
  <c r="R8" i="5"/>
  <c r="T8" i="5"/>
  <c r="O259" i="4"/>
  <c r="U8" i="5"/>
  <c r="P259" i="4"/>
  <c r="W8" i="5"/>
  <c r="Q259" i="4"/>
  <c r="X8" i="5"/>
  <c r="S259" i="4"/>
  <c r="AA8" i="5"/>
  <c r="AH259" i="4"/>
  <c r="T259" i="4" a="1"/>
  <c r="T259" i="4"/>
  <c r="AC8" i="5"/>
  <c r="U259" i="4" a="1"/>
  <c r="U259" i="4"/>
  <c r="AD8" i="5"/>
  <c r="X259" i="4"/>
  <c r="AI8" i="5"/>
  <c r="Y259" i="4"/>
  <c r="AJ8" i="5"/>
  <c r="Z259" i="4"/>
  <c r="AL8" i="5"/>
  <c r="F8" i="5"/>
  <c r="AN8" i="5"/>
  <c r="AG9" i="5"/>
  <c r="AF9" i="5"/>
  <c r="C19" i="2"/>
  <c r="C111" i="4"/>
  <c r="C9" i="5"/>
  <c r="D19" i="2"/>
  <c r="D111" i="4"/>
  <c r="E9" i="5"/>
  <c r="E19" i="2"/>
  <c r="E111" i="4"/>
  <c r="F9" i="5"/>
  <c r="F19" i="2"/>
  <c r="F111" i="4"/>
  <c r="H9" i="5"/>
  <c r="I9" i="5"/>
  <c r="H19" i="2"/>
  <c r="H111" i="4"/>
  <c r="K9" i="5"/>
  <c r="L19" i="2"/>
  <c r="L111" i="4"/>
  <c r="Q9" i="5"/>
  <c r="M111" i="4"/>
  <c r="R9" i="5"/>
  <c r="T9" i="5"/>
  <c r="O19" i="2"/>
  <c r="O111" i="4"/>
  <c r="U9" i="5"/>
  <c r="P19" i="2"/>
  <c r="P111" i="4"/>
  <c r="W9" i="5"/>
  <c r="Q19" i="2"/>
  <c r="Q111" i="4"/>
  <c r="X9" i="5"/>
  <c r="S19" i="2"/>
  <c r="S111" i="4"/>
  <c r="AA9" i="5"/>
  <c r="AH111" i="4"/>
  <c r="T111" i="4" a="1"/>
  <c r="T111" i="4"/>
  <c r="AC9" i="5"/>
  <c r="U111" i="4" a="1"/>
  <c r="U111" i="4"/>
  <c r="AD9" i="5"/>
  <c r="X19" i="2"/>
  <c r="X111" i="4"/>
  <c r="AI9" i="5"/>
  <c r="Y19" i="2"/>
  <c r="Y111" i="4"/>
  <c r="AJ9" i="5"/>
  <c r="Z19" i="2"/>
  <c r="Z111" i="4"/>
  <c r="AL9" i="5"/>
  <c r="AN9" i="5"/>
  <c r="AG10" i="5"/>
  <c r="AF10" i="5"/>
  <c r="C3" i="2"/>
  <c r="B30" i="4"/>
  <c r="C30" i="4"/>
  <c r="C10" i="5"/>
  <c r="D3" i="2"/>
  <c r="D30" i="4"/>
  <c r="E10" i="5"/>
  <c r="K10" i="5"/>
  <c r="L3" i="2"/>
  <c r="L30" i="4"/>
  <c r="Q10" i="5"/>
  <c r="M3" i="2"/>
  <c r="M30" i="4"/>
  <c r="R10" i="5"/>
  <c r="T10" i="5"/>
  <c r="O30" i="4"/>
  <c r="U10" i="5"/>
  <c r="P3" i="2"/>
  <c r="P30" i="4"/>
  <c r="W10" i="5"/>
  <c r="Q3" i="2"/>
  <c r="Q30" i="4"/>
  <c r="X10" i="5"/>
  <c r="S3" i="2"/>
  <c r="S30" i="4"/>
  <c r="AA10" i="5"/>
  <c r="AH30" i="4"/>
  <c r="T30" i="4" a="1"/>
  <c r="T30" i="4"/>
  <c r="AC10" i="5"/>
  <c r="U30" i="4" a="1"/>
  <c r="U30" i="4"/>
  <c r="AD10" i="5"/>
  <c r="X3" i="2"/>
  <c r="X30" i="4"/>
  <c r="AI10" i="5"/>
  <c r="Y3" i="2"/>
  <c r="Y30" i="4"/>
  <c r="AJ10" i="5"/>
  <c r="Z3" i="2"/>
  <c r="Z30" i="4"/>
  <c r="AL10" i="5"/>
  <c r="F10" i="5"/>
  <c r="H10" i="5"/>
  <c r="I10" i="5"/>
  <c r="AN10" i="5"/>
  <c r="AG11" i="5"/>
  <c r="AF11" i="5"/>
  <c r="C2" i="2"/>
  <c r="B31" i="4"/>
  <c r="C31" i="4"/>
  <c r="C11" i="5"/>
  <c r="D2" i="2"/>
  <c r="D31" i="4"/>
  <c r="E11" i="5"/>
  <c r="K11" i="5"/>
  <c r="L2" i="2"/>
  <c r="L31" i="4"/>
  <c r="Q11" i="5"/>
  <c r="M2" i="2"/>
  <c r="M31" i="4"/>
  <c r="R11" i="5"/>
  <c r="T11" i="5"/>
  <c r="U11" i="5"/>
  <c r="P2" i="2"/>
  <c r="P31" i="4"/>
  <c r="W11" i="5"/>
  <c r="Q2" i="2"/>
  <c r="Q31" i="4"/>
  <c r="X11" i="5"/>
  <c r="S2" i="2"/>
  <c r="S31" i="4"/>
  <c r="AA11" i="5"/>
  <c r="AH31" i="4"/>
  <c r="T31" i="4" a="1"/>
  <c r="T31" i="4"/>
  <c r="AC11" i="5"/>
  <c r="U31" i="4" a="1"/>
  <c r="U31" i="4"/>
  <c r="AD11" i="5"/>
  <c r="X2" i="2"/>
  <c r="X31" i="4"/>
  <c r="AI11" i="5"/>
  <c r="Y2" i="2"/>
  <c r="Y31" i="4"/>
  <c r="AJ11" i="5"/>
  <c r="Z2" i="2"/>
  <c r="Z31" i="4"/>
  <c r="AL11" i="5"/>
  <c r="F11" i="5"/>
  <c r="H11" i="5"/>
  <c r="I11" i="5"/>
  <c r="AN11" i="5"/>
  <c r="S30" i="2"/>
  <c r="B250" i="4"/>
  <c r="S250" i="4"/>
  <c r="AA12" i="5"/>
  <c r="P30" i="2"/>
  <c r="P250" i="4"/>
  <c r="W12" i="5"/>
  <c r="O12" i="5"/>
  <c r="K12" i="5"/>
  <c r="AG12" i="5"/>
  <c r="AF12" i="5"/>
  <c r="C30" i="2"/>
  <c r="C250" i="4"/>
  <c r="C12" i="5"/>
  <c r="D30" i="2"/>
  <c r="D250" i="4"/>
  <c r="E12" i="5"/>
  <c r="E30" i="2"/>
  <c r="E250" i="4"/>
  <c r="F12" i="5"/>
  <c r="F30" i="2"/>
  <c r="F250" i="4"/>
  <c r="H12" i="5"/>
  <c r="I12" i="5"/>
  <c r="L30" i="2"/>
  <c r="L250" i="4"/>
  <c r="Q12" i="5"/>
  <c r="M30" i="2"/>
  <c r="M250" i="4"/>
  <c r="R12" i="5"/>
  <c r="T12" i="5"/>
  <c r="O30" i="2"/>
  <c r="O250" i="4"/>
  <c r="U12" i="5"/>
  <c r="Q250" i="4"/>
  <c r="X12" i="5"/>
  <c r="R30" i="2"/>
  <c r="R250" i="4"/>
  <c r="Z12" i="5"/>
  <c r="AH250" i="4"/>
  <c r="T250" i="4" a="1"/>
  <c r="T250" i="4"/>
  <c r="AC12" i="5"/>
  <c r="U250" i="4" a="1"/>
  <c r="U250" i="4"/>
  <c r="AD12" i="5"/>
  <c r="X250" i="4"/>
  <c r="AI12" i="5"/>
  <c r="Y30" i="2"/>
  <c r="Y250" i="4"/>
  <c r="AJ12" i="5"/>
  <c r="Z30" i="2"/>
  <c r="Z250" i="4"/>
  <c r="AL12" i="5"/>
  <c r="AN12" i="5"/>
  <c r="B251" i="4"/>
  <c r="S251" i="4"/>
  <c r="AA13" i="5"/>
  <c r="P8" i="2"/>
  <c r="P251" i="4"/>
  <c r="W13" i="5"/>
  <c r="O13" i="5"/>
  <c r="K13" i="5"/>
  <c r="AG13" i="5"/>
  <c r="AF13" i="5"/>
  <c r="C8" i="2"/>
  <c r="C251" i="4"/>
  <c r="C13" i="5"/>
  <c r="D251" i="4"/>
  <c r="E13" i="5"/>
  <c r="E8" i="2"/>
  <c r="E251" i="4"/>
  <c r="F13" i="5"/>
  <c r="F8" i="2"/>
  <c r="F251" i="4"/>
  <c r="H13" i="5"/>
  <c r="I13" i="5"/>
  <c r="I8" i="2"/>
  <c r="I251" i="4"/>
  <c r="L13" i="5"/>
  <c r="J8" i="2"/>
  <c r="J251" i="4"/>
  <c r="N13" i="5"/>
  <c r="L251" i="4"/>
  <c r="Q13" i="5"/>
  <c r="M251" i="4"/>
  <c r="R13" i="5"/>
  <c r="T13" i="5"/>
  <c r="O8" i="2"/>
  <c r="O251" i="4"/>
  <c r="U13" i="5"/>
  <c r="Q8" i="2"/>
  <c r="Q251" i="4"/>
  <c r="X13" i="5"/>
  <c r="R8" i="2"/>
  <c r="R251" i="4"/>
  <c r="Z13" i="5"/>
  <c r="AH251" i="4"/>
  <c r="T251" i="4" a="1"/>
  <c r="T251" i="4"/>
  <c r="AC13" i="5"/>
  <c r="U251" i="4" a="1"/>
  <c r="U251" i="4"/>
  <c r="AD13" i="5"/>
  <c r="X8" i="2"/>
  <c r="X251" i="4"/>
  <c r="AI13" i="5"/>
  <c r="Y8" i="2"/>
  <c r="Y251" i="4"/>
  <c r="AJ13" i="5"/>
  <c r="Z8" i="2"/>
  <c r="Z251" i="4"/>
  <c r="AL13" i="5"/>
  <c r="AN13" i="5"/>
  <c r="AG14" i="5"/>
  <c r="AF14" i="5"/>
  <c r="B141" i="4"/>
  <c r="C141" i="4"/>
  <c r="C14" i="5"/>
  <c r="D141" i="4"/>
  <c r="E14" i="5"/>
  <c r="E141" i="4"/>
  <c r="F14" i="5"/>
  <c r="F141" i="4"/>
  <c r="H14" i="5"/>
  <c r="I14" i="5"/>
  <c r="H141" i="4"/>
  <c r="K14" i="5"/>
  <c r="L141" i="4"/>
  <c r="Q14" i="5"/>
  <c r="M141" i="4"/>
  <c r="R14" i="5"/>
  <c r="T14" i="5"/>
  <c r="O141" i="4"/>
  <c r="U14" i="5"/>
  <c r="P141" i="4"/>
  <c r="W14" i="5"/>
  <c r="Q141" i="4"/>
  <c r="X14" i="5"/>
  <c r="S141" i="4"/>
  <c r="AA14" i="5"/>
  <c r="AH141" i="4"/>
  <c r="T141" i="4" a="1"/>
  <c r="T141" i="4"/>
  <c r="AC14" i="5"/>
  <c r="U141" i="4" a="1"/>
  <c r="U141" i="4"/>
  <c r="AD14" i="5"/>
  <c r="X141" i="4"/>
  <c r="AI14" i="5"/>
  <c r="Y141" i="4"/>
  <c r="AJ14" i="5"/>
  <c r="Z141" i="4"/>
  <c r="AL14" i="5"/>
  <c r="L14" i="5"/>
  <c r="N14" i="5"/>
  <c r="O14" i="5"/>
  <c r="Z14" i="5"/>
  <c r="AN14" i="5"/>
  <c r="AG15" i="5"/>
  <c r="AF15" i="5"/>
  <c r="C41" i="2"/>
  <c r="B49" i="4"/>
  <c r="C49" i="4"/>
  <c r="C15" i="5"/>
  <c r="D41" i="2"/>
  <c r="D49" i="4"/>
  <c r="E15" i="5"/>
  <c r="E41" i="2"/>
  <c r="E49" i="4"/>
  <c r="F15" i="5"/>
  <c r="F41" i="2"/>
  <c r="F49" i="4"/>
  <c r="H15" i="5"/>
  <c r="I15" i="5"/>
  <c r="K15" i="5"/>
  <c r="L41" i="2"/>
  <c r="L49" i="4"/>
  <c r="Q15" i="5"/>
  <c r="M41" i="2"/>
  <c r="M49" i="4"/>
  <c r="R15" i="5"/>
  <c r="T15" i="5"/>
  <c r="O49" i="4"/>
  <c r="U15" i="5"/>
  <c r="P41" i="2"/>
  <c r="P49" i="4"/>
  <c r="W15" i="5"/>
  <c r="Q41" i="2"/>
  <c r="Q49" i="4"/>
  <c r="X15" i="5"/>
  <c r="S41" i="2"/>
  <c r="S49" i="4"/>
  <c r="AA15" i="5"/>
  <c r="AH49" i="4"/>
  <c r="T49" i="4" a="1"/>
  <c r="T49" i="4"/>
  <c r="AC15" i="5"/>
  <c r="U49" i="4" a="1"/>
  <c r="U49" i="4"/>
  <c r="AD15" i="5"/>
  <c r="X41" i="2"/>
  <c r="X49" i="4"/>
  <c r="AI15" i="5"/>
  <c r="Y41" i="2"/>
  <c r="Y49" i="4"/>
  <c r="AJ15" i="5"/>
  <c r="Z41" i="2"/>
  <c r="Z49" i="4"/>
  <c r="AL15" i="5"/>
  <c r="L15" i="5"/>
  <c r="N15" i="5"/>
  <c r="O15" i="5"/>
  <c r="Z15" i="5"/>
  <c r="AN15" i="5"/>
  <c r="S53" i="4"/>
  <c r="AA16" i="5"/>
  <c r="P53" i="4"/>
  <c r="W16" i="5"/>
  <c r="AG16" i="5"/>
  <c r="AF16" i="5"/>
  <c r="C53" i="4"/>
  <c r="C16" i="5"/>
  <c r="D53" i="4"/>
  <c r="E16" i="5"/>
  <c r="K16" i="5"/>
  <c r="L53" i="4"/>
  <c r="Q16" i="5"/>
  <c r="M53" i="4"/>
  <c r="R16" i="5"/>
  <c r="T16" i="5"/>
  <c r="U16" i="5"/>
  <c r="Q53" i="4"/>
  <c r="X16" i="5"/>
  <c r="R53" i="4"/>
  <c r="Z16" i="5"/>
  <c r="AH53" i="4"/>
  <c r="T53" i="4" a="1"/>
  <c r="T53" i="4"/>
  <c r="AC16" i="5"/>
  <c r="U53" i="4" a="1"/>
  <c r="U53" i="4"/>
  <c r="AD16" i="5"/>
  <c r="X53" i="4"/>
  <c r="AI16" i="5"/>
  <c r="Y53" i="4"/>
  <c r="AJ16" i="5"/>
  <c r="Z53" i="4"/>
  <c r="AL16" i="5"/>
  <c r="L16" i="5"/>
  <c r="N16" i="5"/>
  <c r="O16" i="5"/>
  <c r="AN16" i="5"/>
  <c r="S54" i="4"/>
  <c r="AA17" i="5"/>
  <c r="P54" i="4"/>
  <c r="W17" i="5"/>
  <c r="AG17" i="5"/>
  <c r="AF17" i="5"/>
  <c r="C54" i="4"/>
  <c r="C17" i="5"/>
  <c r="D54" i="4"/>
  <c r="E17" i="5"/>
  <c r="H54" i="4"/>
  <c r="K17" i="5"/>
  <c r="L54" i="4"/>
  <c r="Q17" i="5"/>
  <c r="M54" i="4"/>
  <c r="R17" i="5"/>
  <c r="T17" i="5"/>
  <c r="U17" i="5"/>
  <c r="Q54" i="4"/>
  <c r="X17" i="5"/>
  <c r="R54" i="4"/>
  <c r="Z17" i="5"/>
  <c r="AH54" i="4"/>
  <c r="T54" i="4" a="1"/>
  <c r="T54" i="4"/>
  <c r="AC17" i="5"/>
  <c r="U54" i="4" a="1"/>
  <c r="U54" i="4"/>
  <c r="AD17" i="5"/>
  <c r="X54" i="4"/>
  <c r="AI17" i="5"/>
  <c r="Y54" i="4"/>
  <c r="AJ17" i="5"/>
  <c r="Z54" i="4"/>
  <c r="AL17" i="5"/>
  <c r="L17" i="5"/>
  <c r="N17" i="5"/>
  <c r="O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AN18" i="5"/>
  <c r="AG21" i="5"/>
  <c r="AF21" i="5"/>
  <c r="C36" i="2"/>
  <c r="B201" i="4"/>
  <c r="C201" i="4"/>
  <c r="C21" i="5"/>
  <c r="D36" i="2"/>
  <c r="D201" i="4"/>
  <c r="E21" i="5"/>
  <c r="L36" i="2"/>
  <c r="L201" i="4"/>
  <c r="Q21" i="5"/>
  <c r="M36" i="2"/>
  <c r="M201" i="4"/>
  <c r="R21" i="5"/>
  <c r="T21" i="5"/>
  <c r="O36" i="2"/>
  <c r="O201" i="4"/>
  <c r="U21" i="5"/>
  <c r="P36" i="2"/>
  <c r="P201" i="4"/>
  <c r="W21" i="5"/>
  <c r="Q36" i="2"/>
  <c r="Q201" i="4"/>
  <c r="X21" i="5"/>
  <c r="S36" i="2"/>
  <c r="S201" i="4"/>
  <c r="AA21" i="5"/>
  <c r="AH201" i="4"/>
  <c r="T201" i="4" a="1"/>
  <c r="T201" i="4"/>
  <c r="AC21" i="5"/>
  <c r="U201" i="4" a="1"/>
  <c r="U201" i="4"/>
  <c r="AD21" i="5"/>
  <c r="X36" i="2"/>
  <c r="X201" i="4"/>
  <c r="AI21" i="5"/>
  <c r="Y36" i="2"/>
  <c r="Y201" i="4"/>
  <c r="AJ21" i="5"/>
  <c r="Z36" i="2"/>
  <c r="Z201" i="4"/>
  <c r="AL21" i="5"/>
  <c r="L21" i="5"/>
  <c r="N21" i="5"/>
  <c r="O21" i="5"/>
  <c r="AN21" i="5"/>
  <c r="AG22" i="5"/>
  <c r="AF22" i="5"/>
  <c r="C38" i="2"/>
  <c r="B202" i="4"/>
  <c r="C202" i="4"/>
  <c r="C22" i="5"/>
  <c r="D38" i="2"/>
  <c r="D202" i="4"/>
  <c r="E22" i="5"/>
  <c r="H38" i="2"/>
  <c r="H202" i="4"/>
  <c r="K22" i="5"/>
  <c r="L38" i="2"/>
  <c r="L202" i="4"/>
  <c r="Q22" i="5"/>
  <c r="M38" i="2"/>
  <c r="M202" i="4"/>
  <c r="R22" i="5"/>
  <c r="T22" i="5"/>
  <c r="O38" i="2"/>
  <c r="O202" i="4"/>
  <c r="U22" i="5"/>
  <c r="P38" i="2"/>
  <c r="P202" i="4"/>
  <c r="W22" i="5"/>
  <c r="Q38" i="2"/>
  <c r="Q202" i="4"/>
  <c r="X22" i="5"/>
  <c r="S38" i="2"/>
  <c r="S202" i="4"/>
  <c r="AA22" i="5"/>
  <c r="AH202" i="4"/>
  <c r="T202" i="4" a="1"/>
  <c r="T202" i="4"/>
  <c r="AC22" i="5"/>
  <c r="U202" i="4" a="1"/>
  <c r="U202" i="4"/>
  <c r="AD22" i="5"/>
  <c r="X38" i="2"/>
  <c r="X202" i="4"/>
  <c r="AI22" i="5"/>
  <c r="Y38" i="2"/>
  <c r="Y202" i="4"/>
  <c r="AJ22" i="5"/>
  <c r="Z38" i="2"/>
  <c r="Z202" i="4"/>
  <c r="AL22" i="5"/>
  <c r="L22" i="5"/>
  <c r="N22" i="5"/>
  <c r="O22" i="5"/>
  <c r="AN22" i="5"/>
  <c r="AG23" i="5"/>
  <c r="AF23" i="5"/>
  <c r="C203" i="4"/>
  <c r="C23" i="5"/>
  <c r="D203" i="4"/>
  <c r="E23" i="5"/>
  <c r="H36" i="2"/>
  <c r="H203" i="4"/>
  <c r="K23" i="5"/>
  <c r="I36" i="2"/>
  <c r="I203" i="4"/>
  <c r="L23" i="5"/>
  <c r="J36" i="2"/>
  <c r="J203" i="4"/>
  <c r="N23" i="5"/>
  <c r="O23" i="5"/>
  <c r="L203" i="4"/>
  <c r="Q23" i="5"/>
  <c r="M203" i="4"/>
  <c r="R23" i="5"/>
  <c r="T23" i="5"/>
  <c r="O203" i="4"/>
  <c r="U23" i="5"/>
  <c r="P203" i="4"/>
  <c r="W23" i="5"/>
  <c r="Q203" i="4"/>
  <c r="X23" i="5"/>
  <c r="S203" i="4"/>
  <c r="AA23" i="5"/>
  <c r="AH203" i="4"/>
  <c r="T203" i="4" a="1"/>
  <c r="T203" i="4"/>
  <c r="AC23" i="5"/>
  <c r="U203" i="4" a="1"/>
  <c r="U203" i="4"/>
  <c r="AD23" i="5"/>
  <c r="X203" i="4"/>
  <c r="AI23" i="5"/>
  <c r="Y203" i="4"/>
  <c r="AJ23" i="5"/>
  <c r="Z203" i="4"/>
  <c r="AL23" i="5"/>
  <c r="AN23" i="5"/>
  <c r="AG24" i="5"/>
  <c r="AF24" i="5"/>
  <c r="C204" i="4"/>
  <c r="C24" i="5"/>
  <c r="D204" i="4"/>
  <c r="E24" i="5"/>
  <c r="H204" i="4"/>
  <c r="K24" i="5"/>
  <c r="L204" i="4"/>
  <c r="Q24" i="5"/>
  <c r="M204" i="4"/>
  <c r="R24" i="5"/>
  <c r="T24" i="5"/>
  <c r="O204" i="4"/>
  <c r="U24" i="5"/>
  <c r="P204" i="4"/>
  <c r="W24" i="5"/>
  <c r="Q204" i="4"/>
  <c r="X24" i="5"/>
  <c r="S204" i="4"/>
  <c r="AA24" i="5"/>
  <c r="AH204" i="4"/>
  <c r="T204" i="4" a="1"/>
  <c r="T204" i="4"/>
  <c r="AC24" i="5"/>
  <c r="U204" i="4" a="1"/>
  <c r="U204" i="4"/>
  <c r="AD24" i="5"/>
  <c r="X204" i="4"/>
  <c r="AI24" i="5"/>
  <c r="Y204" i="4"/>
  <c r="AJ24" i="5"/>
  <c r="Z204" i="4"/>
  <c r="AL24" i="5"/>
  <c r="L24" i="5"/>
  <c r="N24" i="5"/>
  <c r="O24" i="5"/>
  <c r="AN24" i="5"/>
  <c r="AG25" i="5"/>
  <c r="AF25" i="5"/>
  <c r="C205" i="4"/>
  <c r="C25" i="5"/>
  <c r="D205" i="4"/>
  <c r="E25" i="5"/>
  <c r="H205" i="4"/>
  <c r="K25" i="5"/>
  <c r="L205" i="4"/>
  <c r="Q25" i="5"/>
  <c r="M205" i="4"/>
  <c r="R25" i="5"/>
  <c r="T25" i="5"/>
  <c r="O205" i="4"/>
  <c r="U25" i="5"/>
  <c r="P205" i="4"/>
  <c r="W25" i="5"/>
  <c r="Q205" i="4"/>
  <c r="X25" i="5"/>
  <c r="S205" i="4"/>
  <c r="AA25" i="5"/>
  <c r="AH205" i="4"/>
  <c r="T205" i="4" a="1"/>
  <c r="T205" i="4"/>
  <c r="AC25" i="5"/>
  <c r="U205" i="4" a="1"/>
  <c r="U205" i="4"/>
  <c r="AD25" i="5"/>
  <c r="X205" i="4"/>
  <c r="AI25" i="5"/>
  <c r="Y205" i="4"/>
  <c r="AJ25" i="5"/>
  <c r="Z205" i="4"/>
  <c r="AL25" i="5"/>
  <c r="L25" i="5"/>
  <c r="N25" i="5"/>
  <c r="O25" i="5"/>
  <c r="AN25" i="5"/>
  <c r="AG26" i="5"/>
  <c r="AF26" i="5"/>
  <c r="C206" i="4"/>
  <c r="C26" i="5"/>
  <c r="D206" i="4"/>
  <c r="E26" i="5"/>
  <c r="H206" i="4"/>
  <c r="K26" i="5"/>
  <c r="L206" i="4"/>
  <c r="Q26" i="5"/>
  <c r="M206" i="4"/>
  <c r="R26" i="5"/>
  <c r="T26" i="5"/>
  <c r="O206" i="4"/>
  <c r="U26" i="5"/>
  <c r="P206" i="4"/>
  <c r="W26" i="5"/>
  <c r="Q206" i="4"/>
  <c r="X26" i="5"/>
  <c r="S206" i="4"/>
  <c r="AA26" i="5"/>
  <c r="AH206" i="4"/>
  <c r="T206" i="4" a="1"/>
  <c r="T206" i="4"/>
  <c r="AC26" i="5"/>
  <c r="U206" i="4" a="1"/>
  <c r="U206" i="4"/>
  <c r="AD26" i="5"/>
  <c r="X206" i="4"/>
  <c r="AI26" i="5"/>
  <c r="Y206" i="4"/>
  <c r="AJ26" i="5"/>
  <c r="Z206" i="4"/>
  <c r="AL26" i="5"/>
  <c r="L26" i="5"/>
  <c r="N26" i="5"/>
  <c r="O26" i="5"/>
  <c r="AN26" i="5"/>
  <c r="AG27" i="5"/>
  <c r="AF27" i="5"/>
  <c r="B70" i="4"/>
  <c r="C70" i="4"/>
  <c r="C27" i="5"/>
  <c r="D70" i="4"/>
  <c r="E27" i="5"/>
  <c r="E70" i="4"/>
  <c r="F27" i="5"/>
  <c r="F70" i="4"/>
  <c r="H27" i="5"/>
  <c r="I27" i="5"/>
  <c r="K27" i="5"/>
  <c r="L70" i="4"/>
  <c r="Q27" i="5"/>
  <c r="M70" i="4"/>
  <c r="R27" i="5"/>
  <c r="T27" i="5"/>
  <c r="O70" i="4"/>
  <c r="U27" i="5"/>
  <c r="P70" i="4"/>
  <c r="W27" i="5"/>
  <c r="Q70" i="4"/>
  <c r="X27" i="5"/>
  <c r="S70" i="4"/>
  <c r="AA27" i="5"/>
  <c r="AH70" i="4"/>
  <c r="T70" i="4" a="1"/>
  <c r="T70" i="4"/>
  <c r="AC27" i="5"/>
  <c r="U70" i="4" a="1"/>
  <c r="U70" i="4"/>
  <c r="AD27" i="5"/>
  <c r="X70" i="4"/>
  <c r="AI27" i="5"/>
  <c r="Y70" i="4"/>
  <c r="AJ27" i="5"/>
  <c r="Z70" i="4"/>
  <c r="AL27" i="5"/>
  <c r="L27" i="5"/>
  <c r="N27" i="5"/>
  <c r="O27" i="5"/>
  <c r="AN27" i="5"/>
  <c r="AG28" i="5"/>
  <c r="AF28" i="5"/>
  <c r="C44" i="2"/>
  <c r="B222" i="4"/>
  <c r="C222" i="4"/>
  <c r="C28" i="5"/>
  <c r="D44" i="2"/>
  <c r="D222" i="4"/>
  <c r="E28" i="5"/>
  <c r="E44" i="2"/>
  <c r="E222" i="4"/>
  <c r="F28" i="5"/>
  <c r="F44" i="2"/>
  <c r="F222" i="4"/>
  <c r="H28" i="5"/>
  <c r="I28" i="5"/>
  <c r="H44" i="2"/>
  <c r="H222" i="4"/>
  <c r="K28" i="5"/>
  <c r="L44" i="2"/>
  <c r="L222" i="4"/>
  <c r="Q28" i="5"/>
  <c r="M44" i="2"/>
  <c r="M222" i="4"/>
  <c r="R28" i="5"/>
  <c r="N222" i="4"/>
  <c r="T28" i="5"/>
  <c r="O44" i="2"/>
  <c r="O222" i="4"/>
  <c r="U28" i="5"/>
  <c r="P44" i="2"/>
  <c r="P222" i="4"/>
  <c r="W28" i="5"/>
  <c r="Q44" i="2"/>
  <c r="Q222" i="4"/>
  <c r="X28" i="5"/>
  <c r="S44" i="2"/>
  <c r="S222" i="4"/>
  <c r="AA28" i="5"/>
  <c r="AH222" i="4"/>
  <c r="T222" i="4" a="1"/>
  <c r="T222" i="4"/>
  <c r="AC28" i="5"/>
  <c r="U222" i="4" a="1"/>
  <c r="U222" i="4"/>
  <c r="AD28" i="5"/>
  <c r="X44" i="2"/>
  <c r="X222" i="4"/>
  <c r="AI28" i="5"/>
  <c r="Y44" i="2"/>
  <c r="Y222" i="4"/>
  <c r="AJ28" i="5"/>
  <c r="Z44" i="2"/>
  <c r="Z222" i="4"/>
  <c r="AL28" i="5"/>
  <c r="L28" i="5"/>
  <c r="N28" i="5"/>
  <c r="O28" i="5"/>
  <c r="AN28" i="5"/>
  <c r="O29" i="5"/>
  <c r="B292" i="4"/>
  <c r="H292" i="4"/>
  <c r="K29" i="5"/>
  <c r="AG29" i="5"/>
  <c r="AF29" i="5"/>
  <c r="C14" i="2"/>
  <c r="C292" i="4"/>
  <c r="C29" i="5"/>
  <c r="D14" i="2"/>
  <c r="D292" i="4"/>
  <c r="E29" i="5"/>
  <c r="I14" i="2"/>
  <c r="I292" i="4"/>
  <c r="L29" i="5"/>
  <c r="J14" i="2"/>
  <c r="J292" i="4"/>
  <c r="N29" i="5"/>
  <c r="L14" i="2"/>
  <c r="L292" i="4"/>
  <c r="Q29" i="5"/>
  <c r="M14" i="2"/>
  <c r="M292" i="4"/>
  <c r="R29" i="5"/>
  <c r="T29" i="5"/>
  <c r="O14" i="2"/>
  <c r="O292" i="4"/>
  <c r="U29" i="5"/>
  <c r="P14" i="2"/>
  <c r="P292" i="4"/>
  <c r="W29" i="5"/>
  <c r="Q14" i="2"/>
  <c r="Q292" i="4"/>
  <c r="X29" i="5"/>
  <c r="AA29" i="5"/>
  <c r="AH292" i="4"/>
  <c r="T292" i="4" a="1"/>
  <c r="T292" i="4"/>
  <c r="AC29" i="5"/>
  <c r="U292" i="4" a="1"/>
  <c r="U292" i="4"/>
  <c r="AD29" i="5"/>
  <c r="Y14" i="2"/>
  <c r="Y292" i="4"/>
  <c r="AJ29" i="5"/>
  <c r="Z14" i="2"/>
  <c r="Z292" i="4"/>
  <c r="AL29" i="5"/>
  <c r="AN29" i="5"/>
  <c r="AG30" i="5"/>
  <c r="AF30" i="5"/>
  <c r="B293" i="4"/>
  <c r="C293" i="4"/>
  <c r="C30" i="5"/>
  <c r="D293" i="4"/>
  <c r="E30" i="5"/>
  <c r="H293" i="4"/>
  <c r="K30" i="5"/>
  <c r="L293" i="4"/>
  <c r="Q30" i="5"/>
  <c r="M293" i="4"/>
  <c r="R30" i="5"/>
  <c r="T30" i="5"/>
  <c r="O293" i="4"/>
  <c r="U30" i="5"/>
  <c r="P293" i="4"/>
  <c r="W30" i="5"/>
  <c r="Q293" i="4"/>
  <c r="X30" i="5"/>
  <c r="AA30" i="5"/>
  <c r="AH293" i="4"/>
  <c r="T293" i="4" a="1"/>
  <c r="T293" i="4"/>
  <c r="AC30" i="5"/>
  <c r="U293" i="4" a="1"/>
  <c r="U293" i="4"/>
  <c r="AD30" i="5"/>
  <c r="Y293" i="4"/>
  <c r="AJ30" i="5"/>
  <c r="Z293" i="4"/>
  <c r="AL30" i="5"/>
  <c r="L30" i="5"/>
  <c r="N30" i="5"/>
  <c r="O30" i="5"/>
  <c r="AN30" i="5"/>
  <c r="S29" i="2"/>
  <c r="S74" i="4"/>
  <c r="AA31" i="5"/>
  <c r="P29" i="2"/>
  <c r="P74" i="4"/>
  <c r="W31" i="5"/>
  <c r="AG31" i="5"/>
  <c r="AF31" i="5"/>
  <c r="C29" i="2"/>
  <c r="C74" i="4"/>
  <c r="C31" i="5"/>
  <c r="D29" i="2"/>
  <c r="D74" i="4"/>
  <c r="E31" i="5"/>
  <c r="K31" i="5"/>
  <c r="L29" i="2"/>
  <c r="L74" i="4"/>
  <c r="Q31" i="5"/>
  <c r="M29" i="2"/>
  <c r="M74" i="4"/>
  <c r="R31" i="5"/>
  <c r="T31" i="5"/>
  <c r="O29" i="2"/>
  <c r="O74" i="4"/>
  <c r="U31" i="5"/>
  <c r="Q29" i="2"/>
  <c r="Q74" i="4"/>
  <c r="X31" i="5"/>
  <c r="R29" i="2"/>
  <c r="R74" i="4"/>
  <c r="Z31" i="5"/>
  <c r="AH74" i="4"/>
  <c r="T74" i="4" a="1"/>
  <c r="T74" i="4"/>
  <c r="AC31" i="5"/>
  <c r="U74" i="4" a="1"/>
  <c r="U74" i="4"/>
  <c r="AD31" i="5"/>
  <c r="AI31" i="5"/>
  <c r="Y29" i="2"/>
  <c r="Y74" i="4"/>
  <c r="AJ31" i="5"/>
  <c r="Z29" i="2"/>
  <c r="Z74" i="4"/>
  <c r="AL31" i="5"/>
  <c r="L31" i="5"/>
  <c r="N31" i="5"/>
  <c r="O31" i="5"/>
  <c r="AN31" i="5"/>
  <c r="B75" i="4"/>
  <c r="S75" i="4"/>
  <c r="AA32" i="5"/>
  <c r="P75" i="4"/>
  <c r="W32" i="5"/>
  <c r="AG32" i="5"/>
  <c r="AF32" i="5"/>
  <c r="C75" i="4"/>
  <c r="C32" i="5"/>
  <c r="D75" i="4"/>
  <c r="E32" i="5"/>
  <c r="K32" i="5"/>
  <c r="L75" i="4"/>
  <c r="Q32" i="5"/>
  <c r="M75" i="4"/>
  <c r="R32" i="5"/>
  <c r="T32" i="5"/>
  <c r="O75" i="4"/>
  <c r="U32" i="5"/>
  <c r="Q75" i="4"/>
  <c r="X32" i="5"/>
  <c r="R75" i="4"/>
  <c r="Z32" i="5"/>
  <c r="AH75" i="4"/>
  <c r="T75" i="4" a="1"/>
  <c r="T75" i="4"/>
  <c r="AC32" i="5"/>
  <c r="U75" i="4" a="1"/>
  <c r="U75" i="4"/>
  <c r="AD32" i="5"/>
  <c r="X75" i="4"/>
  <c r="AI32" i="5"/>
  <c r="Y75" i="4"/>
  <c r="AJ32" i="5"/>
  <c r="Z75" i="4"/>
  <c r="AL32" i="5"/>
  <c r="L32" i="5"/>
  <c r="N32" i="5"/>
  <c r="O32" i="5"/>
  <c r="AN32" i="5"/>
  <c r="B76" i="4"/>
  <c r="S76" i="4"/>
  <c r="AA33" i="5"/>
  <c r="P76" i="4"/>
  <c r="W33" i="5"/>
  <c r="AG33" i="5"/>
  <c r="AF33" i="5"/>
  <c r="C76" i="4"/>
  <c r="C33" i="5"/>
  <c r="D76" i="4"/>
  <c r="E33" i="5"/>
  <c r="K33" i="5"/>
  <c r="L76" i="4"/>
  <c r="Q33" i="5"/>
  <c r="M76" i="4"/>
  <c r="R33" i="5"/>
  <c r="T33" i="5"/>
  <c r="O76" i="4"/>
  <c r="U33" i="5"/>
  <c r="Q76" i="4"/>
  <c r="X33" i="5"/>
  <c r="R76" i="4"/>
  <c r="Z33" i="5"/>
  <c r="AH76" i="4"/>
  <c r="T76" i="4" a="1"/>
  <c r="T76" i="4"/>
  <c r="AC33" i="5"/>
  <c r="U76" i="4" a="1"/>
  <c r="U76" i="4"/>
  <c r="AD33" i="5"/>
  <c r="X76" i="4"/>
  <c r="AI33" i="5"/>
  <c r="Y76" i="4"/>
  <c r="AJ33" i="5"/>
  <c r="Z76" i="4"/>
  <c r="AL33" i="5"/>
  <c r="L33" i="5"/>
  <c r="N33" i="5"/>
  <c r="O33" i="5"/>
  <c r="AN33" i="5"/>
  <c r="B78" i="4"/>
  <c r="S78" i="4"/>
  <c r="AA34" i="5"/>
  <c r="P78" i="4"/>
  <c r="W34" i="5"/>
  <c r="AG34" i="5"/>
  <c r="AF34" i="5"/>
  <c r="C78" i="4"/>
  <c r="C34" i="5"/>
  <c r="D78" i="4"/>
  <c r="E34" i="5"/>
  <c r="K34" i="5"/>
  <c r="L78" i="4"/>
  <c r="Q34" i="5"/>
  <c r="M78" i="4"/>
  <c r="R34" i="5"/>
  <c r="T34" i="5"/>
  <c r="O78" i="4"/>
  <c r="U34" i="5"/>
  <c r="Q78" i="4"/>
  <c r="X34" i="5"/>
  <c r="R78" i="4"/>
  <c r="Z34" i="5"/>
  <c r="AH78" i="4"/>
  <c r="T78" i="4" a="1"/>
  <c r="T78" i="4"/>
  <c r="AC34" i="5"/>
  <c r="U78" i="4" a="1"/>
  <c r="U78" i="4"/>
  <c r="AD34" i="5"/>
  <c r="X78" i="4"/>
  <c r="AI34" i="5"/>
  <c r="Y78" i="4"/>
  <c r="AJ34" i="5"/>
  <c r="Z78" i="4"/>
  <c r="AL34" i="5"/>
  <c r="L34" i="5"/>
  <c r="N34" i="5"/>
  <c r="O34" i="5"/>
  <c r="AN34" i="5"/>
  <c r="AG35" i="5"/>
  <c r="AF35" i="5"/>
  <c r="B85" i="4"/>
  <c r="C24" i="2"/>
  <c r="C85" i="4"/>
  <c r="C35" i="5"/>
  <c r="D24" i="2"/>
  <c r="D85" i="4"/>
  <c r="E35" i="5"/>
  <c r="K35" i="5"/>
  <c r="L24" i="2"/>
  <c r="L85" i="4"/>
  <c r="Q35" i="5"/>
  <c r="M85" i="4"/>
  <c r="R35" i="5"/>
  <c r="T35" i="5"/>
  <c r="O16" i="2"/>
  <c r="O85" i="4"/>
  <c r="U35" i="5"/>
  <c r="P24" i="2"/>
  <c r="P85" i="4"/>
  <c r="W35" i="5"/>
  <c r="Q24" i="2"/>
  <c r="Q85" i="4"/>
  <c r="X35" i="5"/>
  <c r="S24" i="2"/>
  <c r="S85" i="4"/>
  <c r="AA35" i="5"/>
  <c r="AH85" i="4"/>
  <c r="T85" i="4" a="1"/>
  <c r="T85" i="4"/>
  <c r="AC35" i="5"/>
  <c r="U85" i="4" a="1"/>
  <c r="U85" i="4"/>
  <c r="AD35" i="5"/>
  <c r="AI35" i="5"/>
  <c r="Y24" i="2"/>
  <c r="Y85" i="4"/>
  <c r="AJ35" i="5"/>
  <c r="Z24" i="2"/>
  <c r="Z85" i="4"/>
  <c r="AL35" i="5"/>
  <c r="L35" i="5"/>
  <c r="AN35" i="5"/>
  <c r="AG36" i="5"/>
  <c r="AF36" i="5"/>
  <c r="B240" i="4"/>
  <c r="C240" i="4"/>
  <c r="C36" i="5"/>
  <c r="D240" i="4"/>
  <c r="E36" i="5"/>
  <c r="K36" i="5"/>
  <c r="L240" i="4"/>
  <c r="Q36" i="5"/>
  <c r="M240" i="4"/>
  <c r="R36" i="5"/>
  <c r="T36" i="5"/>
  <c r="O240" i="4"/>
  <c r="U36" i="5"/>
  <c r="P240" i="4"/>
  <c r="W36" i="5"/>
  <c r="Q240" i="4"/>
  <c r="X36" i="5"/>
  <c r="S240" i="4"/>
  <c r="AA36" i="5"/>
  <c r="AH240" i="4"/>
  <c r="T240" i="4" a="1"/>
  <c r="T240" i="4"/>
  <c r="AC36" i="5"/>
  <c r="U240" i="4" a="1"/>
  <c r="U240" i="4"/>
  <c r="AD36" i="5"/>
  <c r="X240" i="4"/>
  <c r="AI36" i="5"/>
  <c r="Y240" i="4"/>
  <c r="AJ36" i="5"/>
  <c r="Z240" i="4"/>
  <c r="AL36" i="5"/>
  <c r="L36" i="5"/>
  <c r="AN36" i="5"/>
  <c r="AG37" i="5"/>
  <c r="AF37" i="5"/>
  <c r="C241" i="4"/>
  <c r="C37" i="5"/>
  <c r="D241" i="4"/>
  <c r="E37" i="5"/>
  <c r="H29" i="2"/>
  <c r="K37" i="5"/>
  <c r="L241" i="4"/>
  <c r="Q37" i="5"/>
  <c r="M241" i="4"/>
  <c r="R37" i="5"/>
  <c r="T37" i="5"/>
  <c r="O241" i="4"/>
  <c r="U37" i="5"/>
  <c r="P241" i="4"/>
  <c r="W37" i="5"/>
  <c r="S241" i="4"/>
  <c r="AA37" i="5"/>
  <c r="AH241" i="4"/>
  <c r="T241" i="4" a="1"/>
  <c r="T241" i="4"/>
  <c r="AC37" i="5"/>
  <c r="U241" i="4" a="1"/>
  <c r="U241" i="4"/>
  <c r="AD37" i="5"/>
  <c r="X241" i="4"/>
  <c r="AI37" i="5"/>
  <c r="Y241" i="4"/>
  <c r="AJ37" i="5"/>
  <c r="Z241" i="4"/>
  <c r="AL37" i="5"/>
  <c r="L37" i="5"/>
  <c r="AN37" i="5"/>
  <c r="AG38" i="5"/>
  <c r="AF38" i="5"/>
  <c r="C7" i="2"/>
  <c r="B86" i="4"/>
  <c r="C86" i="4"/>
  <c r="C38" i="5"/>
  <c r="D7" i="2"/>
  <c r="D86" i="4"/>
  <c r="E38" i="5"/>
  <c r="H86" i="4"/>
  <c r="K38" i="5"/>
  <c r="L7" i="2"/>
  <c r="L86" i="4"/>
  <c r="Q38" i="5"/>
  <c r="M7" i="2"/>
  <c r="M86" i="4"/>
  <c r="R38" i="5"/>
  <c r="T38" i="5"/>
  <c r="U38" i="5"/>
  <c r="P7" i="2"/>
  <c r="P86" i="4"/>
  <c r="W38" i="5"/>
  <c r="Q7" i="2"/>
  <c r="Q86" i="4"/>
  <c r="X38" i="5"/>
  <c r="AA38" i="5"/>
  <c r="AH86" i="4"/>
  <c r="T86" i="4" a="1"/>
  <c r="T86" i="4"/>
  <c r="AC38" i="5"/>
  <c r="U86" i="4" a="1"/>
  <c r="U86" i="4"/>
  <c r="AD38" i="5"/>
  <c r="X7" i="2"/>
  <c r="X86" i="4"/>
  <c r="AI38" i="5"/>
  <c r="Y7" i="2"/>
  <c r="Y86" i="4"/>
  <c r="AJ38" i="5"/>
  <c r="Z7" i="2"/>
  <c r="Z86" i="4"/>
  <c r="AL38" i="5"/>
  <c r="AN38" i="5"/>
  <c r="AG39" i="5"/>
  <c r="AF39" i="5"/>
  <c r="B87" i="4"/>
  <c r="C87" i="4"/>
  <c r="C39" i="5"/>
  <c r="D87" i="4"/>
  <c r="E39" i="5"/>
  <c r="H87" i="4"/>
  <c r="K39" i="5"/>
  <c r="L87" i="4"/>
  <c r="Q39" i="5"/>
  <c r="M87" i="4"/>
  <c r="R39" i="5"/>
  <c r="N87" i="4"/>
  <c r="T39" i="5"/>
  <c r="O7" i="2"/>
  <c r="O87" i="4"/>
  <c r="U39" i="5"/>
  <c r="P87" i="4"/>
  <c r="W39" i="5"/>
  <c r="Q87" i="4"/>
  <c r="X39" i="5"/>
  <c r="AA39" i="5"/>
  <c r="AH87" i="4"/>
  <c r="T87" i="4" a="1"/>
  <c r="T87" i="4"/>
  <c r="AC39" i="5"/>
  <c r="U87" i="4" a="1"/>
  <c r="U87" i="4"/>
  <c r="AD39" i="5"/>
  <c r="X87" i="4"/>
  <c r="AI39" i="5"/>
  <c r="Y87" i="4"/>
  <c r="AJ39" i="5"/>
  <c r="Z87" i="4"/>
  <c r="AL39" i="5"/>
  <c r="AN39" i="5"/>
  <c r="AG40" i="5"/>
  <c r="AF40" i="5"/>
  <c r="B88" i="4"/>
  <c r="C88" i="4"/>
  <c r="C40" i="5"/>
  <c r="D88" i="4"/>
  <c r="E40" i="5"/>
  <c r="H88" i="4"/>
  <c r="K40" i="5"/>
  <c r="L88" i="4"/>
  <c r="Q40" i="5"/>
  <c r="M88" i="4"/>
  <c r="R40" i="5"/>
  <c r="T40" i="5"/>
  <c r="U40" i="5"/>
  <c r="P88" i="4"/>
  <c r="W40" i="5"/>
  <c r="Q88" i="4"/>
  <c r="X40" i="5"/>
  <c r="AA40" i="5"/>
  <c r="AH88" i="4"/>
  <c r="T88" i="4" a="1"/>
  <c r="T88" i="4"/>
  <c r="AC40" i="5"/>
  <c r="U88" i="4" a="1"/>
  <c r="U88" i="4"/>
  <c r="AD40" i="5"/>
  <c r="X88" i="4"/>
  <c r="AI40" i="5"/>
  <c r="Y88" i="4"/>
  <c r="AJ40" i="5"/>
  <c r="Z88" i="4"/>
  <c r="AL40" i="5"/>
  <c r="AN40" i="5"/>
  <c r="AG41" i="5"/>
  <c r="AF41" i="5"/>
  <c r="C89" i="4"/>
  <c r="C41" i="5"/>
  <c r="D89" i="4"/>
  <c r="E41" i="5"/>
  <c r="H89" i="4"/>
  <c r="K41" i="5"/>
  <c r="L89" i="4"/>
  <c r="Q41" i="5"/>
  <c r="M89" i="4"/>
  <c r="R41" i="5"/>
  <c r="T41" i="5"/>
  <c r="U41" i="5"/>
  <c r="P89" i="4"/>
  <c r="W41" i="5"/>
  <c r="Q89" i="4"/>
  <c r="X41" i="5"/>
  <c r="AA41" i="5"/>
  <c r="AH89" i="4"/>
  <c r="T89" i="4" a="1"/>
  <c r="T89" i="4"/>
  <c r="AC41" i="5"/>
  <c r="U89" i="4" a="1"/>
  <c r="U89" i="4"/>
  <c r="AD41" i="5"/>
  <c r="X89" i="4"/>
  <c r="AI41" i="5"/>
  <c r="Y89" i="4"/>
  <c r="AJ41" i="5"/>
  <c r="Z89" i="4"/>
  <c r="AL41" i="5"/>
  <c r="AN41" i="5"/>
  <c r="AG42" i="5"/>
  <c r="AF42" i="5"/>
  <c r="B90" i="4"/>
  <c r="C90" i="4"/>
  <c r="C42" i="5"/>
  <c r="D90" i="4"/>
  <c r="E42" i="5"/>
  <c r="H90" i="4"/>
  <c r="K42" i="5"/>
  <c r="L90" i="4"/>
  <c r="Q42" i="5"/>
  <c r="M90" i="4"/>
  <c r="R42" i="5"/>
  <c r="T42" i="5"/>
  <c r="U42" i="5"/>
  <c r="P90" i="4"/>
  <c r="W42" i="5"/>
  <c r="Q90" i="4"/>
  <c r="X42" i="5"/>
  <c r="AA42" i="5"/>
  <c r="AH90" i="4"/>
  <c r="T90" i="4" a="1"/>
  <c r="T90" i="4"/>
  <c r="AC42" i="5"/>
  <c r="U90" i="4" a="1"/>
  <c r="U90" i="4"/>
  <c r="AD42" i="5"/>
  <c r="X90" i="4"/>
  <c r="AI42" i="5"/>
  <c r="Y90" i="4"/>
  <c r="AJ42" i="5"/>
  <c r="Z90" i="4"/>
  <c r="AL42" i="5"/>
  <c r="AN42" i="5"/>
  <c r="AG43" i="5"/>
  <c r="AF43" i="5"/>
  <c r="B243" i="4"/>
  <c r="C243" i="4"/>
  <c r="C43" i="5"/>
  <c r="D243" i="4"/>
  <c r="E43" i="5"/>
  <c r="H243" i="4"/>
  <c r="K43" i="5"/>
  <c r="L243" i="4"/>
  <c r="Q43" i="5"/>
  <c r="M243" i="4"/>
  <c r="R43" i="5"/>
  <c r="T43" i="5"/>
  <c r="O243" i="4"/>
  <c r="U43" i="5"/>
  <c r="P243" i="4"/>
  <c r="W43" i="5"/>
  <c r="Q243" i="4"/>
  <c r="X43" i="5"/>
  <c r="AA43" i="5"/>
  <c r="AH243" i="4"/>
  <c r="T243" i="4" a="1"/>
  <c r="T243" i="4"/>
  <c r="AC43" i="5"/>
  <c r="U243" i="4" a="1"/>
  <c r="U243" i="4"/>
  <c r="AD43" i="5"/>
  <c r="X243" i="4"/>
  <c r="AI43" i="5"/>
  <c r="Y243" i="4"/>
  <c r="AJ43" i="5"/>
  <c r="Z243" i="4"/>
  <c r="AL43" i="5"/>
  <c r="AN43" i="5"/>
  <c r="AG44" i="5"/>
  <c r="AF44" i="5"/>
  <c r="C244" i="4"/>
  <c r="C44" i="5"/>
  <c r="N244" i="4"/>
  <c r="T44" i="5"/>
  <c r="O244" i="4"/>
  <c r="U44" i="5"/>
  <c r="P244" i="4"/>
  <c r="W44" i="5"/>
  <c r="Q244" i="4"/>
  <c r="X44" i="5"/>
  <c r="AA44" i="5"/>
  <c r="AH244" i="4"/>
  <c r="T244" i="4" a="1"/>
  <c r="T244" i="4"/>
  <c r="AC44" i="5"/>
  <c r="U244" i="4" a="1"/>
  <c r="U244" i="4"/>
  <c r="AD44" i="5"/>
  <c r="X244" i="4"/>
  <c r="AI44" i="5"/>
  <c r="Y244" i="4"/>
  <c r="AJ44" i="5"/>
  <c r="Z244" i="4"/>
  <c r="AL44" i="5"/>
  <c r="AN44" i="5"/>
  <c r="AG45" i="5"/>
  <c r="AF45" i="5"/>
  <c r="C245" i="4"/>
  <c r="C45" i="5"/>
  <c r="T45" i="5"/>
  <c r="O245" i="4"/>
  <c r="U45" i="5"/>
  <c r="P245" i="4"/>
  <c r="W45" i="5"/>
  <c r="Q245" i="4"/>
  <c r="X45" i="5"/>
  <c r="AA45" i="5"/>
  <c r="AH245" i="4"/>
  <c r="T245" i="4" a="1"/>
  <c r="T245" i="4"/>
  <c r="AC45" i="5"/>
  <c r="U245" i="4" a="1"/>
  <c r="U245" i="4"/>
  <c r="AD45" i="5"/>
  <c r="X245" i="4"/>
  <c r="AI45" i="5"/>
  <c r="Y245" i="4"/>
  <c r="AJ45" i="5"/>
  <c r="Z245" i="4"/>
  <c r="AL45" i="5"/>
  <c r="AN45" i="5"/>
  <c r="AG46" i="5"/>
  <c r="AF46" i="5"/>
  <c r="C91" i="4"/>
  <c r="C46" i="5"/>
  <c r="D91" i="4"/>
  <c r="E46" i="5"/>
  <c r="H91" i="4"/>
  <c r="K46" i="5"/>
  <c r="L91" i="4"/>
  <c r="Q46" i="5"/>
  <c r="M91" i="4"/>
  <c r="R46" i="5"/>
  <c r="T46" i="5"/>
  <c r="U46" i="5"/>
  <c r="P91" i="4"/>
  <c r="W46" i="5"/>
  <c r="Q91" i="4"/>
  <c r="X46" i="5"/>
  <c r="AA46" i="5"/>
  <c r="AH91" i="4"/>
  <c r="T91" i="4" a="1"/>
  <c r="T91" i="4"/>
  <c r="AC46" i="5"/>
  <c r="U91" i="4" a="1"/>
  <c r="U91" i="4"/>
  <c r="AD46" i="5"/>
  <c r="Y91" i="4"/>
  <c r="AJ46" i="5"/>
  <c r="Z91" i="4"/>
  <c r="AL46" i="5"/>
  <c r="AN46" i="5"/>
  <c r="AG47" i="5"/>
  <c r="AF47" i="5"/>
  <c r="C246" i="4"/>
  <c r="C47" i="5"/>
  <c r="D246" i="4"/>
  <c r="E47" i="5"/>
  <c r="H246" i="4"/>
  <c r="K47" i="5"/>
  <c r="L246" i="4"/>
  <c r="Q47" i="5"/>
  <c r="M246" i="4"/>
  <c r="R47" i="5"/>
  <c r="T47" i="5"/>
  <c r="O246" i="4"/>
  <c r="U47" i="5"/>
  <c r="P246" i="4"/>
  <c r="W47" i="5"/>
  <c r="Q246" i="4"/>
  <c r="X47" i="5"/>
  <c r="AA47" i="5"/>
  <c r="AH246" i="4"/>
  <c r="T246" i="4" a="1"/>
  <c r="T246" i="4"/>
  <c r="AC47" i="5"/>
  <c r="U246" i="4" a="1"/>
  <c r="U246" i="4"/>
  <c r="AD47" i="5"/>
  <c r="X246" i="4"/>
  <c r="AI47" i="5"/>
  <c r="Y246" i="4"/>
  <c r="AJ47" i="5"/>
  <c r="Z246" i="4"/>
  <c r="AL47" i="5"/>
  <c r="AN47" i="5"/>
  <c r="AG48" i="5"/>
  <c r="AF48" i="5"/>
  <c r="B92" i="4"/>
  <c r="C92" i="4"/>
  <c r="C48" i="5"/>
  <c r="D92" i="4"/>
  <c r="E48" i="5"/>
  <c r="H92" i="4"/>
  <c r="K48" i="5"/>
  <c r="L92" i="4"/>
  <c r="Q48" i="5"/>
  <c r="M92" i="4"/>
  <c r="R48" i="5"/>
  <c r="T48" i="5"/>
  <c r="U48" i="5"/>
  <c r="P92" i="4"/>
  <c r="W48" i="5"/>
  <c r="Q92" i="4"/>
  <c r="X48" i="5"/>
  <c r="AA48" i="5"/>
  <c r="AH92" i="4"/>
  <c r="T92" i="4" a="1"/>
  <c r="T92" i="4"/>
  <c r="AC48" i="5"/>
  <c r="U92" i="4" a="1"/>
  <c r="U92" i="4"/>
  <c r="AD48" i="5"/>
  <c r="X92" i="4"/>
  <c r="AI48" i="5"/>
  <c r="Y92" i="4"/>
  <c r="AJ48" i="5"/>
  <c r="Z92" i="4"/>
  <c r="AL48" i="5"/>
  <c r="AN48" i="5"/>
  <c r="AG49" i="5"/>
  <c r="AF49" i="5"/>
  <c r="B247" i="4"/>
  <c r="C247" i="4"/>
  <c r="C49" i="5"/>
  <c r="D247" i="4"/>
  <c r="E49" i="5"/>
  <c r="H247" i="4"/>
  <c r="K49" i="5"/>
  <c r="L247" i="4"/>
  <c r="Q49" i="5"/>
  <c r="M247" i="4"/>
  <c r="R49" i="5"/>
  <c r="T49" i="5"/>
  <c r="O247" i="4"/>
  <c r="U49" i="5"/>
  <c r="P247" i="4"/>
  <c r="W49" i="5"/>
  <c r="Q247" i="4"/>
  <c r="X49" i="5"/>
  <c r="AA49" i="5"/>
  <c r="AH247" i="4"/>
  <c r="T247" i="4" a="1"/>
  <c r="T247" i="4"/>
  <c r="AC49" i="5"/>
  <c r="U247" i="4" a="1"/>
  <c r="U247" i="4"/>
  <c r="AD49" i="5"/>
  <c r="X247" i="4"/>
  <c r="AI49" i="5"/>
  <c r="Y247" i="4"/>
  <c r="AJ49" i="5"/>
  <c r="Z247" i="4"/>
  <c r="AL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4" i="2"/>
  <c r="S16" i="4"/>
  <c r="AA50" i="5"/>
  <c r="AH16" i="4"/>
  <c r="T16" i="4" a="1"/>
  <c r="T16" i="4"/>
  <c r="AC50" i="5"/>
  <c r="U16" i="4" a="1"/>
  <c r="U16" i="4"/>
  <c r="AD50" i="5"/>
  <c r="X14" i="2"/>
  <c r="X16" i="4"/>
  <c r="AI50" i="5"/>
  <c r="Y16" i="4"/>
  <c r="AJ50" i="5"/>
  <c r="Z16" i="4"/>
  <c r="AL50" i="5"/>
  <c r="L50" i="5"/>
  <c r="AN50" i="5"/>
  <c r="AG51" i="5"/>
  <c r="AF51" i="5"/>
  <c r="C15" i="2"/>
  <c r="B17" i="4"/>
  <c r="C17" i="4"/>
  <c r="C51" i="5"/>
  <c r="D15" i="2"/>
  <c r="D17" i="4"/>
  <c r="E51" i="5"/>
  <c r="L15" i="2"/>
  <c r="L17" i="4"/>
  <c r="Q51" i="5"/>
  <c r="M15" i="2"/>
  <c r="M17" i="4"/>
  <c r="R51" i="5"/>
  <c r="N15" i="2"/>
  <c r="N17" i="4"/>
  <c r="T51" i="5"/>
  <c r="O15" i="2"/>
  <c r="O17" i="4"/>
  <c r="U51" i="5"/>
  <c r="P15" i="2"/>
  <c r="P17" i="4"/>
  <c r="W51" i="5"/>
  <c r="Q15" i="2"/>
  <c r="Q17" i="4"/>
  <c r="X51" i="5"/>
  <c r="S15" i="2"/>
  <c r="S17" i="4"/>
  <c r="AA51" i="5"/>
  <c r="AH17" i="4"/>
  <c r="T17" i="4" a="1"/>
  <c r="T17" i="4"/>
  <c r="AC51" i="5"/>
  <c r="U17" i="4" a="1"/>
  <c r="U17" i="4"/>
  <c r="AD51" i="5"/>
  <c r="X15" i="2"/>
  <c r="X17" i="4"/>
  <c r="AI51" i="5"/>
  <c r="Y15" i="2"/>
  <c r="Y17" i="4"/>
  <c r="AJ51" i="5"/>
  <c r="Z15" i="2"/>
  <c r="Z17" i="4"/>
  <c r="AL51" i="5"/>
  <c r="L51" i="5"/>
  <c r="AN51" i="5"/>
  <c r="AG52" i="5"/>
  <c r="AF52" i="5"/>
  <c r="B18" i="4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H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H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AN53" i="5"/>
  <c r="AG54" i="5"/>
  <c r="AF54" i="5"/>
  <c r="C20" i="4"/>
  <c r="C54" i="5"/>
  <c r="D20" i="4"/>
  <c r="E54" i="5"/>
  <c r="K54" i="5"/>
  <c r="I24" i="2"/>
  <c r="I3" i="2"/>
  <c r="I20" i="4"/>
  <c r="L54" i="5"/>
  <c r="J24" i="2"/>
  <c r="J3" i="2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H20" i="4"/>
  <c r="T20" i="4" a="1"/>
  <c r="T20" i="4"/>
  <c r="AC54" i="5"/>
  <c r="U20" i="4" a="1"/>
  <c r="U20" i="4"/>
  <c r="AD54" i="5"/>
  <c r="X24" i="2"/>
  <c r="X20" i="4"/>
  <c r="AI54" i="5"/>
  <c r="Y20" i="4"/>
  <c r="AJ54" i="5"/>
  <c r="Z20" i="4"/>
  <c r="AL54" i="5"/>
  <c r="AN54" i="5"/>
  <c r="AG55" i="5"/>
  <c r="AF55" i="5"/>
  <c r="C11" i="2"/>
  <c r="C94" i="4"/>
  <c r="C55" i="5"/>
  <c r="D11" i="2"/>
  <c r="D94" i="4"/>
  <c r="E55" i="5"/>
  <c r="H11" i="2"/>
  <c r="H94" i="4"/>
  <c r="K55" i="5"/>
  <c r="L11" i="2"/>
  <c r="L94" i="4"/>
  <c r="Q55" i="5"/>
  <c r="M11" i="2"/>
  <c r="M94" i="4"/>
  <c r="R55" i="5"/>
  <c r="N11" i="2"/>
  <c r="N94" i="4"/>
  <c r="T55" i="5"/>
  <c r="O11" i="2"/>
  <c r="O94" i="4"/>
  <c r="U55" i="5"/>
  <c r="P11" i="2"/>
  <c r="P94" i="4"/>
  <c r="W55" i="5"/>
  <c r="Q11" i="2"/>
  <c r="Q94" i="4"/>
  <c r="X55" i="5"/>
  <c r="AA55" i="5"/>
  <c r="AH94" i="4"/>
  <c r="T94" i="4" a="1"/>
  <c r="T94" i="4"/>
  <c r="AC55" i="5"/>
  <c r="U94" i="4" a="1"/>
  <c r="U94" i="4"/>
  <c r="AD55" i="5"/>
  <c r="X11" i="2"/>
  <c r="X94" i="4"/>
  <c r="AI55" i="5"/>
  <c r="Y11" i="2"/>
  <c r="Y94" i="4"/>
  <c r="AJ55" i="5"/>
  <c r="Z11" i="2"/>
  <c r="Z94" i="4"/>
  <c r="AL55" i="5"/>
  <c r="L55" i="5"/>
  <c r="N55" i="5"/>
  <c r="O55" i="5"/>
  <c r="AN55" i="5"/>
  <c r="AG56" i="5"/>
  <c r="AF56" i="5"/>
  <c r="C13" i="2"/>
  <c r="C95" i="4"/>
  <c r="C56" i="5"/>
  <c r="D13" i="2"/>
  <c r="D95" i="4"/>
  <c r="E56" i="5"/>
  <c r="H13" i="2"/>
  <c r="H95" i="4"/>
  <c r="K56" i="5"/>
  <c r="L13" i="2"/>
  <c r="L95" i="4"/>
  <c r="Q56" i="5"/>
  <c r="M13" i="2"/>
  <c r="M95" i="4"/>
  <c r="R56" i="5"/>
  <c r="N13" i="2"/>
  <c r="N95" i="4"/>
  <c r="T56" i="5"/>
  <c r="O13" i="2"/>
  <c r="O95" i="4"/>
  <c r="U56" i="5"/>
  <c r="P13" i="2"/>
  <c r="P95" i="4"/>
  <c r="W56" i="5"/>
  <c r="Q13" i="2"/>
  <c r="Q95" i="4"/>
  <c r="X56" i="5"/>
  <c r="AA56" i="5"/>
  <c r="AH95" i="4"/>
  <c r="T95" i="4" a="1"/>
  <c r="T95" i="4"/>
  <c r="AC56" i="5"/>
  <c r="U95" i="4" a="1"/>
  <c r="U95" i="4"/>
  <c r="AD56" i="5"/>
  <c r="X13" i="2"/>
  <c r="X95" i="4"/>
  <c r="AI56" i="5"/>
  <c r="Y13" i="2"/>
  <c r="Y95" i="4"/>
  <c r="AJ56" i="5"/>
  <c r="Z13" i="2"/>
  <c r="Z95" i="4"/>
  <c r="AL56" i="5"/>
  <c r="L56" i="5"/>
  <c r="N56" i="5"/>
  <c r="O56" i="5"/>
  <c r="AN56" i="5"/>
  <c r="AG57" i="5"/>
  <c r="AF57" i="5"/>
  <c r="C12" i="2"/>
  <c r="C96" i="4"/>
  <c r="C57" i="5"/>
  <c r="D12" i="2"/>
  <c r="D96" i="4"/>
  <c r="E57" i="5"/>
  <c r="H12" i="2"/>
  <c r="H96" i="4"/>
  <c r="K57" i="5"/>
  <c r="L12" i="2"/>
  <c r="L96" i="4"/>
  <c r="Q57" i="5"/>
  <c r="M12" i="2"/>
  <c r="M96" i="4"/>
  <c r="R57" i="5"/>
  <c r="T57" i="5"/>
  <c r="U57" i="5"/>
  <c r="P12" i="2"/>
  <c r="P96" i="4"/>
  <c r="W57" i="5"/>
  <c r="Q12" i="2"/>
  <c r="Q96" i="4"/>
  <c r="X57" i="5"/>
  <c r="AA57" i="5"/>
  <c r="AH96" i="4"/>
  <c r="T96" i="4" a="1"/>
  <c r="T96" i="4"/>
  <c r="AC57" i="5"/>
  <c r="U96" i="4" a="1"/>
  <c r="U96" i="4"/>
  <c r="AD57" i="5"/>
  <c r="X96" i="4"/>
  <c r="AI57" i="5"/>
  <c r="Y12" i="2"/>
  <c r="Y96" i="4"/>
  <c r="AJ57" i="5"/>
  <c r="Z12" i="2"/>
  <c r="Z96" i="4"/>
  <c r="AL57" i="5"/>
  <c r="L57" i="5"/>
  <c r="N57" i="5"/>
  <c r="O57" i="5"/>
  <c r="AN57" i="5"/>
  <c r="AG58" i="5"/>
  <c r="AF58" i="5"/>
  <c r="C97" i="4"/>
  <c r="C58" i="5"/>
  <c r="D97" i="4"/>
  <c r="E58" i="5"/>
  <c r="H97" i="4"/>
  <c r="K58" i="5"/>
  <c r="I12" i="2"/>
  <c r="I97" i="4"/>
  <c r="L58" i="5"/>
  <c r="J12" i="2"/>
  <c r="J97" i="4"/>
  <c r="N58" i="5"/>
  <c r="O58" i="5"/>
  <c r="L97" i="4"/>
  <c r="Q58" i="5"/>
  <c r="M97" i="4"/>
  <c r="R58" i="5"/>
  <c r="N12" i="2"/>
  <c r="N97" i="4"/>
  <c r="T58" i="5"/>
  <c r="O12" i="2"/>
  <c r="O97" i="4"/>
  <c r="U58" i="5"/>
  <c r="P97" i="4"/>
  <c r="W58" i="5"/>
  <c r="Q97" i="4"/>
  <c r="X58" i="5"/>
  <c r="AA58" i="5"/>
  <c r="AH97" i="4"/>
  <c r="T97" i="4" a="1"/>
  <c r="T97" i="4"/>
  <c r="AC58" i="5"/>
  <c r="U97" i="4" a="1"/>
  <c r="U97" i="4"/>
  <c r="AD58" i="5"/>
  <c r="X97" i="4"/>
  <c r="AI58" i="5"/>
  <c r="Y97" i="4"/>
  <c r="AJ58" i="5"/>
  <c r="Z97" i="4"/>
  <c r="AL58" i="5"/>
  <c r="AN58" i="5"/>
  <c r="AG59" i="5"/>
  <c r="AF59" i="5"/>
  <c r="C10" i="2"/>
  <c r="C98" i="4"/>
  <c r="C59" i="5"/>
  <c r="D10" i="2"/>
  <c r="D98" i="4"/>
  <c r="E59" i="5"/>
  <c r="H10" i="2"/>
  <c r="H98" i="4"/>
  <c r="K59" i="5"/>
  <c r="L10" i="2"/>
  <c r="L98" i="4"/>
  <c r="Q59" i="5"/>
  <c r="M10" i="2"/>
  <c r="M98" i="4"/>
  <c r="R59" i="5"/>
  <c r="N10" i="2"/>
  <c r="N98" i="4"/>
  <c r="T59" i="5"/>
  <c r="O10" i="2"/>
  <c r="O98" i="4"/>
  <c r="U59" i="5"/>
  <c r="P10" i="2"/>
  <c r="P98" i="4"/>
  <c r="W59" i="5"/>
  <c r="Q10" i="2"/>
  <c r="Q98" i="4"/>
  <c r="X59" i="5"/>
  <c r="AA59" i="5"/>
  <c r="AH98" i="4"/>
  <c r="T98" i="4" a="1"/>
  <c r="T98" i="4"/>
  <c r="AC59" i="5"/>
  <c r="U98" i="4" a="1"/>
  <c r="U98" i="4"/>
  <c r="AD59" i="5"/>
  <c r="X10" i="2"/>
  <c r="X98" i="4"/>
  <c r="AI59" i="5"/>
  <c r="Y10" i="2"/>
  <c r="Y98" i="4"/>
  <c r="AJ59" i="5"/>
  <c r="Z10" i="2"/>
  <c r="Z98" i="4"/>
  <c r="AL59" i="5"/>
  <c r="L59" i="5"/>
  <c r="N59" i="5"/>
  <c r="O59" i="5"/>
  <c r="AN59" i="5"/>
  <c r="AG60" i="5"/>
  <c r="AF60" i="5"/>
  <c r="C99" i="4"/>
  <c r="C60" i="5"/>
  <c r="D99" i="4"/>
  <c r="E60" i="5"/>
  <c r="H99" i="4"/>
  <c r="K60" i="5"/>
  <c r="L99" i="4"/>
  <c r="Q60" i="5"/>
  <c r="M99" i="4"/>
  <c r="R60" i="5"/>
  <c r="T60" i="5"/>
  <c r="U60" i="5"/>
  <c r="P99" i="4"/>
  <c r="W60" i="5"/>
  <c r="Q99" i="4"/>
  <c r="X60" i="5"/>
  <c r="AA60" i="5"/>
  <c r="AH99" i="4"/>
  <c r="T99" i="4" a="1"/>
  <c r="T99" i="4"/>
  <c r="AC60" i="5"/>
  <c r="U99" i="4" a="1"/>
  <c r="U99" i="4"/>
  <c r="AD60" i="5"/>
  <c r="X99" i="4"/>
  <c r="AI60" i="5"/>
  <c r="Y99" i="4"/>
  <c r="AJ60" i="5"/>
  <c r="Z99" i="4"/>
  <c r="AL60" i="5"/>
  <c r="L60" i="5"/>
  <c r="N60" i="5"/>
  <c r="O60" i="5"/>
  <c r="AN60" i="5"/>
  <c r="AA61" i="5"/>
  <c r="B282" i="4"/>
  <c r="P282" i="4"/>
  <c r="W61" i="5"/>
  <c r="O61" i="5"/>
  <c r="K61" i="5"/>
  <c r="AG61" i="5"/>
  <c r="AF61" i="5"/>
  <c r="C282" i="4"/>
  <c r="C61" i="5"/>
  <c r="D282" i="4"/>
  <c r="E61" i="5"/>
  <c r="L61" i="5"/>
  <c r="N61" i="5"/>
  <c r="L282" i="4"/>
  <c r="Q61" i="5"/>
  <c r="O282" i="4"/>
  <c r="U61" i="5"/>
  <c r="Q282" i="4"/>
  <c r="X61" i="5"/>
  <c r="R282" i="4"/>
  <c r="Z61" i="5"/>
  <c r="AH282" i="4"/>
  <c r="T282" i="4" a="1"/>
  <c r="T282" i="4"/>
  <c r="AC61" i="5"/>
  <c r="U282" i="4" a="1"/>
  <c r="U282" i="4"/>
  <c r="AD61" i="5"/>
  <c r="X282" i="4"/>
  <c r="AI61" i="5"/>
  <c r="Y282" i="4"/>
  <c r="AJ61" i="5"/>
  <c r="Z282" i="4"/>
  <c r="AL61" i="5"/>
  <c r="R61" i="5"/>
  <c r="T61" i="5"/>
  <c r="AN61" i="5"/>
  <c r="AG62" i="5"/>
  <c r="AF62" i="5"/>
  <c r="B100" i="4"/>
  <c r="C100" i="4"/>
  <c r="C62" i="5"/>
  <c r="D100" i="4"/>
  <c r="E62" i="5"/>
  <c r="H100" i="4"/>
  <c r="K62" i="5"/>
  <c r="L100" i="4"/>
  <c r="Q62" i="5"/>
  <c r="M100" i="4"/>
  <c r="R62" i="5"/>
  <c r="T62" i="5"/>
  <c r="U62" i="5"/>
  <c r="P100" i="4"/>
  <c r="W62" i="5"/>
  <c r="Q100" i="4"/>
  <c r="X62" i="5"/>
  <c r="AA62" i="5"/>
  <c r="AH100" i="4"/>
  <c r="T100" i="4" a="1"/>
  <c r="T100" i="4"/>
  <c r="AC62" i="5"/>
  <c r="U100" i="4" a="1"/>
  <c r="U100" i="4"/>
  <c r="AD62" i="5"/>
  <c r="AI62" i="5"/>
  <c r="Y100" i="4"/>
  <c r="AJ62" i="5"/>
  <c r="Z100" i="4"/>
  <c r="AL62" i="5"/>
  <c r="AN62" i="5"/>
  <c r="AG63" i="5"/>
  <c r="AF63" i="5"/>
  <c r="B101" i="4"/>
  <c r="C101" i="4"/>
  <c r="C63" i="5"/>
  <c r="D101" i="4"/>
  <c r="E63" i="5"/>
  <c r="H101" i="4"/>
  <c r="K63" i="5"/>
  <c r="L101" i="4"/>
  <c r="Q63" i="5"/>
  <c r="M101" i="4"/>
  <c r="R63" i="5"/>
  <c r="T63" i="5"/>
  <c r="U63" i="5"/>
  <c r="P101" i="4"/>
  <c r="W63" i="5"/>
  <c r="Q101" i="4"/>
  <c r="X63" i="5"/>
  <c r="AA63" i="5"/>
  <c r="AH101" i="4"/>
  <c r="T101" i="4" a="1"/>
  <c r="T101" i="4"/>
  <c r="AC63" i="5"/>
  <c r="U101" i="4" a="1"/>
  <c r="U101" i="4"/>
  <c r="AD63" i="5"/>
  <c r="Y101" i="4"/>
  <c r="AJ63" i="5"/>
  <c r="Z101" i="4"/>
  <c r="AL63" i="5"/>
  <c r="AN63" i="5"/>
  <c r="AG64" i="5"/>
  <c r="AF64" i="5"/>
  <c r="B102" i="4"/>
  <c r="C102" i="4"/>
  <c r="C64" i="5"/>
  <c r="D102" i="4"/>
  <c r="E64" i="5"/>
  <c r="H102" i="4"/>
  <c r="K64" i="5"/>
  <c r="L102" i="4"/>
  <c r="Q64" i="5"/>
  <c r="M102" i="4"/>
  <c r="R64" i="5"/>
  <c r="T64" i="5"/>
  <c r="U64" i="5"/>
  <c r="P102" i="4"/>
  <c r="W64" i="5"/>
  <c r="Q102" i="4"/>
  <c r="X64" i="5"/>
  <c r="AA64" i="5"/>
  <c r="AH102" i="4"/>
  <c r="T102" i="4" a="1"/>
  <c r="T102" i="4"/>
  <c r="AC64" i="5"/>
  <c r="U102" i="4" a="1"/>
  <c r="U102" i="4"/>
  <c r="AD64" i="5"/>
  <c r="Y102" i="4"/>
  <c r="AJ64" i="5"/>
  <c r="Z102" i="4"/>
  <c r="AL64" i="5"/>
  <c r="AN64" i="5"/>
  <c r="AG65" i="5"/>
  <c r="AF65" i="5"/>
  <c r="B103" i="4"/>
  <c r="C103" i="4"/>
  <c r="C65" i="5"/>
  <c r="D103" i="4"/>
  <c r="E65" i="5"/>
  <c r="H103" i="4"/>
  <c r="K65" i="5"/>
  <c r="L103" i="4"/>
  <c r="Q65" i="5"/>
  <c r="M103" i="4"/>
  <c r="R65" i="5"/>
  <c r="T65" i="5"/>
  <c r="U65" i="5"/>
  <c r="P103" i="4"/>
  <c r="W65" i="5"/>
  <c r="Q103" i="4"/>
  <c r="X65" i="5"/>
  <c r="AA65" i="5"/>
  <c r="AH103" i="4"/>
  <c r="T103" i="4" a="1"/>
  <c r="T103" i="4"/>
  <c r="AC65" i="5"/>
  <c r="U103" i="4" a="1"/>
  <c r="U103" i="4"/>
  <c r="AD65" i="5"/>
  <c r="X103" i="4"/>
  <c r="AI65" i="5"/>
  <c r="Y103" i="4"/>
  <c r="AJ65" i="5"/>
  <c r="Z103" i="4"/>
  <c r="AL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H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H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AN67" i="5"/>
  <c r="AG68" i="5"/>
  <c r="AF68" i="5"/>
  <c r="C106" i="4"/>
  <c r="C68" i="5"/>
  <c r="D106" i="4"/>
  <c r="E68" i="5"/>
  <c r="H106" i="4"/>
  <c r="K68" i="5"/>
  <c r="L106" i="4"/>
  <c r="Q68" i="5"/>
  <c r="M106" i="4"/>
  <c r="R68" i="5"/>
  <c r="T68" i="5"/>
  <c r="U68" i="5"/>
  <c r="P106" i="4"/>
  <c r="W68" i="5"/>
  <c r="Q106" i="4"/>
  <c r="X68" i="5"/>
  <c r="AA68" i="5"/>
  <c r="AH106" i="4"/>
  <c r="T106" i="4" a="1"/>
  <c r="T106" i="4"/>
  <c r="AC68" i="5"/>
  <c r="U106" i="4" a="1"/>
  <c r="U106" i="4"/>
  <c r="AD68" i="5"/>
  <c r="Y106" i="4"/>
  <c r="AJ68" i="5"/>
  <c r="Z106" i="4"/>
  <c r="AL68" i="5"/>
  <c r="AN68" i="5"/>
  <c r="AG69" i="5"/>
  <c r="AF69" i="5"/>
  <c r="C17" i="2"/>
  <c r="C107" i="4"/>
  <c r="C69" i="5"/>
  <c r="D17" i="2"/>
  <c r="D107" i="4"/>
  <c r="E69" i="5"/>
  <c r="H17" i="2"/>
  <c r="H107" i="4"/>
  <c r="K69" i="5"/>
  <c r="I17" i="2"/>
  <c r="I107" i="4"/>
  <c r="L69" i="5"/>
  <c r="J17" i="2"/>
  <c r="J107" i="4"/>
  <c r="N69" i="5"/>
  <c r="O69" i="5"/>
  <c r="L17" i="2"/>
  <c r="L107" i="4"/>
  <c r="Q69" i="5"/>
  <c r="M17" i="2"/>
  <c r="M107" i="4"/>
  <c r="R69" i="5"/>
  <c r="N17" i="2"/>
  <c r="N107" i="4"/>
  <c r="T69" i="5"/>
  <c r="O17" i="2"/>
  <c r="O107" i="4"/>
  <c r="U69" i="5"/>
  <c r="P17" i="2"/>
  <c r="P107" i="4"/>
  <c r="W69" i="5"/>
  <c r="Q17" i="2"/>
  <c r="Q107" i="4"/>
  <c r="X69" i="5"/>
  <c r="AA69" i="5"/>
  <c r="AH107" i="4"/>
  <c r="T107" i="4" a="1"/>
  <c r="T107" i="4"/>
  <c r="AC69" i="5"/>
  <c r="AD69" i="5"/>
  <c r="X17" i="2"/>
  <c r="X107" i="4"/>
  <c r="AI69" i="5"/>
  <c r="Y17" i="2"/>
  <c r="Y107" i="4"/>
  <c r="AJ69" i="5"/>
  <c r="Z17" i="2"/>
  <c r="Z107" i="4"/>
  <c r="AL69" i="5"/>
  <c r="AN69" i="5"/>
  <c r="AG70" i="5"/>
  <c r="AF70" i="5"/>
  <c r="C108" i="4"/>
  <c r="C70" i="5"/>
  <c r="D108" i="4"/>
  <c r="E70" i="5"/>
  <c r="H108" i="4"/>
  <c r="K70" i="5"/>
  <c r="L108" i="4"/>
  <c r="Q70" i="5"/>
  <c r="M108" i="4"/>
  <c r="R70" i="5"/>
  <c r="N108" i="4"/>
  <c r="T70" i="5"/>
  <c r="O108" i="4"/>
  <c r="U70" i="5"/>
  <c r="P108" i="4"/>
  <c r="W70" i="5"/>
  <c r="Q108" i="4"/>
  <c r="X70" i="5"/>
  <c r="AA70" i="5"/>
  <c r="AH108" i="4"/>
  <c r="T108" i="4" a="1"/>
  <c r="T108" i="4"/>
  <c r="AC70" i="5"/>
  <c r="U108" i="4" a="1"/>
  <c r="U108" i="4"/>
  <c r="AD70" i="5"/>
  <c r="Y108" i="4"/>
  <c r="AJ70" i="5"/>
  <c r="Z108" i="4"/>
  <c r="AL70" i="5"/>
  <c r="AN70" i="5"/>
  <c r="AG71" i="5"/>
  <c r="AF71" i="5"/>
  <c r="B109" i="4"/>
  <c r="C109" i="4"/>
  <c r="C71" i="5"/>
  <c r="D109" i="4"/>
  <c r="E71" i="5"/>
  <c r="H109" i="4"/>
  <c r="K71" i="5"/>
  <c r="L109" i="4"/>
  <c r="Q71" i="5"/>
  <c r="M109" i="4"/>
  <c r="R71" i="5"/>
  <c r="T71" i="5"/>
  <c r="U71" i="5"/>
  <c r="P109" i="4"/>
  <c r="W71" i="5"/>
  <c r="Q109" i="4"/>
  <c r="X71" i="5"/>
  <c r="AA71" i="5"/>
  <c r="AH109" i="4"/>
  <c r="T109" i="4" a="1"/>
  <c r="T109" i="4"/>
  <c r="AC71" i="5"/>
  <c r="U109" i="4" a="1"/>
  <c r="U109" i="4"/>
  <c r="AD71" i="5"/>
  <c r="Y109" i="4"/>
  <c r="AJ71" i="5"/>
  <c r="Z109" i="4"/>
  <c r="AL71" i="5"/>
  <c r="AN71" i="5"/>
  <c r="AG72" i="5"/>
  <c r="AF72" i="5"/>
  <c r="C18" i="2"/>
  <c r="C110" i="4"/>
  <c r="C72" i="5"/>
  <c r="D110" i="4"/>
  <c r="E72" i="5"/>
  <c r="H110" i="4"/>
  <c r="K72" i="5"/>
  <c r="L110" i="4"/>
  <c r="Q72" i="5"/>
  <c r="M110" i="4"/>
  <c r="R72" i="5"/>
  <c r="T72" i="5"/>
  <c r="O18" i="2"/>
  <c r="O110" i="4"/>
  <c r="U72" i="5"/>
  <c r="P18" i="2"/>
  <c r="P110" i="4"/>
  <c r="W72" i="5"/>
  <c r="Q18" i="2"/>
  <c r="Q110" i="4"/>
  <c r="X72" i="5"/>
  <c r="S18" i="2"/>
  <c r="S110" i="4"/>
  <c r="AA72" i="5"/>
  <c r="AH110" i="4"/>
  <c r="T110" i="4" a="1"/>
  <c r="T110" i="4"/>
  <c r="AC72" i="5"/>
  <c r="U110" i="4" a="1"/>
  <c r="U110" i="4"/>
  <c r="AD72" i="5"/>
  <c r="X18" i="2"/>
  <c r="X110" i="4"/>
  <c r="AI72" i="5"/>
  <c r="Y18" i="2"/>
  <c r="Y110" i="4"/>
  <c r="AJ72" i="5"/>
  <c r="Z18" i="2"/>
  <c r="Z110" i="4"/>
  <c r="AL72" i="5"/>
  <c r="AN72" i="5"/>
  <c r="AG73" i="5"/>
  <c r="AF73" i="5"/>
  <c r="C20" i="2"/>
  <c r="C112" i="4"/>
  <c r="C73" i="5"/>
  <c r="D20" i="2"/>
  <c r="D112" i="4"/>
  <c r="E73" i="5"/>
  <c r="E20" i="2"/>
  <c r="E112" i="4"/>
  <c r="F73" i="5"/>
  <c r="F20" i="2"/>
  <c r="F112" i="4"/>
  <c r="H73" i="5"/>
  <c r="I73" i="5"/>
  <c r="H20" i="2"/>
  <c r="H112" i="4"/>
  <c r="K73" i="5"/>
  <c r="L20" i="2"/>
  <c r="L112" i="4"/>
  <c r="Q73" i="5"/>
  <c r="M20" i="2"/>
  <c r="M112" i="4"/>
  <c r="R73" i="5"/>
  <c r="T73" i="5"/>
  <c r="U73" i="5"/>
  <c r="P20" i="2"/>
  <c r="P112" i="4"/>
  <c r="W73" i="5"/>
  <c r="Q20" i="2"/>
  <c r="Q112" i="4"/>
  <c r="X73" i="5"/>
  <c r="S20" i="2"/>
  <c r="S112" i="4"/>
  <c r="AA73" i="5"/>
  <c r="AH112" i="4"/>
  <c r="T112" i="4" a="1"/>
  <c r="T112" i="4"/>
  <c r="AC73" i="5"/>
  <c r="U112" i="4" a="1"/>
  <c r="U112" i="4"/>
  <c r="AD73" i="5"/>
  <c r="X20" i="2"/>
  <c r="X112" i="4"/>
  <c r="AI73" i="5"/>
  <c r="Y20" i="2"/>
  <c r="Y112" i="4"/>
  <c r="AJ73" i="5"/>
  <c r="Z20" i="2"/>
  <c r="Z112" i="4"/>
  <c r="AL73" i="5"/>
  <c r="AN73" i="5"/>
  <c r="AG74" i="5"/>
  <c r="AF74" i="5"/>
  <c r="C113" i="4"/>
  <c r="C74" i="5"/>
  <c r="D113" i="4"/>
  <c r="E74" i="5"/>
  <c r="H113" i="4"/>
  <c r="K74" i="5"/>
  <c r="L113" i="4"/>
  <c r="Q74" i="5"/>
  <c r="M113" i="4"/>
  <c r="R74" i="5"/>
  <c r="T74" i="5"/>
  <c r="U74" i="5"/>
  <c r="P113" i="4"/>
  <c r="W74" i="5"/>
  <c r="Q113" i="4"/>
  <c r="X74" i="5"/>
  <c r="S113" i="4"/>
  <c r="AA74" i="5"/>
  <c r="AH113" i="4"/>
  <c r="T113" i="4" a="1"/>
  <c r="T113" i="4"/>
  <c r="AC74" i="5"/>
  <c r="U113" i="4" a="1"/>
  <c r="U113" i="4"/>
  <c r="AD74" i="5"/>
  <c r="X113" i="4"/>
  <c r="AI74" i="5"/>
  <c r="Y113" i="4"/>
  <c r="AJ74" i="5"/>
  <c r="Z113" i="4"/>
  <c r="AL74" i="5"/>
  <c r="F74" i="5"/>
  <c r="AN74" i="5"/>
  <c r="AG75" i="5"/>
  <c r="AF75" i="5"/>
  <c r="C114" i="4"/>
  <c r="C75" i="5"/>
  <c r="D114" i="4"/>
  <c r="E75" i="5"/>
  <c r="H114" i="4"/>
  <c r="K75" i="5"/>
  <c r="L114" i="4"/>
  <c r="Q75" i="5"/>
  <c r="R75" i="5"/>
  <c r="T75" i="5"/>
  <c r="O114" i="4"/>
  <c r="U75" i="5"/>
  <c r="P114" i="4"/>
  <c r="W75" i="5"/>
  <c r="Q114" i="4"/>
  <c r="X75" i="5"/>
  <c r="S114" i="4"/>
  <c r="AA75" i="5"/>
  <c r="AH114" i="4"/>
  <c r="T114" i="4" a="1"/>
  <c r="T114" i="4"/>
  <c r="AC75" i="5"/>
  <c r="U114" i="4" a="1"/>
  <c r="U114" i="4"/>
  <c r="AD75" i="5"/>
  <c r="X114" i="4"/>
  <c r="AI75" i="5"/>
  <c r="Y114" i="4"/>
  <c r="AJ75" i="5"/>
  <c r="Z114" i="4"/>
  <c r="AL75" i="5"/>
  <c r="F75" i="5"/>
  <c r="AN75" i="5"/>
  <c r="AG76" i="5"/>
  <c r="AF76" i="5"/>
  <c r="C25" i="2"/>
  <c r="B115" i="4"/>
  <c r="C115" i="4"/>
  <c r="C76" i="5"/>
  <c r="D25" i="2"/>
  <c r="D115" i="4"/>
  <c r="E76" i="5"/>
  <c r="H25" i="2"/>
  <c r="H115" i="4"/>
  <c r="K76" i="5"/>
  <c r="L25" i="2"/>
  <c r="L115" i="4"/>
  <c r="Q76" i="5"/>
  <c r="M25" i="2"/>
  <c r="M115" i="4"/>
  <c r="R76" i="5"/>
  <c r="T76" i="5"/>
  <c r="U76" i="5"/>
  <c r="P25" i="2"/>
  <c r="P115" i="4"/>
  <c r="W76" i="5"/>
  <c r="Q25" i="2"/>
  <c r="Q115" i="4"/>
  <c r="X76" i="5"/>
  <c r="S25" i="2"/>
  <c r="S115" i="4"/>
  <c r="AA76" i="5"/>
  <c r="AH115" i="4"/>
  <c r="T115" i="4" a="1"/>
  <c r="T115" i="4"/>
  <c r="AC76" i="5"/>
  <c r="U115" i="4" a="1"/>
  <c r="U115" i="4"/>
  <c r="AD76" i="5"/>
  <c r="X25" i="2"/>
  <c r="X115" i="4"/>
  <c r="AI76" i="5"/>
  <c r="Y25" i="2"/>
  <c r="Y115" i="4"/>
  <c r="AJ76" i="5"/>
  <c r="Z25" i="2"/>
  <c r="Z115" i="4"/>
  <c r="AL76" i="5"/>
  <c r="F76" i="5"/>
  <c r="AN76" i="5"/>
  <c r="AG77" i="5"/>
  <c r="AF77" i="5"/>
  <c r="B116" i="4"/>
  <c r="C32" i="2"/>
  <c r="C116" i="4"/>
  <c r="C77" i="5"/>
  <c r="D32" i="2"/>
  <c r="D116" i="4"/>
  <c r="E77" i="5"/>
  <c r="E32" i="2"/>
  <c r="E116" i="4"/>
  <c r="F77" i="5"/>
  <c r="F32" i="2"/>
  <c r="F116" i="4"/>
  <c r="H77" i="5"/>
  <c r="I77" i="5"/>
  <c r="H32" i="2"/>
  <c r="H116" i="4"/>
  <c r="K77" i="5"/>
  <c r="L32" i="2"/>
  <c r="L116" i="4"/>
  <c r="Q77" i="5"/>
  <c r="M32" i="2"/>
  <c r="M116" i="4"/>
  <c r="R77" i="5"/>
  <c r="T77" i="5"/>
  <c r="U77" i="5"/>
  <c r="P32" i="2"/>
  <c r="P116" i="4"/>
  <c r="W77" i="5"/>
  <c r="Q32" i="2"/>
  <c r="Q116" i="4"/>
  <c r="X77" i="5"/>
  <c r="S32" i="2"/>
  <c r="S116" i="4"/>
  <c r="AA77" i="5"/>
  <c r="AH116" i="4"/>
  <c r="T116" i="4" a="1"/>
  <c r="T116" i="4"/>
  <c r="AC77" i="5"/>
  <c r="AD77" i="5"/>
  <c r="X32" i="2"/>
  <c r="X116" i="4"/>
  <c r="AI77" i="5"/>
  <c r="Y32" i="2"/>
  <c r="Y116" i="4"/>
  <c r="AJ77" i="5"/>
  <c r="Z32" i="2"/>
  <c r="Z116" i="4"/>
  <c r="AL77" i="5"/>
  <c r="AN77" i="5"/>
  <c r="AG78" i="5"/>
  <c r="AF78" i="5"/>
  <c r="C117" i="4"/>
  <c r="C78" i="5"/>
  <c r="T78" i="5"/>
  <c r="U78" i="5"/>
  <c r="P117" i="4"/>
  <c r="W78" i="5"/>
  <c r="Q117" i="4"/>
  <c r="X78" i="5"/>
  <c r="S117" i="4"/>
  <c r="AA78" i="5"/>
  <c r="X117" i="4"/>
  <c r="AI78" i="5"/>
  <c r="Y117" i="4"/>
  <c r="AJ78" i="5"/>
  <c r="Z117" i="4"/>
  <c r="AL78" i="5"/>
  <c r="AN78" i="5"/>
  <c r="AG79" i="5"/>
  <c r="AF79" i="5"/>
  <c r="B118" i="4"/>
  <c r="C118" i="4"/>
  <c r="C79" i="5"/>
  <c r="D118" i="4"/>
  <c r="E79" i="5"/>
  <c r="E118" i="4"/>
  <c r="F79" i="5"/>
  <c r="F118" i="4"/>
  <c r="H79" i="5"/>
  <c r="I79" i="5"/>
  <c r="H118" i="4"/>
  <c r="K79" i="5"/>
  <c r="L118" i="4"/>
  <c r="Q79" i="5"/>
  <c r="M118" i="4"/>
  <c r="R79" i="5"/>
  <c r="T79" i="5"/>
  <c r="U79" i="5"/>
  <c r="P118" i="4"/>
  <c r="W79" i="5"/>
  <c r="Q118" i="4"/>
  <c r="X79" i="5"/>
  <c r="S118" i="4"/>
  <c r="AA79" i="5"/>
  <c r="AH118" i="4"/>
  <c r="T118" i="4" a="1"/>
  <c r="T118" i="4"/>
  <c r="AC79" i="5"/>
  <c r="AD79" i="5"/>
  <c r="X118" i="4"/>
  <c r="AI79" i="5"/>
  <c r="Y118" i="4"/>
  <c r="AJ79" i="5"/>
  <c r="Z118" i="4"/>
  <c r="AL79" i="5"/>
  <c r="AN79" i="5"/>
  <c r="AG80" i="5"/>
  <c r="AF80" i="5"/>
  <c r="B119" i="4"/>
  <c r="C119" i="4"/>
  <c r="C80" i="5"/>
  <c r="D119" i="4"/>
  <c r="E80" i="5"/>
  <c r="H119" i="4"/>
  <c r="K80" i="5"/>
  <c r="L119" i="4"/>
  <c r="Q80" i="5"/>
  <c r="M119" i="4"/>
  <c r="R80" i="5"/>
  <c r="T80" i="5"/>
  <c r="O119" i="4"/>
  <c r="U80" i="5"/>
  <c r="P119" i="4"/>
  <c r="W80" i="5"/>
  <c r="Q119" i="4"/>
  <c r="X80" i="5"/>
  <c r="S119" i="4"/>
  <c r="AA80" i="5"/>
  <c r="AH119" i="4"/>
  <c r="T119" i="4" a="1"/>
  <c r="T119" i="4"/>
  <c r="AC80" i="5"/>
  <c r="U119" i="4" a="1"/>
  <c r="U119" i="4"/>
  <c r="AD80" i="5"/>
  <c r="X119" i="4"/>
  <c r="AI80" i="5"/>
  <c r="Y119" i="4"/>
  <c r="AJ80" i="5"/>
  <c r="Z119" i="4"/>
  <c r="AL80" i="5"/>
  <c r="AN80" i="5"/>
  <c r="AG81" i="5"/>
  <c r="AF81" i="5"/>
  <c r="C40" i="4"/>
  <c r="C81" i="5"/>
  <c r="D40" i="4"/>
  <c r="E81" i="5"/>
  <c r="K81" i="5"/>
  <c r="L40" i="4"/>
  <c r="Q81" i="5"/>
  <c r="R81" i="5"/>
  <c r="T81" i="5"/>
  <c r="O40" i="4"/>
  <c r="U81" i="5"/>
  <c r="P40" i="4"/>
  <c r="W81" i="5"/>
  <c r="Q40" i="4"/>
  <c r="X81" i="5"/>
  <c r="S40" i="4"/>
  <c r="AA81" i="5"/>
  <c r="AH40" i="4"/>
  <c r="T40" i="4" a="1"/>
  <c r="T40" i="4"/>
  <c r="AC81" i="5"/>
  <c r="U40" i="4" a="1"/>
  <c r="U40" i="4"/>
  <c r="AD81" i="5"/>
  <c r="X40" i="4"/>
  <c r="AI81" i="5"/>
  <c r="Y40" i="4"/>
  <c r="AJ81" i="5"/>
  <c r="Z40" i="4"/>
  <c r="AL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H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AN82" i="5"/>
  <c r="AG83" i="5"/>
  <c r="AF83" i="5"/>
  <c r="C41" i="4"/>
  <c r="C83" i="5"/>
  <c r="D41" i="4"/>
  <c r="E83" i="5"/>
  <c r="K83" i="5"/>
  <c r="L41" i="4"/>
  <c r="Q83" i="5"/>
  <c r="M41" i="4"/>
  <c r="R83" i="5"/>
  <c r="T83" i="5"/>
  <c r="O41" i="4"/>
  <c r="U83" i="5"/>
  <c r="P41" i="4"/>
  <c r="W83" i="5"/>
  <c r="Q41" i="4"/>
  <c r="X83" i="5"/>
  <c r="S41" i="4"/>
  <c r="AA83" i="5"/>
  <c r="AH41" i="4"/>
  <c r="T41" i="4" a="1"/>
  <c r="T41" i="4"/>
  <c r="AC83" i="5"/>
  <c r="U41" i="4" a="1"/>
  <c r="U41" i="4"/>
  <c r="AD83" i="5"/>
  <c r="X41" i="4"/>
  <c r="AI83" i="5"/>
  <c r="Y41" i="4"/>
  <c r="AJ83" i="5"/>
  <c r="Z41" i="4"/>
  <c r="AL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H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AH25" i="4"/>
  <c r="T25" i="4" a="1"/>
  <c r="T25" i="4"/>
  <c r="AC85" i="5"/>
  <c r="U25" i="4" a="1"/>
  <c r="U25" i="4"/>
  <c r="AD85" i="5"/>
  <c r="X25" i="4"/>
  <c r="AI85" i="5"/>
  <c r="Y25" i="4"/>
  <c r="AJ85" i="5"/>
  <c r="Z25" i="4"/>
  <c r="AL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H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AN86" i="5"/>
  <c r="AG87" i="5"/>
  <c r="AF87" i="5"/>
  <c r="B120" i="4"/>
  <c r="C120" i="4"/>
  <c r="C87" i="5"/>
  <c r="D120" i="4"/>
  <c r="E87" i="5"/>
  <c r="E120" i="4"/>
  <c r="F87" i="5"/>
  <c r="F120" i="4"/>
  <c r="H87" i="5"/>
  <c r="I87" i="5"/>
  <c r="H41" i="2"/>
  <c r="H120" i="4"/>
  <c r="K87" i="5"/>
  <c r="L120" i="4"/>
  <c r="Q87" i="5"/>
  <c r="M120" i="4"/>
  <c r="R87" i="5"/>
  <c r="T87" i="5"/>
  <c r="O120" i="4"/>
  <c r="U87" i="5"/>
  <c r="P120" i="4"/>
  <c r="W87" i="5"/>
  <c r="Q120" i="4"/>
  <c r="X87" i="5"/>
  <c r="S120" i="4"/>
  <c r="AA87" i="5"/>
  <c r="AH120" i="4"/>
  <c r="T120" i="4" a="1"/>
  <c r="T120" i="4"/>
  <c r="AC87" i="5"/>
  <c r="U120" i="4" a="1"/>
  <c r="U120" i="4"/>
  <c r="AD87" i="5"/>
  <c r="X120" i="4"/>
  <c r="AI87" i="5"/>
  <c r="Y120" i="4"/>
  <c r="AJ87" i="5"/>
  <c r="Z120" i="4"/>
  <c r="AL87" i="5"/>
  <c r="AN87" i="5"/>
  <c r="AG88" i="5"/>
  <c r="AF88" i="5"/>
  <c r="B121" i="4"/>
  <c r="C121" i="4"/>
  <c r="C88" i="5"/>
  <c r="D121" i="4"/>
  <c r="E88" i="5"/>
  <c r="E121" i="4"/>
  <c r="F88" i="5"/>
  <c r="F121" i="4"/>
  <c r="H88" i="5"/>
  <c r="I88" i="5"/>
  <c r="H121" i="4"/>
  <c r="K88" i="5"/>
  <c r="L121" i="4"/>
  <c r="Q88" i="5"/>
  <c r="M121" i="4"/>
  <c r="R88" i="5"/>
  <c r="T88" i="5"/>
  <c r="O121" i="4"/>
  <c r="U88" i="5"/>
  <c r="P121" i="4"/>
  <c r="W88" i="5"/>
  <c r="Q121" i="4"/>
  <c r="X88" i="5"/>
  <c r="S121" i="4"/>
  <c r="AA88" i="5"/>
  <c r="AH121" i="4"/>
  <c r="T121" i="4" a="1"/>
  <c r="T121" i="4"/>
  <c r="AC88" i="5"/>
  <c r="U121" i="4" a="1"/>
  <c r="U121" i="4"/>
  <c r="AD88" i="5"/>
  <c r="X121" i="4"/>
  <c r="AI88" i="5"/>
  <c r="Y121" i="4"/>
  <c r="AJ88" i="5"/>
  <c r="Z121" i="4"/>
  <c r="AL88" i="5"/>
  <c r="AN88" i="5"/>
  <c r="AG89" i="5"/>
  <c r="AF89" i="5"/>
  <c r="B122" i="4"/>
  <c r="C122" i="4"/>
  <c r="C89" i="5"/>
  <c r="D122" i="4"/>
  <c r="E89" i="5"/>
  <c r="E122" i="4"/>
  <c r="F89" i="5"/>
  <c r="F122" i="4"/>
  <c r="H89" i="5"/>
  <c r="I89" i="5"/>
  <c r="H122" i="4"/>
  <c r="K89" i="5"/>
  <c r="L122" i="4"/>
  <c r="Q89" i="5"/>
  <c r="M122" i="4"/>
  <c r="R89" i="5"/>
  <c r="T89" i="5"/>
  <c r="U89" i="5"/>
  <c r="P122" i="4"/>
  <c r="W89" i="5"/>
  <c r="Q122" i="4"/>
  <c r="X89" i="5"/>
  <c r="S122" i="4"/>
  <c r="AA89" i="5"/>
  <c r="AH122" i="4"/>
  <c r="T122" i="4" a="1"/>
  <c r="T122" i="4"/>
  <c r="AC89" i="5"/>
  <c r="U122" i="4" a="1"/>
  <c r="U122" i="4"/>
  <c r="AD89" i="5"/>
  <c r="X122" i="4"/>
  <c r="AI89" i="5"/>
  <c r="Y122" i="4"/>
  <c r="AJ89" i="5"/>
  <c r="Z122" i="4"/>
  <c r="AL89" i="5"/>
  <c r="AN89" i="5"/>
  <c r="S21" i="2"/>
  <c r="B43" i="4"/>
  <c r="S43" i="4"/>
  <c r="AA90" i="5"/>
  <c r="P21" i="2"/>
  <c r="P43" i="4"/>
  <c r="W90" i="5"/>
  <c r="K21" i="2"/>
  <c r="K43" i="4"/>
  <c r="O90" i="5"/>
  <c r="H21" i="2"/>
  <c r="H43" i="4"/>
  <c r="K90" i="5"/>
  <c r="W21" i="2"/>
  <c r="W43" i="4"/>
  <c r="AG90" i="5"/>
  <c r="V43" i="4"/>
  <c r="AF90" i="5"/>
  <c r="C21" i="2"/>
  <c r="C43" i="4"/>
  <c r="C90" i="5"/>
  <c r="D21" i="2"/>
  <c r="D43" i="4"/>
  <c r="E90" i="5"/>
  <c r="G21" i="2"/>
  <c r="G43" i="4"/>
  <c r="I90" i="5"/>
  <c r="I21" i="2"/>
  <c r="I43" i="4"/>
  <c r="L90" i="5"/>
  <c r="J21" i="2"/>
  <c r="J43" i="4"/>
  <c r="N90" i="5"/>
  <c r="L21" i="2"/>
  <c r="L43" i="4"/>
  <c r="Q90" i="5"/>
  <c r="O21" i="2"/>
  <c r="O43" i="4"/>
  <c r="U90" i="5"/>
  <c r="Q43" i="4"/>
  <c r="X90" i="5"/>
  <c r="R21" i="2"/>
  <c r="R43" i="4"/>
  <c r="Z90" i="5"/>
  <c r="AH43" i="4"/>
  <c r="T43" i="4" a="1"/>
  <c r="T43" i="4"/>
  <c r="AC90" i="5"/>
  <c r="U43" i="4" a="1"/>
  <c r="U43" i="4"/>
  <c r="AD90" i="5"/>
  <c r="X21" i="2"/>
  <c r="X43" i="4"/>
  <c r="AI90" i="5"/>
  <c r="Y21" i="2"/>
  <c r="Y43" i="4"/>
  <c r="AJ90" i="5"/>
  <c r="Z21" i="2"/>
  <c r="Z43" i="4"/>
  <c r="AL90" i="5"/>
  <c r="R90" i="5"/>
  <c r="T90" i="5"/>
  <c r="AN90" i="5"/>
  <c r="S44" i="4"/>
  <c r="AA91" i="5"/>
  <c r="P44" i="4"/>
  <c r="W91" i="5"/>
  <c r="O91" i="5"/>
  <c r="K91" i="5"/>
  <c r="AG91" i="5"/>
  <c r="AF91" i="5"/>
  <c r="C44" i="4"/>
  <c r="C91" i="5"/>
  <c r="D44" i="4"/>
  <c r="E91" i="5"/>
  <c r="L91" i="5"/>
  <c r="N91" i="5"/>
  <c r="L44" i="4"/>
  <c r="Q91" i="5"/>
  <c r="O44" i="4"/>
  <c r="U91" i="5"/>
  <c r="Q44" i="4"/>
  <c r="X91" i="5"/>
  <c r="R44" i="4"/>
  <c r="Z91" i="5"/>
  <c r="AH44" i="4"/>
  <c r="T44" i="4" a="1"/>
  <c r="T44" i="4"/>
  <c r="AC91" i="5"/>
  <c r="U44" i="4" a="1"/>
  <c r="U44" i="4"/>
  <c r="AD91" i="5"/>
  <c r="X44" i="4"/>
  <c r="AI91" i="5"/>
  <c r="Y44" i="4"/>
  <c r="AJ91" i="5"/>
  <c r="Z44" i="4"/>
  <c r="AL91" i="5"/>
  <c r="R91" i="5"/>
  <c r="T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H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AN92" i="5"/>
  <c r="AG93" i="5"/>
  <c r="AF93" i="5"/>
  <c r="C22" i="2"/>
  <c r="B32" i="4"/>
  <c r="C32" i="4"/>
  <c r="C93" i="5"/>
  <c r="D22" i="2"/>
  <c r="D32" i="4"/>
  <c r="E93" i="5"/>
  <c r="K93" i="5"/>
  <c r="L22" i="2"/>
  <c r="L32" i="4"/>
  <c r="Q93" i="5"/>
  <c r="M22" i="2"/>
  <c r="M32" i="4"/>
  <c r="R93" i="5"/>
  <c r="T93" i="5"/>
  <c r="U93" i="5"/>
  <c r="P22" i="2"/>
  <c r="P32" i="4"/>
  <c r="W93" i="5"/>
  <c r="Q22" i="2"/>
  <c r="Q32" i="4"/>
  <c r="X93" i="5"/>
  <c r="S22" i="2"/>
  <c r="S32" i="4"/>
  <c r="AA93" i="5"/>
  <c r="AH32" i="4"/>
  <c r="T32" i="4" a="1"/>
  <c r="T32" i="4"/>
  <c r="AC93" i="5"/>
  <c r="U32" i="4" a="1"/>
  <c r="U32" i="4"/>
  <c r="AD93" i="5"/>
  <c r="X22" i="2"/>
  <c r="X32" i="4"/>
  <c r="AI93" i="5"/>
  <c r="Y22" i="2"/>
  <c r="Y32" i="4"/>
  <c r="AJ93" i="5"/>
  <c r="Z22" i="2"/>
  <c r="Z32" i="4"/>
  <c r="AL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22" i="2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H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AN95" i="5"/>
  <c r="AG96" i="5"/>
  <c r="AF96" i="5"/>
  <c r="B45" i="4"/>
  <c r="C45" i="4"/>
  <c r="C96" i="5"/>
  <c r="D45" i="4"/>
  <c r="E96" i="5"/>
  <c r="K96" i="5"/>
  <c r="L45" i="4"/>
  <c r="Q96" i="5"/>
  <c r="M45" i="4"/>
  <c r="R96" i="5"/>
  <c r="T96" i="5"/>
  <c r="U96" i="5"/>
  <c r="P45" i="4"/>
  <c r="W96" i="5"/>
  <c r="Q45" i="4"/>
  <c r="X96" i="5"/>
  <c r="AA96" i="5"/>
  <c r="AH45" i="4"/>
  <c r="T45" i="4" a="1"/>
  <c r="T45" i="4"/>
  <c r="AC96" i="5"/>
  <c r="U45" i="4" a="1"/>
  <c r="U45" i="4"/>
  <c r="AD96" i="5"/>
  <c r="Y45" i="4"/>
  <c r="AJ96" i="5"/>
  <c r="Z45" i="4"/>
  <c r="AL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AN97" i="5"/>
  <c r="AG98" i="5"/>
  <c r="AF98" i="5"/>
  <c r="B46" i="4"/>
  <c r="C46" i="4"/>
  <c r="C98" i="5"/>
  <c r="D46" i="4"/>
  <c r="E98" i="5"/>
  <c r="K98" i="5"/>
  <c r="L46" i="4"/>
  <c r="Q98" i="5"/>
  <c r="M46" i="4"/>
  <c r="R98" i="5"/>
  <c r="T98" i="5"/>
  <c r="U98" i="5"/>
  <c r="P46" i="4"/>
  <c r="W98" i="5"/>
  <c r="Q46" i="4"/>
  <c r="X98" i="5"/>
  <c r="AA98" i="5"/>
  <c r="AH46" i="4"/>
  <c r="T46" i="4" a="1"/>
  <c r="T46" i="4"/>
  <c r="AC98" i="5"/>
  <c r="U46" i="4" a="1"/>
  <c r="U46" i="4"/>
  <c r="AD98" i="5"/>
  <c r="Y46" i="4"/>
  <c r="AJ98" i="5"/>
  <c r="Z46" i="4"/>
  <c r="AL98" i="5"/>
  <c r="AN98" i="5"/>
  <c r="AG99" i="5"/>
  <c r="AF99" i="5"/>
  <c r="B278" i="4"/>
  <c r="C278" i="4"/>
  <c r="C99" i="5"/>
  <c r="D278" i="4"/>
  <c r="E99" i="5"/>
  <c r="K99" i="5"/>
  <c r="L278" i="4"/>
  <c r="Q99" i="5"/>
  <c r="M278" i="4"/>
  <c r="R99" i="5"/>
  <c r="T99" i="5"/>
  <c r="O25" i="2"/>
  <c r="O278" i="4"/>
  <c r="U99" i="5"/>
  <c r="P278" i="4"/>
  <c r="W99" i="5"/>
  <c r="Q278" i="4"/>
  <c r="X99" i="5"/>
  <c r="S278" i="4"/>
  <c r="AA99" i="5"/>
  <c r="AH278" i="4"/>
  <c r="T278" i="4" a="1"/>
  <c r="T278" i="4"/>
  <c r="AC99" i="5"/>
  <c r="U278" i="4" a="1"/>
  <c r="U278" i="4"/>
  <c r="AD99" i="5"/>
  <c r="X278" i="4"/>
  <c r="AI99" i="5"/>
  <c r="Y278" i="4"/>
  <c r="AJ99" i="5"/>
  <c r="Z278" i="4"/>
  <c r="AL99" i="5"/>
  <c r="AN99" i="5"/>
  <c r="AG100" i="5"/>
  <c r="AF100" i="5"/>
  <c r="B124" i="4"/>
  <c r="C124" i="4"/>
  <c r="C100" i="5"/>
  <c r="D124" i="4"/>
  <c r="E100" i="5"/>
  <c r="H124" i="4"/>
  <c r="K100" i="5"/>
  <c r="L124" i="4"/>
  <c r="Q100" i="5"/>
  <c r="M124" i="4"/>
  <c r="R100" i="5"/>
  <c r="N124" i="4"/>
  <c r="T100" i="5"/>
  <c r="O124" i="4"/>
  <c r="U100" i="5"/>
  <c r="P124" i="4"/>
  <c r="W100" i="5"/>
  <c r="Q124" i="4"/>
  <c r="X100" i="5"/>
  <c r="S124" i="4"/>
  <c r="AA100" i="5"/>
  <c r="AH124" i="4"/>
  <c r="T124" i="4" a="1"/>
  <c r="T124" i="4"/>
  <c r="AC100" i="5"/>
  <c r="U124" i="4" a="1"/>
  <c r="U124" i="4"/>
  <c r="AD100" i="5"/>
  <c r="X124" i="4"/>
  <c r="AI100" i="5"/>
  <c r="Y124" i="4"/>
  <c r="AJ100" i="5"/>
  <c r="Z124" i="4"/>
  <c r="AL100" i="5"/>
  <c r="AN100" i="5"/>
  <c r="O101" i="5"/>
  <c r="B125" i="4"/>
  <c r="H125" i="4"/>
  <c r="K101" i="5"/>
  <c r="AG101" i="5"/>
  <c r="AF101" i="5"/>
  <c r="C125" i="4"/>
  <c r="C101" i="5"/>
  <c r="D125" i="4"/>
  <c r="E101" i="5"/>
  <c r="I25" i="2"/>
  <c r="I125" i="4"/>
  <c r="L101" i="5"/>
  <c r="J25" i="2"/>
  <c r="J125" i="4"/>
  <c r="N101" i="5"/>
  <c r="L125" i="4"/>
  <c r="Q101" i="5"/>
  <c r="M125" i="4"/>
  <c r="R101" i="5"/>
  <c r="T101" i="5"/>
  <c r="U101" i="5"/>
  <c r="P125" i="4"/>
  <c r="W101" i="5"/>
  <c r="Q125" i="4"/>
  <c r="X101" i="5"/>
  <c r="S125" i="4"/>
  <c r="AA101" i="5"/>
  <c r="AH125" i="4"/>
  <c r="T125" i="4" a="1"/>
  <c r="T125" i="4"/>
  <c r="AC101" i="5"/>
  <c r="U125" i="4" a="1"/>
  <c r="U125" i="4"/>
  <c r="AD101" i="5"/>
  <c r="X125" i="4"/>
  <c r="AI101" i="5"/>
  <c r="Y125" i="4"/>
  <c r="AJ101" i="5"/>
  <c r="Z125" i="4"/>
  <c r="AL101" i="5"/>
  <c r="H101" i="5"/>
  <c r="I101" i="5"/>
  <c r="AN101" i="5"/>
  <c r="AG102" i="5"/>
  <c r="AF102" i="5"/>
  <c r="C26" i="2"/>
  <c r="B126" i="4"/>
  <c r="C126" i="4"/>
  <c r="C102" i="5"/>
  <c r="D26" i="2"/>
  <c r="D126" i="4"/>
  <c r="E102" i="5"/>
  <c r="E26" i="2"/>
  <c r="E126" i="4"/>
  <c r="F102" i="5"/>
  <c r="F26" i="2"/>
  <c r="F126" i="4"/>
  <c r="H102" i="5"/>
  <c r="I102" i="5"/>
  <c r="H26" i="2"/>
  <c r="H126" i="4"/>
  <c r="K102" i="5"/>
  <c r="L26" i="2"/>
  <c r="L126" i="4"/>
  <c r="Q102" i="5"/>
  <c r="M26" i="2"/>
  <c r="M126" i="4"/>
  <c r="R102" i="5"/>
  <c r="N26" i="2"/>
  <c r="N126" i="4"/>
  <c r="T102" i="5"/>
  <c r="O26" i="2"/>
  <c r="O126" i="4"/>
  <c r="U102" i="5"/>
  <c r="P26" i="2"/>
  <c r="P126" i="4"/>
  <c r="W102" i="5"/>
  <c r="Q26" i="2"/>
  <c r="Q126" i="4"/>
  <c r="X102" i="5"/>
  <c r="S26" i="2"/>
  <c r="S126" i="4"/>
  <c r="AA102" i="5"/>
  <c r="AH126" i="4"/>
  <c r="T126" i="4" a="1"/>
  <c r="T126" i="4"/>
  <c r="AC102" i="5"/>
  <c r="U126" i="4" a="1"/>
  <c r="U126" i="4"/>
  <c r="AD102" i="5"/>
  <c r="X26" i="2"/>
  <c r="X126" i="4"/>
  <c r="AI102" i="5"/>
  <c r="Y26" i="2"/>
  <c r="Y126" i="4"/>
  <c r="AJ102" i="5"/>
  <c r="Z26" i="2"/>
  <c r="Z126" i="4"/>
  <c r="AL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T103" i="5"/>
  <c r="O127" i="4"/>
  <c r="U103" i="5"/>
  <c r="P127" i="4"/>
  <c r="W103" i="5"/>
  <c r="Q127" i="4"/>
  <c r="X103" i="5"/>
  <c r="S127" i="4"/>
  <c r="AA103" i="5"/>
  <c r="AH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AN103" i="5"/>
  <c r="AG104" i="5"/>
  <c r="AF104" i="5"/>
  <c r="C43" i="2"/>
  <c r="B128" i="4"/>
  <c r="C128" i="4"/>
  <c r="C104" i="5"/>
  <c r="D43" i="2"/>
  <c r="D128" i="4"/>
  <c r="E104" i="5"/>
  <c r="E43" i="2"/>
  <c r="E128" i="4"/>
  <c r="F104" i="5"/>
  <c r="F43" i="2"/>
  <c r="F128" i="4"/>
  <c r="H104" i="5"/>
  <c r="I104" i="5"/>
  <c r="H43" i="2"/>
  <c r="H128" i="4"/>
  <c r="K104" i="5"/>
  <c r="L43" i="2"/>
  <c r="L128" i="4"/>
  <c r="Q104" i="5"/>
  <c r="M43" i="2"/>
  <c r="M128" i="4"/>
  <c r="R104" i="5"/>
  <c r="T104" i="5"/>
  <c r="O43" i="2"/>
  <c r="O128" i="4"/>
  <c r="U104" i="5"/>
  <c r="P43" i="2"/>
  <c r="P128" i="4"/>
  <c r="W104" i="5"/>
  <c r="Q43" i="2"/>
  <c r="Q128" i="4"/>
  <c r="X104" i="5"/>
  <c r="S43" i="2"/>
  <c r="S128" i="4"/>
  <c r="AA104" i="5"/>
  <c r="AH128" i="4"/>
  <c r="T128" i="4" a="1"/>
  <c r="T128" i="4"/>
  <c r="AC104" i="5"/>
  <c r="U128" i="4" a="1"/>
  <c r="U128" i="4"/>
  <c r="AD104" i="5"/>
  <c r="X43" i="2"/>
  <c r="X128" i="4"/>
  <c r="AI104" i="5"/>
  <c r="Y43" i="2"/>
  <c r="Y128" i="4"/>
  <c r="AJ104" i="5"/>
  <c r="Z43" i="2"/>
  <c r="Z128" i="4"/>
  <c r="AL104" i="5"/>
  <c r="AN104" i="5"/>
  <c r="AG105" i="5"/>
  <c r="AF105" i="5"/>
  <c r="B47" i="4"/>
  <c r="C47" i="4"/>
  <c r="C105" i="5"/>
  <c r="D47" i="4"/>
  <c r="E105" i="5"/>
  <c r="E39" i="2"/>
  <c r="E47" i="4"/>
  <c r="F105" i="5"/>
  <c r="F39" i="2"/>
  <c r="F47" i="4"/>
  <c r="H105" i="5"/>
  <c r="I105" i="5"/>
  <c r="K105" i="5"/>
  <c r="L47" i="4"/>
  <c r="Q105" i="5"/>
  <c r="M47" i="4"/>
  <c r="R105" i="5"/>
  <c r="T105" i="5"/>
  <c r="O47" i="4"/>
  <c r="U105" i="5"/>
  <c r="P47" i="4"/>
  <c r="W105" i="5"/>
  <c r="Q47" i="4"/>
  <c r="X105" i="5"/>
  <c r="S47" i="4"/>
  <c r="AA105" i="5"/>
  <c r="AH47" i="4"/>
  <c r="T47" i="4" a="1"/>
  <c r="T47" i="4"/>
  <c r="AC105" i="5"/>
  <c r="U47" i="4" a="1"/>
  <c r="U47" i="4"/>
  <c r="AD105" i="5"/>
  <c r="X47" i="4"/>
  <c r="AI105" i="5"/>
  <c r="Y47" i="4"/>
  <c r="AJ105" i="5"/>
  <c r="Z47" i="4"/>
  <c r="AL105" i="5"/>
  <c r="AN105" i="5"/>
  <c r="AG106" i="5"/>
  <c r="AF106" i="5"/>
  <c r="B129" i="4"/>
  <c r="C129" i="4"/>
  <c r="C106" i="5"/>
  <c r="D129" i="4"/>
  <c r="E106" i="5"/>
  <c r="E129" i="4"/>
  <c r="F106" i="5"/>
  <c r="F129" i="4"/>
  <c r="H106" i="5"/>
  <c r="I106" i="5"/>
  <c r="H129" i="4"/>
  <c r="K106" i="5"/>
  <c r="L129" i="4"/>
  <c r="Q106" i="5"/>
  <c r="M129" i="4"/>
  <c r="R106" i="5"/>
  <c r="T106" i="5"/>
  <c r="U106" i="5"/>
  <c r="P129" i="4"/>
  <c r="W106" i="5"/>
  <c r="Q129" i="4"/>
  <c r="X106" i="5"/>
  <c r="S129" i="4"/>
  <c r="AA106" i="5"/>
  <c r="AH129" i="4"/>
  <c r="T129" i="4" a="1"/>
  <c r="T129" i="4"/>
  <c r="AC106" i="5"/>
  <c r="U129" i="4" a="1"/>
  <c r="U129" i="4"/>
  <c r="AD106" i="5"/>
  <c r="X129" i="4"/>
  <c r="AI106" i="5"/>
  <c r="Y129" i="4"/>
  <c r="AJ106" i="5"/>
  <c r="Z129" i="4"/>
  <c r="AL106" i="5"/>
  <c r="AN106" i="5"/>
  <c r="AG107" i="5"/>
  <c r="AF107" i="5"/>
  <c r="C130" i="4"/>
  <c r="C107" i="5"/>
  <c r="D130" i="4"/>
  <c r="E107" i="5"/>
  <c r="E22" i="2"/>
  <c r="E130" i="4"/>
  <c r="F107" i="5"/>
  <c r="F22" i="2"/>
  <c r="F130" i="4"/>
  <c r="H107" i="5"/>
  <c r="I107" i="5"/>
  <c r="H22" i="2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H130" i="4"/>
  <c r="T130" i="4" a="1"/>
  <c r="T130" i="4"/>
  <c r="AC107" i="5"/>
  <c r="U130" i="4" a="1"/>
  <c r="U130" i="4"/>
  <c r="AD107" i="5"/>
  <c r="AI107" i="5"/>
  <c r="Y130" i="4"/>
  <c r="AJ107" i="5"/>
  <c r="Z130" i="4"/>
  <c r="AL107" i="5"/>
  <c r="AN107" i="5"/>
  <c r="AG108" i="5"/>
  <c r="AF108" i="5"/>
  <c r="C131" i="4"/>
  <c r="C108" i="5"/>
  <c r="D131" i="4"/>
  <c r="E108" i="5"/>
  <c r="E131" i="4"/>
  <c r="F108" i="5"/>
  <c r="F131" i="4"/>
  <c r="H108" i="5"/>
  <c r="I108" i="5"/>
  <c r="H131" i="4"/>
  <c r="K108" i="5"/>
  <c r="L131" i="4"/>
  <c r="Q108" i="5"/>
  <c r="M131" i="4"/>
  <c r="R108" i="5"/>
  <c r="T108" i="5"/>
  <c r="U108" i="5"/>
  <c r="P131" i="4"/>
  <c r="W108" i="5"/>
  <c r="Q131" i="4"/>
  <c r="X108" i="5"/>
  <c r="S131" i="4"/>
  <c r="AA108" i="5"/>
  <c r="AH131" i="4"/>
  <c r="T131" i="4" a="1"/>
  <c r="T131" i="4"/>
  <c r="AC108" i="5"/>
  <c r="U131" i="4" a="1"/>
  <c r="U131" i="4"/>
  <c r="AD108" i="5"/>
  <c r="AI108" i="5"/>
  <c r="Y131" i="4"/>
  <c r="AJ108" i="5"/>
  <c r="Z131" i="4"/>
  <c r="AL108" i="5"/>
  <c r="AN108" i="5"/>
  <c r="AG109" i="5"/>
  <c r="AF109" i="5"/>
  <c r="B287" i="4"/>
  <c r="C287" i="4"/>
  <c r="C109" i="5"/>
  <c r="D287" i="4"/>
  <c r="E109" i="5"/>
  <c r="H15" i="2"/>
  <c r="H287" i="4"/>
  <c r="K109" i="5"/>
  <c r="L287" i="4"/>
  <c r="Q109" i="5"/>
  <c r="M287" i="4"/>
  <c r="R109" i="5"/>
  <c r="T109" i="5"/>
  <c r="O287" i="4"/>
  <c r="U109" i="5"/>
  <c r="P287" i="4"/>
  <c r="W109" i="5"/>
  <c r="Q287" i="4"/>
  <c r="X109" i="5"/>
  <c r="S287" i="4"/>
  <c r="AA109" i="5"/>
  <c r="AH287" i="4"/>
  <c r="T287" i="4" a="1"/>
  <c r="T287" i="4"/>
  <c r="AC109" i="5"/>
  <c r="U287" i="4" a="1"/>
  <c r="U287" i="4"/>
  <c r="AD109" i="5"/>
  <c r="X287" i="4"/>
  <c r="AI109" i="5"/>
  <c r="Y287" i="4"/>
  <c r="AJ109" i="5"/>
  <c r="Z287" i="4"/>
  <c r="AL109" i="5"/>
  <c r="F109" i="5"/>
  <c r="H109" i="5"/>
  <c r="I109" i="5"/>
  <c r="AN109" i="5"/>
  <c r="AG110" i="5"/>
  <c r="AF110" i="5"/>
  <c r="B132" i="4"/>
  <c r="C132" i="4"/>
  <c r="C110" i="5"/>
  <c r="D132" i="4"/>
  <c r="E110" i="5"/>
  <c r="E40" i="2"/>
  <c r="E132" i="4"/>
  <c r="F110" i="5"/>
  <c r="F40" i="2"/>
  <c r="F132" i="4"/>
  <c r="H110" i="5"/>
  <c r="I110" i="5"/>
  <c r="H132" i="4"/>
  <c r="K110" i="5"/>
  <c r="L132" i="4"/>
  <c r="Q110" i="5"/>
  <c r="M132" i="4"/>
  <c r="R110" i="5"/>
  <c r="T110" i="5"/>
  <c r="O32" i="2"/>
  <c r="O132" i="4"/>
  <c r="U110" i="5"/>
  <c r="P132" i="4"/>
  <c r="W110" i="5"/>
  <c r="Q132" i="4"/>
  <c r="X110" i="5"/>
  <c r="S132" i="4"/>
  <c r="AA110" i="5"/>
  <c r="AH132" i="4"/>
  <c r="T132" i="4" a="1"/>
  <c r="T132" i="4"/>
  <c r="AC110" i="5"/>
  <c r="U132" i="4" a="1"/>
  <c r="U132" i="4"/>
  <c r="AD110" i="5"/>
  <c r="X132" i="4"/>
  <c r="AI110" i="5"/>
  <c r="Y132" i="4"/>
  <c r="AJ110" i="5"/>
  <c r="Z132" i="4"/>
  <c r="AL110" i="5"/>
  <c r="AN110" i="5"/>
  <c r="AG111" i="5"/>
  <c r="AF111" i="5"/>
  <c r="B133" i="4"/>
  <c r="C133" i="4"/>
  <c r="C111" i="5"/>
  <c r="D133" i="4"/>
  <c r="E111" i="5"/>
  <c r="H133" i="4"/>
  <c r="K111" i="5"/>
  <c r="L133" i="4"/>
  <c r="Q111" i="5"/>
  <c r="M133" i="4"/>
  <c r="R111" i="5"/>
  <c r="T111" i="5"/>
  <c r="O133" i="4"/>
  <c r="U111" i="5"/>
  <c r="P133" i="4"/>
  <c r="W111" i="5"/>
  <c r="Q133" i="4"/>
  <c r="X111" i="5"/>
  <c r="S133" i="4"/>
  <c r="AA111" i="5"/>
  <c r="AH133" i="4"/>
  <c r="T133" i="4" a="1"/>
  <c r="T133" i="4"/>
  <c r="AC111" i="5"/>
  <c r="U133" i="4" a="1"/>
  <c r="U133" i="4"/>
  <c r="AD111" i="5"/>
  <c r="X133" i="4"/>
  <c r="AI111" i="5"/>
  <c r="Y133" i="4"/>
  <c r="AJ111" i="5"/>
  <c r="Z133" i="4"/>
  <c r="AL111" i="5"/>
  <c r="F111" i="5"/>
  <c r="AN111" i="5"/>
  <c r="AG112" i="5"/>
  <c r="AF112" i="5"/>
  <c r="B134" i="4"/>
  <c r="C134" i="4"/>
  <c r="C112" i="5"/>
  <c r="D134" i="4"/>
  <c r="E112" i="5"/>
  <c r="H134" i="4"/>
  <c r="K112" i="5"/>
  <c r="L134" i="4"/>
  <c r="Q112" i="5"/>
  <c r="M134" i="4"/>
  <c r="R112" i="5"/>
  <c r="T112" i="5"/>
  <c r="O134" i="4"/>
  <c r="U112" i="5"/>
  <c r="P134" i="4"/>
  <c r="W112" i="5"/>
  <c r="Q134" i="4"/>
  <c r="X112" i="5"/>
  <c r="S134" i="4"/>
  <c r="AA112" i="5"/>
  <c r="AH134" i="4"/>
  <c r="T134" i="4" a="1"/>
  <c r="T134" i="4"/>
  <c r="AC112" i="5"/>
  <c r="U134" i="4" a="1"/>
  <c r="U134" i="4"/>
  <c r="AD112" i="5"/>
  <c r="X134" i="4"/>
  <c r="AI112" i="5"/>
  <c r="Y134" i="4"/>
  <c r="AJ112" i="5"/>
  <c r="Z134" i="4"/>
  <c r="AL112" i="5"/>
  <c r="F112" i="5"/>
  <c r="AN112" i="5"/>
  <c r="AG113" i="5"/>
  <c r="AF113" i="5"/>
  <c r="B135" i="4"/>
  <c r="C135" i="4"/>
  <c r="C113" i="5"/>
  <c r="D135" i="4"/>
  <c r="E113" i="5"/>
  <c r="H135" i="4"/>
  <c r="K113" i="5"/>
  <c r="L135" i="4"/>
  <c r="Q113" i="5"/>
  <c r="M135" i="4"/>
  <c r="R113" i="5"/>
  <c r="T113" i="5"/>
  <c r="O135" i="4"/>
  <c r="U113" i="5"/>
  <c r="P135" i="4"/>
  <c r="W113" i="5"/>
  <c r="Q135" i="4"/>
  <c r="X113" i="5"/>
  <c r="S135" i="4"/>
  <c r="AA113" i="5"/>
  <c r="AH135" i="4"/>
  <c r="T135" i="4" a="1"/>
  <c r="T135" i="4"/>
  <c r="AC113" i="5"/>
  <c r="U135" i="4" a="1"/>
  <c r="U135" i="4"/>
  <c r="AD113" i="5"/>
  <c r="X135" i="4"/>
  <c r="AI113" i="5"/>
  <c r="Y135" i="4"/>
  <c r="AJ113" i="5"/>
  <c r="Z135" i="4"/>
  <c r="AL113" i="5"/>
  <c r="F113" i="5"/>
  <c r="AN113" i="5"/>
  <c r="AG114" i="5"/>
  <c r="AF114" i="5"/>
  <c r="B136" i="4"/>
  <c r="C136" i="4"/>
  <c r="C114" i="5"/>
  <c r="D136" i="4"/>
  <c r="E114" i="5"/>
  <c r="K114" i="5"/>
  <c r="L136" i="4"/>
  <c r="Q114" i="5"/>
  <c r="M136" i="4"/>
  <c r="R114" i="5"/>
  <c r="T114" i="5"/>
  <c r="O136" i="4"/>
  <c r="U114" i="5"/>
  <c r="P136" i="4"/>
  <c r="W114" i="5"/>
  <c r="Q136" i="4"/>
  <c r="X114" i="5"/>
  <c r="S136" i="4"/>
  <c r="AA114" i="5"/>
  <c r="AH136" i="4"/>
  <c r="T136" i="4" a="1"/>
  <c r="T136" i="4"/>
  <c r="AC114" i="5"/>
  <c r="U136" i="4" a="1"/>
  <c r="U136" i="4"/>
  <c r="AD114" i="5"/>
  <c r="X136" i="4"/>
  <c r="AI114" i="5"/>
  <c r="Y136" i="4"/>
  <c r="AJ114" i="5"/>
  <c r="Z136" i="4"/>
  <c r="AL114" i="5"/>
  <c r="F114" i="5"/>
  <c r="AN114" i="5"/>
  <c r="AG115" i="5"/>
  <c r="AF115" i="5"/>
  <c r="B138" i="4"/>
  <c r="C138" i="4"/>
  <c r="C115" i="5"/>
  <c r="D138" i="4"/>
  <c r="E115" i="5"/>
  <c r="H24" i="2"/>
  <c r="H138" i="4"/>
  <c r="K115" i="5"/>
  <c r="L138" i="4"/>
  <c r="Q115" i="5"/>
  <c r="M138" i="4"/>
  <c r="R115" i="5"/>
  <c r="T115" i="5"/>
  <c r="U115" i="5"/>
  <c r="P138" i="4"/>
  <c r="W115" i="5"/>
  <c r="Q138" i="4"/>
  <c r="X115" i="5"/>
  <c r="AA115" i="5"/>
  <c r="AH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AN115" i="5"/>
  <c r="O116" i="5"/>
  <c r="K116" i="5"/>
  <c r="AG116" i="5"/>
  <c r="AF116" i="5"/>
  <c r="B139" i="4"/>
  <c r="C139" i="4"/>
  <c r="C116" i="5"/>
  <c r="D139" i="4"/>
  <c r="E116" i="5"/>
  <c r="E14" i="2"/>
  <c r="E139" i="4"/>
  <c r="F116" i="5"/>
  <c r="F14" i="2"/>
  <c r="F139" i="4"/>
  <c r="H116" i="5"/>
  <c r="I116" i="5"/>
  <c r="I139" i="4"/>
  <c r="L116" i="5"/>
  <c r="J139" i="4"/>
  <c r="N116" i="5"/>
  <c r="L139" i="4"/>
  <c r="Q116" i="5"/>
  <c r="M139" i="4"/>
  <c r="R116" i="5"/>
  <c r="T116" i="5"/>
  <c r="U116" i="5"/>
  <c r="P139" i="4"/>
  <c r="W116" i="5"/>
  <c r="AA116" i="5"/>
  <c r="AH139" i="4"/>
  <c r="T139" i="4" a="1"/>
  <c r="T139" i="4"/>
  <c r="AC116" i="5"/>
  <c r="U139" i="4" a="1"/>
  <c r="U139" i="4"/>
  <c r="AD116" i="5"/>
  <c r="Y139" i="4"/>
  <c r="AJ116" i="5"/>
  <c r="Z139" i="4"/>
  <c r="AL116" i="5"/>
  <c r="X116" i="5"/>
  <c r="AN116" i="5"/>
  <c r="AG117" i="5"/>
  <c r="AF117" i="5"/>
  <c r="B48" i="4"/>
  <c r="C48" i="4"/>
  <c r="C117" i="5"/>
  <c r="D48" i="4"/>
  <c r="E117" i="5"/>
  <c r="K117" i="5"/>
  <c r="L48" i="4"/>
  <c r="Q117" i="5"/>
  <c r="M48" i="4"/>
  <c r="R117" i="5"/>
  <c r="T117" i="5"/>
  <c r="U117" i="5"/>
  <c r="P48" i="4"/>
  <c r="W117" i="5"/>
  <c r="Q48" i="4"/>
  <c r="X117" i="5"/>
  <c r="S48" i="4"/>
  <c r="AA117" i="5"/>
  <c r="AH48" i="4"/>
  <c r="T48" i="4" a="1"/>
  <c r="T48" i="4"/>
  <c r="AC117" i="5"/>
  <c r="U48" i="4" a="1"/>
  <c r="U48" i="4"/>
  <c r="AD117" i="5"/>
  <c r="X48" i="4"/>
  <c r="AI117" i="5"/>
  <c r="F117" i="5"/>
  <c r="H117" i="5"/>
  <c r="I117" i="5"/>
  <c r="AN117" i="5"/>
  <c r="AA118" i="5"/>
  <c r="B36" i="4"/>
  <c r="P36" i="4"/>
  <c r="W118" i="5"/>
  <c r="AG118" i="5"/>
  <c r="AF118" i="5"/>
  <c r="C36" i="4"/>
  <c r="C118" i="5"/>
  <c r="D36" i="4"/>
  <c r="E118" i="5"/>
  <c r="K118" i="5"/>
  <c r="L36" i="4"/>
  <c r="Q118" i="5"/>
  <c r="M36" i="4"/>
  <c r="R118" i="5"/>
  <c r="T118" i="5"/>
  <c r="U118" i="5"/>
  <c r="Q36" i="4"/>
  <c r="X118" i="5"/>
  <c r="R7" i="2"/>
  <c r="R20" i="2"/>
  <c r="R36" i="4"/>
  <c r="Z118" i="5"/>
  <c r="AH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AN118" i="5"/>
  <c r="AG119" i="5"/>
  <c r="AF119" i="5"/>
  <c r="B142" i="4"/>
  <c r="C142" i="4"/>
  <c r="C119" i="5"/>
  <c r="D142" i="4"/>
  <c r="E119" i="5"/>
  <c r="E142" i="4"/>
  <c r="F119" i="5"/>
  <c r="F142" i="4"/>
  <c r="H119" i="5"/>
  <c r="I119" i="5"/>
  <c r="K119" i="5"/>
  <c r="L142" i="4"/>
  <c r="Q119" i="5"/>
  <c r="M142" i="4"/>
  <c r="R119" i="5"/>
  <c r="T119" i="5"/>
  <c r="O142" i="4"/>
  <c r="U119" i="5"/>
  <c r="P142" i="4"/>
  <c r="W119" i="5"/>
  <c r="Q142" i="4"/>
  <c r="X119" i="5"/>
  <c r="AA119" i="5"/>
  <c r="AH142" i="4"/>
  <c r="T142" i="4" a="1"/>
  <c r="T142" i="4"/>
  <c r="AC119" i="5"/>
  <c r="U142" i="4" a="1"/>
  <c r="U142" i="4"/>
  <c r="AD119" i="5"/>
  <c r="X142" i="4"/>
  <c r="AI119" i="5"/>
  <c r="Y142" i="4"/>
  <c r="AJ119" i="5"/>
  <c r="Z142" i="4"/>
  <c r="AL119" i="5"/>
  <c r="AN119" i="5"/>
  <c r="AG120" i="5"/>
  <c r="AF120" i="5"/>
  <c r="B271" i="4"/>
  <c r="C271" i="4"/>
  <c r="C120" i="5"/>
  <c r="D271" i="4"/>
  <c r="E120" i="5"/>
  <c r="H271" i="4"/>
  <c r="K120" i="5"/>
  <c r="L271" i="4"/>
  <c r="Q120" i="5"/>
  <c r="M271" i="4"/>
  <c r="R120" i="5"/>
  <c r="T120" i="5"/>
  <c r="O271" i="4"/>
  <c r="U120" i="5"/>
  <c r="W120" i="5"/>
  <c r="Q271" i="4"/>
  <c r="X120" i="5"/>
  <c r="AA120" i="5"/>
  <c r="AH271" i="4"/>
  <c r="T271" i="4" a="1"/>
  <c r="T271" i="4"/>
  <c r="AC120" i="5"/>
  <c r="U271" i="4" a="1"/>
  <c r="U271" i="4"/>
  <c r="AD120" i="5"/>
  <c r="Y271" i="4"/>
  <c r="AJ120" i="5"/>
  <c r="Z271" i="4"/>
  <c r="AL120" i="5"/>
  <c r="F120" i="5"/>
  <c r="AN120" i="5"/>
  <c r="AG121" i="5"/>
  <c r="AF121" i="5"/>
  <c r="B143" i="4"/>
  <c r="C143" i="4"/>
  <c r="C121" i="5"/>
  <c r="D143" i="4"/>
  <c r="E121" i="5"/>
  <c r="H143" i="4"/>
  <c r="K121" i="5"/>
  <c r="L143" i="4"/>
  <c r="Q121" i="5"/>
  <c r="M143" i="4"/>
  <c r="R121" i="5"/>
  <c r="N143" i="4"/>
  <c r="T121" i="5"/>
  <c r="U121" i="5"/>
  <c r="W121" i="5"/>
  <c r="Q143" i="4"/>
  <c r="X121" i="5"/>
  <c r="AA121" i="5"/>
  <c r="AH143" i="4"/>
  <c r="T143" i="4" a="1"/>
  <c r="T143" i="4"/>
  <c r="AC121" i="5"/>
  <c r="U143" i="4" a="1"/>
  <c r="U143" i="4"/>
  <c r="AD121" i="5"/>
  <c r="X143" i="4"/>
  <c r="AI121" i="5"/>
  <c r="Y143" i="4"/>
  <c r="AJ121" i="5"/>
  <c r="Z143" i="4"/>
  <c r="AL121" i="5"/>
  <c r="F121" i="5"/>
  <c r="AN121" i="5"/>
  <c r="AG122" i="5"/>
  <c r="AF122" i="5"/>
  <c r="B279" i="4"/>
  <c r="C279" i="4"/>
  <c r="C122" i="5"/>
  <c r="D279" i="4"/>
  <c r="E122" i="5"/>
  <c r="H279" i="4"/>
  <c r="K122" i="5"/>
  <c r="L279" i="4"/>
  <c r="Q122" i="5"/>
  <c r="M279" i="4"/>
  <c r="R122" i="5"/>
  <c r="T122" i="5"/>
  <c r="O279" i="4"/>
  <c r="U122" i="5"/>
  <c r="P279" i="4"/>
  <c r="W122" i="5"/>
  <c r="Q279" i="4"/>
  <c r="X122" i="5"/>
  <c r="AA122" i="5"/>
  <c r="AH279" i="4"/>
  <c r="T279" i="4" a="1"/>
  <c r="T279" i="4"/>
  <c r="AC122" i="5"/>
  <c r="U279" i="4" a="1"/>
  <c r="U279" i="4"/>
  <c r="AD122" i="5"/>
  <c r="Y279" i="4"/>
  <c r="AJ122" i="5"/>
  <c r="Z279" i="4"/>
  <c r="AL122" i="5"/>
  <c r="F122" i="5"/>
  <c r="AN122" i="5"/>
  <c r="O123" i="5"/>
  <c r="H42" i="2"/>
  <c r="B144" i="4"/>
  <c r="H144" i="4"/>
  <c r="K123" i="5"/>
  <c r="AG123" i="5"/>
  <c r="AF123" i="5"/>
  <c r="C42" i="2"/>
  <c r="C144" i="4"/>
  <c r="C123" i="5"/>
  <c r="D42" i="2"/>
  <c r="D144" i="4"/>
  <c r="E123" i="5"/>
  <c r="E42" i="2"/>
  <c r="E144" i="4"/>
  <c r="F123" i="5"/>
  <c r="F42" i="2"/>
  <c r="F144" i="4"/>
  <c r="H123" i="5"/>
  <c r="I123" i="5"/>
  <c r="I42" i="2"/>
  <c r="I144" i="4"/>
  <c r="L123" i="5"/>
  <c r="J42" i="2"/>
  <c r="J144" i="4"/>
  <c r="N123" i="5"/>
  <c r="L42" i="2"/>
  <c r="L144" i="4"/>
  <c r="Q123" i="5"/>
  <c r="M42" i="2"/>
  <c r="M144" i="4"/>
  <c r="R123" i="5"/>
  <c r="T123" i="5"/>
  <c r="O42" i="2"/>
  <c r="O144" i="4"/>
  <c r="U123" i="5"/>
  <c r="P42" i="2"/>
  <c r="P144" i="4"/>
  <c r="W123" i="5"/>
  <c r="Q42" i="2"/>
  <c r="Q144" i="4"/>
  <c r="X123" i="5"/>
  <c r="S144" i="4"/>
  <c r="AA123" i="5"/>
  <c r="AH144" i="4"/>
  <c r="T144" i="4" a="1"/>
  <c r="T144" i="4"/>
  <c r="AC123" i="5"/>
  <c r="U144" i="4" a="1"/>
  <c r="U144" i="4"/>
  <c r="AD123" i="5"/>
  <c r="X42" i="2"/>
  <c r="X144" i="4"/>
  <c r="AI123" i="5"/>
  <c r="Y42" i="2"/>
  <c r="Y144" i="4"/>
  <c r="AJ123" i="5"/>
  <c r="Z42" i="2"/>
  <c r="Z144" i="4"/>
  <c r="AL123" i="5"/>
  <c r="AN123" i="5"/>
  <c r="AG124" i="5"/>
  <c r="AF124" i="5"/>
  <c r="B252" i="4"/>
  <c r="C252" i="4"/>
  <c r="C124" i="5"/>
  <c r="D252" i="4"/>
  <c r="E124" i="5"/>
  <c r="H252" i="4"/>
  <c r="K124" i="5"/>
  <c r="L252" i="4"/>
  <c r="Q124" i="5"/>
  <c r="M252" i="4"/>
  <c r="R124" i="5"/>
  <c r="T124" i="5"/>
  <c r="O252" i="4"/>
  <c r="U124" i="5"/>
  <c r="P252" i="4"/>
  <c r="W124" i="5"/>
  <c r="Q252" i="4"/>
  <c r="X124" i="5"/>
  <c r="AA124" i="5"/>
  <c r="AH252" i="4"/>
  <c r="T252" i="4" a="1"/>
  <c r="T252" i="4"/>
  <c r="AC124" i="5"/>
  <c r="U252" i="4" a="1"/>
  <c r="U252" i="4"/>
  <c r="AD124" i="5"/>
  <c r="X252" i="4"/>
  <c r="AI124" i="5"/>
  <c r="Y252" i="4"/>
  <c r="AJ124" i="5"/>
  <c r="Z252" i="4"/>
  <c r="AL124" i="5"/>
  <c r="F124" i="5"/>
  <c r="AN124" i="5"/>
  <c r="AG125" i="5"/>
  <c r="AF125" i="5"/>
  <c r="B145" i="4"/>
  <c r="C145" i="4"/>
  <c r="C125" i="5"/>
  <c r="D145" i="4"/>
  <c r="E125" i="5"/>
  <c r="H145" i="4"/>
  <c r="K125" i="5"/>
  <c r="L145" i="4"/>
  <c r="Q125" i="5"/>
  <c r="M145" i="4"/>
  <c r="R125" i="5"/>
  <c r="T125" i="5"/>
  <c r="U125" i="5"/>
  <c r="P145" i="4"/>
  <c r="W125" i="5"/>
  <c r="Q145" i="4"/>
  <c r="X125" i="5"/>
  <c r="S145" i="4"/>
  <c r="AA125" i="5"/>
  <c r="AH145" i="4"/>
  <c r="T145" i="4" a="1"/>
  <c r="T145" i="4"/>
  <c r="AC125" i="5"/>
  <c r="U145" i="4" a="1"/>
  <c r="U145" i="4"/>
  <c r="AD125" i="5"/>
  <c r="X145" i="4"/>
  <c r="AI125" i="5"/>
  <c r="Y145" i="4"/>
  <c r="AJ125" i="5"/>
  <c r="Z145" i="4"/>
  <c r="AL125" i="5"/>
  <c r="F125" i="5"/>
  <c r="AN125" i="5"/>
  <c r="AG126" i="5"/>
  <c r="AF126" i="5"/>
  <c r="B146" i="4"/>
  <c r="C146" i="4"/>
  <c r="C126" i="5"/>
  <c r="D146" i="4"/>
  <c r="E126" i="5"/>
  <c r="H146" i="4"/>
  <c r="K126" i="5"/>
  <c r="L146" i="4"/>
  <c r="Q126" i="5"/>
  <c r="M146" i="4"/>
  <c r="R126" i="5"/>
  <c r="T126" i="5"/>
  <c r="O146" i="4"/>
  <c r="U126" i="5"/>
  <c r="P146" i="4"/>
  <c r="W126" i="5"/>
  <c r="Q146" i="4"/>
  <c r="X126" i="5"/>
  <c r="S146" i="4"/>
  <c r="AA126" i="5"/>
  <c r="AH146" i="4"/>
  <c r="T146" i="4" a="1"/>
  <c r="T146" i="4"/>
  <c r="AC126" i="5"/>
  <c r="U146" i="4" a="1"/>
  <c r="U146" i="4"/>
  <c r="AD126" i="5"/>
  <c r="X146" i="4"/>
  <c r="AI126" i="5"/>
  <c r="Y146" i="4"/>
  <c r="AJ126" i="5"/>
  <c r="Z146" i="4"/>
  <c r="AL126" i="5"/>
  <c r="F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H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AN127" i="5"/>
  <c r="AG128" i="5"/>
  <c r="AF128" i="5"/>
  <c r="B147" i="4"/>
  <c r="C147" i="4"/>
  <c r="C128" i="5"/>
  <c r="D147" i="4"/>
  <c r="E128" i="5"/>
  <c r="E147" i="4"/>
  <c r="F128" i="5"/>
  <c r="F147" i="4"/>
  <c r="H128" i="5"/>
  <c r="I128" i="5"/>
  <c r="H147" i="4"/>
  <c r="K128" i="5"/>
  <c r="L147" i="4"/>
  <c r="Q128" i="5"/>
  <c r="M147" i="4"/>
  <c r="R128" i="5"/>
  <c r="T128" i="5"/>
  <c r="U128" i="5"/>
  <c r="P147" i="4"/>
  <c r="W128" i="5"/>
  <c r="Q147" i="4"/>
  <c r="X128" i="5"/>
  <c r="S147" i="4"/>
  <c r="AA128" i="5"/>
  <c r="AH147" i="4"/>
  <c r="T147" i="4" a="1"/>
  <c r="T147" i="4"/>
  <c r="AC128" i="5"/>
  <c r="U147" i="4" a="1"/>
  <c r="U147" i="4"/>
  <c r="AD128" i="5"/>
  <c r="X147" i="4"/>
  <c r="AI128" i="5"/>
  <c r="Y147" i="4"/>
  <c r="AJ128" i="5"/>
  <c r="Z147" i="4"/>
  <c r="AL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H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AN129" i="5"/>
  <c r="AG130" i="5"/>
  <c r="AF130" i="5"/>
  <c r="C148" i="4"/>
  <c r="C130" i="5"/>
  <c r="D148" i="4"/>
  <c r="E130" i="5"/>
  <c r="E148" i="4"/>
  <c r="F130" i="5"/>
  <c r="F148" i="4"/>
  <c r="H130" i="5"/>
  <c r="I130" i="5"/>
  <c r="H148" i="4"/>
  <c r="K130" i="5"/>
  <c r="L148" i="4"/>
  <c r="Q130" i="5"/>
  <c r="M148" i="4"/>
  <c r="R130" i="5"/>
  <c r="T130" i="5"/>
  <c r="U130" i="5"/>
  <c r="P148" i="4"/>
  <c r="W130" i="5"/>
  <c r="Q148" i="4"/>
  <c r="X130" i="5"/>
  <c r="S148" i="4"/>
  <c r="AA130" i="5"/>
  <c r="AH148" i="4"/>
  <c r="T148" i="4" a="1"/>
  <c r="T148" i="4"/>
  <c r="AC130" i="5"/>
  <c r="U148" i="4" a="1"/>
  <c r="U148" i="4"/>
  <c r="AD130" i="5"/>
  <c r="X148" i="4"/>
  <c r="AI130" i="5"/>
  <c r="Y148" i="4"/>
  <c r="AJ130" i="5"/>
  <c r="Z148" i="4"/>
  <c r="AL130" i="5"/>
  <c r="Z130" i="5"/>
  <c r="AN130" i="5"/>
  <c r="AG131" i="5"/>
  <c r="AF131" i="5"/>
  <c r="B149" i="4"/>
  <c r="C149" i="4"/>
  <c r="C131" i="5"/>
  <c r="D149" i="4"/>
  <c r="E131" i="5"/>
  <c r="E149" i="4"/>
  <c r="F131" i="5"/>
  <c r="F149" i="4"/>
  <c r="H131" i="5"/>
  <c r="I131" i="5"/>
  <c r="H149" i="4"/>
  <c r="K131" i="5"/>
  <c r="L149" i="4"/>
  <c r="Q131" i="5"/>
  <c r="M149" i="4"/>
  <c r="R131" i="5"/>
  <c r="T131" i="5"/>
  <c r="O20" i="2"/>
  <c r="O149" i="4"/>
  <c r="U131" i="5"/>
  <c r="P149" i="4"/>
  <c r="W131" i="5"/>
  <c r="Q149" i="4"/>
  <c r="X131" i="5"/>
  <c r="S149" i="4"/>
  <c r="AA131" i="5"/>
  <c r="AH149" i="4"/>
  <c r="T149" i="4" a="1"/>
  <c r="T149" i="4"/>
  <c r="AC131" i="5"/>
  <c r="U149" i="4" a="1"/>
  <c r="U149" i="4"/>
  <c r="AD131" i="5"/>
  <c r="X149" i="4"/>
  <c r="AI131" i="5"/>
  <c r="Y149" i="4"/>
  <c r="AJ131" i="5"/>
  <c r="Z149" i="4"/>
  <c r="AL131" i="5"/>
  <c r="Z131" i="5"/>
  <c r="AN131" i="5"/>
  <c r="AG132" i="5"/>
  <c r="AF132" i="5"/>
  <c r="B50" i="4"/>
  <c r="C50" i="4"/>
  <c r="C132" i="5"/>
  <c r="D50" i="4"/>
  <c r="E132" i="5"/>
  <c r="E50" i="4"/>
  <c r="F132" i="5"/>
  <c r="F50" i="4"/>
  <c r="H132" i="5"/>
  <c r="I132" i="5"/>
  <c r="K132" i="5"/>
  <c r="L50" i="4"/>
  <c r="Q132" i="5"/>
  <c r="M50" i="4"/>
  <c r="R132" i="5"/>
  <c r="T132" i="5"/>
  <c r="U132" i="5"/>
  <c r="P50" i="4"/>
  <c r="W132" i="5"/>
  <c r="Q50" i="4"/>
  <c r="X132" i="5"/>
  <c r="S50" i="4"/>
  <c r="AA132" i="5"/>
  <c r="AH50" i="4"/>
  <c r="T50" i="4" a="1"/>
  <c r="T50" i="4"/>
  <c r="AC132" i="5"/>
  <c r="U50" i="4" a="1"/>
  <c r="U50" i="4"/>
  <c r="AD132" i="5"/>
  <c r="X50" i="4"/>
  <c r="AI132" i="5"/>
  <c r="Y50" i="4"/>
  <c r="AJ132" i="5"/>
  <c r="Z50" i="4"/>
  <c r="AL132" i="5"/>
  <c r="Z132" i="5"/>
  <c r="AN132" i="5"/>
  <c r="AA133" i="5"/>
  <c r="B14" i="4"/>
  <c r="P14" i="4"/>
  <c r="W133" i="5"/>
  <c r="O133" i="5"/>
  <c r="K133" i="5"/>
  <c r="AG133" i="5"/>
  <c r="AF133" i="5"/>
  <c r="C14" i="4"/>
  <c r="C133" i="5"/>
  <c r="D14" i="4"/>
  <c r="E133" i="5"/>
  <c r="I32" i="2"/>
  <c r="I44" i="2"/>
  <c r="I14" i="4"/>
  <c r="L133" i="5"/>
  <c r="J32" i="2"/>
  <c r="J44" i="2"/>
  <c r="J14" i="4"/>
  <c r="N133" i="5"/>
  <c r="L14" i="4"/>
  <c r="Q133" i="5"/>
  <c r="M14" i="4"/>
  <c r="R133" i="5"/>
  <c r="T133" i="5"/>
  <c r="U133" i="5"/>
  <c r="Q14" i="4"/>
  <c r="X133" i="5"/>
  <c r="R32" i="2"/>
  <c r="R44" i="2"/>
  <c r="R14" i="4"/>
  <c r="Z133" i="5"/>
  <c r="AH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AN133" i="5"/>
  <c r="O134" i="5"/>
  <c r="K134" i="5"/>
  <c r="AG134" i="5"/>
  <c r="AF134" i="5"/>
  <c r="B151" i="4"/>
  <c r="C151" i="4"/>
  <c r="C134" i="5"/>
  <c r="D151" i="4"/>
  <c r="E134" i="5"/>
  <c r="I151" i="4"/>
  <c r="L134" i="5"/>
  <c r="J151" i="4"/>
  <c r="N134" i="5"/>
  <c r="L151" i="4"/>
  <c r="Q134" i="5"/>
  <c r="M151" i="4"/>
  <c r="R134" i="5"/>
  <c r="T134" i="5"/>
  <c r="U134" i="5"/>
  <c r="P151" i="4"/>
  <c r="W134" i="5"/>
  <c r="Q151" i="4"/>
  <c r="X134" i="5"/>
  <c r="AA134" i="5"/>
  <c r="AH151" i="4"/>
  <c r="T151" i="4" a="1"/>
  <c r="T151" i="4"/>
  <c r="AC134" i="5"/>
  <c r="U151" i="4" a="1"/>
  <c r="U151" i="4"/>
  <c r="AD134" i="5"/>
  <c r="X151" i="4"/>
  <c r="AI134" i="5"/>
  <c r="Y151" i="4"/>
  <c r="AJ134" i="5"/>
  <c r="Z151" i="4"/>
  <c r="AL134" i="5"/>
  <c r="Z134" i="5"/>
  <c r="AN134" i="5"/>
  <c r="AG135" i="5"/>
  <c r="AF135" i="5"/>
  <c r="B153" i="4"/>
  <c r="C153" i="4"/>
  <c r="C135" i="5"/>
  <c r="D153" i="4"/>
  <c r="E135" i="5"/>
  <c r="H153" i="4"/>
  <c r="K135" i="5"/>
  <c r="L153" i="4"/>
  <c r="Q135" i="5"/>
  <c r="M153" i="4"/>
  <c r="R135" i="5"/>
  <c r="T135" i="5"/>
  <c r="O153" i="4"/>
  <c r="U135" i="5"/>
  <c r="P153" i="4"/>
  <c r="W135" i="5"/>
  <c r="Q153" i="4"/>
  <c r="X135" i="5"/>
  <c r="S153" i="4"/>
  <c r="AA135" i="5"/>
  <c r="AH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L135" i="5"/>
  <c r="N135" i="5"/>
  <c r="O135" i="5"/>
  <c r="Z135" i="5"/>
  <c r="AN135" i="5"/>
  <c r="O136" i="5"/>
  <c r="B154" i="4"/>
  <c r="H154" i="4"/>
  <c r="K136" i="5"/>
  <c r="AG136" i="5"/>
  <c r="AF136" i="5"/>
  <c r="C154" i="4"/>
  <c r="C136" i="5"/>
  <c r="D154" i="4"/>
  <c r="E136" i="5"/>
  <c r="I39" i="2"/>
  <c r="I154" i="4"/>
  <c r="L136" i="5"/>
  <c r="J39" i="2"/>
  <c r="J154" i="4"/>
  <c r="N136" i="5"/>
  <c r="L154" i="4"/>
  <c r="Q136" i="5"/>
  <c r="M154" i="4"/>
  <c r="R136" i="5"/>
  <c r="T136" i="5"/>
  <c r="U136" i="5"/>
  <c r="P154" i="4"/>
  <c r="W136" i="5"/>
  <c r="Q154" i="4"/>
  <c r="X136" i="5"/>
  <c r="AA136" i="5"/>
  <c r="AH154" i="4"/>
  <c r="T154" i="4" a="1"/>
  <c r="T154" i="4"/>
  <c r="AC136" i="5"/>
  <c r="U154" i="4" a="1"/>
  <c r="U154" i="4"/>
  <c r="AD136" i="5"/>
  <c r="X154" i="4"/>
  <c r="AI136" i="5"/>
  <c r="Y154" i="4"/>
  <c r="AJ136" i="5"/>
  <c r="Z154" i="4"/>
  <c r="AL136" i="5"/>
  <c r="Z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H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AN137" i="5"/>
  <c r="AG138" i="5"/>
  <c r="AF138" i="5"/>
  <c r="C35" i="2"/>
  <c r="B155" i="4"/>
  <c r="C31" i="2"/>
  <c r="C155" i="4"/>
  <c r="C138" i="5"/>
  <c r="D35" i="2"/>
  <c r="D31" i="2"/>
  <c r="D155" i="4"/>
  <c r="E138" i="5"/>
  <c r="H35" i="2"/>
  <c r="H31" i="2"/>
  <c r="H155" i="4"/>
  <c r="K138" i="5"/>
  <c r="L35" i="2"/>
  <c r="L31" i="2"/>
  <c r="L155" i="4"/>
  <c r="Q138" i="5"/>
  <c r="M35" i="2"/>
  <c r="M31" i="2"/>
  <c r="M155" i="4"/>
  <c r="R138" i="5"/>
  <c r="T138" i="5"/>
  <c r="O35" i="2"/>
  <c r="O31" i="2"/>
  <c r="O155" i="4"/>
  <c r="U138" i="5"/>
  <c r="P35" i="2"/>
  <c r="P31" i="2"/>
  <c r="P155" i="4"/>
  <c r="W138" i="5"/>
  <c r="Q35" i="2"/>
  <c r="Q31" i="2"/>
  <c r="Q155" i="4"/>
  <c r="X138" i="5"/>
  <c r="S35" i="2"/>
  <c r="S31" i="2"/>
  <c r="S155" i="4"/>
  <c r="AA138" i="5"/>
  <c r="AH155" i="4"/>
  <c r="T155" i="4" a="1"/>
  <c r="T155" i="4"/>
  <c r="AC138" i="5"/>
  <c r="U155" i="4" a="1"/>
  <c r="U155" i="4"/>
  <c r="AD138" i="5"/>
  <c r="X35" i="2"/>
  <c r="X31" i="2"/>
  <c r="X155" i="4"/>
  <c r="AI138" i="5"/>
  <c r="Y35" i="2"/>
  <c r="Y31" i="2"/>
  <c r="Y155" i="4"/>
  <c r="AJ138" i="5"/>
  <c r="Z35" i="2"/>
  <c r="Z31" i="2"/>
  <c r="Z155" i="4"/>
  <c r="AL138" i="5"/>
  <c r="L138" i="5"/>
  <c r="N138" i="5"/>
  <c r="O138" i="5"/>
  <c r="AN138" i="5"/>
  <c r="AG139" i="5"/>
  <c r="AF139" i="5"/>
  <c r="B51" i="4"/>
  <c r="C51" i="4"/>
  <c r="C139" i="5"/>
  <c r="D51" i="4"/>
  <c r="E139" i="5"/>
  <c r="E35" i="2"/>
  <c r="E51" i="4"/>
  <c r="F139" i="5"/>
  <c r="F35" i="2"/>
  <c r="F51" i="4"/>
  <c r="H139" i="5"/>
  <c r="I139" i="5"/>
  <c r="K139" i="5"/>
  <c r="L51" i="4"/>
  <c r="Q139" i="5"/>
  <c r="M51" i="4"/>
  <c r="R139" i="5"/>
  <c r="T139" i="5"/>
  <c r="U139" i="5"/>
  <c r="P51" i="4"/>
  <c r="W139" i="5"/>
  <c r="Q51" i="4"/>
  <c r="X139" i="5"/>
  <c r="S51" i="4"/>
  <c r="AA139" i="5"/>
  <c r="AH51" i="4"/>
  <c r="T51" i="4" a="1"/>
  <c r="T51" i="4"/>
  <c r="AC139" i="5"/>
  <c r="U51" i="4" a="1"/>
  <c r="U51" i="4"/>
  <c r="AD139" i="5"/>
  <c r="X51" i="4"/>
  <c r="AI139" i="5"/>
  <c r="Y51" i="4"/>
  <c r="AJ139" i="5"/>
  <c r="Z51" i="4"/>
  <c r="AL139" i="5"/>
  <c r="L139" i="5"/>
  <c r="N139" i="5"/>
  <c r="O139" i="5"/>
  <c r="AN139" i="5"/>
  <c r="AG140" i="5"/>
  <c r="AF140" i="5"/>
  <c r="B156" i="4"/>
  <c r="C156" i="4"/>
  <c r="C140" i="5"/>
  <c r="D156" i="4"/>
  <c r="E140" i="5"/>
  <c r="E156" i="4"/>
  <c r="F140" i="5"/>
  <c r="F156" i="4"/>
  <c r="H140" i="5"/>
  <c r="I140" i="5"/>
  <c r="H156" i="4"/>
  <c r="K140" i="5"/>
  <c r="L156" i="4"/>
  <c r="Q140" i="5"/>
  <c r="M156" i="4"/>
  <c r="R140" i="5"/>
  <c r="T140" i="5"/>
  <c r="U140" i="5"/>
  <c r="P156" i="4"/>
  <c r="W140" i="5"/>
  <c r="Q156" i="4"/>
  <c r="X140" i="5"/>
  <c r="S156" i="4"/>
  <c r="AA140" i="5"/>
  <c r="AH156" i="4"/>
  <c r="T156" i="4" a="1"/>
  <c r="T156" i="4"/>
  <c r="AC140" i="5"/>
  <c r="U156" i="4" a="1"/>
  <c r="U156" i="4"/>
  <c r="AD140" i="5"/>
  <c r="X156" i="4"/>
  <c r="AI140" i="5"/>
  <c r="Y156" i="4"/>
  <c r="AJ140" i="5"/>
  <c r="Z156" i="4"/>
  <c r="AL140" i="5"/>
  <c r="L140" i="5"/>
  <c r="N140" i="5"/>
  <c r="O140" i="5"/>
  <c r="AN140" i="5"/>
  <c r="AG141" i="5"/>
  <c r="AF141" i="5"/>
  <c r="C157" i="4"/>
  <c r="C141" i="5"/>
  <c r="D157" i="4"/>
  <c r="E141" i="5"/>
  <c r="E157" i="4"/>
  <c r="F141" i="5"/>
  <c r="F157" i="4"/>
  <c r="H141" i="5"/>
  <c r="I141" i="5"/>
  <c r="H157" i="4"/>
  <c r="K141" i="5"/>
  <c r="L157" i="4"/>
  <c r="Q141" i="5"/>
  <c r="M157" i="4"/>
  <c r="R141" i="5"/>
  <c r="T141" i="5"/>
  <c r="O157" i="4"/>
  <c r="U141" i="5"/>
  <c r="P157" i="4"/>
  <c r="W141" i="5"/>
  <c r="Q157" i="4"/>
  <c r="X141" i="5"/>
  <c r="S157" i="4"/>
  <c r="AA141" i="5"/>
  <c r="AH157" i="4"/>
  <c r="T157" i="4" a="1"/>
  <c r="T157" i="4"/>
  <c r="AC141" i="5"/>
  <c r="U157" i="4" a="1"/>
  <c r="U157" i="4"/>
  <c r="AD141" i="5"/>
  <c r="X157" i="4"/>
  <c r="AI141" i="5"/>
  <c r="Y157" i="4"/>
  <c r="AJ141" i="5"/>
  <c r="Z157" i="4"/>
  <c r="AL141" i="5"/>
  <c r="L141" i="5"/>
  <c r="N141" i="5"/>
  <c r="O141" i="5"/>
  <c r="AN141" i="5"/>
  <c r="O142" i="5"/>
  <c r="K142" i="5"/>
  <c r="AG142" i="5"/>
  <c r="AF142" i="5"/>
  <c r="B7" i="4"/>
  <c r="C7" i="4"/>
  <c r="C142" i="5"/>
  <c r="D7" i="4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H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AN142" i="5"/>
  <c r="AG143" i="5"/>
  <c r="AF143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62" i="4"/>
  <c r="K144" i="5"/>
  <c r="AG144" i="5"/>
  <c r="AF144" i="5"/>
  <c r="C262" i="4"/>
  <c r="C144" i="5"/>
  <c r="D262" i="4"/>
  <c r="E144" i="5"/>
  <c r="E262" i="4"/>
  <c r="F144" i="5"/>
  <c r="F262" i="4"/>
  <c r="H144" i="5"/>
  <c r="I144" i="5"/>
  <c r="I30" i="2"/>
  <c r="I262" i="4"/>
  <c r="L144" i="5"/>
  <c r="J30" i="2"/>
  <c r="J262" i="4"/>
  <c r="N144" i="5"/>
  <c r="L262" i="4"/>
  <c r="Q144" i="5"/>
  <c r="M262" i="4"/>
  <c r="R144" i="5"/>
  <c r="T144" i="5"/>
  <c r="O262" i="4"/>
  <c r="U144" i="5"/>
  <c r="P262" i="4"/>
  <c r="W144" i="5"/>
  <c r="Q262" i="4"/>
  <c r="X144" i="5"/>
  <c r="AA144" i="5"/>
  <c r="AH262" i="4"/>
  <c r="T262" i="4" a="1"/>
  <c r="T262" i="4"/>
  <c r="AC144" i="5"/>
  <c r="U262" i="4" a="1"/>
  <c r="U262" i="4"/>
  <c r="AD144" i="5"/>
  <c r="X262" i="4"/>
  <c r="AI144" i="5"/>
  <c r="Y262" i="4"/>
  <c r="AJ144" i="5"/>
  <c r="Z262" i="4"/>
  <c r="AL144" i="5"/>
  <c r="AN144" i="5"/>
  <c r="AG145" i="5"/>
  <c r="AF145" i="5"/>
  <c r="B159" i="4"/>
  <c r="C159" i="4"/>
  <c r="C145" i="5"/>
  <c r="D159" i="4"/>
  <c r="E145" i="5"/>
  <c r="E159" i="4"/>
  <c r="F145" i="5"/>
  <c r="F159" i="4"/>
  <c r="H145" i="5"/>
  <c r="I145" i="5"/>
  <c r="H159" i="4"/>
  <c r="K145" i="5"/>
  <c r="L159" i="4"/>
  <c r="Q145" i="5"/>
  <c r="M159" i="4"/>
  <c r="R145" i="5"/>
  <c r="T145" i="5"/>
  <c r="O159" i="4"/>
  <c r="U145" i="5"/>
  <c r="P159" i="4"/>
  <c r="W145" i="5"/>
  <c r="Q159" i="4"/>
  <c r="X145" i="5"/>
  <c r="S159" i="4"/>
  <c r="AA145" i="5"/>
  <c r="AH159" i="4"/>
  <c r="T159" i="4" a="1"/>
  <c r="T159" i="4"/>
  <c r="AC145" i="5"/>
  <c r="U159" i="4" a="1"/>
  <c r="U159" i="4"/>
  <c r="AD145" i="5"/>
  <c r="X159" i="4"/>
  <c r="AI145" i="5"/>
  <c r="Y159" i="4"/>
  <c r="AJ145" i="5"/>
  <c r="Z159" i="4"/>
  <c r="AL145" i="5"/>
  <c r="L145" i="5"/>
  <c r="N145" i="5"/>
  <c r="O145" i="5"/>
  <c r="AN145" i="5"/>
  <c r="AG146" i="5"/>
  <c r="AF146" i="5"/>
  <c r="B160" i="4"/>
  <c r="C160" i="4"/>
  <c r="C146" i="5"/>
  <c r="D160" i="4"/>
  <c r="E146" i="5"/>
  <c r="E160" i="4"/>
  <c r="F146" i="5"/>
  <c r="F160" i="4"/>
  <c r="H146" i="5"/>
  <c r="I146" i="5"/>
  <c r="H160" i="4"/>
  <c r="K146" i="5"/>
  <c r="L160" i="4"/>
  <c r="Q146" i="5"/>
  <c r="M160" i="4"/>
  <c r="R146" i="5"/>
  <c r="T146" i="5"/>
  <c r="O160" i="4"/>
  <c r="U146" i="5"/>
  <c r="P160" i="4"/>
  <c r="W146" i="5"/>
  <c r="Q160" i="4"/>
  <c r="X146" i="5"/>
  <c r="S160" i="4"/>
  <c r="AA146" i="5"/>
  <c r="AH160" i="4"/>
  <c r="T160" i="4" a="1"/>
  <c r="T160" i="4"/>
  <c r="AC146" i="5"/>
  <c r="U160" i="4" a="1"/>
  <c r="U160" i="4"/>
  <c r="AD146" i="5"/>
  <c r="X160" i="4"/>
  <c r="AI146" i="5"/>
  <c r="Y160" i="4"/>
  <c r="AJ146" i="5"/>
  <c r="Z160" i="4"/>
  <c r="AL146" i="5"/>
  <c r="L146" i="5"/>
  <c r="N146" i="5"/>
  <c r="O146" i="5"/>
  <c r="AN146" i="5"/>
  <c r="O147" i="5"/>
  <c r="K147" i="5"/>
  <c r="AG147" i="5"/>
  <c r="AF147" i="5"/>
  <c r="B162" i="4"/>
  <c r="C162" i="4"/>
  <c r="C147" i="5"/>
  <c r="D162" i="4"/>
  <c r="E147" i="5"/>
  <c r="I162" i="4"/>
  <c r="L147" i="5"/>
  <c r="J162" i="4"/>
  <c r="N147" i="5"/>
  <c r="L162" i="4"/>
  <c r="Q147" i="5"/>
  <c r="M162" i="4"/>
  <c r="R147" i="5"/>
  <c r="T147" i="5"/>
  <c r="U147" i="5"/>
  <c r="P162" i="4"/>
  <c r="W147" i="5"/>
  <c r="Q162" i="4"/>
  <c r="X147" i="5"/>
  <c r="AA147" i="5"/>
  <c r="AH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F147" i="5"/>
  <c r="H147" i="5"/>
  <c r="I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H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H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3" i="4"/>
  <c r="C263" i="4"/>
  <c r="C150" i="5"/>
  <c r="D263" i="4"/>
  <c r="E150" i="5"/>
  <c r="E263" i="4"/>
  <c r="F150" i="5"/>
  <c r="F263" i="4"/>
  <c r="H150" i="5"/>
  <c r="I150" i="5"/>
  <c r="H263" i="4"/>
  <c r="K150" i="5"/>
  <c r="L263" i="4"/>
  <c r="Q150" i="5"/>
  <c r="M263" i="4"/>
  <c r="R150" i="5"/>
  <c r="T150" i="5"/>
  <c r="O263" i="4"/>
  <c r="U150" i="5"/>
  <c r="P263" i="4"/>
  <c r="W150" i="5"/>
  <c r="Q263" i="4"/>
  <c r="X150" i="5"/>
  <c r="AA150" i="5"/>
  <c r="AH263" i="4"/>
  <c r="T263" i="4" a="1"/>
  <c r="T263" i="4"/>
  <c r="AC150" i="5"/>
  <c r="U263" i="4" a="1"/>
  <c r="U263" i="4"/>
  <c r="AD150" i="5"/>
  <c r="X263" i="4"/>
  <c r="AI150" i="5"/>
  <c r="Y263" i="4"/>
  <c r="AJ150" i="5"/>
  <c r="Z263" i="4"/>
  <c r="AL150" i="5"/>
  <c r="L150" i="5"/>
  <c r="N150" i="5"/>
  <c r="O150" i="5"/>
  <c r="Z150" i="5"/>
  <c r="AN150" i="5"/>
  <c r="O151" i="5"/>
  <c r="B164" i="4"/>
  <c r="H164" i="4"/>
  <c r="K151" i="5"/>
  <c r="AG151" i="5"/>
  <c r="AF151" i="5"/>
  <c r="C164" i="4"/>
  <c r="C151" i="5"/>
  <c r="D164" i="4"/>
  <c r="E151" i="5"/>
  <c r="I40" i="2"/>
  <c r="I164" i="4"/>
  <c r="L151" i="5"/>
  <c r="J40" i="2"/>
  <c r="J164" i="4"/>
  <c r="N151" i="5"/>
  <c r="L164" i="4"/>
  <c r="Q151" i="5"/>
  <c r="M164" i="4"/>
  <c r="R151" i="5"/>
  <c r="T151" i="5"/>
  <c r="U151" i="5"/>
  <c r="P164" i="4"/>
  <c r="W151" i="5"/>
  <c r="Q164" i="4"/>
  <c r="X151" i="5"/>
  <c r="S164" i="4"/>
  <c r="AA151" i="5"/>
  <c r="AH164" i="4"/>
  <c r="T164" i="4" a="1"/>
  <c r="T164" i="4"/>
  <c r="AC151" i="5"/>
  <c r="U164" i="4" a="1"/>
  <c r="U164" i="4"/>
  <c r="AD151" i="5"/>
  <c r="X164" i="4"/>
  <c r="AI151" i="5"/>
  <c r="Y164" i="4"/>
  <c r="AJ151" i="5"/>
  <c r="Z164" i="4"/>
  <c r="AL151" i="5"/>
  <c r="F151" i="5"/>
  <c r="H151" i="5"/>
  <c r="I151" i="5"/>
  <c r="Z151" i="5"/>
  <c r="AN151" i="5"/>
  <c r="S34" i="2"/>
  <c r="B273" i="4"/>
  <c r="S273" i="4"/>
  <c r="AA152" i="5"/>
  <c r="P34" i="2"/>
  <c r="P273" i="4"/>
  <c r="W152" i="5"/>
  <c r="AG152" i="5"/>
  <c r="AF152" i="5"/>
  <c r="C34" i="2"/>
  <c r="C273" i="4"/>
  <c r="C152" i="5"/>
  <c r="D34" i="2"/>
  <c r="D273" i="4"/>
  <c r="E152" i="5"/>
  <c r="E34" i="2"/>
  <c r="E273" i="4"/>
  <c r="F152" i="5"/>
  <c r="F34" i="2"/>
  <c r="F273" i="4"/>
  <c r="H152" i="5"/>
  <c r="I152" i="5"/>
  <c r="K152" i="5"/>
  <c r="L34" i="2"/>
  <c r="L273" i="4"/>
  <c r="Q152" i="5"/>
  <c r="M34" i="2"/>
  <c r="M273" i="4"/>
  <c r="R152" i="5"/>
  <c r="T152" i="5"/>
  <c r="O34" i="2"/>
  <c r="O273" i="4"/>
  <c r="U152" i="5"/>
  <c r="Q34" i="2"/>
  <c r="Q273" i="4"/>
  <c r="X152" i="5"/>
  <c r="R34" i="2"/>
  <c r="R35" i="2"/>
  <c r="R273" i="4"/>
  <c r="Z152" i="5"/>
  <c r="AH273" i="4"/>
  <c r="T273" i="4" a="1"/>
  <c r="T273" i="4"/>
  <c r="AC152" i="5"/>
  <c r="U273" i="4" a="1"/>
  <c r="U273" i="4"/>
  <c r="AD152" i="5"/>
  <c r="X34" i="2"/>
  <c r="X273" i="4"/>
  <c r="AI152" i="5"/>
  <c r="Y34" i="2"/>
  <c r="Y273" i="4"/>
  <c r="AJ152" i="5"/>
  <c r="Z34" i="2"/>
  <c r="Z273" i="4"/>
  <c r="AL152" i="5"/>
  <c r="L152" i="5"/>
  <c r="N152" i="5"/>
  <c r="O152" i="5"/>
  <c r="AN152" i="5"/>
  <c r="O153" i="5"/>
  <c r="B166" i="4"/>
  <c r="H166" i="4"/>
  <c r="K153" i="5"/>
  <c r="AG153" i="5"/>
  <c r="AF153" i="5"/>
  <c r="C166" i="4"/>
  <c r="C153" i="5"/>
  <c r="D166" i="4"/>
  <c r="E153" i="5"/>
  <c r="I166" i="4"/>
  <c r="L153" i="5"/>
  <c r="J166" i="4"/>
  <c r="N153" i="5"/>
  <c r="L166" i="4"/>
  <c r="Q153" i="5"/>
  <c r="M166" i="4"/>
  <c r="R153" i="5"/>
  <c r="T153" i="5"/>
  <c r="U153" i="5"/>
  <c r="P166" i="4"/>
  <c r="W153" i="5"/>
  <c r="Q166" i="4"/>
  <c r="X153" i="5"/>
  <c r="S166" i="4"/>
  <c r="AA153" i="5"/>
  <c r="AH166" i="4"/>
  <c r="T166" i="4" a="1"/>
  <c r="T166" i="4"/>
  <c r="AC153" i="5"/>
  <c r="U166" i="4" a="1"/>
  <c r="U166" i="4"/>
  <c r="AD153" i="5"/>
  <c r="X166" i="4"/>
  <c r="AI153" i="5"/>
  <c r="Y166" i="4"/>
  <c r="AJ153" i="5"/>
  <c r="Z166" i="4"/>
  <c r="AL153" i="5"/>
  <c r="F153" i="5"/>
  <c r="H153" i="5"/>
  <c r="I153" i="5"/>
  <c r="Z153" i="5"/>
  <c r="AN153" i="5"/>
  <c r="AG154" i="5"/>
  <c r="AF154" i="5"/>
  <c r="B254" i="4"/>
  <c r="C254" i="4"/>
  <c r="C154" i="5"/>
  <c r="D254" i="4"/>
  <c r="E154" i="5"/>
  <c r="H254" i="4"/>
  <c r="K154" i="5"/>
  <c r="L254" i="4"/>
  <c r="Q154" i="5"/>
  <c r="M254" i="4"/>
  <c r="R154" i="5"/>
  <c r="T154" i="5"/>
  <c r="O254" i="4"/>
  <c r="U154" i="5"/>
  <c r="P254" i="4"/>
  <c r="W154" i="5"/>
  <c r="Q254" i="4"/>
  <c r="X154" i="5"/>
  <c r="AA154" i="5"/>
  <c r="AH254" i="4"/>
  <c r="T254" i="4" a="1"/>
  <c r="T254" i="4"/>
  <c r="AC154" i="5"/>
  <c r="U254" i="4" a="1"/>
  <c r="U254" i="4"/>
  <c r="AD154" i="5"/>
  <c r="X254" i="4"/>
  <c r="AI154" i="5"/>
  <c r="Y254" i="4"/>
  <c r="AJ154" i="5"/>
  <c r="Z254" i="4"/>
  <c r="AL154" i="5"/>
  <c r="F154" i="5"/>
  <c r="H154" i="5"/>
  <c r="I154" i="5"/>
  <c r="L154" i="5"/>
  <c r="N154" i="5"/>
  <c r="O154" i="5"/>
  <c r="Z154" i="5"/>
  <c r="AN154" i="5"/>
  <c r="AG155" i="5"/>
  <c r="AF155" i="5"/>
  <c r="B167" i="4"/>
  <c r="C167" i="4"/>
  <c r="C155" i="5"/>
  <c r="D167" i="4"/>
  <c r="E155" i="5"/>
  <c r="E167" i="4"/>
  <c r="F155" i="5"/>
  <c r="F167" i="4"/>
  <c r="H155" i="5"/>
  <c r="I155" i="5"/>
  <c r="H167" i="4"/>
  <c r="K155" i="5"/>
  <c r="L167" i="4"/>
  <c r="Q155" i="5"/>
  <c r="M167" i="4"/>
  <c r="R155" i="5"/>
  <c r="T155" i="5"/>
  <c r="O167" i="4"/>
  <c r="U155" i="5"/>
  <c r="P167" i="4"/>
  <c r="W155" i="5"/>
  <c r="Q167" i="4"/>
  <c r="X155" i="5"/>
  <c r="S167" i="4"/>
  <c r="AA155" i="5"/>
  <c r="AH167" i="4"/>
  <c r="T167" i="4" a="1"/>
  <c r="T167" i="4"/>
  <c r="AC155" i="5"/>
  <c r="U167" i="4" a="1"/>
  <c r="U167" i="4"/>
  <c r="AD155" i="5"/>
  <c r="X167" i="4"/>
  <c r="AI155" i="5"/>
  <c r="Y167" i="4"/>
  <c r="AJ155" i="5"/>
  <c r="Z167" i="4"/>
  <c r="AL155" i="5"/>
  <c r="L155" i="5"/>
  <c r="N155" i="5"/>
  <c r="O155" i="5"/>
  <c r="Z155" i="5"/>
  <c r="AN155" i="5"/>
  <c r="AA156" i="5"/>
  <c r="B296" i="4"/>
  <c r="P296" i="4"/>
  <c r="W156" i="5"/>
  <c r="O156" i="5"/>
  <c r="H296" i="4"/>
  <c r="K156" i="5"/>
  <c r="AG156" i="5"/>
  <c r="AF156" i="5"/>
  <c r="C296" i="4"/>
  <c r="C156" i="5"/>
  <c r="D296" i="4"/>
  <c r="E156" i="5"/>
  <c r="I296" i="4"/>
  <c r="L156" i="5"/>
  <c r="J296" i="4"/>
  <c r="N156" i="5"/>
  <c r="L296" i="4"/>
  <c r="Q156" i="5"/>
  <c r="M296" i="4"/>
  <c r="R156" i="5"/>
  <c r="T156" i="5"/>
  <c r="O296" i="4"/>
  <c r="U156" i="5"/>
  <c r="Q296" i="4"/>
  <c r="X156" i="5"/>
  <c r="R40" i="2"/>
  <c r="R296" i="4"/>
  <c r="Z156" i="5"/>
  <c r="AH296" i="4"/>
  <c r="T296" i="4" a="1"/>
  <c r="T296" i="4"/>
  <c r="AC156" i="5"/>
  <c r="U296" i="4" a="1"/>
  <c r="U296" i="4"/>
  <c r="AD156" i="5"/>
  <c r="X296" i="4"/>
  <c r="AI156" i="5"/>
  <c r="Y296" i="4"/>
  <c r="AJ156" i="5"/>
  <c r="Z296" i="4"/>
  <c r="AL156" i="5"/>
  <c r="F156" i="5"/>
  <c r="H156" i="5"/>
  <c r="I156" i="5"/>
  <c r="AN156" i="5"/>
  <c r="AG157" i="5"/>
  <c r="AF157" i="5"/>
  <c r="B168" i="4"/>
  <c r="C168" i="4"/>
  <c r="C157" i="5"/>
  <c r="D168" i="4"/>
  <c r="E157" i="5"/>
  <c r="H168" i="4"/>
  <c r="K157" i="5"/>
  <c r="L168" i="4"/>
  <c r="Q157" i="5"/>
  <c r="M168" i="4"/>
  <c r="R157" i="5"/>
  <c r="T157" i="5"/>
  <c r="U157" i="5"/>
  <c r="P168" i="4"/>
  <c r="W157" i="5"/>
  <c r="Q168" i="4"/>
  <c r="X157" i="5"/>
  <c r="S168" i="4"/>
  <c r="AA157" i="5"/>
  <c r="AH168" i="4"/>
  <c r="T168" i="4" a="1"/>
  <c r="T168" i="4"/>
  <c r="AC157" i="5"/>
  <c r="U168" i="4" a="1"/>
  <c r="U168" i="4"/>
  <c r="AD157" i="5"/>
  <c r="X168" i="4"/>
  <c r="AI157" i="5"/>
  <c r="Y168" i="4"/>
  <c r="AJ157" i="5"/>
  <c r="Z168" i="4"/>
  <c r="AL157" i="5"/>
  <c r="F157" i="5"/>
  <c r="H157" i="5"/>
  <c r="I157" i="5"/>
  <c r="AN157" i="5"/>
  <c r="AG158" i="5"/>
  <c r="AF158" i="5"/>
  <c r="B169" i="4"/>
  <c r="C169" i="4"/>
  <c r="C158" i="5"/>
  <c r="D169" i="4"/>
  <c r="E158" i="5"/>
  <c r="E169" i="4"/>
  <c r="F158" i="5"/>
  <c r="F169" i="4"/>
  <c r="H158" i="5"/>
  <c r="I158" i="5"/>
  <c r="H169" i="4"/>
  <c r="K158" i="5"/>
  <c r="L169" i="4"/>
  <c r="Q158" i="5"/>
  <c r="M169" i="4"/>
  <c r="R158" i="5"/>
  <c r="T158" i="5"/>
  <c r="O169" i="4"/>
  <c r="U158" i="5"/>
  <c r="P169" i="4"/>
  <c r="W158" i="5"/>
  <c r="Q169" i="4"/>
  <c r="X158" i="5"/>
  <c r="S169" i="4"/>
  <c r="AA158" i="5"/>
  <c r="AH169" i="4"/>
  <c r="T169" i="4" a="1"/>
  <c r="T169" i="4"/>
  <c r="AC158" i="5"/>
  <c r="U169" i="4" a="1"/>
  <c r="U169" i="4"/>
  <c r="AD158" i="5"/>
  <c r="X169" i="4"/>
  <c r="AI158" i="5"/>
  <c r="Y169" i="4"/>
  <c r="AJ158" i="5"/>
  <c r="Z169" i="4"/>
  <c r="AL158" i="5"/>
  <c r="AN158" i="5"/>
  <c r="AG159" i="5"/>
  <c r="AF159" i="5"/>
  <c r="B170" i="4"/>
  <c r="C170" i="4"/>
  <c r="C159" i="5"/>
  <c r="D170" i="4"/>
  <c r="E159" i="5"/>
  <c r="E170" i="4"/>
  <c r="F159" i="5"/>
  <c r="F170" i="4"/>
  <c r="H159" i="5"/>
  <c r="I159" i="5"/>
  <c r="H170" i="4"/>
  <c r="K159" i="5"/>
  <c r="L170" i="4"/>
  <c r="Q159" i="5"/>
  <c r="M170" i="4"/>
  <c r="R159" i="5"/>
  <c r="T159" i="5"/>
  <c r="O170" i="4"/>
  <c r="U159" i="5"/>
  <c r="P170" i="4"/>
  <c r="W159" i="5"/>
  <c r="Q170" i="4"/>
  <c r="X159" i="5"/>
  <c r="S170" i="4"/>
  <c r="AA159" i="5"/>
  <c r="AH170" i="4"/>
  <c r="T170" i="4" a="1"/>
  <c r="T170" i="4"/>
  <c r="AC159" i="5"/>
  <c r="U170" i="4" a="1"/>
  <c r="U170" i="4"/>
  <c r="AD159" i="5"/>
  <c r="X170" i="4"/>
  <c r="AI159" i="5"/>
  <c r="Y170" i="4"/>
  <c r="AJ159" i="5"/>
  <c r="Z170" i="4"/>
  <c r="AL159" i="5"/>
  <c r="AN159" i="5"/>
  <c r="AG160" i="5"/>
  <c r="AF160" i="5"/>
  <c r="B171" i="4"/>
  <c r="C171" i="4"/>
  <c r="C160" i="5"/>
  <c r="D171" i="4"/>
  <c r="E160" i="5"/>
  <c r="E171" i="4"/>
  <c r="F160" i="5"/>
  <c r="F171" i="4"/>
  <c r="H160" i="5"/>
  <c r="I160" i="5"/>
  <c r="H171" i="4"/>
  <c r="K160" i="5"/>
  <c r="L171" i="4"/>
  <c r="Q160" i="5"/>
  <c r="M171" i="4"/>
  <c r="R160" i="5"/>
  <c r="T160" i="5"/>
  <c r="O171" i="4"/>
  <c r="U160" i="5"/>
  <c r="P171" i="4"/>
  <c r="W160" i="5"/>
  <c r="Q171" i="4"/>
  <c r="X160" i="5"/>
  <c r="S171" i="4"/>
  <c r="AA160" i="5"/>
  <c r="AH171" i="4"/>
  <c r="T171" i="4" a="1"/>
  <c r="T171" i="4"/>
  <c r="AC160" i="5"/>
  <c r="U171" i="4" a="1"/>
  <c r="U171" i="4"/>
  <c r="AD160" i="5"/>
  <c r="X171" i="4"/>
  <c r="AI160" i="5"/>
  <c r="Y171" i="4"/>
  <c r="AJ160" i="5"/>
  <c r="Z171" i="4"/>
  <c r="AL160" i="5"/>
  <c r="AN160" i="5"/>
  <c r="AG161" i="5"/>
  <c r="AF161" i="5"/>
  <c r="B172" i="4"/>
  <c r="C172" i="4"/>
  <c r="C161" i="5"/>
  <c r="D172" i="4"/>
  <c r="E161" i="5"/>
  <c r="H172" i="4"/>
  <c r="K161" i="5"/>
  <c r="L172" i="4"/>
  <c r="Q161" i="5"/>
  <c r="M172" i="4"/>
  <c r="R161" i="5"/>
  <c r="N27" i="2"/>
  <c r="N172" i="4"/>
  <c r="T161" i="5"/>
  <c r="O172" i="4"/>
  <c r="U161" i="5"/>
  <c r="P172" i="4"/>
  <c r="W161" i="5"/>
  <c r="Q172" i="4"/>
  <c r="X161" i="5"/>
  <c r="AA161" i="5"/>
  <c r="AH172" i="4"/>
  <c r="T172" i="4" a="1"/>
  <c r="T172" i="4"/>
  <c r="AC161" i="5"/>
  <c r="U172" i="4" a="1"/>
  <c r="U172" i="4"/>
  <c r="AD161" i="5"/>
  <c r="X172" i="4"/>
  <c r="AI161" i="5"/>
  <c r="Y172" i="4"/>
  <c r="AJ161" i="5"/>
  <c r="Z172" i="4"/>
  <c r="AL161" i="5"/>
  <c r="F161" i="5"/>
  <c r="AN161" i="5"/>
  <c r="AG162" i="5"/>
  <c r="AF162" i="5"/>
  <c r="B173" i="4"/>
  <c r="C173" i="4"/>
  <c r="C162" i="5"/>
  <c r="D173" i="4"/>
  <c r="E162" i="5"/>
  <c r="H173" i="4"/>
  <c r="K162" i="5"/>
  <c r="L173" i="4"/>
  <c r="Q162" i="5"/>
  <c r="M173" i="4"/>
  <c r="R162" i="5"/>
  <c r="T162" i="5"/>
  <c r="U162" i="5"/>
  <c r="P173" i="4"/>
  <c r="W162" i="5"/>
  <c r="Q173" i="4"/>
  <c r="X162" i="5"/>
  <c r="AA162" i="5"/>
  <c r="AH173" i="4"/>
  <c r="T173" i="4" a="1"/>
  <c r="T173" i="4"/>
  <c r="AC162" i="5"/>
  <c r="U173" i="4" a="1"/>
  <c r="U173" i="4"/>
  <c r="AD162" i="5"/>
  <c r="Y173" i="4"/>
  <c r="AJ162" i="5"/>
  <c r="Z173" i="4"/>
  <c r="AL162" i="5"/>
  <c r="F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O175" i="4"/>
  <c r="U163" i="5"/>
  <c r="P175" i="4"/>
  <c r="W163" i="5"/>
  <c r="Q175" i="4"/>
  <c r="X163" i="5"/>
  <c r="S175" i="4"/>
  <c r="AA163" i="5"/>
  <c r="AH175" i="4"/>
  <c r="T175" i="4" a="1"/>
  <c r="T175" i="4"/>
  <c r="AC163" i="5"/>
  <c r="U175" i="4" a="1"/>
  <c r="U175" i="4"/>
  <c r="AD163" i="5"/>
  <c r="X175" i="4"/>
  <c r="AI163" i="5"/>
  <c r="Y175" i="4"/>
  <c r="AJ163" i="5"/>
  <c r="Z175" i="4"/>
  <c r="AL163" i="5"/>
  <c r="F163" i="5"/>
  <c r="AN163" i="5"/>
  <c r="O164" i="5"/>
  <c r="K164" i="5"/>
  <c r="AG164" i="5"/>
  <c r="AF164" i="5"/>
  <c r="B288" i="4"/>
  <c r="C288" i="4"/>
  <c r="C164" i="5"/>
  <c r="D288" i="4"/>
  <c r="E164" i="5"/>
  <c r="E288" i="4"/>
  <c r="F164" i="5"/>
  <c r="F288" i="4"/>
  <c r="H164" i="5"/>
  <c r="I164" i="5"/>
  <c r="I18" i="2"/>
  <c r="I288" i="4"/>
  <c r="L164" i="5"/>
  <c r="J18" i="2"/>
  <c r="J288" i="4"/>
  <c r="N164" i="5"/>
  <c r="L288" i="4"/>
  <c r="Q164" i="5"/>
  <c r="M288" i="4"/>
  <c r="R164" i="5"/>
  <c r="T164" i="5"/>
  <c r="O288" i="4"/>
  <c r="U164" i="5"/>
  <c r="P288" i="4"/>
  <c r="W164" i="5"/>
  <c r="Q288" i="4"/>
  <c r="X164" i="5"/>
  <c r="S288" i="4"/>
  <c r="AA164" i="5"/>
  <c r="AH288" i="4"/>
  <c r="T288" i="4" a="1"/>
  <c r="T288" i="4"/>
  <c r="AC164" i="5"/>
  <c r="U288" i="4" a="1"/>
  <c r="U288" i="4"/>
  <c r="AD164" i="5"/>
  <c r="X288" i="4"/>
  <c r="AI164" i="5"/>
  <c r="Y288" i="4"/>
  <c r="AJ164" i="5"/>
  <c r="Z288" i="4"/>
  <c r="AL164" i="5"/>
  <c r="AN164" i="5"/>
  <c r="O165" i="5"/>
  <c r="B289" i="4"/>
  <c r="H289" i="4"/>
  <c r="K165" i="5"/>
  <c r="AG165" i="5"/>
  <c r="AF165" i="5"/>
  <c r="C289" i="4"/>
  <c r="C165" i="5"/>
  <c r="D289" i="4"/>
  <c r="E165" i="5"/>
  <c r="E15" i="2"/>
  <c r="E289" i="4"/>
  <c r="F165" i="5"/>
  <c r="F15" i="2"/>
  <c r="F289" i="4"/>
  <c r="H165" i="5"/>
  <c r="I165" i="5"/>
  <c r="L165" i="5"/>
  <c r="J15" i="2"/>
  <c r="J289" i="4"/>
  <c r="N165" i="5"/>
  <c r="L289" i="4"/>
  <c r="Q165" i="5"/>
  <c r="M289" i="4"/>
  <c r="R165" i="5"/>
  <c r="T165" i="5"/>
  <c r="O289" i="4"/>
  <c r="U165" i="5"/>
  <c r="P289" i="4"/>
  <c r="W165" i="5"/>
  <c r="Q289" i="4"/>
  <c r="X165" i="5"/>
  <c r="S289" i="4"/>
  <c r="AA165" i="5"/>
  <c r="AH289" i="4"/>
  <c r="T289" i="4" a="1"/>
  <c r="T289" i="4"/>
  <c r="AC165" i="5"/>
  <c r="U289" i="4" a="1"/>
  <c r="U289" i="4"/>
  <c r="AD165" i="5"/>
  <c r="X289" i="4"/>
  <c r="AI165" i="5"/>
  <c r="Y289" i="4"/>
  <c r="AJ165" i="5"/>
  <c r="Z289" i="4"/>
  <c r="AL165" i="5"/>
  <c r="AN165" i="5"/>
  <c r="O166" i="5"/>
  <c r="B290" i="4"/>
  <c r="H290" i="4"/>
  <c r="K166" i="5"/>
  <c r="AG166" i="5"/>
  <c r="AF166" i="5"/>
  <c r="C290" i="4"/>
  <c r="C166" i="5"/>
  <c r="D290" i="4"/>
  <c r="E166" i="5"/>
  <c r="E290" i="4"/>
  <c r="F166" i="5"/>
  <c r="F290" i="4"/>
  <c r="H166" i="5"/>
  <c r="I166" i="5"/>
  <c r="I16" i="2"/>
  <c r="I290" i="4"/>
  <c r="L166" i="5"/>
  <c r="J16" i="2"/>
  <c r="J290" i="4"/>
  <c r="N166" i="5"/>
  <c r="L290" i="4"/>
  <c r="Q166" i="5"/>
  <c r="M290" i="4"/>
  <c r="R166" i="5"/>
  <c r="T166" i="5"/>
  <c r="O290" i="4"/>
  <c r="U166" i="5"/>
  <c r="P290" i="4"/>
  <c r="W166" i="5"/>
  <c r="Q290" i="4"/>
  <c r="X166" i="5"/>
  <c r="AA166" i="5"/>
  <c r="AH290" i="4"/>
  <c r="T290" i="4" a="1"/>
  <c r="T290" i="4"/>
  <c r="AC166" i="5"/>
  <c r="U290" i="4" a="1"/>
  <c r="U290" i="4"/>
  <c r="AD166" i="5"/>
  <c r="AI166" i="5"/>
  <c r="Y290" i="4"/>
  <c r="AJ166" i="5"/>
  <c r="Z290" i="4"/>
  <c r="AL166" i="5"/>
  <c r="AN166" i="5"/>
  <c r="AG167" i="5"/>
  <c r="AF167" i="5"/>
  <c r="B56" i="4"/>
  <c r="C56" i="4"/>
  <c r="C167" i="5"/>
  <c r="D56" i="4"/>
  <c r="E167" i="5"/>
  <c r="K167" i="5"/>
  <c r="L56" i="4"/>
  <c r="Q167" i="5"/>
  <c r="M56" i="4"/>
  <c r="R167" i="5"/>
  <c r="T167" i="5"/>
  <c r="U167" i="5"/>
  <c r="P56" i="4"/>
  <c r="W167" i="5"/>
  <c r="Q56" i="4"/>
  <c r="X167" i="5"/>
  <c r="S56" i="4"/>
  <c r="AA167" i="5"/>
  <c r="AH56" i="4"/>
  <c r="T56" i="4" a="1"/>
  <c r="T56" i="4"/>
  <c r="AC167" i="5"/>
  <c r="U56" i="4" a="1"/>
  <c r="U56" i="4"/>
  <c r="AD167" i="5"/>
  <c r="X56" i="4"/>
  <c r="AI167" i="5"/>
  <c r="Y56" i="4"/>
  <c r="AJ167" i="5"/>
  <c r="Z56" i="4"/>
  <c r="AL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H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O58" i="4"/>
  <c r="U169" i="5"/>
  <c r="P58" i="4"/>
  <c r="W169" i="5"/>
  <c r="Q58" i="4"/>
  <c r="X169" i="5"/>
  <c r="S58" i="4"/>
  <c r="AA169" i="5"/>
  <c r="AH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AN169" i="5"/>
  <c r="AG170" i="5"/>
  <c r="AF170" i="5"/>
  <c r="B291" i="4"/>
  <c r="C291" i="4"/>
  <c r="C170" i="5"/>
  <c r="D291" i="4"/>
  <c r="E170" i="5"/>
  <c r="H291" i="4"/>
  <c r="K170" i="5"/>
  <c r="L291" i="4"/>
  <c r="Q170" i="5"/>
  <c r="M291" i="4"/>
  <c r="R170" i="5"/>
  <c r="T170" i="5"/>
  <c r="O291" i="4"/>
  <c r="U170" i="5"/>
  <c r="P291" i="4"/>
  <c r="W170" i="5"/>
  <c r="Q291" i="4"/>
  <c r="X170" i="5"/>
  <c r="S291" i="4"/>
  <c r="AA170" i="5"/>
  <c r="AH291" i="4"/>
  <c r="T291" i="4" a="1"/>
  <c r="T291" i="4"/>
  <c r="AC170" i="5"/>
  <c r="U291" i="4" a="1"/>
  <c r="U291" i="4"/>
  <c r="AD170" i="5"/>
  <c r="X291" i="4"/>
  <c r="AI170" i="5"/>
  <c r="Y291" i="4"/>
  <c r="AJ170" i="5"/>
  <c r="Z291" i="4"/>
  <c r="AL170" i="5"/>
  <c r="AN170" i="5"/>
  <c r="AG171" i="5"/>
  <c r="AF171" i="5"/>
  <c r="B59" i="4"/>
  <c r="C59" i="4"/>
  <c r="C171" i="5"/>
  <c r="D59" i="4"/>
  <c r="E171" i="5"/>
  <c r="K171" i="5"/>
  <c r="L59" i="4"/>
  <c r="Q171" i="5"/>
  <c r="M59" i="4"/>
  <c r="R171" i="5"/>
  <c r="T171" i="5"/>
  <c r="U171" i="5"/>
  <c r="P59" i="4"/>
  <c r="W171" i="5"/>
  <c r="Q59" i="4"/>
  <c r="X171" i="5"/>
  <c r="S59" i="4"/>
  <c r="AA171" i="5"/>
  <c r="AH59" i="4"/>
  <c r="T59" i="4" a="1"/>
  <c r="T59" i="4"/>
  <c r="AC171" i="5"/>
  <c r="U59" i="4" a="1"/>
  <c r="U59" i="4"/>
  <c r="AD171" i="5"/>
  <c r="X59" i="4"/>
  <c r="AI171" i="5"/>
  <c r="Y59" i="4"/>
  <c r="AJ171" i="5"/>
  <c r="Z59" i="4"/>
  <c r="AL171" i="5"/>
  <c r="AN171" i="5"/>
  <c r="AG172" i="5"/>
  <c r="AF172" i="5"/>
  <c r="B60" i="4"/>
  <c r="C60" i="4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H60" i="4"/>
  <c r="T60" i="4" a="1"/>
  <c r="T60" i="4"/>
  <c r="AC172" i="5"/>
  <c r="U60" i="4" a="1"/>
  <c r="U60" i="4"/>
  <c r="AD172" i="5"/>
  <c r="AI172" i="5"/>
  <c r="Y60" i="4"/>
  <c r="AJ172" i="5"/>
  <c r="Z60" i="4"/>
  <c r="AL172" i="5"/>
  <c r="AN172" i="5"/>
  <c r="B255" i="4"/>
  <c r="S255" i="4"/>
  <c r="AA173" i="5"/>
  <c r="P255" i="4"/>
  <c r="W173" i="5"/>
  <c r="O173" i="5"/>
  <c r="K173" i="5"/>
  <c r="AG173" i="5"/>
  <c r="AF173" i="5"/>
  <c r="C255" i="4"/>
  <c r="C173" i="5"/>
  <c r="D255" i="4"/>
  <c r="E173" i="5"/>
  <c r="E255" i="4"/>
  <c r="F173" i="5"/>
  <c r="F255" i="4"/>
  <c r="H173" i="5"/>
  <c r="I173" i="5"/>
  <c r="L255" i="4"/>
  <c r="Q173" i="5"/>
  <c r="M255" i="4"/>
  <c r="R173" i="5"/>
  <c r="T173" i="5"/>
  <c r="O255" i="4"/>
  <c r="U173" i="5"/>
  <c r="Q255" i="4"/>
  <c r="X173" i="5"/>
  <c r="R18" i="2"/>
  <c r="R255" i="4"/>
  <c r="Z173" i="5"/>
  <c r="AH255" i="4"/>
  <c r="T255" i="4" a="1"/>
  <c r="T255" i="4"/>
  <c r="AC173" i="5"/>
  <c r="U255" i="4" a="1"/>
  <c r="U255" i="4"/>
  <c r="AD173" i="5"/>
  <c r="X255" i="4"/>
  <c r="AI173" i="5"/>
  <c r="Y255" i="4"/>
  <c r="AJ173" i="5"/>
  <c r="Z255" i="4"/>
  <c r="AL173" i="5"/>
  <c r="AN173" i="5"/>
  <c r="B176" i="4"/>
  <c r="S176" i="4"/>
  <c r="AA174" i="5"/>
  <c r="P176" i="4"/>
  <c r="W174" i="5"/>
  <c r="O174" i="5"/>
  <c r="H2" i="2"/>
  <c r="H176" i="4"/>
  <c r="K174" i="5"/>
  <c r="AG174" i="5"/>
  <c r="AF174" i="5"/>
  <c r="C176" i="4"/>
  <c r="C174" i="5"/>
  <c r="D176" i="4"/>
  <c r="E174" i="5"/>
  <c r="E2" i="2"/>
  <c r="E176" i="4"/>
  <c r="F174" i="5"/>
  <c r="F2" i="2"/>
  <c r="F176" i="4"/>
  <c r="H174" i="5"/>
  <c r="I174" i="5"/>
  <c r="I2" i="2"/>
  <c r="I176" i="4"/>
  <c r="L174" i="5"/>
  <c r="J2" i="2"/>
  <c r="J176" i="4"/>
  <c r="N174" i="5"/>
  <c r="L176" i="4"/>
  <c r="Q174" i="5"/>
  <c r="M176" i="4"/>
  <c r="R174" i="5"/>
  <c r="T174" i="5"/>
  <c r="U174" i="5"/>
  <c r="Q176" i="4"/>
  <c r="X174" i="5"/>
  <c r="R2" i="2"/>
  <c r="R176" i="4"/>
  <c r="Z174" i="5"/>
  <c r="AH176" i="4"/>
  <c r="T176" i="4" a="1"/>
  <c r="T176" i="4"/>
  <c r="AC174" i="5"/>
  <c r="U176" i="4" a="1"/>
  <c r="U176" i="4"/>
  <c r="AD174" i="5"/>
  <c r="X176" i="4"/>
  <c r="AI174" i="5"/>
  <c r="Y176" i="4"/>
  <c r="AJ174" i="5"/>
  <c r="Z176" i="4"/>
  <c r="AL174" i="5"/>
  <c r="AN174" i="5"/>
  <c r="AA175" i="5"/>
  <c r="B283" i="4"/>
  <c r="P283" i="4"/>
  <c r="W175" i="5"/>
  <c r="O175" i="5"/>
  <c r="K175" i="5"/>
  <c r="AG175" i="5"/>
  <c r="AF175" i="5"/>
  <c r="C283" i="4"/>
  <c r="C175" i="5"/>
  <c r="D283" i="4"/>
  <c r="E175" i="5"/>
  <c r="L175" i="5"/>
  <c r="N175" i="5"/>
  <c r="L283" i="4"/>
  <c r="Q175" i="5"/>
  <c r="O283" i="4"/>
  <c r="U175" i="5"/>
  <c r="Q283" i="4"/>
  <c r="X175" i="5"/>
  <c r="R283" i="4"/>
  <c r="Z175" i="5"/>
  <c r="AH283" i="4"/>
  <c r="T283" i="4" a="1"/>
  <c r="T283" i="4"/>
  <c r="AC175" i="5"/>
  <c r="AD175" i="5"/>
  <c r="X283" i="4"/>
  <c r="AI175" i="5"/>
  <c r="Y283" i="4"/>
  <c r="AJ175" i="5"/>
  <c r="Z283" i="4"/>
  <c r="AL175" i="5"/>
  <c r="F175" i="5"/>
  <c r="R175" i="5"/>
  <c r="T175" i="5"/>
  <c r="AN175" i="5"/>
  <c r="AA176" i="5"/>
  <c r="B280" i="4"/>
  <c r="P280" i="4"/>
  <c r="W176" i="5"/>
  <c r="O176" i="5"/>
  <c r="K176" i="5"/>
  <c r="AG176" i="5"/>
  <c r="AF176" i="5"/>
  <c r="C280" i="4"/>
  <c r="C176" i="5"/>
  <c r="D280" i="4"/>
  <c r="E176" i="5"/>
  <c r="L176" i="5"/>
  <c r="N176" i="5"/>
  <c r="L280" i="4"/>
  <c r="Q176" i="5"/>
  <c r="O280" i="4"/>
  <c r="U176" i="5"/>
  <c r="Q280" i="4"/>
  <c r="X176" i="5"/>
  <c r="R280" i="4"/>
  <c r="Z176" i="5"/>
  <c r="AH280" i="4"/>
  <c r="T280" i="4" a="1"/>
  <c r="T280" i="4"/>
  <c r="AC176" i="5"/>
  <c r="AD176" i="5"/>
  <c r="X280" i="4"/>
  <c r="AI176" i="5"/>
  <c r="Y280" i="4"/>
  <c r="AJ176" i="5"/>
  <c r="Z280" i="4"/>
  <c r="AL176" i="5"/>
  <c r="F176" i="5"/>
  <c r="R176" i="5"/>
  <c r="T176" i="5"/>
  <c r="AN176" i="5"/>
  <c r="AA177" i="5"/>
  <c r="B284" i="4"/>
  <c r="P284" i="4"/>
  <c r="W177" i="5"/>
  <c r="O177" i="5"/>
  <c r="H284" i="4"/>
  <c r="K177" i="5"/>
  <c r="AG177" i="5"/>
  <c r="AF177" i="5"/>
  <c r="C284" i="4"/>
  <c r="C177" i="5"/>
  <c r="D284" i="4"/>
  <c r="E177" i="5"/>
  <c r="L177" i="5"/>
  <c r="J284" i="4"/>
  <c r="N177" i="5"/>
  <c r="L284" i="4"/>
  <c r="Q177" i="5"/>
  <c r="M284" i="4"/>
  <c r="R177" i="5"/>
  <c r="T177" i="5"/>
  <c r="O284" i="4"/>
  <c r="U177" i="5"/>
  <c r="Q284" i="4"/>
  <c r="X177" i="5"/>
  <c r="R284" i="4"/>
  <c r="Z177" i="5"/>
  <c r="AH284" i="4"/>
  <c r="T284" i="4" a="1"/>
  <c r="T284" i="4"/>
  <c r="AC177" i="5"/>
  <c r="AD177" i="5"/>
  <c r="X284" i="4"/>
  <c r="AI177" i="5"/>
  <c r="Y284" i="4"/>
  <c r="AJ177" i="5"/>
  <c r="Z284" i="4"/>
  <c r="AL177" i="5"/>
  <c r="F177" i="5"/>
  <c r="AN177" i="5"/>
  <c r="AG178" i="5"/>
  <c r="AF178" i="5"/>
  <c r="B177" i="4"/>
  <c r="C177" i="4"/>
  <c r="C178" i="5"/>
  <c r="D177" i="4"/>
  <c r="E178" i="5"/>
  <c r="H177" i="4"/>
  <c r="K178" i="5"/>
  <c r="L177" i="4"/>
  <c r="Q178" i="5"/>
  <c r="M177" i="4"/>
  <c r="R178" i="5"/>
  <c r="T178" i="5"/>
  <c r="U178" i="5"/>
  <c r="P177" i="4"/>
  <c r="W178" i="5"/>
  <c r="Q177" i="4"/>
  <c r="X178" i="5"/>
  <c r="S177" i="4"/>
  <c r="AA178" i="5"/>
  <c r="AH177" i="4"/>
  <c r="T177" i="4" a="1"/>
  <c r="T177" i="4"/>
  <c r="AC178" i="5"/>
  <c r="U177" i="4" a="1"/>
  <c r="U177" i="4"/>
  <c r="AD178" i="5"/>
  <c r="X177" i="4"/>
  <c r="AI178" i="5"/>
  <c r="Y177" i="4"/>
  <c r="AJ178" i="5"/>
  <c r="Z177" i="4"/>
  <c r="AL178" i="5"/>
  <c r="F178" i="5"/>
  <c r="L178" i="5"/>
  <c r="N178" i="5"/>
  <c r="O178" i="5"/>
  <c r="Z178" i="5"/>
  <c r="AN178" i="5"/>
  <c r="AG179" i="5"/>
  <c r="AF179" i="5"/>
  <c r="B178" i="4"/>
  <c r="C178" i="4"/>
  <c r="C179" i="5"/>
  <c r="D178" i="4"/>
  <c r="E179" i="5"/>
  <c r="E178" i="4"/>
  <c r="F179" i="5"/>
  <c r="F178" i="4"/>
  <c r="H179" i="5"/>
  <c r="I179" i="5"/>
  <c r="H178" i="4"/>
  <c r="K179" i="5"/>
  <c r="L178" i="4"/>
  <c r="Q179" i="5"/>
  <c r="M178" i="4"/>
  <c r="R179" i="5"/>
  <c r="T179" i="5"/>
  <c r="O178" i="4"/>
  <c r="U179" i="5"/>
  <c r="P178" i="4"/>
  <c r="W179" i="5"/>
  <c r="Q178" i="4"/>
  <c r="X179" i="5"/>
  <c r="S178" i="4"/>
  <c r="AA179" i="5"/>
  <c r="AH178" i="4"/>
  <c r="T178" i="4" a="1"/>
  <c r="T178" i="4"/>
  <c r="AC179" i="5"/>
  <c r="U178" i="4" a="1"/>
  <c r="U178" i="4"/>
  <c r="AD179" i="5"/>
  <c r="X178" i="4"/>
  <c r="AI179" i="5"/>
  <c r="Y178" i="4"/>
  <c r="AJ179" i="5"/>
  <c r="Z178" i="4"/>
  <c r="AL179" i="5"/>
  <c r="L179" i="5"/>
  <c r="N179" i="5"/>
  <c r="O179" i="5"/>
  <c r="Z179" i="5"/>
  <c r="AN179" i="5"/>
  <c r="B61" i="4"/>
  <c r="S61" i="4"/>
  <c r="AA180" i="5"/>
  <c r="P61" i="4"/>
  <c r="W180" i="5"/>
  <c r="O180" i="5"/>
  <c r="K180" i="5"/>
  <c r="AG180" i="5"/>
  <c r="AF180" i="5"/>
  <c r="C61" i="4"/>
  <c r="C180" i="5"/>
  <c r="D61" i="4"/>
  <c r="E180" i="5"/>
  <c r="E61" i="4"/>
  <c r="F180" i="5"/>
  <c r="F61" i="4"/>
  <c r="H180" i="5"/>
  <c r="I180" i="5"/>
  <c r="I61" i="4"/>
  <c r="L180" i="5"/>
  <c r="J61" i="4"/>
  <c r="N180" i="5"/>
  <c r="L61" i="4"/>
  <c r="Q180" i="5"/>
  <c r="M61" i="4"/>
  <c r="R180" i="5"/>
  <c r="T180" i="5"/>
  <c r="U180" i="5"/>
  <c r="Q61" i="4"/>
  <c r="X180" i="5"/>
  <c r="R61" i="4"/>
  <c r="Z180" i="5"/>
  <c r="AH61" i="4"/>
  <c r="T61" i="4" a="1"/>
  <c r="T61" i="4"/>
  <c r="AC180" i="5"/>
  <c r="U61" i="4" a="1"/>
  <c r="U61" i="4"/>
  <c r="AD180" i="5"/>
  <c r="AI180" i="5"/>
  <c r="Y61" i="4"/>
  <c r="AJ180" i="5"/>
  <c r="Z61" i="4"/>
  <c r="AL180" i="5"/>
  <c r="AN180" i="5"/>
  <c r="B179" i="4"/>
  <c r="S179" i="4"/>
  <c r="AA181" i="5"/>
  <c r="P179" i="4"/>
  <c r="W181" i="5"/>
  <c r="O181" i="5"/>
  <c r="H179" i="4"/>
  <c r="K181" i="5"/>
  <c r="AG181" i="5"/>
  <c r="AF181" i="5"/>
  <c r="C179" i="4"/>
  <c r="C181" i="5"/>
  <c r="D179" i="4"/>
  <c r="E181" i="5"/>
  <c r="E179" i="4"/>
  <c r="F181" i="5"/>
  <c r="F179" i="4"/>
  <c r="H181" i="5"/>
  <c r="I181" i="5"/>
  <c r="I22" i="2"/>
  <c r="I179" i="4"/>
  <c r="L181" i="5"/>
  <c r="J22" i="2"/>
  <c r="J179" i="4"/>
  <c r="N181" i="5"/>
  <c r="L179" i="4"/>
  <c r="Q181" i="5"/>
  <c r="M179" i="4"/>
  <c r="R181" i="5"/>
  <c r="T181" i="5"/>
  <c r="U181" i="5"/>
  <c r="Q179" i="4"/>
  <c r="X181" i="5"/>
  <c r="R22" i="2"/>
  <c r="R179" i="4"/>
  <c r="Z181" i="5"/>
  <c r="AH179" i="4"/>
  <c r="T179" i="4" a="1"/>
  <c r="T179" i="4"/>
  <c r="AC181" i="5"/>
  <c r="U179" i="4" a="1"/>
  <c r="U179" i="4"/>
  <c r="AD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AG182" i="5"/>
  <c r="AF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180" i="4"/>
  <c r="Z182" i="5"/>
  <c r="AH180" i="4"/>
  <c r="T180" i="4" a="1"/>
  <c r="T180" i="4"/>
  <c r="AC182" i="5"/>
  <c r="U180" i="4" a="1"/>
  <c r="U180" i="4"/>
  <c r="AD182" i="5"/>
  <c r="AI182" i="5"/>
  <c r="Y180" i="4"/>
  <c r="AJ182" i="5"/>
  <c r="Z180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H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H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B181" i="4"/>
  <c r="S181" i="4"/>
  <c r="AA185" i="5"/>
  <c r="P181" i="4"/>
  <c r="W185" i="5"/>
  <c r="O185" i="5"/>
  <c r="H181" i="4"/>
  <c r="K185" i="5"/>
  <c r="AG185" i="5"/>
  <c r="AF185" i="5"/>
  <c r="C181" i="4"/>
  <c r="C185" i="5"/>
  <c r="D181" i="4"/>
  <c r="E185" i="5"/>
  <c r="E181" i="4"/>
  <c r="F185" i="5"/>
  <c r="F181" i="4"/>
  <c r="H185" i="5"/>
  <c r="I185" i="5"/>
  <c r="I181" i="4"/>
  <c r="L185" i="5"/>
  <c r="J181" i="4"/>
  <c r="N185" i="5"/>
  <c r="L181" i="4"/>
  <c r="Q185" i="5"/>
  <c r="M181" i="4"/>
  <c r="R185" i="5"/>
  <c r="T185" i="5"/>
  <c r="O181" i="4"/>
  <c r="U185" i="5"/>
  <c r="Q181" i="4"/>
  <c r="X185" i="5"/>
  <c r="R181" i="4"/>
  <c r="Z185" i="5"/>
  <c r="AH181" i="4"/>
  <c r="T181" i="4" a="1"/>
  <c r="T181" i="4"/>
  <c r="AC185" i="5"/>
  <c r="U181" i="4" a="1"/>
  <c r="U181" i="4"/>
  <c r="AD185" i="5"/>
  <c r="AI185" i="5"/>
  <c r="Y181" i="4"/>
  <c r="AJ185" i="5"/>
  <c r="Z181" i="4"/>
  <c r="AL185" i="5"/>
  <c r="AN185" i="5"/>
  <c r="B10" i="4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H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B11" i="4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34" i="2"/>
  <c r="I11" i="4"/>
  <c r="L187" i="5"/>
  <c r="J34" i="2"/>
  <c r="J11" i="4"/>
  <c r="N187" i="5"/>
  <c r="L11" i="4"/>
  <c r="Q187" i="5"/>
  <c r="M11" i="4"/>
  <c r="R187" i="5"/>
  <c r="T187" i="5"/>
  <c r="U187" i="5"/>
  <c r="Q11" i="4"/>
  <c r="X187" i="5"/>
  <c r="R11" i="4"/>
  <c r="Z187" i="5"/>
  <c r="AH11" i="4"/>
  <c r="T11" i="4" a="1"/>
  <c r="T11" i="4"/>
  <c r="AC187" i="5"/>
  <c r="U11" i="4" a="1"/>
  <c r="U11" i="4"/>
  <c r="AD187" i="5"/>
  <c r="AI187" i="5"/>
  <c r="Y11" i="4"/>
  <c r="AJ187" i="5"/>
  <c r="Z11" i="4"/>
  <c r="AL187" i="5"/>
  <c r="AN187" i="5"/>
  <c r="AA188" i="5"/>
  <c r="B285" i="4"/>
  <c r="P285" i="4"/>
  <c r="W188" i="5"/>
  <c r="O188" i="5"/>
  <c r="K188" i="5"/>
  <c r="AG188" i="5"/>
  <c r="AF188" i="5"/>
  <c r="C285" i="4"/>
  <c r="C188" i="5"/>
  <c r="D285" i="4"/>
  <c r="E188" i="5"/>
  <c r="L188" i="5"/>
  <c r="N188" i="5"/>
  <c r="L285" i="4"/>
  <c r="Q188" i="5"/>
  <c r="O285" i="4"/>
  <c r="U188" i="5"/>
  <c r="Q285" i="4"/>
  <c r="X188" i="5"/>
  <c r="R285" i="4"/>
  <c r="Z188" i="5"/>
  <c r="AH285" i="4"/>
  <c r="T285" i="4" a="1"/>
  <c r="T285" i="4"/>
  <c r="AC188" i="5"/>
  <c r="AD188" i="5"/>
  <c r="X285" i="4"/>
  <c r="AI188" i="5"/>
  <c r="Y285" i="4"/>
  <c r="AJ188" i="5"/>
  <c r="Z285" i="4"/>
  <c r="AL188" i="5"/>
  <c r="R188" i="5"/>
  <c r="T188" i="5"/>
  <c r="AN188" i="5"/>
  <c r="AG189" i="5"/>
  <c r="AF189" i="5"/>
  <c r="B182" i="4"/>
  <c r="C182" i="4"/>
  <c r="C189" i="5"/>
  <c r="D182" i="4"/>
  <c r="E189" i="5"/>
  <c r="K189" i="5"/>
  <c r="L182" i="4"/>
  <c r="Q189" i="5"/>
  <c r="M182" i="4"/>
  <c r="R189" i="5"/>
  <c r="T189" i="5"/>
  <c r="O182" i="4"/>
  <c r="U189" i="5"/>
  <c r="P182" i="4"/>
  <c r="W189" i="5"/>
  <c r="Q182" i="4"/>
  <c r="X189" i="5"/>
  <c r="S182" i="4"/>
  <c r="AA189" i="5"/>
  <c r="AH182" i="4"/>
  <c r="T182" i="4" a="1"/>
  <c r="T182" i="4"/>
  <c r="AC189" i="5"/>
  <c r="U182" i="4" a="1"/>
  <c r="U182" i="4"/>
  <c r="AD189" i="5"/>
  <c r="X182" i="4"/>
  <c r="AI189" i="5"/>
  <c r="Y182" i="4"/>
  <c r="AJ189" i="5"/>
  <c r="Z182" i="4"/>
  <c r="AL189" i="5"/>
  <c r="AN189" i="5"/>
  <c r="AG190" i="5"/>
  <c r="AF190" i="5"/>
  <c r="B183" i="4"/>
  <c r="C183" i="4"/>
  <c r="C190" i="5"/>
  <c r="D183" i="4"/>
  <c r="E190" i="5"/>
  <c r="H183" i="4"/>
  <c r="K190" i="5"/>
  <c r="L183" i="4"/>
  <c r="Q190" i="5"/>
  <c r="M183" i="4"/>
  <c r="R190" i="5"/>
  <c r="T190" i="5"/>
  <c r="O183" i="4"/>
  <c r="U190" i="5"/>
  <c r="P183" i="4"/>
  <c r="W190" i="5"/>
  <c r="Q183" i="4"/>
  <c r="X190" i="5"/>
  <c r="AA190" i="5"/>
  <c r="AH183" i="4"/>
  <c r="T183" i="4" a="1"/>
  <c r="T183" i="4"/>
  <c r="AC190" i="5"/>
  <c r="U183" i="4" a="1"/>
  <c r="U183" i="4"/>
  <c r="AD190" i="5"/>
  <c r="X183" i="4"/>
  <c r="AI190" i="5"/>
  <c r="Y183" i="4"/>
  <c r="AJ190" i="5"/>
  <c r="Z183" i="4"/>
  <c r="AL190" i="5"/>
  <c r="AN190" i="5"/>
  <c r="AG191" i="5"/>
  <c r="AF191" i="5"/>
  <c r="B184" i="4"/>
  <c r="C184" i="4"/>
  <c r="C191" i="5"/>
  <c r="D184" i="4"/>
  <c r="E191" i="5"/>
  <c r="H184" i="4"/>
  <c r="K191" i="5"/>
  <c r="L184" i="4"/>
  <c r="Q191" i="5"/>
  <c r="M184" i="4"/>
  <c r="R191" i="5"/>
  <c r="T191" i="5"/>
  <c r="O184" i="4"/>
  <c r="U191" i="5"/>
  <c r="P184" i="4"/>
  <c r="W191" i="5"/>
  <c r="Q184" i="4"/>
  <c r="X191" i="5"/>
  <c r="AA191" i="5"/>
  <c r="AH184" i="4"/>
  <c r="T184" i="4" a="1"/>
  <c r="T184" i="4"/>
  <c r="AC191" i="5"/>
  <c r="U184" i="4" a="1"/>
  <c r="U184" i="4"/>
  <c r="AD191" i="5"/>
  <c r="X184" i="4"/>
  <c r="AI191" i="5"/>
  <c r="Y184" i="4"/>
  <c r="AJ191" i="5"/>
  <c r="Z184" i="4"/>
  <c r="AL191" i="5"/>
  <c r="AN191" i="5"/>
  <c r="AG192" i="5"/>
  <c r="AF192" i="5"/>
  <c r="B185" i="4"/>
  <c r="C185" i="4"/>
  <c r="C192" i="5"/>
  <c r="D185" i="4"/>
  <c r="E192" i="5"/>
  <c r="H185" i="4"/>
  <c r="K192" i="5"/>
  <c r="L185" i="4"/>
  <c r="Q192" i="5"/>
  <c r="M185" i="4"/>
  <c r="R192" i="5"/>
  <c r="T192" i="5"/>
  <c r="O185" i="4"/>
  <c r="U192" i="5"/>
  <c r="P185" i="4"/>
  <c r="W192" i="5"/>
  <c r="Q185" i="4"/>
  <c r="X192" i="5"/>
  <c r="AA192" i="5"/>
  <c r="AH185" i="4"/>
  <c r="T185" i="4" a="1"/>
  <c r="T185" i="4"/>
  <c r="AC192" i="5"/>
  <c r="U185" i="4" a="1"/>
  <c r="U185" i="4"/>
  <c r="AD192" i="5"/>
  <c r="X185" i="4"/>
  <c r="AI192" i="5"/>
  <c r="Y185" i="4"/>
  <c r="AJ192" i="5"/>
  <c r="Z185" i="4"/>
  <c r="AL192" i="5"/>
  <c r="AN192" i="5"/>
  <c r="AG193" i="5"/>
  <c r="AF193" i="5"/>
  <c r="B189" i="4"/>
  <c r="C189" i="4"/>
  <c r="C193" i="5"/>
  <c r="D189" i="4"/>
  <c r="E193" i="5"/>
  <c r="H189" i="4"/>
  <c r="K193" i="5"/>
  <c r="L189" i="4"/>
  <c r="Q193" i="5"/>
  <c r="M189" i="4"/>
  <c r="R193" i="5"/>
  <c r="T193" i="5"/>
  <c r="U193" i="5"/>
  <c r="P189" i="4"/>
  <c r="W193" i="5"/>
  <c r="Q189" i="4"/>
  <c r="X193" i="5"/>
  <c r="S189" i="4"/>
  <c r="AA193" i="5"/>
  <c r="AH189" i="4"/>
  <c r="T189" i="4" a="1"/>
  <c r="T189" i="4"/>
  <c r="AC193" i="5"/>
  <c r="U189" i="4" a="1"/>
  <c r="U189" i="4"/>
  <c r="AD193" i="5"/>
  <c r="X189" i="4"/>
  <c r="AI193" i="5"/>
  <c r="Y189" i="4"/>
  <c r="AJ193" i="5"/>
  <c r="Z189" i="4"/>
  <c r="AL193" i="5"/>
  <c r="AN193" i="5"/>
  <c r="AG194" i="5"/>
  <c r="AF194" i="5"/>
  <c r="B256" i="4"/>
  <c r="C256" i="4"/>
  <c r="C194" i="5"/>
  <c r="D256" i="4"/>
  <c r="E194" i="5"/>
  <c r="K194" i="5"/>
  <c r="L256" i="4"/>
  <c r="Q194" i="5"/>
  <c r="M256" i="4"/>
  <c r="R194" i="5"/>
  <c r="T194" i="5"/>
  <c r="O256" i="4"/>
  <c r="U194" i="5"/>
  <c r="P256" i="4"/>
  <c r="W194" i="5"/>
  <c r="Q256" i="4"/>
  <c r="X194" i="5"/>
  <c r="S256" i="4"/>
  <c r="AA194" i="5"/>
  <c r="AH256" i="4"/>
  <c r="T256" i="4" a="1"/>
  <c r="T256" i="4"/>
  <c r="AC194" i="5"/>
  <c r="U256" i="4" a="1"/>
  <c r="U256" i="4"/>
  <c r="AD194" i="5"/>
  <c r="X256" i="4"/>
  <c r="AI194" i="5"/>
  <c r="Y256" i="4"/>
  <c r="AJ194" i="5"/>
  <c r="Z256" i="4"/>
  <c r="AL194" i="5"/>
  <c r="AN194" i="5"/>
  <c r="AG195" i="5"/>
  <c r="AF195" i="5"/>
  <c r="B257" i="4"/>
  <c r="C257" i="4"/>
  <c r="C195" i="5"/>
  <c r="D257" i="4"/>
  <c r="E195" i="5"/>
  <c r="K195" i="5"/>
  <c r="L257" i="4"/>
  <c r="Q195" i="5"/>
  <c r="M257" i="4"/>
  <c r="R195" i="5"/>
  <c r="T195" i="5"/>
  <c r="O257" i="4"/>
  <c r="U195" i="5"/>
  <c r="P257" i="4"/>
  <c r="W195" i="5"/>
  <c r="Q257" i="4"/>
  <c r="X195" i="5"/>
  <c r="S257" i="4"/>
  <c r="AA195" i="5"/>
  <c r="AH257" i="4"/>
  <c r="T257" i="4" a="1"/>
  <c r="T257" i="4"/>
  <c r="AC195" i="5"/>
  <c r="U257" i="4" a="1"/>
  <c r="U257" i="4"/>
  <c r="AD195" i="5"/>
  <c r="X257" i="4"/>
  <c r="AI195" i="5"/>
  <c r="Y257" i="4"/>
  <c r="AJ195" i="5"/>
  <c r="Z257" i="4"/>
  <c r="AL195" i="5"/>
  <c r="AN195" i="5"/>
  <c r="AG196" i="5"/>
  <c r="AF196" i="5"/>
  <c r="C264" i="4"/>
  <c r="C196" i="5"/>
  <c r="D264" i="4"/>
  <c r="E196" i="5"/>
  <c r="H264" i="4"/>
  <c r="K196" i="5"/>
  <c r="L264" i="4"/>
  <c r="Q196" i="5"/>
  <c r="M264" i="4"/>
  <c r="R196" i="5"/>
  <c r="T196" i="5"/>
  <c r="O264" i="4"/>
  <c r="U196" i="5"/>
  <c r="P264" i="4"/>
  <c r="W196" i="5"/>
  <c r="Q264" i="4"/>
  <c r="X196" i="5"/>
  <c r="S264" i="4"/>
  <c r="AA196" i="5"/>
  <c r="AH264" i="4"/>
  <c r="T264" i="4" a="1"/>
  <c r="T264" i="4"/>
  <c r="AC196" i="5"/>
  <c r="U264" i="4" a="1"/>
  <c r="U264" i="4"/>
  <c r="AD196" i="5"/>
  <c r="X264" i="4"/>
  <c r="AI196" i="5"/>
  <c r="Y264" i="4"/>
  <c r="AJ196" i="5"/>
  <c r="Z264" i="4"/>
  <c r="AL196" i="5"/>
  <c r="AN196" i="5"/>
  <c r="AG197" i="5"/>
  <c r="AF197" i="5"/>
  <c r="C265" i="4"/>
  <c r="C197" i="5"/>
  <c r="D265" i="4"/>
  <c r="E197" i="5"/>
  <c r="H265" i="4"/>
  <c r="K197" i="5"/>
  <c r="I265" i="4"/>
  <c r="L197" i="5"/>
  <c r="J265" i="4"/>
  <c r="N197" i="5"/>
  <c r="O197" i="5"/>
  <c r="L265" i="4"/>
  <c r="Q197" i="5"/>
  <c r="M265" i="4"/>
  <c r="R197" i="5"/>
  <c r="T197" i="5"/>
  <c r="O265" i="4"/>
  <c r="U197" i="5"/>
  <c r="P265" i="4"/>
  <c r="W197" i="5"/>
  <c r="Q265" i="4"/>
  <c r="X197" i="5"/>
  <c r="S265" i="4"/>
  <c r="AA197" i="5"/>
  <c r="AH265" i="4"/>
  <c r="T265" i="4" a="1"/>
  <c r="T265" i="4"/>
  <c r="AC197" i="5"/>
  <c r="U265" i="4" a="1"/>
  <c r="U265" i="4"/>
  <c r="AD197" i="5"/>
  <c r="X265" i="4"/>
  <c r="AI197" i="5"/>
  <c r="Y265" i="4"/>
  <c r="AJ197" i="5"/>
  <c r="Z265" i="4"/>
  <c r="AL197" i="5"/>
  <c r="AN197" i="5"/>
  <c r="AG198" i="5"/>
  <c r="AF198" i="5"/>
  <c r="C266" i="4"/>
  <c r="C198" i="5"/>
  <c r="D266" i="4"/>
  <c r="E198" i="5"/>
  <c r="E266" i="4"/>
  <c r="F198" i="5"/>
  <c r="F266" i="4"/>
  <c r="H198" i="5"/>
  <c r="I198" i="5"/>
  <c r="H266" i="4"/>
  <c r="K198" i="5"/>
  <c r="L266" i="4"/>
  <c r="Q198" i="5"/>
  <c r="M266" i="4"/>
  <c r="R198" i="5"/>
  <c r="T198" i="5"/>
  <c r="O266" i="4"/>
  <c r="U198" i="5"/>
  <c r="P266" i="4"/>
  <c r="W198" i="5"/>
  <c r="Q266" i="4"/>
  <c r="X198" i="5"/>
  <c r="S266" i="4"/>
  <c r="AA198" i="5"/>
  <c r="AH266" i="4"/>
  <c r="T266" i="4" a="1"/>
  <c r="T266" i="4"/>
  <c r="AC198" i="5"/>
  <c r="U266" i="4" a="1"/>
  <c r="U266" i="4"/>
  <c r="AD198" i="5"/>
  <c r="X266" i="4"/>
  <c r="AI198" i="5"/>
  <c r="Y266" i="4"/>
  <c r="AJ198" i="5"/>
  <c r="Z266" i="4"/>
  <c r="AL198" i="5"/>
  <c r="L198" i="5"/>
  <c r="N198" i="5"/>
  <c r="O198" i="5"/>
  <c r="AN198" i="5"/>
  <c r="AG199" i="5"/>
  <c r="AF199" i="5"/>
  <c r="B198" i="4"/>
  <c r="C198" i="4"/>
  <c r="C199" i="5"/>
  <c r="D198" i="4"/>
  <c r="E199" i="5"/>
  <c r="F199" i="5"/>
  <c r="H199" i="5"/>
  <c r="I199" i="5"/>
  <c r="H198" i="4"/>
  <c r="K199" i="5"/>
  <c r="L198" i="4"/>
  <c r="Q199" i="5"/>
  <c r="M198" i="4"/>
  <c r="R199" i="5"/>
  <c r="T199" i="5"/>
  <c r="O198" i="4"/>
  <c r="U199" i="5"/>
  <c r="P198" i="4"/>
  <c r="W199" i="5"/>
  <c r="Q198" i="4"/>
  <c r="X199" i="5"/>
  <c r="S198" i="4"/>
  <c r="AA199" i="5"/>
  <c r="AH198" i="4"/>
  <c r="T198" i="4" a="1"/>
  <c r="T198" i="4"/>
  <c r="AC199" i="5"/>
  <c r="U198" i="4" a="1"/>
  <c r="U198" i="4"/>
  <c r="AD199" i="5"/>
  <c r="X198" i="4"/>
  <c r="AI199" i="5"/>
  <c r="Y198" i="4"/>
  <c r="AJ199" i="5"/>
  <c r="Z198" i="4"/>
  <c r="AL199" i="5"/>
  <c r="L199" i="5"/>
  <c r="N199" i="5"/>
  <c r="O199" i="5"/>
  <c r="AN199" i="5"/>
  <c r="AG200" i="5"/>
  <c r="AF200" i="5"/>
  <c r="B200" i="4"/>
  <c r="C200" i="4"/>
  <c r="C200" i="5"/>
  <c r="D200" i="4"/>
  <c r="E200" i="5"/>
  <c r="L200" i="4"/>
  <c r="Q200" i="5"/>
  <c r="M200" i="4"/>
  <c r="R200" i="5"/>
  <c r="T200" i="5"/>
  <c r="O200" i="4"/>
  <c r="U200" i="5"/>
  <c r="P200" i="4"/>
  <c r="W200" i="5"/>
  <c r="Q200" i="4"/>
  <c r="X200" i="5"/>
  <c r="S200" i="4"/>
  <c r="AA200" i="5"/>
  <c r="AH200" i="4"/>
  <c r="T200" i="4" a="1"/>
  <c r="T200" i="4"/>
  <c r="AC200" i="5"/>
  <c r="U200" i="4" a="1"/>
  <c r="U200" i="4"/>
  <c r="AD200" i="5"/>
  <c r="X200" i="4"/>
  <c r="AI200" i="5"/>
  <c r="Y200" i="4"/>
  <c r="AJ200" i="5"/>
  <c r="Z200" i="4"/>
  <c r="AL200" i="5"/>
  <c r="L200" i="5"/>
  <c r="N200" i="5"/>
  <c r="O200" i="5"/>
  <c r="AN200" i="5"/>
  <c r="AG201" i="5"/>
  <c r="AF201" i="5"/>
  <c r="B64" i="4"/>
  <c r="C64" i="4"/>
  <c r="C201" i="5"/>
  <c r="D64" i="4"/>
  <c r="E201" i="5"/>
  <c r="K201" i="5"/>
  <c r="L64" i="4"/>
  <c r="Q201" i="5"/>
  <c r="M64" i="4"/>
  <c r="R201" i="5"/>
  <c r="N35" i="2"/>
  <c r="N64" i="4"/>
  <c r="T201" i="5"/>
  <c r="O64" i="4"/>
  <c r="U201" i="5"/>
  <c r="P64" i="4"/>
  <c r="W201" i="5"/>
  <c r="Q64" i="4"/>
  <c r="X201" i="5"/>
  <c r="S64" i="4"/>
  <c r="AA201" i="5"/>
  <c r="AH64" i="4"/>
  <c r="T64" i="4" a="1"/>
  <c r="T64" i="4"/>
  <c r="AC201" i="5"/>
  <c r="U64" i="4" a="1"/>
  <c r="U64" i="4"/>
  <c r="AD201" i="5"/>
  <c r="X64" i="4"/>
  <c r="AI201" i="5"/>
  <c r="Y64" i="4"/>
  <c r="AJ201" i="5"/>
  <c r="Z64" i="4"/>
  <c r="AL201" i="5"/>
  <c r="L201" i="5"/>
  <c r="N201" i="5"/>
  <c r="O201" i="5"/>
  <c r="AN201" i="5"/>
  <c r="AG202" i="5"/>
  <c r="AF202" i="5"/>
  <c r="B65" i="4"/>
  <c r="C65" i="4"/>
  <c r="C202" i="5"/>
  <c r="D65" i="4"/>
  <c r="E202" i="5"/>
  <c r="K202" i="5"/>
  <c r="I35" i="2"/>
  <c r="I65" i="4"/>
  <c r="L202" i="5"/>
  <c r="J35" i="2"/>
  <c r="J65" i="4"/>
  <c r="N202" i="5"/>
  <c r="O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H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AN202" i="5"/>
  <c r="AG203" i="5"/>
  <c r="AF203" i="5"/>
  <c r="B66" i="4"/>
  <c r="C66" i="4"/>
  <c r="C203" i="5"/>
  <c r="D66" i="4"/>
  <c r="E203" i="5"/>
  <c r="K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H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L203" i="5"/>
  <c r="N203" i="5"/>
  <c r="O203" i="5"/>
  <c r="AN203" i="5"/>
  <c r="AG204" i="5"/>
  <c r="AF204" i="5"/>
  <c r="B67" i="4"/>
  <c r="C67" i="4"/>
  <c r="C204" i="5"/>
  <c r="D67" i="4"/>
  <c r="E204" i="5"/>
  <c r="K204" i="5"/>
  <c r="L67" i="4"/>
  <c r="Q204" i="5"/>
  <c r="M67" i="4"/>
  <c r="R204" i="5"/>
  <c r="T204" i="5"/>
  <c r="U204" i="5"/>
  <c r="P67" i="4"/>
  <c r="W204" i="5"/>
  <c r="Q67" i="4"/>
  <c r="X204" i="5"/>
  <c r="S67" i="4"/>
  <c r="AA204" i="5"/>
  <c r="AH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AN204" i="5"/>
  <c r="AG205" i="5"/>
  <c r="AF205" i="5"/>
  <c r="B68" i="4"/>
  <c r="C68" i="4"/>
  <c r="C205" i="5"/>
  <c r="D68" i="4"/>
  <c r="E205" i="5"/>
  <c r="K205" i="5"/>
  <c r="I68" i="4"/>
  <c r="L205" i="5"/>
  <c r="J68" i="4"/>
  <c r="N205" i="5"/>
  <c r="O205" i="5"/>
  <c r="L68" i="4"/>
  <c r="Q205" i="5"/>
  <c r="M68" i="4"/>
  <c r="R205" i="5"/>
  <c r="N34" i="2"/>
  <c r="N68" i="4"/>
  <c r="T205" i="5"/>
  <c r="O68" i="4"/>
  <c r="U205" i="5"/>
  <c r="P68" i="4"/>
  <c r="W205" i="5"/>
  <c r="Q68" i="4"/>
  <c r="X205" i="5"/>
  <c r="S68" i="4"/>
  <c r="AA205" i="5"/>
  <c r="AH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AN205" i="5"/>
  <c r="AG206" i="5"/>
  <c r="AF206" i="5"/>
  <c r="C33" i="2"/>
  <c r="B69" i="4"/>
  <c r="C69" i="4"/>
  <c r="C206" i="5"/>
  <c r="D33" i="2"/>
  <c r="D69" i="4"/>
  <c r="E206" i="5"/>
  <c r="K206" i="5"/>
  <c r="L33" i="2"/>
  <c r="L69" i="4"/>
  <c r="Q206" i="5"/>
  <c r="M33" i="2"/>
  <c r="M69" i="4"/>
  <c r="R206" i="5"/>
  <c r="N33" i="2"/>
  <c r="N69" i="4"/>
  <c r="T206" i="5"/>
  <c r="O33" i="2"/>
  <c r="O69" i="4"/>
  <c r="U206" i="5"/>
  <c r="P33" i="2"/>
  <c r="P69" i="4"/>
  <c r="W206" i="5"/>
  <c r="Q33" i="2"/>
  <c r="Q69" i="4"/>
  <c r="X206" i="5"/>
  <c r="S33" i="2"/>
  <c r="S69" i="4"/>
  <c r="AA206" i="5"/>
  <c r="AH69" i="4"/>
  <c r="T69" i="4" a="1"/>
  <c r="T69" i="4"/>
  <c r="AC206" i="5"/>
  <c r="U69" i="4" a="1"/>
  <c r="U69" i="4"/>
  <c r="AD206" i="5"/>
  <c r="X33" i="2"/>
  <c r="X69" i="4"/>
  <c r="AI206" i="5"/>
  <c r="Y33" i="2"/>
  <c r="Y69" i="4"/>
  <c r="AJ206" i="5"/>
  <c r="Z33" i="2"/>
  <c r="Z69" i="4"/>
  <c r="AL206" i="5"/>
  <c r="L206" i="5"/>
  <c r="N206" i="5"/>
  <c r="O206" i="5"/>
  <c r="AN206" i="5"/>
  <c r="AG207" i="5"/>
  <c r="AF207" i="5"/>
  <c r="C37" i="2"/>
  <c r="B258" i="4"/>
  <c r="C258" i="4"/>
  <c r="C207" i="5"/>
  <c r="D37" i="2"/>
  <c r="D258" i="4"/>
  <c r="E207" i="5"/>
  <c r="H37" i="2"/>
  <c r="H258" i="4"/>
  <c r="K207" i="5"/>
  <c r="I37" i="2"/>
  <c r="I258" i="4"/>
  <c r="L207" i="5"/>
  <c r="J37" i="2"/>
  <c r="J258" i="4"/>
  <c r="N207" i="5"/>
  <c r="O207" i="5"/>
  <c r="L37" i="2"/>
  <c r="L258" i="4"/>
  <c r="Q207" i="5"/>
  <c r="M37" i="2"/>
  <c r="M258" i="4"/>
  <c r="R207" i="5"/>
  <c r="N37" i="2"/>
  <c r="N258" i="4"/>
  <c r="T207" i="5"/>
  <c r="O37" i="2"/>
  <c r="O258" i="4"/>
  <c r="U207" i="5"/>
  <c r="P37" i="2"/>
  <c r="P258" i="4"/>
  <c r="W207" i="5"/>
  <c r="Q37" i="2"/>
  <c r="Q258" i="4"/>
  <c r="X207" i="5"/>
  <c r="S37" i="2"/>
  <c r="S258" i="4"/>
  <c r="AA207" i="5"/>
  <c r="X37" i="2"/>
  <c r="X258" i="4"/>
  <c r="AI207" i="5"/>
  <c r="Y37" i="2"/>
  <c r="Y258" i="4"/>
  <c r="AJ207" i="5"/>
  <c r="Z37" i="2"/>
  <c r="Z258" i="4"/>
  <c r="AL207" i="5"/>
  <c r="AN207" i="5"/>
  <c r="AG208" i="5"/>
  <c r="AF208" i="5"/>
  <c r="C209" i="4"/>
  <c r="C208" i="5"/>
  <c r="D209" i="4"/>
  <c r="E208" i="5"/>
  <c r="H209" i="4"/>
  <c r="K208" i="5"/>
  <c r="L209" i="4"/>
  <c r="Q208" i="5"/>
  <c r="M209" i="4"/>
  <c r="R208" i="5"/>
  <c r="T208" i="5"/>
  <c r="O209" i="4"/>
  <c r="U208" i="5"/>
  <c r="P209" i="4"/>
  <c r="W208" i="5"/>
  <c r="Q209" i="4"/>
  <c r="X208" i="5"/>
  <c r="S209" i="4"/>
  <c r="AA208" i="5"/>
  <c r="AH209" i="4"/>
  <c r="T209" i="4" a="1"/>
  <c r="T209" i="4"/>
  <c r="AC208" i="5"/>
  <c r="U209" i="4" a="1"/>
  <c r="U209" i="4"/>
  <c r="AD208" i="5"/>
  <c r="X209" i="4"/>
  <c r="AI208" i="5"/>
  <c r="Y209" i="4"/>
  <c r="AJ208" i="5"/>
  <c r="Z209" i="4"/>
  <c r="AL208" i="5"/>
  <c r="AN208" i="5"/>
  <c r="AG209" i="5"/>
  <c r="AF209" i="5"/>
  <c r="C210" i="4"/>
  <c r="C209" i="5"/>
  <c r="D210" i="4"/>
  <c r="E209" i="5"/>
  <c r="E210" i="4"/>
  <c r="F209" i="5"/>
  <c r="F210" i="4"/>
  <c r="H209" i="5"/>
  <c r="I209" i="5"/>
  <c r="H210" i="4"/>
  <c r="K209" i="5"/>
  <c r="L210" i="4"/>
  <c r="Q209" i="5"/>
  <c r="M210" i="4"/>
  <c r="R209" i="5"/>
  <c r="T209" i="5"/>
  <c r="O210" i="4"/>
  <c r="U209" i="5"/>
  <c r="P210" i="4"/>
  <c r="W209" i="5"/>
  <c r="Q210" i="4"/>
  <c r="X209" i="5"/>
  <c r="S210" i="4"/>
  <c r="AA209" i="5"/>
  <c r="AH210" i="4"/>
  <c r="T210" i="4" a="1"/>
  <c r="T210" i="4"/>
  <c r="AC209" i="5"/>
  <c r="U210" i="4" a="1"/>
  <c r="U210" i="4"/>
  <c r="AD209" i="5"/>
  <c r="X210" i="4"/>
  <c r="AI209" i="5"/>
  <c r="Y210" i="4"/>
  <c r="AJ209" i="5"/>
  <c r="Z210" i="4"/>
  <c r="AL209" i="5"/>
  <c r="AN209" i="5"/>
  <c r="AG210" i="5"/>
  <c r="AF210" i="5"/>
  <c r="B212" i="4"/>
  <c r="C212" i="4"/>
  <c r="C210" i="5"/>
  <c r="D212" i="4"/>
  <c r="E210" i="5"/>
  <c r="E212" i="4"/>
  <c r="F210" i="5"/>
  <c r="F212" i="4"/>
  <c r="H210" i="5"/>
  <c r="I210" i="5"/>
  <c r="H212" i="4"/>
  <c r="K210" i="5"/>
  <c r="L212" i="4"/>
  <c r="Q210" i="5"/>
  <c r="M212" i="4"/>
  <c r="R210" i="5"/>
  <c r="N212" i="4"/>
  <c r="T210" i="5"/>
  <c r="O212" i="4"/>
  <c r="U210" i="5"/>
  <c r="P212" i="4"/>
  <c r="W210" i="5"/>
  <c r="Q212" i="4"/>
  <c r="X210" i="5"/>
  <c r="S212" i="4"/>
  <c r="AA210" i="5"/>
  <c r="AC210" i="5"/>
  <c r="AD210" i="5"/>
  <c r="X212" i="4"/>
  <c r="AI210" i="5"/>
  <c r="Y212" i="4"/>
  <c r="AJ210" i="5"/>
  <c r="Z212" i="4"/>
  <c r="AL210" i="5"/>
  <c r="AN210" i="5"/>
  <c r="AG211" i="5"/>
  <c r="AF211" i="5"/>
  <c r="C213" i="4"/>
  <c r="C211" i="5"/>
  <c r="D213" i="4"/>
  <c r="E211" i="5"/>
  <c r="E213" i="4"/>
  <c r="F211" i="5"/>
  <c r="F213" i="4"/>
  <c r="H211" i="5"/>
  <c r="I211" i="5"/>
  <c r="H213" i="4"/>
  <c r="K211" i="5"/>
  <c r="L213" i="4"/>
  <c r="Q211" i="5"/>
  <c r="M213" i="4"/>
  <c r="R211" i="5"/>
  <c r="T211" i="5"/>
  <c r="O213" i="4"/>
  <c r="U211" i="5"/>
  <c r="P213" i="4"/>
  <c r="W211" i="5"/>
  <c r="Q213" i="4"/>
  <c r="X211" i="5"/>
  <c r="S213" i="4"/>
  <c r="AA211" i="5"/>
  <c r="AH213" i="4"/>
  <c r="T213" i="4" a="1"/>
  <c r="T213" i="4"/>
  <c r="AC211" i="5"/>
  <c r="U213" i="4" a="1"/>
  <c r="U213" i="4"/>
  <c r="AD211" i="5"/>
  <c r="X213" i="4"/>
  <c r="AI211" i="5"/>
  <c r="Y213" i="4"/>
  <c r="AJ211" i="5"/>
  <c r="Z213" i="4"/>
  <c r="AL211" i="5"/>
  <c r="AN211" i="5"/>
  <c r="AG212" i="5"/>
  <c r="AF212" i="5"/>
  <c r="C214" i="4"/>
  <c r="C212" i="5"/>
  <c r="D214" i="4"/>
  <c r="E212" i="5"/>
  <c r="E214" i="4"/>
  <c r="F212" i="5"/>
  <c r="F214" i="4"/>
  <c r="H212" i="5"/>
  <c r="I212" i="5"/>
  <c r="H214" i="4"/>
  <c r="K212" i="5"/>
  <c r="L214" i="4"/>
  <c r="Q212" i="5"/>
  <c r="M214" i="4"/>
  <c r="R212" i="5"/>
  <c r="T212" i="5"/>
  <c r="U212" i="5"/>
  <c r="P214" i="4"/>
  <c r="W212" i="5"/>
  <c r="Q214" i="4"/>
  <c r="X212" i="5"/>
  <c r="S214" i="4"/>
  <c r="AA212" i="5"/>
  <c r="AH214" i="4"/>
  <c r="T214" i="4" a="1"/>
  <c r="T214" i="4"/>
  <c r="AC212" i="5"/>
  <c r="U214" i="4" a="1"/>
  <c r="U214" i="4"/>
  <c r="AD212" i="5"/>
  <c r="X214" i="4"/>
  <c r="AI212" i="5"/>
  <c r="Y214" i="4"/>
  <c r="AJ212" i="5"/>
  <c r="Z214" i="4"/>
  <c r="AL212" i="5"/>
  <c r="AN212" i="5"/>
  <c r="AG213" i="5"/>
  <c r="AF213" i="5"/>
  <c r="B216" i="4"/>
  <c r="C216" i="4"/>
  <c r="C213" i="5"/>
  <c r="D216" i="4"/>
  <c r="E213" i="5"/>
  <c r="E216" i="4"/>
  <c r="F213" i="5"/>
  <c r="F216" i="4"/>
  <c r="H213" i="5"/>
  <c r="I213" i="5"/>
  <c r="H216" i="4"/>
  <c r="K213" i="5"/>
  <c r="L216" i="4"/>
  <c r="Q213" i="5"/>
  <c r="M216" i="4"/>
  <c r="R213" i="5"/>
  <c r="T213" i="5"/>
  <c r="O216" i="4"/>
  <c r="U213" i="5"/>
  <c r="P216" i="4"/>
  <c r="W213" i="5"/>
  <c r="Q216" i="4"/>
  <c r="X213" i="5"/>
  <c r="S216" i="4"/>
  <c r="AA213" i="5"/>
  <c r="AH216" i="4"/>
  <c r="T216" i="4" a="1"/>
  <c r="T216" i="4"/>
  <c r="AC213" i="5"/>
  <c r="U216" i="4" a="1"/>
  <c r="U216" i="4"/>
  <c r="AD213" i="5"/>
  <c r="X216" i="4"/>
  <c r="AI213" i="5"/>
  <c r="Y216" i="4"/>
  <c r="AJ213" i="5"/>
  <c r="Z216" i="4"/>
  <c r="AL213" i="5"/>
  <c r="AN213" i="5"/>
  <c r="AG214" i="5"/>
  <c r="AF214" i="5"/>
  <c r="B217" i="4"/>
  <c r="C217" i="4"/>
  <c r="C214" i="5"/>
  <c r="D217" i="4"/>
  <c r="E214" i="5"/>
  <c r="E217" i="4"/>
  <c r="F214" i="5"/>
  <c r="F217" i="4"/>
  <c r="H214" i="5"/>
  <c r="I214" i="5"/>
  <c r="H217" i="4"/>
  <c r="K214" i="5"/>
  <c r="L217" i="4"/>
  <c r="Q214" i="5"/>
  <c r="M217" i="4"/>
  <c r="R214" i="5"/>
  <c r="T214" i="5"/>
  <c r="O217" i="4"/>
  <c r="U214" i="5"/>
  <c r="P217" i="4"/>
  <c r="W214" i="5"/>
  <c r="Q217" i="4"/>
  <c r="X214" i="5"/>
  <c r="S217" i="4"/>
  <c r="AA214" i="5"/>
  <c r="AH217" i="4"/>
  <c r="T217" i="4" a="1"/>
  <c r="T217" i="4"/>
  <c r="AC214" i="5"/>
  <c r="U217" i="4" a="1"/>
  <c r="U217" i="4"/>
  <c r="AD214" i="5"/>
  <c r="X217" i="4"/>
  <c r="AI214" i="5"/>
  <c r="Y217" i="4"/>
  <c r="AJ214" i="5"/>
  <c r="Z217" i="4"/>
  <c r="AL214" i="5"/>
  <c r="AN214" i="5"/>
  <c r="O215" i="5"/>
  <c r="B218" i="4"/>
  <c r="H218" i="4"/>
  <c r="K215" i="5"/>
  <c r="AG215" i="5"/>
  <c r="AF215" i="5"/>
  <c r="C218" i="4"/>
  <c r="C215" i="5"/>
  <c r="D218" i="4"/>
  <c r="E215" i="5"/>
  <c r="E218" i="4"/>
  <c r="F215" i="5"/>
  <c r="F218" i="4"/>
  <c r="H215" i="5"/>
  <c r="I215" i="5"/>
  <c r="I218" i="4"/>
  <c r="L215" i="5"/>
  <c r="J218" i="4"/>
  <c r="N215" i="5"/>
  <c r="L218" i="4"/>
  <c r="Q215" i="5"/>
  <c r="M218" i="4"/>
  <c r="R215" i="5"/>
  <c r="N218" i="4"/>
  <c r="T215" i="5"/>
  <c r="O218" i="4"/>
  <c r="U215" i="5"/>
  <c r="P218" i="4"/>
  <c r="W215" i="5"/>
  <c r="Q218" i="4"/>
  <c r="X215" i="5"/>
  <c r="S218" i="4"/>
  <c r="AA215" i="5"/>
  <c r="AH218" i="4"/>
  <c r="T218" i="4" a="1"/>
  <c r="T218" i="4"/>
  <c r="AC215" i="5"/>
  <c r="U218" i="4" a="1"/>
  <c r="U218" i="4"/>
  <c r="AD215" i="5"/>
  <c r="X218" i="4"/>
  <c r="AI215" i="5"/>
  <c r="Y218" i="4"/>
  <c r="AJ215" i="5"/>
  <c r="Z218" i="4"/>
  <c r="AL215" i="5"/>
  <c r="AN215" i="5"/>
  <c r="O216" i="5"/>
  <c r="B219" i="4"/>
  <c r="H219" i="4"/>
  <c r="K216" i="5"/>
  <c r="AG216" i="5"/>
  <c r="AF216" i="5"/>
  <c r="C219" i="4"/>
  <c r="C216" i="5"/>
  <c r="D219" i="4"/>
  <c r="E216" i="5"/>
  <c r="E219" i="4"/>
  <c r="F216" i="5"/>
  <c r="F219" i="4"/>
  <c r="H216" i="5"/>
  <c r="I216" i="5"/>
  <c r="L219" i="4"/>
  <c r="Q216" i="5"/>
  <c r="M219" i="4"/>
  <c r="R216" i="5"/>
  <c r="T216" i="5"/>
  <c r="O219" i="4"/>
  <c r="U216" i="5"/>
  <c r="P219" i="4"/>
  <c r="W216" i="5"/>
  <c r="Q219" i="4"/>
  <c r="X216" i="5"/>
  <c r="S219" i="4"/>
  <c r="AA216" i="5"/>
  <c r="AH219" i="4"/>
  <c r="T219" i="4" a="1"/>
  <c r="T219" i="4"/>
  <c r="AC216" i="5"/>
  <c r="U219" i="4" a="1"/>
  <c r="U219" i="4"/>
  <c r="AD216" i="5"/>
  <c r="X219" i="4"/>
  <c r="AI216" i="5"/>
  <c r="Y219" i="4"/>
  <c r="AJ216" i="5"/>
  <c r="Z219" i="4"/>
  <c r="AL216" i="5"/>
  <c r="AN216" i="5"/>
  <c r="O217" i="5"/>
  <c r="B220" i="4"/>
  <c r="H220" i="4"/>
  <c r="K217" i="5"/>
  <c r="AG217" i="5"/>
  <c r="AF217" i="5"/>
  <c r="C220" i="4"/>
  <c r="C217" i="5"/>
  <c r="D220" i="4"/>
  <c r="E217" i="5"/>
  <c r="E220" i="4"/>
  <c r="F217" i="5"/>
  <c r="F220" i="4"/>
  <c r="H217" i="5"/>
  <c r="I217" i="5"/>
  <c r="I220" i="4"/>
  <c r="L217" i="5"/>
  <c r="J220" i="4"/>
  <c r="N217" i="5"/>
  <c r="L220" i="4"/>
  <c r="Q217" i="5"/>
  <c r="M220" i="4"/>
  <c r="R217" i="5"/>
  <c r="T217" i="5"/>
  <c r="O220" i="4"/>
  <c r="U217" i="5"/>
  <c r="P220" i="4"/>
  <c r="W217" i="5"/>
  <c r="Q220" i="4"/>
  <c r="X217" i="5"/>
  <c r="S220" i="4"/>
  <c r="AA217" i="5"/>
  <c r="AH220" i="4"/>
  <c r="T220" i="4" a="1"/>
  <c r="T220" i="4"/>
  <c r="AC217" i="5"/>
  <c r="U220" i="4" a="1"/>
  <c r="U220" i="4"/>
  <c r="AD217" i="5"/>
  <c r="X220" i="4"/>
  <c r="AI217" i="5"/>
  <c r="Y220" i="4"/>
  <c r="AJ217" i="5"/>
  <c r="Z220" i="4"/>
  <c r="AL217" i="5"/>
  <c r="AN217" i="5"/>
  <c r="AG218" i="5"/>
  <c r="AF218" i="5"/>
  <c r="B221" i="4"/>
  <c r="C221" i="4"/>
  <c r="C218" i="5"/>
  <c r="D221" i="4"/>
  <c r="E218" i="5"/>
  <c r="H221" i="4"/>
  <c r="K218" i="5"/>
  <c r="L221" i="4"/>
  <c r="Q218" i="5"/>
  <c r="M221" i="4"/>
  <c r="R218" i="5"/>
  <c r="N221" i="4"/>
  <c r="T218" i="5"/>
  <c r="O221" i="4"/>
  <c r="U218" i="5"/>
  <c r="P221" i="4"/>
  <c r="W218" i="5"/>
  <c r="Q221" i="4"/>
  <c r="X218" i="5"/>
  <c r="S221" i="4"/>
  <c r="AA218" i="5"/>
  <c r="AH221" i="4"/>
  <c r="T221" i="4" a="1"/>
  <c r="T221" i="4"/>
  <c r="AC218" i="5"/>
  <c r="U221" i="4" a="1"/>
  <c r="U221" i="4"/>
  <c r="AD218" i="5"/>
  <c r="X221" i="4"/>
  <c r="AI218" i="5"/>
  <c r="Y221" i="4"/>
  <c r="AJ218" i="5"/>
  <c r="Z221" i="4"/>
  <c r="AL218" i="5"/>
  <c r="F218" i="5"/>
  <c r="H218" i="5"/>
  <c r="I218" i="5"/>
  <c r="L218" i="5"/>
  <c r="N218" i="5"/>
  <c r="O218" i="5"/>
  <c r="AN218" i="5"/>
  <c r="AG219" i="5"/>
  <c r="AF219" i="5"/>
  <c r="B223" i="4"/>
  <c r="C223" i="4"/>
  <c r="C219" i="5"/>
  <c r="D223" i="4"/>
  <c r="E219" i="5"/>
  <c r="E223" i="4"/>
  <c r="F219" i="5"/>
  <c r="F223" i="4"/>
  <c r="H219" i="5"/>
  <c r="I219" i="5"/>
  <c r="H223" i="4"/>
  <c r="K219" i="5"/>
  <c r="L223" i="4"/>
  <c r="Q219" i="5"/>
  <c r="M223" i="4"/>
  <c r="R219" i="5"/>
  <c r="T219" i="5"/>
  <c r="O223" i="4"/>
  <c r="U219" i="5"/>
  <c r="P223" i="4"/>
  <c r="W219" i="5"/>
  <c r="Q223" i="4"/>
  <c r="X219" i="5"/>
  <c r="AA219" i="5"/>
  <c r="AH223" i="4"/>
  <c r="T223" i="4" a="1"/>
  <c r="T223" i="4"/>
  <c r="AC219" i="5"/>
  <c r="U223" i="4" a="1"/>
  <c r="U223" i="4"/>
  <c r="AD219" i="5"/>
  <c r="X223" i="4"/>
  <c r="AI219" i="5"/>
  <c r="L219" i="5"/>
  <c r="N219" i="5"/>
  <c r="O219" i="5"/>
  <c r="AN219" i="5"/>
  <c r="AG220" i="5"/>
  <c r="AF220" i="5"/>
  <c r="B224" i="4"/>
  <c r="C224" i="4"/>
  <c r="C220" i="5"/>
  <c r="D224" i="4"/>
  <c r="E220" i="5"/>
  <c r="E224" i="4"/>
  <c r="F220" i="5"/>
  <c r="F224" i="4"/>
  <c r="H220" i="5"/>
  <c r="I220" i="5"/>
  <c r="H224" i="4"/>
  <c r="K220" i="5"/>
  <c r="L224" i="4"/>
  <c r="Q220" i="5"/>
  <c r="M224" i="4"/>
  <c r="R220" i="5"/>
  <c r="T220" i="5"/>
  <c r="O224" i="4"/>
  <c r="U220" i="5"/>
  <c r="P224" i="4"/>
  <c r="W220" i="5"/>
  <c r="Q224" i="4"/>
  <c r="X220" i="5"/>
  <c r="S224" i="4"/>
  <c r="AA220" i="5"/>
  <c r="AH224" i="4"/>
  <c r="T224" i="4" a="1"/>
  <c r="T224" i="4"/>
  <c r="AC220" i="5"/>
  <c r="U224" i="4" a="1"/>
  <c r="U224" i="4"/>
  <c r="AD220" i="5"/>
  <c r="X224" i="4"/>
  <c r="AI220" i="5"/>
  <c r="Y224" i="4"/>
  <c r="AJ220" i="5"/>
  <c r="Z224" i="4"/>
  <c r="AL220" i="5"/>
  <c r="L220" i="5"/>
  <c r="N220" i="5"/>
  <c r="O220" i="5"/>
  <c r="AN220" i="5"/>
  <c r="O221" i="5"/>
  <c r="B286" i="4"/>
  <c r="H286" i="4"/>
  <c r="K221" i="5"/>
  <c r="AG221" i="5"/>
  <c r="AF221" i="5"/>
  <c r="C286" i="4"/>
  <c r="C221" i="5"/>
  <c r="D286" i="4"/>
  <c r="E221" i="5"/>
  <c r="E286" i="4"/>
  <c r="F221" i="5"/>
  <c r="F286" i="4"/>
  <c r="H221" i="5"/>
  <c r="I221" i="5"/>
  <c r="I15" i="2"/>
  <c r="I286" i="4"/>
  <c r="L221" i="5"/>
  <c r="J286" i="4"/>
  <c r="N221" i="5"/>
  <c r="L286" i="4"/>
  <c r="Q221" i="5"/>
  <c r="M286" i="4"/>
  <c r="R221" i="5"/>
  <c r="T221" i="5"/>
  <c r="O286" i="4"/>
  <c r="U221" i="5"/>
  <c r="P286" i="4"/>
  <c r="W221" i="5"/>
  <c r="Q286" i="4"/>
  <c r="X221" i="5"/>
  <c r="S286" i="4"/>
  <c r="AA221" i="5"/>
  <c r="AH286" i="4"/>
  <c r="T286" i="4" a="1"/>
  <c r="T286" i="4"/>
  <c r="AC221" i="5"/>
  <c r="U286" i="4" a="1"/>
  <c r="U286" i="4"/>
  <c r="AD221" i="5"/>
  <c r="X286" i="4"/>
  <c r="AI221" i="5"/>
  <c r="Y286" i="4"/>
  <c r="AJ221" i="5"/>
  <c r="Z286" i="4"/>
  <c r="AL221" i="5"/>
  <c r="AN221" i="5"/>
  <c r="AG222" i="5"/>
  <c r="AF222" i="5"/>
  <c r="B225" i="4"/>
  <c r="C225" i="4"/>
  <c r="C222" i="5"/>
  <c r="D225" i="4"/>
  <c r="E222" i="5"/>
  <c r="E225" i="4"/>
  <c r="F222" i="5"/>
  <c r="F225" i="4"/>
  <c r="H222" i="5"/>
  <c r="I222" i="5"/>
  <c r="H225" i="4"/>
  <c r="K222" i="5"/>
  <c r="L225" i="4"/>
  <c r="Q222" i="5"/>
  <c r="M225" i="4"/>
  <c r="R222" i="5"/>
  <c r="T222" i="5"/>
  <c r="O225" i="4"/>
  <c r="U222" i="5"/>
  <c r="P225" i="4"/>
  <c r="W222" i="5"/>
  <c r="Q225" i="4"/>
  <c r="X222" i="5"/>
  <c r="S225" i="4"/>
  <c r="AA222" i="5"/>
  <c r="AH225" i="4"/>
  <c r="T225" i="4" a="1"/>
  <c r="T225" i="4"/>
  <c r="AC222" i="5"/>
  <c r="U225" i="4" a="1"/>
  <c r="U225" i="4"/>
  <c r="AD222" i="5"/>
  <c r="AI222" i="5"/>
  <c r="Y225" i="4"/>
  <c r="AJ222" i="5"/>
  <c r="Z225" i="4"/>
  <c r="AL222" i="5"/>
  <c r="L222" i="5"/>
  <c r="N222" i="5"/>
  <c r="O222" i="5"/>
  <c r="AN222" i="5"/>
  <c r="AG223" i="5"/>
  <c r="AF223" i="5"/>
  <c r="B71" i="4"/>
  <c r="C71" i="4"/>
  <c r="C223" i="5"/>
  <c r="D71" i="4"/>
  <c r="E223" i="5"/>
  <c r="K223" i="5"/>
  <c r="L71" i="4"/>
  <c r="Q223" i="5"/>
  <c r="M21" i="2"/>
  <c r="M71" i="4"/>
  <c r="R223" i="5"/>
  <c r="T223" i="5"/>
  <c r="O71" i="4"/>
  <c r="U223" i="5"/>
  <c r="P71" i="4"/>
  <c r="W223" i="5"/>
  <c r="X223" i="5"/>
  <c r="S71" i="4"/>
  <c r="AA223" i="5"/>
  <c r="AH71" i="4"/>
  <c r="T71" i="4" a="1"/>
  <c r="T71" i="4"/>
  <c r="AC223" i="5"/>
  <c r="U71" i="4" a="1"/>
  <c r="U71" i="4"/>
  <c r="AD223" i="5"/>
  <c r="X71" i="4"/>
  <c r="AI223" i="5"/>
  <c r="Y71" i="4"/>
  <c r="AJ223" i="5"/>
  <c r="Z71" i="4"/>
  <c r="AL223" i="5"/>
  <c r="F223" i="5"/>
  <c r="H223" i="5"/>
  <c r="I223" i="5"/>
  <c r="L223" i="5"/>
  <c r="N223" i="5"/>
  <c r="O223" i="5"/>
  <c r="AN223" i="5"/>
  <c r="O224" i="5"/>
  <c r="B274" i="4"/>
  <c r="H274" i="4"/>
  <c r="K224" i="5"/>
  <c r="AG224" i="5"/>
  <c r="AF224" i="5"/>
  <c r="C274" i="4"/>
  <c r="C224" i="5"/>
  <c r="D274" i="4"/>
  <c r="E224" i="5"/>
  <c r="I274" i="4"/>
  <c r="L224" i="5"/>
  <c r="J274" i="4"/>
  <c r="N224" i="5"/>
  <c r="L274" i="4"/>
  <c r="Q224" i="5"/>
  <c r="M274" i="4"/>
  <c r="R224" i="5"/>
  <c r="T224" i="5"/>
  <c r="O274" i="4"/>
  <c r="U224" i="5"/>
  <c r="P274" i="4"/>
  <c r="W224" i="5"/>
  <c r="Q274" i="4"/>
  <c r="X224" i="5"/>
  <c r="AA224" i="5"/>
  <c r="AH274" i="4"/>
  <c r="T274" i="4" a="1"/>
  <c r="T274" i="4"/>
  <c r="AC224" i="5"/>
  <c r="U274" i="4" a="1"/>
  <c r="U274" i="4"/>
  <c r="AD224" i="5"/>
  <c r="X274" i="4"/>
  <c r="AI224" i="5"/>
  <c r="Y274" i="4"/>
  <c r="AJ224" i="5"/>
  <c r="Z274" i="4"/>
  <c r="AL224" i="5"/>
  <c r="F224" i="5"/>
  <c r="H224" i="5"/>
  <c r="I224" i="5"/>
  <c r="AN224" i="5"/>
  <c r="AG225" i="5"/>
  <c r="AF225" i="5"/>
  <c r="B275" i="4"/>
  <c r="C275" i="4"/>
  <c r="C225" i="5"/>
  <c r="D275" i="4"/>
  <c r="E225" i="5"/>
  <c r="E29" i="2"/>
  <c r="E275" i="4"/>
  <c r="F225" i="5"/>
  <c r="F29" i="2"/>
  <c r="F275" i="4"/>
  <c r="H225" i="5"/>
  <c r="I225" i="5"/>
  <c r="H275" i="4"/>
  <c r="K225" i="5"/>
  <c r="L275" i="4"/>
  <c r="Q225" i="5"/>
  <c r="M275" i="4"/>
  <c r="R225" i="5"/>
  <c r="T225" i="5"/>
  <c r="O275" i="4"/>
  <c r="U225" i="5"/>
  <c r="P275" i="4"/>
  <c r="W225" i="5"/>
  <c r="S275" i="4"/>
  <c r="AA225" i="5"/>
  <c r="AH275" i="4"/>
  <c r="T275" i="4" a="1"/>
  <c r="T275" i="4"/>
  <c r="AC225" i="5"/>
  <c r="U275" i="4" a="1"/>
  <c r="U275" i="4"/>
  <c r="AD225" i="5"/>
  <c r="X275" i="4"/>
  <c r="AI225" i="5"/>
  <c r="Y275" i="4"/>
  <c r="AJ225" i="5"/>
  <c r="Z275" i="4"/>
  <c r="AL225" i="5"/>
  <c r="L225" i="5"/>
  <c r="N225" i="5"/>
  <c r="O225" i="5"/>
  <c r="X225" i="5"/>
  <c r="AN225" i="5"/>
  <c r="O226" i="5"/>
  <c r="H226" i="4"/>
  <c r="K226" i="5"/>
  <c r="AG226" i="5"/>
  <c r="AF226" i="5"/>
  <c r="C226" i="4"/>
  <c r="C226" i="5"/>
  <c r="D226" i="4"/>
  <c r="E226" i="5"/>
  <c r="E226" i="4"/>
  <c r="F226" i="5"/>
  <c r="F226" i="4"/>
  <c r="H226" i="5"/>
  <c r="I226" i="5"/>
  <c r="I226" i="4"/>
  <c r="L226" i="5"/>
  <c r="J226" i="4"/>
  <c r="N226" i="5"/>
  <c r="L226" i="4"/>
  <c r="Q226" i="5"/>
  <c r="M226" i="4"/>
  <c r="R226" i="5"/>
  <c r="T226" i="5"/>
  <c r="U226" i="5"/>
  <c r="P226" i="4"/>
  <c r="W226" i="5"/>
  <c r="Q226" i="4"/>
  <c r="X226" i="5"/>
  <c r="R226" i="4"/>
  <c r="Z226" i="5"/>
  <c r="S226" i="4"/>
  <c r="AA226" i="5"/>
  <c r="AH226" i="4"/>
  <c r="T226" i="4" a="1"/>
  <c r="T226" i="4"/>
  <c r="AC226" i="5"/>
  <c r="U226" i="4" a="1"/>
  <c r="U226" i="4"/>
  <c r="AD226" i="5"/>
  <c r="X226" i="4"/>
  <c r="AI226" i="5"/>
  <c r="Y226" i="4"/>
  <c r="AJ226" i="5"/>
  <c r="Z226" i="4"/>
  <c r="AL226" i="5"/>
  <c r="AN226" i="5"/>
  <c r="AG227" i="5"/>
  <c r="AF227" i="5"/>
  <c r="B276" i="4"/>
  <c r="C276" i="4"/>
  <c r="C227" i="5"/>
  <c r="D276" i="4"/>
  <c r="E227" i="5"/>
  <c r="H276" i="4"/>
  <c r="K227" i="5"/>
  <c r="L276" i="4"/>
  <c r="Q227" i="5"/>
  <c r="M276" i="4"/>
  <c r="R227" i="5"/>
  <c r="T227" i="5"/>
  <c r="O276" i="4"/>
  <c r="U227" i="5"/>
  <c r="P276" i="4"/>
  <c r="W227" i="5"/>
  <c r="X227" i="5"/>
  <c r="AA227" i="5"/>
  <c r="AH276" i="4"/>
  <c r="T276" i="4" a="1"/>
  <c r="T276" i="4"/>
  <c r="AC227" i="5"/>
  <c r="U276" i="4" a="1"/>
  <c r="U276" i="4"/>
  <c r="AD227" i="5"/>
  <c r="AI227" i="5"/>
  <c r="Y276" i="4"/>
  <c r="AJ227" i="5"/>
  <c r="Z276" i="4"/>
  <c r="AL227" i="5"/>
  <c r="F227" i="5"/>
  <c r="H227" i="5"/>
  <c r="I227" i="5"/>
  <c r="L227" i="5"/>
  <c r="N227" i="5"/>
  <c r="O227" i="5"/>
  <c r="AN227" i="5"/>
  <c r="O228" i="5"/>
  <c r="K228" i="5"/>
  <c r="AG228" i="5"/>
  <c r="AF228" i="5"/>
  <c r="B281" i="4"/>
  <c r="C281" i="4"/>
  <c r="C228" i="5"/>
  <c r="D281" i="4"/>
  <c r="E228" i="5"/>
  <c r="E281" i="4"/>
  <c r="F228" i="5"/>
  <c r="F281" i="4"/>
  <c r="H228" i="5"/>
  <c r="I228" i="5"/>
  <c r="I19" i="2"/>
  <c r="I281" i="4"/>
  <c r="L228" i="5"/>
  <c r="J19" i="2"/>
  <c r="J281" i="4"/>
  <c r="N228" i="5"/>
  <c r="L281" i="4"/>
  <c r="Q228" i="5"/>
  <c r="M281" i="4"/>
  <c r="R228" i="5"/>
  <c r="T228" i="5"/>
  <c r="O281" i="4"/>
  <c r="U228" i="5"/>
  <c r="P281" i="4"/>
  <c r="W228" i="5"/>
  <c r="Q281" i="4"/>
  <c r="X228" i="5"/>
  <c r="S281" i="4"/>
  <c r="AA228" i="5"/>
  <c r="AH281" i="4"/>
  <c r="T281" i="4" a="1"/>
  <c r="T281" i="4"/>
  <c r="AC228" i="5"/>
  <c r="U281" i="4" a="1"/>
  <c r="U281" i="4"/>
  <c r="AD228" i="5"/>
  <c r="AI228" i="5"/>
  <c r="Y281" i="4"/>
  <c r="AJ228" i="5"/>
  <c r="Z281" i="4"/>
  <c r="AL228" i="5"/>
  <c r="AN228" i="5"/>
  <c r="AG229" i="5"/>
  <c r="AF229" i="5"/>
  <c r="B227" i="4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O227" i="4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X227" i="4"/>
  <c r="AI229" i="5"/>
  <c r="Y227" i="4"/>
  <c r="AJ229" i="5"/>
  <c r="Z227" i="4"/>
  <c r="AL229" i="5"/>
  <c r="L229" i="5"/>
  <c r="N229" i="5"/>
  <c r="O229" i="5"/>
  <c r="AN229" i="5"/>
  <c r="AG230" i="5"/>
  <c r="AF230" i="5"/>
  <c r="C228" i="4"/>
  <c r="C230" i="5"/>
  <c r="D228" i="4"/>
  <c r="E230" i="5"/>
  <c r="E24" i="2"/>
  <c r="E228" i="4"/>
  <c r="F230" i="5"/>
  <c r="F24" i="2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X228" i="4"/>
  <c r="AI230" i="5"/>
  <c r="Y228" i="4"/>
  <c r="AJ230" i="5"/>
  <c r="Z228" i="4"/>
  <c r="AL230" i="5"/>
  <c r="L230" i="5"/>
  <c r="N230" i="5"/>
  <c r="O230" i="5"/>
  <c r="AN230" i="5"/>
  <c r="AG231" i="5"/>
  <c r="AF231" i="5"/>
  <c r="B229" i="4"/>
  <c r="C229" i="4"/>
  <c r="C231" i="5"/>
  <c r="D229" i="4"/>
  <c r="E231" i="5"/>
  <c r="H229" i="4"/>
  <c r="K231" i="5"/>
  <c r="L229" i="4"/>
  <c r="Q231" i="5"/>
  <c r="M229" i="4"/>
  <c r="R231" i="5"/>
  <c r="T231" i="5"/>
  <c r="O229" i="4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X229" i="4"/>
  <c r="AI231" i="5"/>
  <c r="Y229" i="4"/>
  <c r="AJ231" i="5"/>
  <c r="Z229" i="4"/>
  <c r="AL231" i="5"/>
  <c r="L231" i="5"/>
  <c r="N231" i="5"/>
  <c r="O231" i="5"/>
  <c r="AN231" i="5"/>
  <c r="AG232" i="5"/>
  <c r="AF232" i="5"/>
  <c r="B231" i="4"/>
  <c r="C231" i="4"/>
  <c r="C232" i="5"/>
  <c r="D231" i="4"/>
  <c r="E232" i="5"/>
  <c r="H231" i="4"/>
  <c r="K232" i="5"/>
  <c r="L231" i="4"/>
  <c r="Q232" i="5"/>
  <c r="M231" i="4"/>
  <c r="R232" i="5"/>
  <c r="T232" i="5"/>
  <c r="O231" i="4"/>
  <c r="U232" i="5"/>
  <c r="P231" i="4"/>
  <c r="W232" i="5"/>
  <c r="Q231" i="4"/>
  <c r="X232" i="5"/>
  <c r="S231" i="4"/>
  <c r="AA232" i="5"/>
  <c r="AH231" i="4"/>
  <c r="T231" i="4" a="1"/>
  <c r="T231" i="4"/>
  <c r="AC232" i="5"/>
  <c r="U231" i="4" a="1"/>
  <c r="U231" i="4"/>
  <c r="AD232" i="5"/>
  <c r="X231" i="4"/>
  <c r="AI232" i="5"/>
  <c r="Y231" i="4"/>
  <c r="AJ232" i="5"/>
  <c r="Z231" i="4"/>
  <c r="AL232" i="5"/>
  <c r="L232" i="5"/>
  <c r="N232" i="5"/>
  <c r="O232" i="5"/>
  <c r="AN232" i="5"/>
  <c r="B77" i="4"/>
  <c r="S77" i="4"/>
  <c r="AA233" i="5"/>
  <c r="P77" i="4"/>
  <c r="W233" i="5"/>
  <c r="AG233" i="5"/>
  <c r="AF233" i="5"/>
  <c r="C77" i="4"/>
  <c r="C233" i="5"/>
  <c r="D77" i="4"/>
  <c r="E233" i="5"/>
  <c r="K233" i="5"/>
  <c r="L77" i="4"/>
  <c r="Q233" i="5"/>
  <c r="M77" i="4"/>
  <c r="R233" i="5"/>
  <c r="T233" i="5"/>
  <c r="U233" i="5"/>
  <c r="Q77" i="4"/>
  <c r="X233" i="5"/>
  <c r="R77" i="4"/>
  <c r="Z233" i="5"/>
  <c r="AH77" i="4"/>
  <c r="T77" i="4" a="1"/>
  <c r="T77" i="4"/>
  <c r="AC233" i="5"/>
  <c r="U77" i="4" a="1"/>
  <c r="U77" i="4"/>
  <c r="AD233" i="5"/>
  <c r="X77" i="4"/>
  <c r="AI233" i="5"/>
  <c r="Y77" i="4"/>
  <c r="AJ233" i="5"/>
  <c r="Z77" i="4"/>
  <c r="AL233" i="5"/>
  <c r="L233" i="5"/>
  <c r="N233" i="5"/>
  <c r="O233" i="5"/>
  <c r="AN233" i="5"/>
  <c r="AG234" i="5"/>
  <c r="AF234" i="5"/>
  <c r="B79" i="4"/>
  <c r="C79" i="4"/>
  <c r="C234" i="5"/>
  <c r="D79" i="4"/>
  <c r="E234" i="5"/>
  <c r="K234" i="5"/>
  <c r="L79" i="4"/>
  <c r="Q234" i="5"/>
  <c r="M79" i="4"/>
  <c r="R234" i="5"/>
  <c r="T234" i="5"/>
  <c r="U234" i="5"/>
  <c r="P79" i="4"/>
  <c r="W234" i="5"/>
  <c r="Q79" i="4"/>
  <c r="X234" i="5"/>
  <c r="S79" i="4"/>
  <c r="AA234" i="5"/>
  <c r="AH79" i="4"/>
  <c r="T79" i="4" a="1"/>
  <c r="T79" i="4"/>
  <c r="AC234" i="5"/>
  <c r="U79" i="4" a="1"/>
  <c r="U79" i="4"/>
  <c r="AD234" i="5"/>
  <c r="X79" i="4"/>
  <c r="AI234" i="5"/>
  <c r="Y79" i="4"/>
  <c r="AJ234" i="5"/>
  <c r="Z79" i="4"/>
  <c r="AL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H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AN235" i="5"/>
  <c r="AG236" i="5"/>
  <c r="AF236" i="5"/>
  <c r="B81" i="4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H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AN236" i="5"/>
  <c r="AG237" i="5"/>
  <c r="AF237" i="5"/>
  <c r="B82" i="4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H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H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AN238" i="5"/>
  <c r="AG239" i="5"/>
  <c r="AF239" i="5"/>
  <c r="B84" i="4"/>
  <c r="C84" i="4"/>
  <c r="C239" i="5"/>
  <c r="D84" i="4"/>
  <c r="E239" i="5"/>
  <c r="E84" i="4"/>
  <c r="F239" i="5"/>
  <c r="F84" i="4"/>
  <c r="H239" i="5"/>
  <c r="I239" i="5"/>
  <c r="K239" i="5"/>
  <c r="L84" i="4"/>
  <c r="Q239" i="5"/>
  <c r="M84" i="4"/>
  <c r="R239" i="5"/>
  <c r="T239" i="5"/>
  <c r="O84" i="4"/>
  <c r="U239" i="5"/>
  <c r="P84" i="4"/>
  <c r="W239" i="5"/>
  <c r="Q84" i="4"/>
  <c r="X239" i="5"/>
  <c r="S84" i="4"/>
  <c r="AA239" i="5"/>
  <c r="AH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AN239" i="5"/>
  <c r="AG240" i="5"/>
  <c r="AF240" i="5"/>
  <c r="B277" i="4"/>
  <c r="C277" i="4"/>
  <c r="C240" i="5"/>
  <c r="D277" i="4"/>
  <c r="E240" i="5"/>
  <c r="E21" i="2"/>
  <c r="E277" i="4"/>
  <c r="F240" i="5"/>
  <c r="F21" i="2"/>
  <c r="F277" i="4"/>
  <c r="H240" i="5"/>
  <c r="I240" i="5"/>
  <c r="K240" i="5"/>
  <c r="L277" i="4"/>
  <c r="Q240" i="5"/>
  <c r="M277" i="4"/>
  <c r="R240" i="5"/>
  <c r="T240" i="5"/>
  <c r="O277" i="4"/>
  <c r="U240" i="5"/>
  <c r="P277" i="4"/>
  <c r="W240" i="5"/>
  <c r="S277" i="4"/>
  <c r="AA240" i="5"/>
  <c r="AH277" i="4"/>
  <c r="T277" i="4" a="1"/>
  <c r="T277" i="4"/>
  <c r="AC240" i="5"/>
  <c r="U277" i="4" a="1"/>
  <c r="U277" i="4"/>
  <c r="AD240" i="5"/>
  <c r="X277" i="4"/>
  <c r="AI240" i="5"/>
  <c r="Y277" i="4"/>
  <c r="AJ240" i="5"/>
  <c r="Z277" i="4"/>
  <c r="AL240" i="5"/>
  <c r="X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H232" i="4"/>
  <c r="T232" i="4" a="1"/>
  <c r="T232" i="4"/>
  <c r="AC241" i="5"/>
  <c r="U232" i="4" a="1"/>
  <c r="U232" i="4"/>
  <c r="AD241" i="5"/>
  <c r="Y232" i="4"/>
  <c r="AJ241" i="5"/>
  <c r="Z232" i="4"/>
  <c r="AL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H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H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H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H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H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H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H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AN248" i="5"/>
  <c r="AG249" i="5"/>
  <c r="AF249" i="5"/>
  <c r="B294" i="4"/>
  <c r="C294" i="4"/>
  <c r="C249" i="5"/>
  <c r="D294" i="4"/>
  <c r="E249" i="5"/>
  <c r="H294" i="4"/>
  <c r="K249" i="5"/>
  <c r="L294" i="4"/>
  <c r="Q249" i="5"/>
  <c r="M294" i="4"/>
  <c r="R249" i="5"/>
  <c r="T249" i="5"/>
  <c r="O294" i="4"/>
  <c r="U249" i="5"/>
  <c r="P294" i="4"/>
  <c r="W249" i="5"/>
  <c r="Q294" i="4"/>
  <c r="X249" i="5"/>
  <c r="S294" i="4"/>
  <c r="AA249" i="5"/>
  <c r="AH294" i="4"/>
  <c r="T294" i="4" a="1"/>
  <c r="T294" i="4"/>
  <c r="AC249" i="5"/>
  <c r="U294" i="4" a="1"/>
  <c r="U294" i="4"/>
  <c r="AD249" i="5"/>
  <c r="X294" i="4"/>
  <c r="AI249" i="5"/>
  <c r="Y294" i="4"/>
  <c r="AJ249" i="5"/>
  <c r="Z294" i="4"/>
  <c r="AL249" i="5"/>
  <c r="AN249" i="5"/>
  <c r="AG250" i="5"/>
  <c r="AF250" i="5"/>
  <c r="B242" i="4"/>
  <c r="C242" i="4"/>
  <c r="C250" i="5"/>
  <c r="D242" i="4"/>
  <c r="E250" i="5"/>
  <c r="K250" i="5"/>
  <c r="L242" i="4"/>
  <c r="Q250" i="5"/>
  <c r="M242" i="4"/>
  <c r="R250" i="5"/>
  <c r="T250" i="5"/>
  <c r="O242" i="4"/>
  <c r="U250" i="5"/>
  <c r="P242" i="4"/>
  <c r="W250" i="5"/>
  <c r="Q242" i="4"/>
  <c r="X250" i="5"/>
  <c r="S242" i="4"/>
  <c r="AA250" i="5"/>
  <c r="AH242" i="4"/>
  <c r="T242" i="4" a="1"/>
  <c r="T242" i="4"/>
  <c r="AC250" i="5"/>
  <c r="U242" i="4" a="1"/>
  <c r="U242" i="4"/>
  <c r="AD250" i="5"/>
  <c r="X242" i="4"/>
  <c r="AI250" i="5"/>
  <c r="Y242" i="4"/>
  <c r="AJ250" i="5"/>
  <c r="Z242" i="4"/>
  <c r="AL250" i="5"/>
  <c r="AN250" i="5"/>
  <c r="AG251" i="5"/>
  <c r="AF251" i="5"/>
  <c r="B39" i="4"/>
  <c r="C39" i="4"/>
  <c r="C251" i="5"/>
  <c r="D39" i="4"/>
  <c r="E251" i="5"/>
  <c r="K251" i="5"/>
  <c r="L39" i="4"/>
  <c r="Q251" i="5"/>
  <c r="M39" i="4"/>
  <c r="R251" i="5"/>
  <c r="T251" i="5"/>
  <c r="U251" i="5"/>
  <c r="P39" i="4"/>
  <c r="W251" i="5"/>
  <c r="Q39" i="4"/>
  <c r="X251" i="5"/>
  <c r="AA251" i="5"/>
  <c r="AH39" i="4"/>
  <c r="T39" i="4" a="1"/>
  <c r="T39" i="4"/>
  <c r="AC251" i="5"/>
  <c r="U39" i="4" a="1"/>
  <c r="U39" i="4"/>
  <c r="AD251" i="5"/>
  <c r="X39" i="4"/>
  <c r="AI251" i="5"/>
  <c r="Y39" i="4"/>
  <c r="AJ251" i="5"/>
  <c r="Z39" i="4"/>
  <c r="AL251" i="5"/>
  <c r="AN251" i="5"/>
  <c r="O252" i="5"/>
  <c r="K252" i="5"/>
  <c r="AG252" i="5"/>
  <c r="AF252" i="5"/>
  <c r="B2" i="4"/>
  <c r="C2" i="4"/>
  <c r="C252" i="5"/>
  <c r="D2" i="4"/>
  <c r="E252" i="5"/>
  <c r="I2" i="4"/>
  <c r="L252" i="5"/>
  <c r="J2" i="4"/>
  <c r="N252" i="5"/>
  <c r="L2" i="4"/>
  <c r="Q252" i="5"/>
  <c r="M2" i="4"/>
  <c r="R252" i="5"/>
  <c r="T252" i="5"/>
  <c r="U252" i="5"/>
  <c r="P2" i="4"/>
  <c r="W252" i="5"/>
  <c r="Q2" i="4"/>
  <c r="X252" i="5"/>
  <c r="S2" i="4"/>
  <c r="AA252" i="5"/>
  <c r="AH2" i="4"/>
  <c r="T2" i="4" a="1"/>
  <c r="T2" i="4"/>
  <c r="AC252" i="5"/>
  <c r="U2" i="4" a="1"/>
  <c r="U2" i="4"/>
  <c r="AD252" i="5"/>
  <c r="X2" i="4"/>
  <c r="AI252" i="5"/>
  <c r="Y2" i="4"/>
  <c r="AJ252" i="5"/>
  <c r="Z2" i="4"/>
  <c r="AL252" i="5"/>
  <c r="AN252" i="5"/>
  <c r="AG253" i="5"/>
  <c r="AF253" i="5"/>
  <c r="C123" i="4"/>
  <c r="C253" i="5"/>
  <c r="T253" i="5"/>
  <c r="U253" i="5"/>
  <c r="P123" i="4"/>
  <c r="W253" i="5"/>
  <c r="Q123" i="4"/>
  <c r="X253" i="5"/>
  <c r="AA253" i="5"/>
  <c r="AH123" i="4"/>
  <c r="T123" i="4" a="1"/>
  <c r="T123" i="4"/>
  <c r="AC253" i="5"/>
  <c r="U123" i="4" a="1"/>
  <c r="U123" i="4"/>
  <c r="AD253" i="5"/>
  <c r="X123" i="4"/>
  <c r="AI253" i="5"/>
  <c r="Y123" i="4"/>
  <c r="AJ253" i="5"/>
  <c r="Z123" i="4"/>
  <c r="AL253" i="5"/>
  <c r="AN253" i="5"/>
  <c r="O254" i="5"/>
  <c r="B272" i="4"/>
  <c r="H272" i="4"/>
  <c r="K254" i="5"/>
  <c r="AG254" i="5"/>
  <c r="AF254" i="5"/>
  <c r="C272" i="4"/>
  <c r="C254" i="5"/>
  <c r="D272" i="4"/>
  <c r="E254" i="5"/>
  <c r="I272" i="4"/>
  <c r="L254" i="5"/>
  <c r="J272" i="4"/>
  <c r="N254" i="5"/>
  <c r="L272" i="4"/>
  <c r="Q254" i="5"/>
  <c r="M272" i="4"/>
  <c r="R254" i="5"/>
  <c r="T254" i="5"/>
  <c r="O272" i="4"/>
  <c r="U254" i="5"/>
  <c r="P272" i="4"/>
  <c r="W254" i="5"/>
  <c r="Q272" i="4"/>
  <c r="X254" i="5"/>
  <c r="AA254" i="5"/>
  <c r="AH272" i="4"/>
  <c r="T272" i="4" a="1"/>
  <c r="T272" i="4"/>
  <c r="AC254" i="5"/>
  <c r="U272" i="4" a="1"/>
  <c r="U272" i="4"/>
  <c r="AD254" i="5"/>
  <c r="X272" i="4"/>
  <c r="AI254" i="5"/>
  <c r="Y272" i="4"/>
  <c r="AJ254" i="5"/>
  <c r="Z272" i="4"/>
  <c r="AL254" i="5"/>
  <c r="AN254" i="5"/>
  <c r="AG255" i="5"/>
  <c r="AF255" i="5"/>
  <c r="B174" i="4"/>
  <c r="C174" i="4"/>
  <c r="C255" i="5"/>
  <c r="D174" i="4"/>
  <c r="E255" i="5"/>
  <c r="H174" i="4"/>
  <c r="K255" i="5"/>
  <c r="L174" i="4"/>
  <c r="Q255" i="5"/>
  <c r="M174" i="4"/>
  <c r="R255" i="5"/>
  <c r="T255" i="5"/>
  <c r="O174" i="4"/>
  <c r="U255" i="5"/>
  <c r="W255" i="5"/>
  <c r="Q174" i="4"/>
  <c r="X255" i="5"/>
  <c r="AA255" i="5"/>
  <c r="AH174" i="4"/>
  <c r="T174" i="4" a="1"/>
  <c r="T174" i="4"/>
  <c r="AC255" i="5"/>
  <c r="U174" i="4" a="1"/>
  <c r="U174" i="4"/>
  <c r="AD255" i="5"/>
  <c r="X174" i="4"/>
  <c r="AI255" i="5"/>
  <c r="Y174" i="4"/>
  <c r="AJ255" i="5"/>
  <c r="Z174" i="4"/>
  <c r="AL255" i="5"/>
  <c r="AN255" i="5"/>
  <c r="AG256" i="5"/>
  <c r="AF256" i="5"/>
  <c r="B52" i="4"/>
  <c r="C52" i="4"/>
  <c r="C256" i="5"/>
  <c r="D52" i="4"/>
  <c r="E256" i="5"/>
  <c r="K256" i="5"/>
  <c r="L52" i="4"/>
  <c r="Q256" i="5"/>
  <c r="M52" i="4"/>
  <c r="R256" i="5"/>
  <c r="T256" i="5"/>
  <c r="U256" i="5"/>
  <c r="W256" i="5"/>
  <c r="Q52" i="4"/>
  <c r="X256" i="5"/>
  <c r="AA256" i="5"/>
  <c r="AH52" i="4"/>
  <c r="T52" i="4" a="1"/>
  <c r="T52" i="4"/>
  <c r="AC256" i="5"/>
  <c r="U52" i="4" a="1"/>
  <c r="U52" i="4"/>
  <c r="AD256" i="5"/>
  <c r="X52" i="4"/>
  <c r="AI256" i="5"/>
  <c r="Y52" i="4"/>
  <c r="AJ256" i="5"/>
  <c r="Z52" i="4"/>
  <c r="AL256" i="5"/>
  <c r="AN256" i="5"/>
  <c r="AG257" i="5"/>
  <c r="AF257" i="5"/>
  <c r="B215" i="4"/>
  <c r="C215" i="4"/>
  <c r="C257" i="5"/>
  <c r="D215" i="4"/>
  <c r="E257" i="5"/>
  <c r="H215" i="4"/>
  <c r="K257" i="5"/>
  <c r="L215" i="4"/>
  <c r="Q257" i="5"/>
  <c r="M215" i="4"/>
  <c r="R257" i="5"/>
  <c r="T257" i="5"/>
  <c r="O215" i="4"/>
  <c r="U257" i="5"/>
  <c r="P215" i="4"/>
  <c r="W257" i="5"/>
  <c r="Q215" i="4"/>
  <c r="X257" i="5"/>
  <c r="S215" i="4"/>
  <c r="AA257" i="5"/>
  <c r="AH215" i="4"/>
  <c r="T215" i="4" a="1"/>
  <c r="T215" i="4"/>
  <c r="AC257" i="5"/>
  <c r="U215" i="4" a="1"/>
  <c r="U215" i="4"/>
  <c r="AD257" i="5"/>
  <c r="X215" i="4"/>
  <c r="AI257" i="5"/>
  <c r="Y215" i="4"/>
  <c r="AJ257" i="5"/>
  <c r="Z215" i="4"/>
  <c r="AL257" i="5"/>
  <c r="AN257" i="5"/>
  <c r="AG258" i="5"/>
  <c r="AF258" i="5"/>
  <c r="B42" i="4"/>
  <c r="C42" i="4"/>
  <c r="C258" i="5"/>
  <c r="D42" i="4"/>
  <c r="E258" i="5"/>
  <c r="K258" i="5"/>
  <c r="L42" i="4"/>
  <c r="Q258" i="5"/>
  <c r="M42" i="4"/>
  <c r="R258" i="5"/>
  <c r="T258" i="5"/>
  <c r="U258" i="5"/>
  <c r="P42" i="4"/>
  <c r="W258" i="5"/>
  <c r="Q42" i="4"/>
  <c r="X258" i="5"/>
  <c r="S42" i="4"/>
  <c r="AA258" i="5"/>
  <c r="AH42" i="4"/>
  <c r="T42" i="4" a="1"/>
  <c r="T42" i="4"/>
  <c r="AC258" i="5"/>
  <c r="U42" i="4" a="1"/>
  <c r="U42" i="4"/>
  <c r="AD258" i="5"/>
  <c r="X42" i="4"/>
  <c r="AI258" i="5"/>
  <c r="Y42" i="4"/>
  <c r="AJ258" i="5"/>
  <c r="Z42" i="4"/>
  <c r="AL258" i="5"/>
  <c r="AN258" i="5"/>
  <c r="AG259" i="5"/>
  <c r="AF259" i="5"/>
  <c r="B26" i="4"/>
  <c r="C26" i="4"/>
  <c r="C259" i="5"/>
  <c r="D26" i="4"/>
  <c r="E259" i="5"/>
  <c r="K259" i="5"/>
  <c r="L26" i="4"/>
  <c r="Q259" i="5"/>
  <c r="M26" i="4"/>
  <c r="R259" i="5"/>
  <c r="T259" i="5"/>
  <c r="U259" i="5"/>
  <c r="P26" i="4"/>
  <c r="W259" i="5"/>
  <c r="Q26" i="4"/>
  <c r="X259" i="5"/>
  <c r="S26" i="4"/>
  <c r="AA259" i="5"/>
  <c r="AH26" i="4"/>
  <c r="T26" i="4" a="1"/>
  <c r="T26" i="4"/>
  <c r="AC259" i="5"/>
  <c r="U26" i="4" a="1"/>
  <c r="U26" i="4"/>
  <c r="AD259" i="5"/>
  <c r="X26" i="4"/>
  <c r="AI259" i="5"/>
  <c r="Y26" i="4"/>
  <c r="AJ259" i="5"/>
  <c r="Z26" i="4"/>
  <c r="AL259" i="5"/>
  <c r="AN259" i="5"/>
  <c r="AG260" i="5"/>
  <c r="AF260" i="5"/>
  <c r="B28" i="4"/>
  <c r="C28" i="4"/>
  <c r="C260" i="5"/>
  <c r="D28" i="4"/>
  <c r="E260" i="5"/>
  <c r="K260" i="5"/>
  <c r="L28" i="4"/>
  <c r="Q260" i="5"/>
  <c r="M28" i="4"/>
  <c r="R260" i="5"/>
  <c r="N28" i="4"/>
  <c r="T260" i="5"/>
  <c r="O2" i="2"/>
  <c r="O28" i="4"/>
  <c r="U260" i="5"/>
  <c r="P28" i="4"/>
  <c r="W260" i="5"/>
  <c r="Q28" i="4"/>
  <c r="X260" i="5"/>
  <c r="S28" i="4"/>
  <c r="AA260" i="5"/>
  <c r="AH28" i="4"/>
  <c r="T28" i="4" a="1"/>
  <c r="T28" i="4"/>
  <c r="AC260" i="5"/>
  <c r="U28" i="4" a="1"/>
  <c r="U28" i="4"/>
  <c r="AD260" i="5"/>
  <c r="X28" i="4"/>
  <c r="AI260" i="5"/>
  <c r="Y28" i="4"/>
  <c r="AJ260" i="5"/>
  <c r="Z28" i="4"/>
  <c r="AL260" i="5"/>
  <c r="AN260" i="5"/>
  <c r="AG261" i="5"/>
  <c r="AF261" i="5"/>
  <c r="B35" i="4"/>
  <c r="C35" i="4"/>
  <c r="C261" i="5"/>
  <c r="D35" i="4"/>
  <c r="E261" i="5"/>
  <c r="K261" i="5"/>
  <c r="L35" i="4"/>
  <c r="Q261" i="5"/>
  <c r="M35" i="4"/>
  <c r="R261" i="5"/>
  <c r="T261" i="5"/>
  <c r="U261" i="5"/>
  <c r="P35" i="4"/>
  <c r="W261" i="5"/>
  <c r="Q35" i="4"/>
  <c r="X261" i="5"/>
  <c r="S35" i="4"/>
  <c r="AA261" i="5"/>
  <c r="AH35" i="4"/>
  <c r="T35" i="4" a="1"/>
  <c r="T35" i="4"/>
  <c r="AC261" i="5"/>
  <c r="U35" i="4" a="1"/>
  <c r="U35" i="4"/>
  <c r="AD261" i="5"/>
  <c r="X35" i="4"/>
  <c r="AI261" i="5"/>
  <c r="Y35" i="4"/>
  <c r="AJ261" i="5"/>
  <c r="Z35" i="4"/>
  <c r="AL261" i="5"/>
  <c r="AN261" i="5"/>
  <c r="AG262" i="5"/>
  <c r="AF262" i="5"/>
  <c r="C248" i="4"/>
  <c r="C262" i="5"/>
  <c r="N248" i="4"/>
  <c r="T262" i="5"/>
  <c r="O248" i="4"/>
  <c r="U262" i="5"/>
  <c r="P248" i="4"/>
  <c r="W262" i="5"/>
  <c r="Q248" i="4"/>
  <c r="X262" i="5"/>
  <c r="AA262" i="5"/>
  <c r="AH248" i="4"/>
  <c r="T248" i="4" a="1"/>
  <c r="T248" i="4"/>
  <c r="AC262" i="5"/>
  <c r="U248" i="4" a="1"/>
  <c r="U248" i="4"/>
  <c r="AD262" i="5"/>
  <c r="X248" i="4"/>
  <c r="AI262" i="5"/>
  <c r="Y248" i="4"/>
  <c r="AJ262" i="5"/>
  <c r="Z248" i="4"/>
  <c r="AL262" i="5"/>
  <c r="AN262" i="5"/>
  <c r="O263" i="5"/>
  <c r="K263" i="5"/>
  <c r="AG263" i="5"/>
  <c r="AF263" i="5"/>
  <c r="B4" i="4"/>
  <c r="C4" i="4"/>
  <c r="C263" i="5"/>
  <c r="D4" i="4"/>
  <c r="E263" i="5"/>
  <c r="E4" i="4"/>
  <c r="F263" i="5"/>
  <c r="F4" i="4"/>
  <c r="H263" i="5"/>
  <c r="I263" i="5"/>
  <c r="I4" i="4"/>
  <c r="L263" i="5"/>
  <c r="J4" i="4"/>
  <c r="N263" i="5"/>
  <c r="L4" i="4"/>
  <c r="Q263" i="5"/>
  <c r="M4" i="4"/>
  <c r="R263" i="5"/>
  <c r="N4" i="4"/>
  <c r="T263" i="5"/>
  <c r="U263" i="5"/>
  <c r="P4" i="4"/>
  <c r="W263" i="5"/>
  <c r="Q4" i="4"/>
  <c r="X263" i="5"/>
  <c r="S4" i="4"/>
  <c r="AA263" i="5"/>
  <c r="AH4" i="4"/>
  <c r="T4" i="4" a="1"/>
  <c r="T4" i="4"/>
  <c r="AC263" i="5"/>
  <c r="U4" i="4" a="1"/>
  <c r="U4" i="4"/>
  <c r="AD263" i="5"/>
  <c r="AI263" i="5"/>
  <c r="Y4" i="4"/>
  <c r="AJ263" i="5"/>
  <c r="Z4" i="4"/>
  <c r="AL263" i="5"/>
  <c r="AN263" i="5"/>
  <c r="AG264" i="5"/>
  <c r="AF264" i="5"/>
  <c r="B93" i="4"/>
  <c r="C93" i="4"/>
  <c r="C264" i="5"/>
  <c r="D93" i="4"/>
  <c r="E264" i="5"/>
  <c r="H93" i="4"/>
  <c r="K264" i="5"/>
  <c r="I93" i="4"/>
  <c r="L264" i="5"/>
  <c r="J93" i="4"/>
  <c r="N264" i="5"/>
  <c r="O264" i="5"/>
  <c r="L93" i="4"/>
  <c r="Q264" i="5"/>
  <c r="M93" i="4"/>
  <c r="R264" i="5"/>
  <c r="N93" i="4"/>
  <c r="T264" i="5"/>
  <c r="O93" i="4"/>
  <c r="U264" i="5"/>
  <c r="P93" i="4"/>
  <c r="W264" i="5"/>
  <c r="Q93" i="4"/>
  <c r="X264" i="5"/>
  <c r="S93" i="4"/>
  <c r="AA264" i="5"/>
  <c r="AH93" i="4"/>
  <c r="T93" i="4" a="1"/>
  <c r="T93" i="4"/>
  <c r="AC264" i="5"/>
  <c r="U93" i="4" a="1"/>
  <c r="U93" i="4"/>
  <c r="AD264" i="5"/>
  <c r="X93" i="4"/>
  <c r="AI264" i="5"/>
  <c r="Y93" i="4"/>
  <c r="AJ264" i="5"/>
  <c r="Z93" i="4"/>
  <c r="AL264" i="5"/>
  <c r="F264" i="5"/>
  <c r="AN264" i="5"/>
  <c r="AG265" i="5"/>
  <c r="AF265" i="5"/>
  <c r="B21" i="4"/>
  <c r="C21" i="4"/>
  <c r="C265" i="5"/>
  <c r="D21" i="4"/>
  <c r="E265" i="5"/>
  <c r="K265" i="5"/>
  <c r="I21" i="4"/>
  <c r="L265" i="5"/>
  <c r="J21" i="4"/>
  <c r="N265" i="5"/>
  <c r="O265" i="5"/>
  <c r="L21" i="4"/>
  <c r="Q265" i="5"/>
  <c r="M21" i="4"/>
  <c r="R265" i="5"/>
  <c r="N21" i="4"/>
  <c r="T265" i="5"/>
  <c r="U265" i="5"/>
  <c r="P21" i="4"/>
  <c r="W265" i="5"/>
  <c r="Q21" i="4"/>
  <c r="X265" i="5"/>
  <c r="S21" i="4"/>
  <c r="AA265" i="5"/>
  <c r="AH21" i="4"/>
  <c r="T21" i="4" a="1"/>
  <c r="T21" i="4"/>
  <c r="AC265" i="5"/>
  <c r="U21" i="4" a="1"/>
  <c r="U21" i="4"/>
  <c r="AD265" i="5"/>
  <c r="X21" i="4"/>
  <c r="AI265" i="5"/>
  <c r="Y21" i="4"/>
  <c r="AJ265" i="5"/>
  <c r="Z21" i="4"/>
  <c r="AL265" i="5"/>
  <c r="F265" i="5"/>
  <c r="AN265" i="5"/>
  <c r="AG266" i="5"/>
  <c r="AF266" i="5"/>
  <c r="B22" i="4"/>
  <c r="C22" i="4"/>
  <c r="C266" i="5"/>
  <c r="D22" i="4"/>
  <c r="E266" i="5"/>
  <c r="K266" i="5"/>
  <c r="L22" i="4"/>
  <c r="Q266" i="5"/>
  <c r="M22" i="4"/>
  <c r="R266" i="5"/>
  <c r="N22" i="4"/>
  <c r="T266" i="5"/>
  <c r="U266" i="5"/>
  <c r="P22" i="4"/>
  <c r="W266" i="5"/>
  <c r="Q22" i="4"/>
  <c r="X266" i="5"/>
  <c r="S22" i="4"/>
  <c r="AA266" i="5"/>
  <c r="AH22" i="4"/>
  <c r="T22" i="4" a="1"/>
  <c r="T22" i="4"/>
  <c r="AC266" i="5"/>
  <c r="U22" i="4" a="1"/>
  <c r="U22" i="4"/>
  <c r="AD266" i="5"/>
  <c r="X22" i="4"/>
  <c r="AI266" i="5"/>
  <c r="Y22" i="4"/>
  <c r="AJ266" i="5"/>
  <c r="Z22" i="4"/>
  <c r="AL266" i="5"/>
  <c r="F266" i="5"/>
  <c r="L266" i="5"/>
  <c r="N266" i="5"/>
  <c r="O266" i="5"/>
  <c r="AN266" i="5"/>
  <c r="AG267" i="5"/>
  <c r="AF267" i="5"/>
  <c r="B140" i="4"/>
  <c r="C140" i="4"/>
  <c r="C267" i="5"/>
  <c r="D140" i="4"/>
  <c r="E267" i="5"/>
  <c r="E140" i="4"/>
  <c r="F267" i="5"/>
  <c r="F140" i="4"/>
  <c r="H267" i="5"/>
  <c r="I267" i="5"/>
  <c r="H140" i="4"/>
  <c r="K267" i="5"/>
  <c r="L140" i="4"/>
  <c r="Q267" i="5"/>
  <c r="M140" i="4"/>
  <c r="R267" i="5"/>
  <c r="N140" i="4"/>
  <c r="T267" i="5"/>
  <c r="O140" i="4"/>
  <c r="U267" i="5"/>
  <c r="P140" i="4"/>
  <c r="W267" i="5"/>
  <c r="Q140" i="4"/>
  <c r="X267" i="5"/>
  <c r="S140" i="4"/>
  <c r="AA267" i="5"/>
  <c r="AH140" i="4"/>
  <c r="T140" i="4" a="1"/>
  <c r="T140" i="4"/>
  <c r="AC267" i="5"/>
  <c r="U140" i="4" a="1"/>
  <c r="U140" i="4"/>
  <c r="AD267" i="5"/>
  <c r="X140" i="4"/>
  <c r="AI267" i="5"/>
  <c r="Y140" i="4"/>
  <c r="AJ267" i="5"/>
  <c r="Z140" i="4"/>
  <c r="AL267" i="5"/>
  <c r="L267" i="5"/>
  <c r="N267" i="5"/>
  <c r="O267" i="5"/>
  <c r="AN267" i="5"/>
  <c r="O268" i="5"/>
  <c r="B295" i="4"/>
  <c r="H295" i="4"/>
  <c r="K268" i="5"/>
  <c r="AG268" i="5"/>
  <c r="AF268" i="5"/>
  <c r="C295" i="4"/>
  <c r="C268" i="5"/>
  <c r="D295" i="4"/>
  <c r="E268" i="5"/>
  <c r="I7" i="2"/>
  <c r="I295" i="4"/>
  <c r="L268" i="5"/>
  <c r="J7" i="2"/>
  <c r="J295" i="4"/>
  <c r="N268" i="5"/>
  <c r="L295" i="4"/>
  <c r="Q268" i="5"/>
  <c r="M295" i="4"/>
  <c r="R268" i="5"/>
  <c r="T268" i="5"/>
  <c r="O295" i="4"/>
  <c r="U268" i="5"/>
  <c r="P295" i="4"/>
  <c r="W268" i="5"/>
  <c r="Q295" i="4"/>
  <c r="X268" i="5"/>
  <c r="S295" i="4"/>
  <c r="AA268" i="5"/>
  <c r="AH295" i="4"/>
  <c r="T295" i="4" a="1"/>
  <c r="T295" i="4"/>
  <c r="AC268" i="5"/>
  <c r="U295" i="4" a="1"/>
  <c r="U295" i="4"/>
  <c r="AD268" i="5"/>
  <c r="X295" i="4"/>
  <c r="AI268" i="5"/>
  <c r="Y295" i="4"/>
  <c r="AJ268" i="5"/>
  <c r="Z295" i="4"/>
  <c r="AL268" i="5"/>
  <c r="F268" i="5"/>
  <c r="H268" i="5"/>
  <c r="I268" i="5"/>
  <c r="AN268" i="5"/>
  <c r="B12" i="4"/>
  <c r="S12" i="4"/>
  <c r="AA269" i="5"/>
  <c r="P12" i="4"/>
  <c r="W269" i="5"/>
  <c r="AG269" i="5"/>
  <c r="AF269" i="5"/>
  <c r="C12" i="4"/>
  <c r="C269" i="5"/>
  <c r="D12" i="4"/>
  <c r="E269" i="5"/>
  <c r="E12" i="4"/>
  <c r="F269" i="5"/>
  <c r="F12" i="4"/>
  <c r="H269" i="5"/>
  <c r="I269" i="5"/>
  <c r="K269" i="5"/>
  <c r="L12" i="4"/>
  <c r="Q269" i="5"/>
  <c r="M12" i="4"/>
  <c r="R269" i="5"/>
  <c r="T269" i="5"/>
  <c r="U269" i="5"/>
  <c r="Q12" i="4"/>
  <c r="X269" i="5"/>
  <c r="R12" i="4"/>
  <c r="Z269" i="5"/>
  <c r="AH12" i="4"/>
  <c r="T12" i="4" a="1"/>
  <c r="T12" i="4"/>
  <c r="AC269" i="5"/>
  <c r="U12" i="4" a="1"/>
  <c r="U12" i="4"/>
  <c r="AD269" i="5"/>
  <c r="X12" i="4"/>
  <c r="AI269" i="5"/>
  <c r="Y12" i="4"/>
  <c r="AJ269" i="5"/>
  <c r="Z12" i="4"/>
  <c r="AL269" i="5"/>
  <c r="L269" i="5"/>
  <c r="N269" i="5"/>
  <c r="O269" i="5"/>
  <c r="AN269" i="5"/>
  <c r="B297" i="4"/>
  <c r="S297" i="4"/>
  <c r="AA270" i="5"/>
  <c r="P297" i="4"/>
  <c r="W270" i="5"/>
  <c r="AG270" i="5"/>
  <c r="AF270" i="5"/>
  <c r="C297" i="4"/>
  <c r="C270" i="5"/>
  <c r="D297" i="4"/>
  <c r="E270" i="5"/>
  <c r="E297" i="4"/>
  <c r="F270" i="5"/>
  <c r="F297" i="4"/>
  <c r="H270" i="5"/>
  <c r="I270" i="5"/>
  <c r="K270" i="5"/>
  <c r="L297" i="4"/>
  <c r="Q270" i="5"/>
  <c r="O297" i="4"/>
  <c r="U270" i="5"/>
  <c r="Q297" i="4"/>
  <c r="X270" i="5"/>
  <c r="R297" i="4"/>
  <c r="Z270" i="5"/>
  <c r="AH297" i="4"/>
  <c r="T297" i="4" a="1"/>
  <c r="T297" i="4"/>
  <c r="AC270" i="5"/>
  <c r="U297" i="4" a="1"/>
  <c r="U297" i="4"/>
  <c r="AD270" i="5"/>
  <c r="X297" i="4"/>
  <c r="AI270" i="5"/>
  <c r="Y297" i="4"/>
  <c r="AJ270" i="5"/>
  <c r="Z297" i="4"/>
  <c r="AL270" i="5"/>
  <c r="L270" i="5"/>
  <c r="N270" i="5"/>
  <c r="O270" i="5"/>
  <c r="R270" i="5"/>
  <c r="AN270" i="5"/>
  <c r="O271" i="5"/>
  <c r="B260" i="4"/>
  <c r="H260" i="4"/>
  <c r="K271" i="5"/>
  <c r="AG271" i="5"/>
  <c r="AF271" i="5"/>
  <c r="C260" i="4"/>
  <c r="C271" i="5"/>
  <c r="D260" i="4"/>
  <c r="E271" i="5"/>
  <c r="E260" i="4"/>
  <c r="F271" i="5"/>
  <c r="F260" i="4"/>
  <c r="H271" i="5"/>
  <c r="I271" i="5"/>
  <c r="I260" i="4"/>
  <c r="L271" i="5"/>
  <c r="J260" i="4"/>
  <c r="N271" i="5"/>
  <c r="L260" i="4"/>
  <c r="Q271" i="5"/>
  <c r="M260" i="4"/>
  <c r="R271" i="5"/>
  <c r="N260" i="4"/>
  <c r="T271" i="5"/>
  <c r="O260" i="4"/>
  <c r="U271" i="5"/>
  <c r="P260" i="4"/>
  <c r="W271" i="5"/>
  <c r="Q260" i="4"/>
  <c r="X271" i="5"/>
  <c r="S260" i="4"/>
  <c r="AA271" i="5"/>
  <c r="AH260" i="4"/>
  <c r="T260" i="4" a="1"/>
  <c r="T260" i="4"/>
  <c r="AC271" i="5"/>
  <c r="U260" i="4" a="1"/>
  <c r="U260" i="4"/>
  <c r="AD271" i="5"/>
  <c r="X260" i="4"/>
  <c r="AI271" i="5"/>
  <c r="Y260" i="4"/>
  <c r="AJ271" i="5"/>
  <c r="Z260" i="4"/>
  <c r="AL271" i="5"/>
  <c r="AN271" i="5"/>
  <c r="O272" i="5"/>
  <c r="B261" i="4"/>
  <c r="H261" i="4"/>
  <c r="K272" i="5"/>
  <c r="AG272" i="5"/>
  <c r="AF272" i="5"/>
  <c r="C261" i="4"/>
  <c r="C272" i="5"/>
  <c r="D261" i="4"/>
  <c r="E272" i="5"/>
  <c r="E261" i="4"/>
  <c r="F272" i="5"/>
  <c r="F261" i="4"/>
  <c r="H272" i="5"/>
  <c r="I272" i="5"/>
  <c r="I43" i="2"/>
  <c r="I261" i="4"/>
  <c r="L272" i="5"/>
  <c r="J43" i="2"/>
  <c r="J261" i="4"/>
  <c r="N272" i="5"/>
  <c r="L261" i="4"/>
  <c r="Q272" i="5"/>
  <c r="M261" i="4"/>
  <c r="R272" i="5"/>
  <c r="T272" i="5"/>
  <c r="O261" i="4"/>
  <c r="U272" i="5"/>
  <c r="W272" i="5"/>
  <c r="Q261" i="4"/>
  <c r="X272" i="5"/>
  <c r="AA272" i="5"/>
  <c r="AH261" i="4"/>
  <c r="T261" i="4" a="1"/>
  <c r="T261" i="4"/>
  <c r="AC272" i="5"/>
  <c r="U261" i="4" a="1"/>
  <c r="U261" i="4"/>
  <c r="AD272" i="5"/>
  <c r="X261" i="4"/>
  <c r="AI272" i="5"/>
  <c r="Y261" i="4"/>
  <c r="AJ272" i="5"/>
  <c r="Z261" i="4"/>
  <c r="AL272" i="5"/>
  <c r="AN272" i="5"/>
  <c r="AG273" i="5"/>
  <c r="AF273" i="5"/>
  <c r="B269" i="4"/>
  <c r="C269" i="4"/>
  <c r="C273" i="5"/>
  <c r="D269" i="4"/>
  <c r="E273" i="5"/>
  <c r="H269" i="4"/>
  <c r="K273" i="5"/>
  <c r="L269" i="4"/>
  <c r="Q273" i="5"/>
  <c r="M269" i="4"/>
  <c r="R273" i="5"/>
  <c r="T273" i="5"/>
  <c r="O269" i="4"/>
  <c r="U273" i="5"/>
  <c r="P269" i="4"/>
  <c r="W273" i="5"/>
  <c r="Q269" i="4"/>
  <c r="X273" i="5"/>
  <c r="S269" i="4"/>
  <c r="AA273" i="5"/>
  <c r="AH269" i="4"/>
  <c r="T269" i="4" a="1"/>
  <c r="T269" i="4"/>
  <c r="AC273" i="5"/>
  <c r="U269" i="4" a="1"/>
  <c r="U269" i="4"/>
  <c r="AD273" i="5"/>
  <c r="X269" i="4"/>
  <c r="AI273" i="5"/>
  <c r="Y269" i="4"/>
  <c r="AJ273" i="5"/>
  <c r="Z269" i="4"/>
  <c r="AL273" i="5"/>
  <c r="F273" i="5"/>
  <c r="L273" i="5"/>
  <c r="N273" i="5"/>
  <c r="O273" i="5"/>
  <c r="AN273" i="5"/>
  <c r="O274" i="5"/>
  <c r="K274" i="5"/>
  <c r="AG274" i="5"/>
  <c r="AF274" i="5"/>
  <c r="B13" i="4"/>
  <c r="C13" i="4"/>
  <c r="C274" i="5"/>
  <c r="D13" i="4"/>
  <c r="E274" i="5"/>
  <c r="L274" i="5"/>
  <c r="N274" i="5"/>
  <c r="L13" i="4"/>
  <c r="Q274" i="5"/>
  <c r="M13" i="4"/>
  <c r="R274" i="5"/>
  <c r="N13" i="4"/>
  <c r="T274" i="5"/>
  <c r="U274" i="5"/>
  <c r="P13" i="4"/>
  <c r="W274" i="5"/>
  <c r="X274" i="5"/>
  <c r="AA274" i="5"/>
  <c r="AH13" i="4"/>
  <c r="T13" i="4" a="1"/>
  <c r="T13" i="4"/>
  <c r="AC274" i="5"/>
  <c r="U13" i="4" a="1"/>
  <c r="U13" i="4"/>
  <c r="AD274" i="5"/>
  <c r="X13" i="4"/>
  <c r="AI274" i="5"/>
  <c r="Y13" i="4"/>
  <c r="AJ274" i="5"/>
  <c r="Z13" i="4"/>
  <c r="AL274" i="5"/>
  <c r="F274" i="5"/>
  <c r="AN274" i="5"/>
  <c r="AG275" i="5"/>
  <c r="AF275" i="5"/>
  <c r="B161" i="4"/>
  <c r="C161" i="4"/>
  <c r="C275" i="5"/>
  <c r="D161" i="4"/>
  <c r="E275" i="5"/>
  <c r="H161" i="4"/>
  <c r="K275" i="5"/>
  <c r="L161" i="4"/>
  <c r="Q275" i="5"/>
  <c r="M161" i="4"/>
  <c r="R275" i="5"/>
  <c r="N161" i="4"/>
  <c r="T275" i="5"/>
  <c r="U275" i="5"/>
  <c r="P161" i="4"/>
  <c r="W275" i="5"/>
  <c r="Q161" i="4"/>
  <c r="X275" i="5"/>
  <c r="AA275" i="5"/>
  <c r="AH161" i="4"/>
  <c r="T161" i="4" a="1"/>
  <c r="T161" i="4"/>
  <c r="AC275" i="5"/>
  <c r="U161" i="4" a="1"/>
  <c r="U161" i="4"/>
  <c r="AD275" i="5"/>
  <c r="Y161" i="4"/>
  <c r="AJ275" i="5"/>
  <c r="Z161" i="4"/>
  <c r="AL275" i="5"/>
  <c r="F275" i="5"/>
  <c r="L275" i="5"/>
  <c r="N275" i="5"/>
  <c r="O275" i="5"/>
  <c r="AN275" i="5"/>
  <c r="O276" i="5"/>
  <c r="B270" i="4"/>
  <c r="H270" i="4"/>
  <c r="K276" i="5"/>
  <c r="AG276" i="5"/>
  <c r="AF276" i="5"/>
  <c r="C270" i="4"/>
  <c r="C276" i="5"/>
  <c r="D270" i="4"/>
  <c r="E276" i="5"/>
  <c r="E270" i="4"/>
  <c r="F276" i="5"/>
  <c r="F270" i="4"/>
  <c r="H276" i="5"/>
  <c r="I276" i="5"/>
  <c r="I270" i="4"/>
  <c r="L276" i="5"/>
  <c r="J270" i="4"/>
  <c r="N276" i="5"/>
  <c r="L270" i="4"/>
  <c r="Q276" i="5"/>
  <c r="M270" i="4"/>
  <c r="R276" i="5"/>
  <c r="N270" i="4"/>
  <c r="T276" i="5"/>
  <c r="O270" i="4"/>
  <c r="U276" i="5"/>
  <c r="P270" i="4"/>
  <c r="W276" i="5"/>
  <c r="Q270" i="4"/>
  <c r="X276" i="5"/>
  <c r="AA276" i="5"/>
  <c r="AH270" i="4"/>
  <c r="T270" i="4" a="1"/>
  <c r="T270" i="4"/>
  <c r="AC276" i="5"/>
  <c r="U270" i="4" a="1"/>
  <c r="U270" i="4"/>
  <c r="AD276" i="5"/>
  <c r="X270" i="4"/>
  <c r="AI276" i="5"/>
  <c r="Y270" i="4"/>
  <c r="AJ276" i="5"/>
  <c r="Z270" i="4"/>
  <c r="AL276" i="5"/>
  <c r="AN276" i="5"/>
  <c r="AG277" i="5"/>
  <c r="AF277" i="5"/>
  <c r="B163" i="4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H163" i="4"/>
  <c r="T163" i="4" a="1"/>
  <c r="T163" i="4"/>
  <c r="AC277" i="5"/>
  <c r="U163" i="4" a="1"/>
  <c r="U163" i="4"/>
  <c r="AD277" i="5"/>
  <c r="X163" i="4"/>
  <c r="AI277" i="5"/>
  <c r="Y163" i="4"/>
  <c r="AJ277" i="5"/>
  <c r="Z163" i="4"/>
  <c r="AL277" i="5"/>
  <c r="L277" i="5"/>
  <c r="N277" i="5"/>
  <c r="O277" i="5"/>
  <c r="AN277" i="5"/>
  <c r="O278" i="5"/>
  <c r="K278" i="5"/>
  <c r="AG278" i="5"/>
  <c r="AF278" i="5"/>
  <c r="C253" i="4"/>
  <c r="C278" i="5"/>
  <c r="D253" i="4"/>
  <c r="E278" i="5"/>
  <c r="I253" i="4"/>
  <c r="L278" i="5"/>
  <c r="J253" i="4"/>
  <c r="N278" i="5"/>
  <c r="L253" i="4"/>
  <c r="Q278" i="5"/>
  <c r="M253" i="4"/>
  <c r="R278" i="5"/>
  <c r="N253" i="4"/>
  <c r="T278" i="5"/>
  <c r="O253" i="4"/>
  <c r="U278" i="5"/>
  <c r="P253" i="4"/>
  <c r="W278" i="5"/>
  <c r="Q253" i="4"/>
  <c r="X278" i="5"/>
  <c r="S253" i="4"/>
  <c r="AA278" i="5"/>
  <c r="AH253" i="4"/>
  <c r="T253" i="4" a="1"/>
  <c r="T253" i="4"/>
  <c r="AC278" i="5"/>
  <c r="U253" i="4" a="1"/>
  <c r="U253" i="4"/>
  <c r="AD278" i="5"/>
  <c r="AI278" i="5"/>
  <c r="Y253" i="4"/>
  <c r="AJ278" i="5"/>
  <c r="Z253" i="4"/>
  <c r="AL278" i="5"/>
  <c r="AN278" i="5"/>
  <c r="AG279" i="5"/>
  <c r="AF279" i="5"/>
  <c r="B165" i="4"/>
  <c r="C165" i="4"/>
  <c r="C279" i="5"/>
  <c r="D165" i="4"/>
  <c r="E279" i="5"/>
  <c r="H165" i="4"/>
  <c r="K279" i="5"/>
  <c r="L165" i="4"/>
  <c r="Q279" i="5"/>
  <c r="M165" i="4"/>
  <c r="R279" i="5"/>
  <c r="T279" i="5"/>
  <c r="O165" i="4"/>
  <c r="U279" i="5"/>
  <c r="P165" i="4"/>
  <c r="W279" i="5"/>
  <c r="Q165" i="4"/>
  <c r="X279" i="5"/>
  <c r="S165" i="4"/>
  <c r="AA279" i="5"/>
  <c r="AH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AN279" i="5"/>
  <c r="AG280" i="5"/>
  <c r="AF280" i="5"/>
  <c r="B186" i="4"/>
  <c r="C186" i="4"/>
  <c r="C280" i="5"/>
  <c r="D186" i="4"/>
  <c r="E280" i="5"/>
  <c r="H186" i="4"/>
  <c r="K280" i="5"/>
  <c r="L186" i="4"/>
  <c r="Q280" i="5"/>
  <c r="M186" i="4"/>
  <c r="R280" i="5"/>
  <c r="T280" i="5"/>
  <c r="O186" i="4"/>
  <c r="U280" i="5"/>
  <c r="P186" i="4"/>
  <c r="W280" i="5"/>
  <c r="Q186" i="4"/>
  <c r="X280" i="5"/>
  <c r="S186" i="4"/>
  <c r="AA280" i="5"/>
  <c r="AH186" i="4"/>
  <c r="T186" i="4" a="1"/>
  <c r="T186" i="4"/>
  <c r="AC280" i="5"/>
  <c r="U186" i="4" a="1"/>
  <c r="U186" i="4"/>
  <c r="AD280" i="5"/>
  <c r="X186" i="4"/>
  <c r="AI280" i="5"/>
  <c r="Y186" i="4"/>
  <c r="AJ280" i="5"/>
  <c r="Z186" i="4"/>
  <c r="AL280" i="5"/>
  <c r="AN280" i="5"/>
  <c r="AG281" i="5"/>
  <c r="AF281" i="5"/>
  <c r="B187" i="4"/>
  <c r="C187" i="4"/>
  <c r="C281" i="5"/>
  <c r="D187" i="4"/>
  <c r="E281" i="5"/>
  <c r="H187" i="4"/>
  <c r="K281" i="5"/>
  <c r="L187" i="4"/>
  <c r="Q281" i="5"/>
  <c r="M187" i="4"/>
  <c r="R281" i="5"/>
  <c r="T281" i="5"/>
  <c r="O187" i="4"/>
  <c r="U281" i="5"/>
  <c r="P187" i="4"/>
  <c r="W281" i="5"/>
  <c r="Q187" i="4"/>
  <c r="X281" i="5"/>
  <c r="S187" i="4"/>
  <c r="AA281" i="5"/>
  <c r="AH187" i="4"/>
  <c r="T187" i="4" a="1"/>
  <c r="T187" i="4"/>
  <c r="AC281" i="5"/>
  <c r="U187" i="4" a="1"/>
  <c r="U187" i="4"/>
  <c r="AD281" i="5"/>
  <c r="X187" i="4"/>
  <c r="AI281" i="5"/>
  <c r="Y187" i="4"/>
  <c r="AJ281" i="5"/>
  <c r="Z187" i="4"/>
  <c r="AL281" i="5"/>
  <c r="AN281" i="5"/>
  <c r="AG282" i="5"/>
  <c r="AF282" i="5"/>
  <c r="B188" i="4"/>
  <c r="C188" i="4"/>
  <c r="C282" i="5"/>
  <c r="D188" i="4"/>
  <c r="E282" i="5"/>
  <c r="H188" i="4"/>
  <c r="K282" i="5"/>
  <c r="L188" i="4"/>
  <c r="Q282" i="5"/>
  <c r="M188" i="4"/>
  <c r="R282" i="5"/>
  <c r="T282" i="5"/>
  <c r="O188" i="4"/>
  <c r="U282" i="5"/>
  <c r="P188" i="4"/>
  <c r="W282" i="5"/>
  <c r="Q188" i="4"/>
  <c r="X282" i="5"/>
  <c r="S188" i="4"/>
  <c r="AA282" i="5"/>
  <c r="AH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AN282" i="5"/>
  <c r="AG283" i="5"/>
  <c r="AF283" i="5"/>
  <c r="B62" i="4"/>
  <c r="C62" i="4"/>
  <c r="C283" i="5"/>
  <c r="D62" i="4"/>
  <c r="E283" i="5"/>
  <c r="K283" i="5"/>
  <c r="L62" i="4"/>
  <c r="Q283" i="5"/>
  <c r="M62" i="4"/>
  <c r="R283" i="5"/>
  <c r="N62" i="4"/>
  <c r="T283" i="5"/>
  <c r="U283" i="5"/>
  <c r="P62" i="4"/>
  <c r="W283" i="5"/>
  <c r="Q62" i="4"/>
  <c r="X283" i="5"/>
  <c r="S62" i="4"/>
  <c r="AA283" i="5"/>
  <c r="AH62" i="4"/>
  <c r="T62" i="4" a="1"/>
  <c r="T62" i="4"/>
  <c r="AC283" i="5"/>
  <c r="U62" i="4" a="1"/>
  <c r="U62" i="4"/>
  <c r="AD283" i="5"/>
  <c r="X62" i="4"/>
  <c r="AI283" i="5"/>
  <c r="Y62" i="4"/>
  <c r="AJ283" i="5"/>
  <c r="Z62" i="4"/>
  <c r="AL283" i="5"/>
  <c r="AN283" i="5"/>
  <c r="AG284" i="5"/>
  <c r="AF284" i="5"/>
  <c r="B63" i="4"/>
  <c r="C63" i="4"/>
  <c r="C284" i="5"/>
  <c r="D63" i="4"/>
  <c r="E284" i="5"/>
  <c r="K284" i="5"/>
  <c r="L63" i="4"/>
  <c r="Q284" i="5"/>
  <c r="M63" i="4"/>
  <c r="R284" i="5"/>
  <c r="N63" i="4"/>
  <c r="T284" i="5"/>
  <c r="U284" i="5"/>
  <c r="P63" i="4"/>
  <c r="W284" i="5"/>
  <c r="Q63" i="4"/>
  <c r="X284" i="5"/>
  <c r="S63" i="4"/>
  <c r="AA284" i="5"/>
  <c r="AH63" i="4"/>
  <c r="T63" i="4" a="1"/>
  <c r="T63" i="4"/>
  <c r="AC284" i="5"/>
  <c r="U63" i="4" a="1"/>
  <c r="U63" i="4"/>
  <c r="AD284" i="5"/>
  <c r="X63" i="4"/>
  <c r="AI284" i="5"/>
  <c r="Y63" i="4"/>
  <c r="AJ284" i="5"/>
  <c r="Z63" i="4"/>
  <c r="AL284" i="5"/>
  <c r="AN284" i="5"/>
  <c r="AG285" i="5"/>
  <c r="AF285" i="5"/>
  <c r="B190" i="4"/>
  <c r="C190" i="4"/>
  <c r="C285" i="5"/>
  <c r="D190" i="4"/>
  <c r="E285" i="5"/>
  <c r="H190" i="4"/>
  <c r="K285" i="5"/>
  <c r="L190" i="4"/>
  <c r="Q285" i="5"/>
  <c r="M190" i="4"/>
  <c r="R285" i="5"/>
  <c r="T285" i="5"/>
  <c r="O190" i="4"/>
  <c r="U285" i="5"/>
  <c r="P190" i="4"/>
  <c r="W285" i="5"/>
  <c r="Q190" i="4"/>
  <c r="X285" i="5"/>
  <c r="S190" i="4"/>
  <c r="AA285" i="5"/>
  <c r="AH190" i="4"/>
  <c r="T190" i="4" a="1"/>
  <c r="T190" i="4"/>
  <c r="AC285" i="5"/>
  <c r="U190" i="4" a="1"/>
  <c r="U190" i="4"/>
  <c r="AD285" i="5"/>
  <c r="X190" i="4"/>
  <c r="AI285" i="5"/>
  <c r="Y190" i="4"/>
  <c r="AJ285" i="5"/>
  <c r="Z190" i="4"/>
  <c r="AL285" i="5"/>
  <c r="AN285" i="5"/>
  <c r="AG286" i="5"/>
  <c r="AF286" i="5"/>
  <c r="B191" i="4"/>
  <c r="C191" i="4"/>
  <c r="C286" i="5"/>
  <c r="D191" i="4"/>
  <c r="E286" i="5"/>
  <c r="H191" i="4"/>
  <c r="K286" i="5"/>
  <c r="L191" i="4"/>
  <c r="Q286" i="5"/>
  <c r="M191" i="4"/>
  <c r="R286" i="5"/>
  <c r="T286" i="5"/>
  <c r="O191" i="4"/>
  <c r="U286" i="5"/>
  <c r="P191" i="4"/>
  <c r="W286" i="5"/>
  <c r="Q191" i="4"/>
  <c r="X286" i="5"/>
  <c r="S191" i="4"/>
  <c r="AA286" i="5"/>
  <c r="AH191" i="4"/>
  <c r="T191" i="4" a="1"/>
  <c r="T191" i="4"/>
  <c r="AC286" i="5"/>
  <c r="U191" i="4" a="1"/>
  <c r="U191" i="4"/>
  <c r="AD286" i="5"/>
  <c r="X191" i="4"/>
  <c r="AI286" i="5"/>
  <c r="Y191" i="4"/>
  <c r="AJ286" i="5"/>
  <c r="Z191" i="4"/>
  <c r="AL286" i="5"/>
  <c r="AN286" i="5"/>
  <c r="AG287" i="5"/>
  <c r="AF287" i="5"/>
  <c r="B193" i="4"/>
  <c r="C193" i="4"/>
  <c r="C287" i="5"/>
  <c r="D193" i="4"/>
  <c r="E287" i="5"/>
  <c r="H193" i="4"/>
  <c r="K287" i="5"/>
  <c r="L193" i="4"/>
  <c r="Q287" i="5"/>
  <c r="M193" i="4"/>
  <c r="R287" i="5"/>
  <c r="T287" i="5"/>
  <c r="O193" i="4"/>
  <c r="U287" i="5"/>
  <c r="P193" i="4"/>
  <c r="W287" i="5"/>
  <c r="Q193" i="4"/>
  <c r="X287" i="5"/>
  <c r="S193" i="4"/>
  <c r="AA287" i="5"/>
  <c r="AH193" i="4"/>
  <c r="T193" i="4" a="1"/>
  <c r="T193" i="4"/>
  <c r="AC287" i="5"/>
  <c r="U193" i="4" a="1"/>
  <c r="U193" i="4"/>
  <c r="AD287" i="5"/>
  <c r="X193" i="4"/>
  <c r="AI287" i="5"/>
  <c r="Y193" i="4"/>
  <c r="AJ287" i="5"/>
  <c r="Z193" i="4"/>
  <c r="AL287" i="5"/>
  <c r="AN287" i="5"/>
  <c r="AG288" i="5"/>
  <c r="AF288" i="5"/>
  <c r="B194" i="4"/>
  <c r="C194" i="4"/>
  <c r="C288" i="5"/>
  <c r="D194" i="4"/>
  <c r="E288" i="5"/>
  <c r="H194" i="4"/>
  <c r="K288" i="5"/>
  <c r="L194" i="4"/>
  <c r="Q288" i="5"/>
  <c r="M194" i="4"/>
  <c r="R288" i="5"/>
  <c r="T288" i="5"/>
  <c r="O194" i="4"/>
  <c r="U288" i="5"/>
  <c r="P194" i="4"/>
  <c r="W288" i="5"/>
  <c r="Q194" i="4"/>
  <c r="X288" i="5"/>
  <c r="S194" i="4"/>
  <c r="AA288" i="5"/>
  <c r="AH194" i="4"/>
  <c r="T194" i="4" a="1"/>
  <c r="T194" i="4"/>
  <c r="AC288" i="5"/>
  <c r="U194" i="4" a="1"/>
  <c r="U194" i="4"/>
  <c r="AD288" i="5"/>
  <c r="X194" i="4"/>
  <c r="AI288" i="5"/>
  <c r="Y194" i="4"/>
  <c r="AJ288" i="5"/>
  <c r="Z194" i="4"/>
  <c r="AL288" i="5"/>
  <c r="AN288" i="5"/>
  <c r="AG289" i="5"/>
  <c r="AF289" i="5"/>
  <c r="B195" i="4"/>
  <c r="C195" i="4"/>
  <c r="C289" i="5"/>
  <c r="D195" i="4"/>
  <c r="E289" i="5"/>
  <c r="H195" i="4"/>
  <c r="K289" i="5"/>
  <c r="L195" i="4"/>
  <c r="Q289" i="5"/>
  <c r="M195" i="4"/>
  <c r="R289" i="5"/>
  <c r="T289" i="5"/>
  <c r="O195" i="4"/>
  <c r="U289" i="5"/>
  <c r="P195" i="4"/>
  <c r="W289" i="5"/>
  <c r="Q195" i="4"/>
  <c r="X289" i="5"/>
  <c r="S195" i="4"/>
  <c r="AA289" i="5"/>
  <c r="AH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AN289" i="5"/>
  <c r="AG290" i="5"/>
  <c r="AF290" i="5"/>
  <c r="B196" i="4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H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AN290" i="5"/>
  <c r="B197" i="4"/>
  <c r="S197" i="4"/>
  <c r="AA291" i="5"/>
  <c r="P197" i="4"/>
  <c r="W291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N197" i="4"/>
  <c r="T291" i="5"/>
  <c r="O197" i="4"/>
  <c r="U291" i="5"/>
  <c r="Q197" i="4"/>
  <c r="X291" i="5"/>
  <c r="R39" i="2"/>
  <c r="R197" i="4"/>
  <c r="Z291" i="5"/>
  <c r="AH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AN291" i="5"/>
  <c r="AG292" i="5"/>
  <c r="AF292" i="5"/>
  <c r="B199" i="4"/>
  <c r="C199" i="4"/>
  <c r="C292" i="5"/>
  <c r="D199" i="4"/>
  <c r="E292" i="5"/>
  <c r="H199" i="4"/>
  <c r="K292" i="5"/>
  <c r="L199" i="4"/>
  <c r="Q292" i="5"/>
  <c r="M199" i="4"/>
  <c r="R292" i="5"/>
  <c r="N199" i="4"/>
  <c r="T292" i="5"/>
  <c r="O199" i="4"/>
  <c r="U292" i="5"/>
  <c r="P199" i="4"/>
  <c r="W292" i="5"/>
  <c r="Q199" i="4"/>
  <c r="X292" i="5"/>
  <c r="S199" i="4"/>
  <c r="AA292" i="5"/>
  <c r="AH199" i="4"/>
  <c r="T199" i="4" a="1"/>
  <c r="T199" i="4"/>
  <c r="AC292" i="5"/>
  <c r="U199" i="4" a="1"/>
  <c r="U199" i="4"/>
  <c r="AD292" i="5"/>
  <c r="X199" i="4"/>
  <c r="AI292" i="5"/>
  <c r="Y199" i="4"/>
  <c r="AJ292" i="5"/>
  <c r="Z199" i="4"/>
  <c r="AL292" i="5"/>
  <c r="AN292" i="5"/>
  <c r="AG293" i="5"/>
  <c r="AF293" i="5"/>
  <c r="B211" i="4"/>
  <c r="C211" i="4"/>
  <c r="C293" i="5"/>
  <c r="D211" i="4"/>
  <c r="E293" i="5"/>
  <c r="K293" i="5"/>
  <c r="L211" i="4"/>
  <c r="Q293" i="5"/>
  <c r="M211" i="4"/>
  <c r="R293" i="5"/>
  <c r="T293" i="5"/>
  <c r="U293" i="5"/>
  <c r="P211" i="4"/>
  <c r="W293" i="5"/>
  <c r="Q211" i="4"/>
  <c r="X293" i="5"/>
  <c r="S211" i="4"/>
  <c r="AA293" i="5"/>
  <c r="AH211" i="4"/>
  <c r="T211" i="4" a="1"/>
  <c r="T211" i="4"/>
  <c r="AC293" i="5"/>
  <c r="U211" i="4" a="1"/>
  <c r="U211" i="4"/>
  <c r="AD293" i="5"/>
  <c r="X211" i="4"/>
  <c r="AI293" i="5"/>
  <c r="Y211" i="4"/>
  <c r="AJ293" i="5"/>
  <c r="Z211" i="4"/>
  <c r="AL293" i="5"/>
  <c r="AN293" i="5"/>
  <c r="AG294" i="5"/>
  <c r="AF294" i="5"/>
  <c r="B267" i="4"/>
  <c r="C267" i="4"/>
  <c r="C294" i="5"/>
  <c r="D267" i="4"/>
  <c r="E294" i="5"/>
  <c r="H267" i="4"/>
  <c r="K294" i="5"/>
  <c r="L267" i="4"/>
  <c r="Q294" i="5"/>
  <c r="M267" i="4"/>
  <c r="R294" i="5"/>
  <c r="T294" i="5"/>
  <c r="O267" i="4"/>
  <c r="U294" i="5"/>
  <c r="P267" i="4"/>
  <c r="W294" i="5"/>
  <c r="Q267" i="4"/>
  <c r="X294" i="5"/>
  <c r="S267" i="4"/>
  <c r="AA294" i="5"/>
  <c r="AH267" i="4"/>
  <c r="T267" i="4" a="1"/>
  <c r="T267" i="4"/>
  <c r="AC294" i="5"/>
  <c r="U267" i="4" a="1"/>
  <c r="U267" i="4"/>
  <c r="AD294" i="5"/>
  <c r="X267" i="4"/>
  <c r="AI294" i="5"/>
  <c r="AN294" i="5"/>
  <c r="AG295" i="5"/>
  <c r="AF295" i="5"/>
  <c r="B268" i="4"/>
  <c r="C268" i="4"/>
  <c r="C295" i="5"/>
  <c r="D268" i="4"/>
  <c r="E295" i="5"/>
  <c r="H268" i="4"/>
  <c r="K295" i="5"/>
  <c r="L268" i="4"/>
  <c r="Q295" i="5"/>
  <c r="M268" i="4"/>
  <c r="R295" i="5"/>
  <c r="T295" i="5"/>
  <c r="O268" i="4"/>
  <c r="U295" i="5"/>
  <c r="P268" i="4"/>
  <c r="W295" i="5"/>
  <c r="Q268" i="4"/>
  <c r="X295" i="5"/>
  <c r="S268" i="4"/>
  <c r="AA295" i="5"/>
  <c r="AH268" i="4"/>
  <c r="T268" i="4" a="1"/>
  <c r="T268" i="4"/>
  <c r="AC295" i="5"/>
  <c r="U268" i="4" a="1"/>
  <c r="U268" i="4"/>
  <c r="AD295" i="5"/>
  <c r="X268" i="4"/>
  <c r="AI295" i="5"/>
  <c r="AN295" i="5"/>
  <c r="AG296" i="5"/>
  <c r="AF296" i="5"/>
  <c r="B230" i="4"/>
  <c r="C230" i="4"/>
  <c r="C296" i="5"/>
  <c r="D230" i="4"/>
  <c r="E296" i="5"/>
  <c r="H230" i="4"/>
  <c r="K296" i="5"/>
  <c r="L230" i="4"/>
  <c r="Q296" i="5"/>
  <c r="M230" i="4"/>
  <c r="R296" i="5"/>
  <c r="T296" i="5"/>
  <c r="O230" i="4"/>
  <c r="U296" i="5"/>
  <c r="P230" i="4"/>
  <c r="W296" i="5"/>
  <c r="Q230" i="4"/>
  <c r="X296" i="5"/>
  <c r="S230" i="4"/>
  <c r="AA296" i="5"/>
  <c r="AH230" i="4"/>
  <c r="T230" i="4" a="1"/>
  <c r="T230" i="4"/>
  <c r="AC296" i="5"/>
  <c r="U230" i="4" a="1"/>
  <c r="U230" i="4"/>
  <c r="AD296" i="5"/>
  <c r="X230" i="4"/>
  <c r="AI296" i="5"/>
  <c r="Y230" i="4"/>
  <c r="AJ296" i="5"/>
  <c r="Z230" i="4"/>
  <c r="AL296" i="5"/>
  <c r="AN296" i="5"/>
  <c r="O297" i="5"/>
  <c r="K297" i="5"/>
  <c r="AG297" i="5"/>
  <c r="AF297" i="5"/>
  <c r="C23" i="2"/>
  <c r="B38" i="4"/>
  <c r="C38" i="4"/>
  <c r="C297" i="5"/>
  <c r="D23" i="2"/>
  <c r="D38" i="4"/>
  <c r="E297" i="5"/>
  <c r="I23" i="2"/>
  <c r="I38" i="4"/>
  <c r="L297" i="5"/>
  <c r="J23" i="2"/>
  <c r="J38" i="4"/>
  <c r="N297" i="5"/>
  <c r="L23" i="2"/>
  <c r="L38" i="4"/>
  <c r="Q297" i="5"/>
  <c r="M23" i="2"/>
  <c r="M38" i="4"/>
  <c r="R297" i="5"/>
  <c r="N23" i="2"/>
  <c r="N38" i="4"/>
  <c r="T297" i="5"/>
  <c r="O23" i="2"/>
  <c r="O38" i="4"/>
  <c r="U297" i="5"/>
  <c r="P23" i="2"/>
  <c r="P38" i="4"/>
  <c r="W297" i="5"/>
  <c r="Q23" i="2"/>
  <c r="Q38" i="4"/>
  <c r="X297" i="5"/>
  <c r="S23" i="2"/>
  <c r="S38" i="4"/>
  <c r="AA297" i="5"/>
  <c r="AH38" i="4"/>
  <c r="T38" i="4" a="1"/>
  <c r="T38" i="4"/>
  <c r="AC297" i="5"/>
  <c r="AD297" i="5"/>
  <c r="X23" i="2"/>
  <c r="X38" i="4"/>
  <c r="AI297" i="5"/>
  <c r="Y23" i="2"/>
  <c r="Y38" i="4"/>
  <c r="AJ297" i="5"/>
  <c r="Z23" i="2"/>
  <c r="Z38" i="4"/>
  <c r="AL297" i="5"/>
  <c r="AN297" i="5"/>
  <c r="O298" i="5"/>
  <c r="K298" i="5"/>
  <c r="AG298" i="5"/>
  <c r="V45" i="2"/>
  <c r="B300" i="4"/>
  <c r="V300" i="4"/>
  <c r="AF298" i="5"/>
  <c r="C45" i="2"/>
  <c r="C300" i="4"/>
  <c r="C298" i="5"/>
  <c r="D45" i="2"/>
  <c r="D300" i="4"/>
  <c r="E298" i="5"/>
  <c r="I45" i="2"/>
  <c r="I300" i="4"/>
  <c r="L298" i="5"/>
  <c r="J45" i="2"/>
  <c r="J300" i="4"/>
  <c r="N298" i="5"/>
  <c r="L45" i="2"/>
  <c r="L300" i="4"/>
  <c r="Q298" i="5"/>
  <c r="M45" i="2"/>
  <c r="M300" i="4"/>
  <c r="R298" i="5"/>
  <c r="N45" i="2"/>
  <c r="N300" i="4"/>
  <c r="T298" i="5"/>
  <c r="O45" i="2"/>
  <c r="O300" i="4"/>
  <c r="U298" i="5"/>
  <c r="P45" i="2"/>
  <c r="P300" i="4"/>
  <c r="W298" i="5"/>
  <c r="Q45" i="2"/>
  <c r="Q300" i="4"/>
  <c r="X298" i="5"/>
  <c r="AA298" i="5"/>
  <c r="T45" i="2"/>
  <c r="T300" i="4"/>
  <c r="AC298" i="5"/>
  <c r="U45" i="2"/>
  <c r="U300" i="4"/>
  <c r="AD298" i="5"/>
  <c r="X45" i="2"/>
  <c r="X300" i="4"/>
  <c r="AI298" i="5"/>
  <c r="Y45" i="2"/>
  <c r="Y300" i="4"/>
  <c r="AJ298" i="5"/>
  <c r="Z45" i="2"/>
  <c r="Z300" i="4"/>
  <c r="AL298" i="5"/>
  <c r="AN298" i="5"/>
  <c r="O299" i="5"/>
  <c r="K299" i="5"/>
  <c r="AG299" i="5"/>
  <c r="B301" i="4"/>
  <c r="V301" i="4"/>
  <c r="AF299" i="5"/>
  <c r="C301" i="4"/>
  <c r="C299" i="5"/>
  <c r="D301" i="4"/>
  <c r="E299" i="5"/>
  <c r="I301" i="4"/>
  <c r="L299" i="5"/>
  <c r="J301" i="4"/>
  <c r="N299" i="5"/>
  <c r="L301" i="4"/>
  <c r="Q299" i="5"/>
  <c r="M301" i="4"/>
  <c r="R299" i="5"/>
  <c r="N301" i="4"/>
  <c r="T299" i="5"/>
  <c r="O301" i="4"/>
  <c r="U299" i="5"/>
  <c r="P301" i="4"/>
  <c r="W299" i="5"/>
  <c r="Q301" i="4"/>
  <c r="X299" i="5"/>
  <c r="AA299" i="5"/>
  <c r="T301" i="4"/>
  <c r="AC299" i="5"/>
  <c r="U301" i="4"/>
  <c r="AD299" i="5"/>
  <c r="X301" i="4"/>
  <c r="AI299" i="5"/>
  <c r="Y301" i="4"/>
  <c r="AJ299" i="5"/>
  <c r="Z301" i="4"/>
  <c r="AL299" i="5"/>
  <c r="AN299" i="5"/>
  <c r="O300" i="5"/>
  <c r="K300" i="5"/>
  <c r="AG300" i="5"/>
  <c r="V46" i="2"/>
  <c r="B299" i="4"/>
  <c r="V299" i="4"/>
  <c r="AF300" i="5"/>
  <c r="C46" i="2"/>
  <c r="C299" i="4"/>
  <c r="C300" i="5"/>
  <c r="D46" i="2"/>
  <c r="D299" i="4"/>
  <c r="E300" i="5"/>
  <c r="I46" i="2"/>
  <c r="I299" i="4"/>
  <c r="L300" i="5"/>
  <c r="J46" i="2"/>
  <c r="J299" i="4"/>
  <c r="N300" i="5"/>
  <c r="L46" i="2"/>
  <c r="L299" i="4"/>
  <c r="Q300" i="5"/>
  <c r="M46" i="2"/>
  <c r="M299" i="4"/>
  <c r="R300" i="5"/>
  <c r="N46" i="2"/>
  <c r="N299" i="4"/>
  <c r="T300" i="5"/>
  <c r="O46" i="2"/>
  <c r="O299" i="4"/>
  <c r="U300" i="5"/>
  <c r="P46" i="2"/>
  <c r="P299" i="4"/>
  <c r="W300" i="5"/>
  <c r="Q46" i="2"/>
  <c r="Q299" i="4"/>
  <c r="X300" i="5"/>
  <c r="AA300" i="5"/>
  <c r="T46" i="2"/>
  <c r="T299" i="4"/>
  <c r="AC300" i="5"/>
  <c r="U46" i="2"/>
  <c r="U299" i="4"/>
  <c r="AD300" i="5"/>
  <c r="X46" i="2"/>
  <c r="X299" i="4"/>
  <c r="AI300" i="5"/>
  <c r="Y46" i="2"/>
  <c r="Y299" i="4"/>
  <c r="AJ300" i="5"/>
  <c r="Z46" i="2"/>
  <c r="Z299" i="4"/>
  <c r="AL300" i="5"/>
  <c r="AN300" i="5"/>
  <c r="O301" i="5"/>
  <c r="K301" i="5"/>
  <c r="AG301" i="5"/>
  <c r="B298" i="4"/>
  <c r="V298" i="4"/>
  <c r="AF301" i="5"/>
  <c r="C298" i="4"/>
  <c r="C301" i="5"/>
  <c r="D298" i="4"/>
  <c r="E301" i="5"/>
  <c r="I298" i="4"/>
  <c r="L301" i="5"/>
  <c r="J298" i="4"/>
  <c r="N301" i="5"/>
  <c r="L298" i="4"/>
  <c r="Q301" i="5"/>
  <c r="M298" i="4"/>
  <c r="R301" i="5"/>
  <c r="N298" i="4"/>
  <c r="T301" i="5"/>
  <c r="O298" i="4"/>
  <c r="U301" i="5"/>
  <c r="P298" i="4"/>
  <c r="W301" i="5"/>
  <c r="Q298" i="4"/>
  <c r="X301" i="5"/>
  <c r="AA301" i="5"/>
  <c r="T298" i="4"/>
  <c r="AC301" i="5"/>
  <c r="U298" i="4"/>
  <c r="AD301" i="5"/>
  <c r="X298" i="4"/>
  <c r="AI301" i="5"/>
  <c r="Y298" i="4"/>
  <c r="AJ301" i="5"/>
  <c r="Z298" i="4"/>
  <c r="AL301" i="5"/>
  <c r="AN301" i="5"/>
  <c r="O302" i="5"/>
  <c r="K302" i="5"/>
  <c r="AG302" i="5"/>
  <c r="V49" i="2"/>
  <c r="B308" i="4"/>
  <c r="V308" i="4"/>
  <c r="AF302" i="5"/>
  <c r="C49" i="2"/>
  <c r="C308" i="4"/>
  <c r="C302" i="5"/>
  <c r="D49" i="2"/>
  <c r="D308" i="4"/>
  <c r="E302" i="5"/>
  <c r="I49" i="2"/>
  <c r="I308" i="4"/>
  <c r="L302" i="5"/>
  <c r="J49" i="2"/>
  <c r="J308" i="4"/>
  <c r="N302" i="5"/>
  <c r="L49" i="2"/>
  <c r="L308" i="4"/>
  <c r="Q302" i="5"/>
  <c r="M49" i="2"/>
  <c r="M308" i="4"/>
  <c r="R302" i="5"/>
  <c r="N49" i="2"/>
  <c r="N308" i="4"/>
  <c r="T302" i="5"/>
  <c r="O49" i="2"/>
  <c r="O308" i="4"/>
  <c r="U302" i="5"/>
  <c r="P49" i="2"/>
  <c r="P308" i="4"/>
  <c r="W302" i="5"/>
  <c r="Q49" i="2"/>
  <c r="Q308" i="4"/>
  <c r="X302" i="5"/>
  <c r="AA302" i="5"/>
  <c r="T49" i="2"/>
  <c r="T308" i="4"/>
  <c r="AC302" i="5"/>
  <c r="U49" i="2"/>
  <c r="U308" i="4"/>
  <c r="AD302" i="5"/>
  <c r="X49" i="2"/>
  <c r="X308" i="4"/>
  <c r="AI302" i="5"/>
  <c r="Y49" i="2"/>
  <c r="Y308" i="4"/>
  <c r="AJ302" i="5"/>
  <c r="Z49" i="2"/>
  <c r="Z308" i="4"/>
  <c r="AL302" i="5"/>
  <c r="AN302" i="5"/>
  <c r="O303" i="5"/>
  <c r="K303" i="5"/>
  <c r="AG303" i="5"/>
  <c r="V47" i="2"/>
  <c r="B302" i="4"/>
  <c r="V302" i="4"/>
  <c r="AF303" i="5"/>
  <c r="C47" i="2"/>
  <c r="C302" i="4"/>
  <c r="C303" i="5"/>
  <c r="D47" i="2"/>
  <c r="D302" i="4"/>
  <c r="E303" i="5"/>
  <c r="I47" i="2"/>
  <c r="I302" i="4"/>
  <c r="L303" i="5"/>
  <c r="J47" i="2"/>
  <c r="J302" i="4"/>
  <c r="N303" i="5"/>
  <c r="L47" i="2"/>
  <c r="L302" i="4"/>
  <c r="Q303" i="5"/>
  <c r="M47" i="2"/>
  <c r="M302" i="4"/>
  <c r="R303" i="5"/>
  <c r="N47" i="2"/>
  <c r="N302" i="4"/>
  <c r="T303" i="5"/>
  <c r="O47" i="2"/>
  <c r="O302" i="4"/>
  <c r="U303" i="5"/>
  <c r="P47" i="2"/>
  <c r="P302" i="4"/>
  <c r="W303" i="5"/>
  <c r="Q47" i="2"/>
  <c r="Q302" i="4"/>
  <c r="X303" i="5"/>
  <c r="AA303" i="5"/>
  <c r="AC303" i="5"/>
  <c r="AD303" i="5"/>
  <c r="X47" i="2"/>
  <c r="X302" i="4"/>
  <c r="AI303" i="5"/>
  <c r="Y47" i="2"/>
  <c r="Y302" i="4"/>
  <c r="AJ303" i="5"/>
  <c r="Z47" i="2"/>
  <c r="Z302" i="4"/>
  <c r="AL303" i="5"/>
  <c r="AN303" i="5"/>
  <c r="O304" i="5"/>
  <c r="K304" i="5"/>
  <c r="AG304" i="5"/>
  <c r="B307" i="4"/>
  <c r="V307" i="4"/>
  <c r="AF304" i="5"/>
  <c r="C307" i="4"/>
  <c r="C304" i="5"/>
  <c r="D307" i="4"/>
  <c r="E304" i="5"/>
  <c r="I307" i="4"/>
  <c r="L304" i="5"/>
  <c r="J307" i="4"/>
  <c r="N304" i="5"/>
  <c r="L307" i="4"/>
  <c r="Q304" i="5"/>
  <c r="M307" i="4"/>
  <c r="R304" i="5"/>
  <c r="N307" i="4"/>
  <c r="T304" i="5"/>
  <c r="O307" i="4"/>
  <c r="U304" i="5"/>
  <c r="P307" i="4"/>
  <c r="W304" i="5"/>
  <c r="Q307" i="4"/>
  <c r="X304" i="5"/>
  <c r="AA304" i="5"/>
  <c r="T47" i="2"/>
  <c r="T307" i="4"/>
  <c r="AC304" i="5"/>
  <c r="AD304" i="5"/>
  <c r="X307" i="4"/>
  <c r="AI304" i="5"/>
  <c r="Y307" i="4"/>
  <c r="AJ304" i="5"/>
  <c r="Z307" i="4"/>
  <c r="AL304" i="5"/>
  <c r="AN304" i="5"/>
  <c r="O305" i="5"/>
  <c r="K305" i="5"/>
  <c r="AG305" i="5"/>
  <c r="V48" i="2"/>
  <c r="B309" i="4"/>
  <c r="V309" i="4"/>
  <c r="AF305" i="5"/>
  <c r="C48" i="2"/>
  <c r="C309" i="4"/>
  <c r="C305" i="5"/>
  <c r="D48" i="2"/>
  <c r="D309" i="4"/>
  <c r="E305" i="5"/>
  <c r="I48" i="2"/>
  <c r="I309" i="4"/>
  <c r="L305" i="5"/>
  <c r="J48" i="2"/>
  <c r="J309" i="4"/>
  <c r="N305" i="5"/>
  <c r="L48" i="2"/>
  <c r="L309" i="4"/>
  <c r="Q305" i="5"/>
  <c r="M48" i="2"/>
  <c r="M309" i="4"/>
  <c r="R305" i="5"/>
  <c r="N48" i="2"/>
  <c r="N309" i="4"/>
  <c r="T305" i="5"/>
  <c r="O48" i="2"/>
  <c r="O309" i="4"/>
  <c r="U305" i="5"/>
  <c r="P48" i="2"/>
  <c r="P309" i="4"/>
  <c r="W305" i="5"/>
  <c r="Q48" i="2"/>
  <c r="Q309" i="4"/>
  <c r="X305" i="5"/>
  <c r="AA305" i="5"/>
  <c r="T48" i="2"/>
  <c r="T309" i="4"/>
  <c r="AC305" i="5"/>
  <c r="U48" i="2"/>
  <c r="U309" i="4"/>
  <c r="AD305" i="5"/>
  <c r="X48" i="2"/>
  <c r="X309" i="4"/>
  <c r="AI305" i="5"/>
  <c r="Y48" i="2"/>
  <c r="Y309" i="4"/>
  <c r="AJ305" i="5"/>
  <c r="Z48" i="2"/>
  <c r="Z309" i="4"/>
  <c r="AL305" i="5"/>
  <c r="AN305" i="5"/>
  <c r="O306" i="5"/>
  <c r="K306" i="5"/>
  <c r="AG306" i="5"/>
  <c r="B310" i="4"/>
  <c r="V310" i="4"/>
  <c r="AF306" i="5"/>
  <c r="C310" i="4"/>
  <c r="C306" i="5"/>
  <c r="D310" i="4"/>
  <c r="E306" i="5"/>
  <c r="I310" i="4"/>
  <c r="L306" i="5"/>
  <c r="J310" i="4"/>
  <c r="N306" i="5"/>
  <c r="L310" i="4"/>
  <c r="Q306" i="5"/>
  <c r="M310" i="4"/>
  <c r="R306" i="5"/>
  <c r="N310" i="4"/>
  <c r="T306" i="5"/>
  <c r="O310" i="4"/>
  <c r="U306" i="5"/>
  <c r="P310" i="4"/>
  <c r="W306" i="5"/>
  <c r="Q310" i="4"/>
  <c r="X306" i="5"/>
  <c r="AA306" i="5"/>
  <c r="T310" i="4"/>
  <c r="AC306" i="5"/>
  <c r="AD306" i="5"/>
  <c r="X310" i="4"/>
  <c r="AI306" i="5"/>
  <c r="Y310" i="4"/>
  <c r="AJ306" i="5"/>
  <c r="Z310" i="4"/>
  <c r="AL306" i="5"/>
  <c r="AN306" i="5"/>
  <c r="O307" i="5"/>
  <c r="K307" i="5"/>
  <c r="AG307" i="5"/>
  <c r="B311" i="4"/>
  <c r="V311" i="4"/>
  <c r="AF307" i="5"/>
  <c r="C311" i="4"/>
  <c r="C307" i="5"/>
  <c r="D311" i="4"/>
  <c r="E307" i="5"/>
  <c r="I311" i="4"/>
  <c r="L307" i="5"/>
  <c r="J311" i="4"/>
  <c r="N307" i="5"/>
  <c r="L311" i="4"/>
  <c r="Q307" i="5"/>
  <c r="M311" i="4"/>
  <c r="R307" i="5"/>
  <c r="N311" i="4"/>
  <c r="T307" i="5"/>
  <c r="O311" i="4"/>
  <c r="U307" i="5"/>
  <c r="P311" i="4"/>
  <c r="W307" i="5"/>
  <c r="Q311" i="4"/>
  <c r="X307" i="5"/>
  <c r="AA307" i="5"/>
  <c r="T311" i="4"/>
  <c r="AC307" i="5"/>
  <c r="U47" i="2"/>
  <c r="U311" i="4"/>
  <c r="AD307" i="5"/>
  <c r="X311" i="4"/>
  <c r="AI307" i="5"/>
  <c r="Y311" i="4"/>
  <c r="AJ307" i="5"/>
  <c r="Z311" i="4"/>
  <c r="AL307" i="5"/>
  <c r="AN307" i="5"/>
  <c r="O308" i="5"/>
  <c r="K308" i="5"/>
  <c r="AG308" i="5"/>
  <c r="B303" i="4"/>
  <c r="V303" i="4"/>
  <c r="AF308" i="5"/>
  <c r="C303" i="4"/>
  <c r="C308" i="5"/>
  <c r="D303" i="4"/>
  <c r="E308" i="5"/>
  <c r="I303" i="4"/>
  <c r="L308" i="5"/>
  <c r="J303" i="4"/>
  <c r="N308" i="5"/>
  <c r="L303" i="4"/>
  <c r="Q308" i="5"/>
  <c r="M303" i="4"/>
  <c r="R308" i="5"/>
  <c r="N303" i="4"/>
  <c r="T308" i="5"/>
  <c r="O303" i="4"/>
  <c r="U308" i="5"/>
  <c r="P303" i="4"/>
  <c r="W308" i="5"/>
  <c r="Q303" i="4"/>
  <c r="X308" i="5"/>
  <c r="AA308" i="5"/>
  <c r="AC308" i="5"/>
  <c r="AD308" i="5"/>
  <c r="X303" i="4"/>
  <c r="AI308" i="5"/>
  <c r="Y303" i="4"/>
  <c r="AJ308" i="5"/>
  <c r="Z303" i="4"/>
  <c r="AL308" i="5"/>
  <c r="AN308" i="5"/>
  <c r="O309" i="5"/>
  <c r="K309" i="5"/>
  <c r="AG309" i="5"/>
  <c r="B313" i="4"/>
  <c r="V313" i="4"/>
  <c r="AF309" i="5"/>
  <c r="C313" i="4"/>
  <c r="C309" i="5"/>
  <c r="D313" i="4"/>
  <c r="E309" i="5"/>
  <c r="I313" i="4"/>
  <c r="L309" i="5"/>
  <c r="J313" i="4"/>
  <c r="N309" i="5"/>
  <c r="L313" i="4"/>
  <c r="Q309" i="5"/>
  <c r="M313" i="4"/>
  <c r="R309" i="5"/>
  <c r="N313" i="4"/>
  <c r="T309" i="5"/>
  <c r="O313" i="4"/>
  <c r="U309" i="5"/>
  <c r="P313" i="4"/>
  <c r="W309" i="5"/>
  <c r="Q313" i="4"/>
  <c r="X309" i="5"/>
  <c r="AA309" i="5"/>
  <c r="AC309" i="5"/>
  <c r="AD309" i="5"/>
  <c r="X313" i="4"/>
  <c r="AI309" i="5"/>
  <c r="Y313" i="4"/>
  <c r="AJ309" i="5"/>
  <c r="Z313" i="4"/>
  <c r="AL309" i="5"/>
  <c r="AN309" i="5"/>
  <c r="O310" i="5"/>
  <c r="K310" i="5"/>
  <c r="AG310" i="5"/>
  <c r="B312" i="4"/>
  <c r="V312" i="4"/>
  <c r="AF310" i="5"/>
  <c r="C312" i="4"/>
  <c r="C310" i="5"/>
  <c r="D312" i="4"/>
  <c r="E310" i="5"/>
  <c r="I312" i="4"/>
  <c r="L310" i="5"/>
  <c r="J312" i="4"/>
  <c r="N310" i="5"/>
  <c r="L312" i="4"/>
  <c r="Q310" i="5"/>
  <c r="M312" i="4"/>
  <c r="R310" i="5"/>
  <c r="N312" i="4"/>
  <c r="T310" i="5"/>
  <c r="O312" i="4"/>
  <c r="U310" i="5"/>
  <c r="P312" i="4"/>
  <c r="W310" i="5"/>
  <c r="Q312" i="4"/>
  <c r="X310" i="5"/>
  <c r="AA310" i="5"/>
  <c r="AC310" i="5"/>
  <c r="AD310" i="5"/>
  <c r="X312" i="4"/>
  <c r="AI310" i="5"/>
  <c r="Y312" i="4"/>
  <c r="AJ310" i="5"/>
  <c r="Z312" i="4"/>
  <c r="AL310" i="5"/>
  <c r="AN310" i="5"/>
  <c r="O311" i="5"/>
  <c r="K311" i="5"/>
  <c r="AG311" i="5"/>
  <c r="B304" i="4"/>
  <c r="V304" i="4"/>
  <c r="AF311" i="5"/>
  <c r="C304" i="4"/>
  <c r="C311" i="5"/>
  <c r="D304" i="4"/>
  <c r="E311" i="5"/>
  <c r="I304" i="4"/>
  <c r="L311" i="5"/>
  <c r="J304" i="4"/>
  <c r="N311" i="5"/>
  <c r="L304" i="4"/>
  <c r="Q311" i="5"/>
  <c r="M304" i="4"/>
  <c r="R311" i="5"/>
  <c r="N304" i="4"/>
  <c r="T311" i="5"/>
  <c r="O304" i="4"/>
  <c r="U311" i="5"/>
  <c r="P304" i="4"/>
  <c r="W311" i="5"/>
  <c r="Q304" i="4"/>
  <c r="X311" i="5"/>
  <c r="AA311" i="5"/>
  <c r="AC311" i="5"/>
  <c r="AD311" i="5"/>
  <c r="X304" i="4"/>
  <c r="AI311" i="5"/>
  <c r="Y304" i="4"/>
  <c r="AJ311" i="5"/>
  <c r="Z304" i="4"/>
  <c r="AL311" i="5"/>
  <c r="AN311" i="5"/>
  <c r="O312" i="5"/>
  <c r="K312" i="5"/>
  <c r="AG312" i="5"/>
  <c r="B305" i="4"/>
  <c r="V305" i="4"/>
  <c r="AF312" i="5"/>
  <c r="C305" i="4"/>
  <c r="C312" i="5"/>
  <c r="D305" i="4"/>
  <c r="E312" i="5"/>
  <c r="I305" i="4"/>
  <c r="L312" i="5"/>
  <c r="J305" i="4"/>
  <c r="N312" i="5"/>
  <c r="L305" i="4"/>
  <c r="Q312" i="5"/>
  <c r="M305" i="4"/>
  <c r="R312" i="5"/>
  <c r="N305" i="4"/>
  <c r="T312" i="5"/>
  <c r="O305" i="4"/>
  <c r="U312" i="5"/>
  <c r="P305" i="4"/>
  <c r="W312" i="5"/>
  <c r="Q305" i="4"/>
  <c r="X312" i="5"/>
  <c r="AA312" i="5"/>
  <c r="AC312" i="5"/>
  <c r="AD312" i="5"/>
  <c r="X305" i="4"/>
  <c r="AI312" i="5"/>
  <c r="Y305" i="4"/>
  <c r="AJ312" i="5"/>
  <c r="Z305" i="4"/>
  <c r="AL312" i="5"/>
  <c r="AN312" i="5"/>
  <c r="O313" i="5"/>
  <c r="K313" i="5"/>
  <c r="AG313" i="5"/>
  <c r="B306" i="4"/>
  <c r="V306" i="4"/>
  <c r="AF313" i="5"/>
  <c r="C306" i="4"/>
  <c r="C313" i="5"/>
  <c r="D306" i="4"/>
  <c r="E313" i="5"/>
  <c r="I306" i="4"/>
  <c r="L313" i="5"/>
  <c r="J306" i="4"/>
  <c r="N313" i="5"/>
  <c r="L306" i="4"/>
  <c r="Q313" i="5"/>
  <c r="M306" i="4"/>
  <c r="R313" i="5"/>
  <c r="N306" i="4"/>
  <c r="T313" i="5"/>
  <c r="O306" i="4"/>
  <c r="U313" i="5"/>
  <c r="P306" i="4"/>
  <c r="W313" i="5"/>
  <c r="Q306" i="4"/>
  <c r="X313" i="5"/>
  <c r="AA313" i="5"/>
  <c r="AC313" i="5"/>
  <c r="AD313" i="5"/>
  <c r="X306" i="4"/>
  <c r="AI313" i="5"/>
  <c r="Y306" i="4"/>
  <c r="AJ313" i="5"/>
  <c r="Z306" i="4"/>
  <c r="AL313" i="5"/>
  <c r="AN313" i="5"/>
  <c r="O314" i="5"/>
  <c r="K314" i="5"/>
  <c r="AG314" i="5"/>
  <c r="B330" i="4"/>
  <c r="V330" i="4"/>
  <c r="AF314" i="5"/>
  <c r="C314" i="5"/>
  <c r="D330" i="4"/>
  <c r="E314" i="5"/>
  <c r="I314" i="5"/>
  <c r="I330" i="4"/>
  <c r="L314" i="5"/>
  <c r="J330" i="4"/>
  <c r="N314" i="5"/>
  <c r="L330" i="4"/>
  <c r="Q314" i="5"/>
  <c r="M330" i="4"/>
  <c r="R314" i="5"/>
  <c r="N330" i="4"/>
  <c r="T314" i="5"/>
  <c r="O330" i="4"/>
  <c r="U314" i="5"/>
  <c r="P330" i="4"/>
  <c r="W314" i="5"/>
  <c r="Q330" i="4"/>
  <c r="X314" i="5"/>
  <c r="AA314" i="5"/>
  <c r="AC314" i="5"/>
  <c r="AD314" i="5"/>
  <c r="X330" i="4"/>
  <c r="AI314" i="5"/>
  <c r="Y330" i="4"/>
  <c r="AJ314" i="5"/>
  <c r="AL314" i="5"/>
  <c r="AN314" i="5"/>
  <c r="O315" i="5"/>
  <c r="K315" i="5"/>
  <c r="AG315" i="5"/>
  <c r="B331" i="4"/>
  <c r="V331" i="4"/>
  <c r="AF315" i="5"/>
  <c r="C315" i="5"/>
  <c r="D331" i="4"/>
  <c r="E315" i="5"/>
  <c r="I315" i="5"/>
  <c r="I331" i="4"/>
  <c r="L315" i="5"/>
  <c r="J331" i="4"/>
  <c r="N315" i="5"/>
  <c r="L331" i="4"/>
  <c r="Q315" i="5"/>
  <c r="M331" i="4"/>
  <c r="R315" i="5"/>
  <c r="N331" i="4"/>
  <c r="T315" i="5"/>
  <c r="O331" i="4"/>
  <c r="U315" i="5"/>
  <c r="P331" i="4"/>
  <c r="W315" i="5"/>
  <c r="Q331" i="4"/>
  <c r="X315" i="5"/>
  <c r="AA315" i="5"/>
  <c r="AC315" i="5"/>
  <c r="AD315" i="5"/>
  <c r="X331" i="4"/>
  <c r="AI315" i="5"/>
  <c r="Y331" i="4"/>
  <c r="AJ315" i="5"/>
  <c r="AL315" i="5"/>
  <c r="AN315" i="5"/>
  <c r="O316" i="5"/>
  <c r="K316" i="5"/>
  <c r="AG316" i="5"/>
  <c r="B332" i="4"/>
  <c r="V332" i="4"/>
  <c r="AF316" i="5"/>
  <c r="C316" i="5"/>
  <c r="D332" i="4"/>
  <c r="E316" i="5"/>
  <c r="I316" i="5"/>
  <c r="I332" i="4"/>
  <c r="L316" i="5"/>
  <c r="J332" i="4"/>
  <c r="N316" i="5"/>
  <c r="L332" i="4"/>
  <c r="Q316" i="5"/>
  <c r="M332" i="4"/>
  <c r="R316" i="5"/>
  <c r="N332" i="4"/>
  <c r="T316" i="5"/>
  <c r="O332" i="4"/>
  <c r="U316" i="5"/>
  <c r="P332" i="4"/>
  <c r="W316" i="5"/>
  <c r="Q332" i="4"/>
  <c r="X316" i="5"/>
  <c r="AA316" i="5"/>
  <c r="AC316" i="5"/>
  <c r="AD316" i="5"/>
  <c r="X332" i="4"/>
  <c r="AI316" i="5"/>
  <c r="Y332" i="4"/>
  <c r="AJ316" i="5"/>
  <c r="AL316" i="5"/>
  <c r="AN316" i="5"/>
  <c r="O317" i="5"/>
  <c r="K317" i="5"/>
  <c r="AG317" i="5"/>
  <c r="B314" i="4"/>
  <c r="V314" i="4"/>
  <c r="AF317" i="5"/>
  <c r="C317" i="5"/>
  <c r="D314" i="4"/>
  <c r="E317" i="5"/>
  <c r="I317" i="5"/>
  <c r="I314" i="4"/>
  <c r="L317" i="5"/>
  <c r="J314" i="4"/>
  <c r="N317" i="5"/>
  <c r="L314" i="4"/>
  <c r="Q317" i="5"/>
  <c r="M314" i="4"/>
  <c r="R317" i="5"/>
  <c r="N314" i="4"/>
  <c r="T317" i="5"/>
  <c r="O314" i="4"/>
  <c r="U317" i="5"/>
  <c r="P314" i="4"/>
  <c r="W317" i="5"/>
  <c r="Q314" i="4"/>
  <c r="X317" i="5"/>
  <c r="AA317" i="5"/>
  <c r="AC317" i="5"/>
  <c r="AD317" i="5"/>
  <c r="X314" i="4"/>
  <c r="AI317" i="5"/>
  <c r="Y314" i="4"/>
  <c r="AJ317" i="5"/>
  <c r="AL317" i="5"/>
  <c r="AN317" i="5"/>
  <c r="O318" i="5"/>
  <c r="K318" i="5"/>
  <c r="AG318" i="5"/>
  <c r="B315" i="4"/>
  <c r="V315" i="4"/>
  <c r="AF318" i="5"/>
  <c r="C318" i="5"/>
  <c r="D315" i="4"/>
  <c r="E318" i="5"/>
  <c r="I318" i="5"/>
  <c r="I315" i="4"/>
  <c r="L318" i="5"/>
  <c r="J315" i="4"/>
  <c r="N318" i="5"/>
  <c r="L315" i="4"/>
  <c r="Q318" i="5"/>
  <c r="M315" i="4"/>
  <c r="R318" i="5"/>
  <c r="N315" i="4"/>
  <c r="T318" i="5"/>
  <c r="O315" i="4"/>
  <c r="U318" i="5"/>
  <c r="P315" i="4"/>
  <c r="W318" i="5"/>
  <c r="Q315" i="4"/>
  <c r="X318" i="5"/>
  <c r="AA318" i="5"/>
  <c r="AC318" i="5"/>
  <c r="AD318" i="5"/>
  <c r="X315" i="4"/>
  <c r="AI318" i="5"/>
  <c r="Y315" i="4"/>
  <c r="AJ318" i="5"/>
  <c r="AL318" i="5"/>
  <c r="AN318" i="5"/>
  <c r="O319" i="5"/>
  <c r="K319" i="5"/>
  <c r="AG319" i="5"/>
  <c r="B316" i="4"/>
  <c r="V316" i="4"/>
  <c r="AF319" i="5"/>
  <c r="C319" i="5"/>
  <c r="D316" i="4"/>
  <c r="E319" i="5"/>
  <c r="I316" i="4"/>
  <c r="L319" i="5"/>
  <c r="J316" i="4"/>
  <c r="N319" i="5"/>
  <c r="L316" i="4"/>
  <c r="Q319" i="5"/>
  <c r="M316" i="4"/>
  <c r="R319" i="5"/>
  <c r="N316" i="4"/>
  <c r="T319" i="5"/>
  <c r="O316" i="4"/>
  <c r="U319" i="5"/>
  <c r="P316" i="4"/>
  <c r="W319" i="5"/>
  <c r="Q316" i="4"/>
  <c r="X319" i="5"/>
  <c r="AA319" i="5"/>
  <c r="AC319" i="5"/>
  <c r="AD319" i="5"/>
  <c r="X316" i="4"/>
  <c r="AI319" i="5"/>
  <c r="Y316" i="4"/>
  <c r="AJ319" i="5"/>
  <c r="AL319" i="5"/>
  <c r="F319" i="5"/>
  <c r="H319" i="5"/>
  <c r="I319" i="5"/>
  <c r="AN319" i="5"/>
  <c r="O320" i="5"/>
  <c r="K320" i="5"/>
  <c r="AG320" i="5"/>
  <c r="AF320" i="5"/>
  <c r="C320" i="5"/>
  <c r="B317" i="4"/>
  <c r="D317" i="4"/>
  <c r="E320" i="5"/>
  <c r="I320" i="5"/>
  <c r="I317" i="4"/>
  <c r="L320" i="5"/>
  <c r="J317" i="4"/>
  <c r="N320" i="5"/>
  <c r="L317" i="4"/>
  <c r="Q320" i="5"/>
  <c r="M317" i="4"/>
  <c r="R320" i="5"/>
  <c r="N317" i="4"/>
  <c r="T320" i="5"/>
  <c r="O317" i="4"/>
  <c r="U320" i="5"/>
  <c r="P317" i="4"/>
  <c r="W320" i="5"/>
  <c r="Q317" i="4"/>
  <c r="X320" i="5"/>
  <c r="AA320" i="5"/>
  <c r="AC320" i="5"/>
  <c r="AD320" i="5"/>
  <c r="X317" i="4"/>
  <c r="AI320" i="5"/>
  <c r="Y317" i="4"/>
  <c r="AJ320" i="5"/>
  <c r="AL320" i="5"/>
  <c r="AN320" i="5"/>
  <c r="O321" i="5"/>
  <c r="K321" i="5"/>
  <c r="AG321" i="5"/>
  <c r="B318" i="4"/>
  <c r="V318" i="4"/>
  <c r="AF321" i="5"/>
  <c r="C321" i="5"/>
  <c r="D318" i="4"/>
  <c r="E321" i="5"/>
  <c r="I321" i="5"/>
  <c r="I318" i="4"/>
  <c r="L321" i="5"/>
  <c r="J318" i="4"/>
  <c r="N321" i="5"/>
  <c r="L318" i="4"/>
  <c r="Q321" i="5"/>
  <c r="M318" i="4"/>
  <c r="R321" i="5"/>
  <c r="N318" i="4"/>
  <c r="T321" i="5"/>
  <c r="O318" i="4"/>
  <c r="U321" i="5"/>
  <c r="P318" i="4"/>
  <c r="W321" i="5"/>
  <c r="Q318" i="4"/>
  <c r="X321" i="5"/>
  <c r="AA321" i="5"/>
  <c r="AC321" i="5"/>
  <c r="AD321" i="5"/>
  <c r="X318" i="4"/>
  <c r="AI321" i="5"/>
  <c r="Y318" i="4"/>
  <c r="AJ321" i="5"/>
  <c r="AL321" i="5"/>
  <c r="AN321" i="5"/>
  <c r="O322" i="5"/>
  <c r="K322" i="5"/>
  <c r="AG322" i="5"/>
  <c r="B319" i="4"/>
  <c r="V319" i="4"/>
  <c r="AF322" i="5"/>
  <c r="C322" i="5"/>
  <c r="D319" i="4"/>
  <c r="E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F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AN324" i="5"/>
  <c r="O325" i="5"/>
  <c r="K325" i="5"/>
  <c r="AG325" i="5"/>
  <c r="B342" i="4"/>
  <c r="V342" i="4"/>
  <c r="AF325" i="5"/>
  <c r="C325" i="5"/>
  <c r="D342" i="4"/>
  <c r="E325" i="5"/>
  <c r="I325" i="5"/>
  <c r="I342" i="4"/>
  <c r="L325" i="5"/>
  <c r="J342" i="4"/>
  <c r="N325" i="5"/>
  <c r="L342" i="4"/>
  <c r="Q325" i="5"/>
  <c r="M342" i="4"/>
  <c r="R325" i="5"/>
  <c r="N342" i="4"/>
  <c r="T325" i="5"/>
  <c r="O342" i="4"/>
  <c r="U325" i="5"/>
  <c r="P342" i="4"/>
  <c r="W325" i="5"/>
  <c r="Q342" i="4"/>
  <c r="X325" i="5"/>
  <c r="AA325" i="5"/>
  <c r="AC325" i="5"/>
  <c r="AD325" i="5"/>
  <c r="X342" i="4"/>
  <c r="AI325" i="5"/>
  <c r="Y342" i="4"/>
  <c r="AJ325" i="5"/>
  <c r="AL325" i="5"/>
  <c r="AN325" i="5"/>
  <c r="O326" i="5"/>
  <c r="K326" i="5"/>
  <c r="AG326" i="5"/>
  <c r="B343" i="4"/>
  <c r="AF326" i="5"/>
  <c r="C326" i="5"/>
  <c r="D343" i="4"/>
  <c r="E326" i="5"/>
  <c r="I326" i="5"/>
  <c r="I343" i="4"/>
  <c r="L326" i="5"/>
  <c r="J343" i="4"/>
  <c r="N326" i="5"/>
  <c r="L343" i="4"/>
  <c r="Q326" i="5"/>
  <c r="M343" i="4"/>
  <c r="R326" i="5"/>
  <c r="N343" i="4"/>
  <c r="T326" i="5"/>
  <c r="O343" i="4"/>
  <c r="U326" i="5"/>
  <c r="P343" i="4"/>
  <c r="W326" i="5"/>
  <c r="Q343" i="4"/>
  <c r="X326" i="5"/>
  <c r="AA326" i="5"/>
  <c r="AC326" i="5"/>
  <c r="AD326" i="5"/>
  <c r="X343" i="4"/>
  <c r="AI326" i="5"/>
  <c r="AN326" i="5"/>
  <c r="O327" i="5"/>
  <c r="K327" i="5"/>
  <c r="AG327" i="5"/>
  <c r="B341" i="4"/>
  <c r="V341" i="4"/>
  <c r="AF327" i="5"/>
  <c r="C327" i="5"/>
  <c r="D341" i="4"/>
  <c r="E327" i="5"/>
  <c r="I327" i="5"/>
  <c r="I341" i="4"/>
  <c r="L327" i="5"/>
  <c r="J341" i="4"/>
  <c r="N327" i="5"/>
  <c r="L341" i="4"/>
  <c r="Q327" i="5"/>
  <c r="M341" i="4"/>
  <c r="R327" i="5"/>
  <c r="N341" i="4"/>
  <c r="T327" i="5"/>
  <c r="O341" i="4"/>
  <c r="U327" i="5"/>
  <c r="P341" i="4"/>
  <c r="W327" i="5"/>
  <c r="Q341" i="4"/>
  <c r="X327" i="5"/>
  <c r="AA327" i="5"/>
  <c r="AC327" i="5"/>
  <c r="AD327" i="5"/>
  <c r="X341" i="4"/>
  <c r="AI327" i="5"/>
  <c r="Y341" i="4"/>
  <c r="AJ327" i="5"/>
  <c r="AL327" i="5"/>
  <c r="AN327" i="5"/>
  <c r="O328" i="5"/>
  <c r="K328" i="5"/>
  <c r="AG328" i="5"/>
  <c r="B344" i="4"/>
  <c r="V344" i="4"/>
  <c r="AF328" i="5"/>
  <c r="C328" i="5"/>
  <c r="D344" i="4"/>
  <c r="E328" i="5"/>
  <c r="I328" i="5"/>
  <c r="I344" i="4"/>
  <c r="L328" i="5"/>
  <c r="J344" i="4"/>
  <c r="N328" i="5"/>
  <c r="L344" i="4"/>
  <c r="Q328" i="5"/>
  <c r="M344" i="4"/>
  <c r="R328" i="5"/>
  <c r="N344" i="4"/>
  <c r="T328" i="5"/>
  <c r="O344" i="4"/>
  <c r="U328" i="5"/>
  <c r="P344" i="4"/>
  <c r="W328" i="5"/>
  <c r="Q344" i="4"/>
  <c r="X328" i="5"/>
  <c r="AA328" i="5"/>
  <c r="AC328" i="5"/>
  <c r="AD328" i="5"/>
  <c r="X344" i="4"/>
  <c r="AI328" i="5"/>
  <c r="Y344" i="4"/>
  <c r="AJ328" i="5"/>
  <c r="AL328" i="5"/>
  <c r="AN328" i="5"/>
  <c r="O329" i="5"/>
  <c r="K329" i="5"/>
  <c r="AG329" i="5"/>
  <c r="B345" i="4"/>
  <c r="V345" i="4"/>
  <c r="AF329" i="5"/>
  <c r="C329" i="5"/>
  <c r="D345" i="4"/>
  <c r="E329" i="5"/>
  <c r="I345" i="4"/>
  <c r="L329" i="5"/>
  <c r="J345" i="4"/>
  <c r="N329" i="5"/>
  <c r="L345" i="4"/>
  <c r="Q329" i="5"/>
  <c r="M345" i="4"/>
  <c r="R329" i="5"/>
  <c r="N345" i="4"/>
  <c r="T329" i="5"/>
  <c r="O345" i="4"/>
  <c r="U329" i="5"/>
  <c r="P345" i="4"/>
  <c r="W329" i="5"/>
  <c r="Q345" i="4"/>
  <c r="X329" i="5"/>
  <c r="AA329" i="5"/>
  <c r="AC329" i="5"/>
  <c r="AD329" i="5"/>
  <c r="X345" i="4"/>
  <c r="AI329" i="5"/>
  <c r="Y345" i="4"/>
  <c r="AJ329" i="5"/>
  <c r="AL329" i="5"/>
  <c r="F329" i="5"/>
  <c r="H329" i="5"/>
  <c r="I329" i="5"/>
  <c r="AN329" i="5"/>
  <c r="O330" i="5"/>
  <c r="K330" i="5"/>
  <c r="AG330" i="5"/>
  <c r="B333" i="4"/>
  <c r="V333" i="4"/>
  <c r="AF330" i="5"/>
  <c r="C330" i="5"/>
  <c r="D333" i="4"/>
  <c r="E330" i="5"/>
  <c r="I333" i="4"/>
  <c r="L330" i="5"/>
  <c r="J333" i="4"/>
  <c r="N330" i="5"/>
  <c r="L333" i="4"/>
  <c r="Q330" i="5"/>
  <c r="M333" i="4"/>
  <c r="R330" i="5"/>
  <c r="N333" i="4"/>
  <c r="T330" i="5"/>
  <c r="O333" i="4"/>
  <c r="U330" i="5"/>
  <c r="P333" i="4"/>
  <c r="W330" i="5"/>
  <c r="Q333" i="4"/>
  <c r="X330" i="5"/>
  <c r="AA330" i="5"/>
  <c r="AC330" i="5"/>
  <c r="AD330" i="5"/>
  <c r="X333" i="4"/>
  <c r="AI330" i="5"/>
  <c r="Y333" i="4"/>
  <c r="AJ330" i="5"/>
  <c r="AL330" i="5"/>
  <c r="F330" i="5"/>
  <c r="H330" i="5"/>
  <c r="I330" i="5"/>
  <c r="AN330" i="5"/>
  <c r="O331" i="5"/>
  <c r="K331" i="5"/>
  <c r="AG331" i="5"/>
  <c r="B334" i="4"/>
  <c r="V334" i="4"/>
  <c r="AF331" i="5"/>
  <c r="C331" i="5"/>
  <c r="D334" i="4"/>
  <c r="E331" i="5"/>
  <c r="I331" i="5"/>
  <c r="I334" i="4"/>
  <c r="L331" i="5"/>
  <c r="J334" i="4"/>
  <c r="N331" i="5"/>
  <c r="L334" i="4"/>
  <c r="Q331" i="5"/>
  <c r="M334" i="4"/>
  <c r="R331" i="5"/>
  <c r="N334" i="4"/>
  <c r="T331" i="5"/>
  <c r="O334" i="4"/>
  <c r="U331" i="5"/>
  <c r="P334" i="4"/>
  <c r="W331" i="5"/>
  <c r="Q334" i="4"/>
  <c r="X331" i="5"/>
  <c r="AA331" i="5"/>
  <c r="AC331" i="5"/>
  <c r="AD331" i="5"/>
  <c r="X334" i="4"/>
  <c r="AI331" i="5"/>
  <c r="Y334" i="4"/>
  <c r="AJ331" i="5"/>
  <c r="AL331" i="5"/>
  <c r="AN331" i="5"/>
  <c r="O332" i="5"/>
  <c r="K332" i="5"/>
  <c r="AG332" i="5"/>
  <c r="AF332" i="5"/>
  <c r="C332" i="5"/>
  <c r="B335" i="4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AN332" i="5"/>
  <c r="O333" i="5"/>
  <c r="K333" i="5"/>
  <c r="AG333" i="5"/>
  <c r="B336" i="4"/>
  <c r="V336" i="4"/>
  <c r="AF333" i="5"/>
  <c r="C333" i="5"/>
  <c r="D336" i="4"/>
  <c r="E333" i="5"/>
  <c r="I333" i="5"/>
  <c r="I336" i="4"/>
  <c r="L333" i="5"/>
  <c r="J336" i="4"/>
  <c r="N333" i="5"/>
  <c r="L336" i="4"/>
  <c r="Q333" i="5"/>
  <c r="M336" i="4"/>
  <c r="R333" i="5"/>
  <c r="N336" i="4"/>
  <c r="T333" i="5"/>
  <c r="O336" i="4"/>
  <c r="U333" i="5"/>
  <c r="P336" i="4"/>
  <c r="W333" i="5"/>
  <c r="Q336" i="4"/>
  <c r="X333" i="5"/>
  <c r="AA333" i="5"/>
  <c r="AC333" i="5"/>
  <c r="AD333" i="5"/>
  <c r="X336" i="4"/>
  <c r="AI333" i="5"/>
  <c r="Y336" i="4"/>
  <c r="AJ333" i="5"/>
  <c r="AL333" i="5"/>
  <c r="AN333" i="5"/>
  <c r="O334" i="5"/>
  <c r="K334" i="5"/>
  <c r="AG334" i="5"/>
  <c r="B340" i="4"/>
  <c r="V340" i="4"/>
  <c r="AF334" i="5"/>
  <c r="C334" i="5"/>
  <c r="D340" i="4"/>
  <c r="E334" i="5"/>
  <c r="I334" i="5"/>
  <c r="I340" i="4"/>
  <c r="L334" i="5"/>
  <c r="J340" i="4"/>
  <c r="N334" i="5"/>
  <c r="L340" i="4"/>
  <c r="Q334" i="5"/>
  <c r="M340" i="4"/>
  <c r="R334" i="5"/>
  <c r="N340" i="4"/>
  <c r="T334" i="5"/>
  <c r="O340" i="4"/>
  <c r="U334" i="5"/>
  <c r="P340" i="4"/>
  <c r="W334" i="5"/>
  <c r="Q340" i="4"/>
  <c r="X334" i="5"/>
  <c r="AA334" i="5"/>
  <c r="AC334" i="5"/>
  <c r="AD334" i="5"/>
  <c r="X340" i="4"/>
  <c r="AI334" i="5"/>
  <c r="Y340" i="4"/>
  <c r="AJ334" i="5"/>
  <c r="AL334" i="5"/>
  <c r="AN334" i="5"/>
  <c r="O335" i="5"/>
  <c r="K335" i="5"/>
  <c r="AG335" i="5"/>
  <c r="B337" i="4"/>
  <c r="V337" i="4"/>
  <c r="AF335" i="5"/>
  <c r="C335" i="5"/>
  <c r="D337" i="4"/>
  <c r="E335" i="5"/>
  <c r="I337" i="4"/>
  <c r="L335" i="5"/>
  <c r="J337" i="4"/>
  <c r="N335" i="5"/>
  <c r="L337" i="4"/>
  <c r="Q335" i="5"/>
  <c r="M337" i="4"/>
  <c r="R335" i="5"/>
  <c r="N337" i="4"/>
  <c r="T335" i="5"/>
  <c r="O337" i="4"/>
  <c r="U335" i="5"/>
  <c r="P337" i="4"/>
  <c r="W335" i="5"/>
  <c r="Q337" i="4"/>
  <c r="X335" i="5"/>
  <c r="AA335" i="5"/>
  <c r="AC335" i="5"/>
  <c r="AD335" i="5"/>
  <c r="X337" i="4"/>
  <c r="AI335" i="5"/>
  <c r="Y337" i="4"/>
  <c r="AJ335" i="5"/>
  <c r="AL335" i="5"/>
  <c r="F335" i="5"/>
  <c r="H335" i="5"/>
  <c r="I335" i="5"/>
  <c r="AN335" i="5"/>
  <c r="O336" i="5"/>
  <c r="K336" i="5"/>
  <c r="AG336" i="5"/>
  <c r="B346" i="4"/>
  <c r="V346" i="4"/>
  <c r="AF336" i="5"/>
  <c r="C336" i="5"/>
  <c r="D346" i="4"/>
  <c r="E336" i="5"/>
  <c r="I336" i="5"/>
  <c r="I346" i="4"/>
  <c r="L336" i="5"/>
  <c r="J346" i="4"/>
  <c r="N336" i="5"/>
  <c r="L346" i="4"/>
  <c r="Q336" i="5"/>
  <c r="M346" i="4"/>
  <c r="R336" i="5"/>
  <c r="N346" i="4"/>
  <c r="T336" i="5"/>
  <c r="O346" i="4"/>
  <c r="U336" i="5"/>
  <c r="P346" i="4"/>
  <c r="W336" i="5"/>
  <c r="Q346" i="4"/>
  <c r="X336" i="5"/>
  <c r="AA336" i="5"/>
  <c r="AC336" i="5"/>
  <c r="AD336" i="5"/>
  <c r="X346" i="4"/>
  <c r="AI336" i="5"/>
  <c r="Y346" i="4"/>
  <c r="AJ336" i="5"/>
  <c r="AL336" i="5"/>
  <c r="AN336" i="5"/>
  <c r="O337" i="5"/>
  <c r="K337" i="5"/>
  <c r="AG337" i="5"/>
  <c r="B322" i="4"/>
  <c r="V322" i="4"/>
  <c r="AF337" i="5"/>
  <c r="C337" i="5"/>
  <c r="D322" i="4"/>
  <c r="E337" i="5"/>
  <c r="I322" i="4"/>
  <c r="L337" i="5"/>
  <c r="J322" i="4"/>
  <c r="N337" i="5"/>
  <c r="L322" i="4"/>
  <c r="Q337" i="5"/>
  <c r="M322" i="4"/>
  <c r="R337" i="5"/>
  <c r="N322" i="4"/>
  <c r="T337" i="5"/>
  <c r="O322" i="4"/>
  <c r="U337" i="5"/>
  <c r="P322" i="4"/>
  <c r="W337" i="5"/>
  <c r="Q322" i="4"/>
  <c r="X337" i="5"/>
  <c r="AA337" i="5"/>
  <c r="AC337" i="5"/>
  <c r="AD337" i="5"/>
  <c r="X322" i="4"/>
  <c r="AI337" i="5"/>
  <c r="Y322" i="4"/>
  <c r="AJ337" i="5"/>
  <c r="AL337" i="5"/>
  <c r="F337" i="5"/>
  <c r="H337" i="5"/>
  <c r="I337" i="5"/>
  <c r="AN337" i="5"/>
  <c r="O338" i="5"/>
  <c r="K338" i="5"/>
  <c r="AG338" i="5"/>
  <c r="B323" i="4"/>
  <c r="V323" i="4"/>
  <c r="AF338" i="5"/>
  <c r="C338" i="5"/>
  <c r="D323" i="4"/>
  <c r="E338" i="5"/>
  <c r="I338" i="5"/>
  <c r="I323" i="4"/>
  <c r="L338" i="5"/>
  <c r="J323" i="4"/>
  <c r="N338" i="5"/>
  <c r="L323" i="4"/>
  <c r="Q338" i="5"/>
  <c r="M323" i="4"/>
  <c r="R338" i="5"/>
  <c r="N323" i="4"/>
  <c r="T338" i="5"/>
  <c r="O323" i="4"/>
  <c r="U338" i="5"/>
  <c r="P323" i="4"/>
  <c r="W338" i="5"/>
  <c r="Q323" i="4"/>
  <c r="X338" i="5"/>
  <c r="AA338" i="5"/>
  <c r="AC338" i="5"/>
  <c r="AD338" i="5"/>
  <c r="X323" i="4"/>
  <c r="AI338" i="5"/>
  <c r="Y323" i="4"/>
  <c r="AJ338" i="5"/>
  <c r="AL338" i="5"/>
  <c r="AN338" i="5"/>
  <c r="O339" i="5"/>
  <c r="K339" i="5"/>
  <c r="AG339" i="5"/>
  <c r="B324" i="4"/>
  <c r="V324" i="4"/>
  <c r="AF339" i="5"/>
  <c r="C339" i="5"/>
  <c r="D324" i="4"/>
  <c r="E339" i="5"/>
  <c r="I324" i="4"/>
  <c r="L339" i="5"/>
  <c r="J324" i="4"/>
  <c r="N339" i="5"/>
  <c r="L324" i="4"/>
  <c r="Q339" i="5"/>
  <c r="M324" i="4"/>
  <c r="R339" i="5"/>
  <c r="N324" i="4"/>
  <c r="T339" i="5"/>
  <c r="O324" i="4"/>
  <c r="U339" i="5"/>
  <c r="P324" i="4"/>
  <c r="W339" i="5"/>
  <c r="Q324" i="4"/>
  <c r="X339" i="5"/>
  <c r="AA339" i="5"/>
  <c r="AC339" i="5"/>
  <c r="AD339" i="5"/>
  <c r="X324" i="4"/>
  <c r="AI339" i="5"/>
  <c r="Y324" i="4"/>
  <c r="AJ339" i="5"/>
  <c r="AL339" i="5"/>
  <c r="F339" i="5"/>
  <c r="H339" i="5"/>
  <c r="I339" i="5"/>
  <c r="AN339" i="5"/>
  <c r="O340" i="5"/>
  <c r="K340" i="5"/>
  <c r="AG340" i="5"/>
  <c r="B325" i="4"/>
  <c r="V325" i="4"/>
  <c r="AF340" i="5"/>
  <c r="C340" i="5"/>
  <c r="D325" i="4"/>
  <c r="E340" i="5"/>
  <c r="I340" i="5"/>
  <c r="I325" i="4"/>
  <c r="L340" i="5"/>
  <c r="J325" i="4"/>
  <c r="N340" i="5"/>
  <c r="L325" i="4"/>
  <c r="Q340" i="5"/>
  <c r="M325" i="4"/>
  <c r="R340" i="5"/>
  <c r="N325" i="4"/>
  <c r="T340" i="5"/>
  <c r="O325" i="4"/>
  <c r="U340" i="5"/>
  <c r="P325" i="4"/>
  <c r="W340" i="5"/>
  <c r="Q325" i="4"/>
  <c r="X340" i="5"/>
  <c r="AA340" i="5"/>
  <c r="AC340" i="5"/>
  <c r="AD340" i="5"/>
  <c r="X325" i="4"/>
  <c r="AI340" i="5"/>
  <c r="Y325" i="4"/>
  <c r="AJ340" i="5"/>
  <c r="AL340" i="5"/>
  <c r="AN340" i="5"/>
  <c r="O341" i="5"/>
  <c r="K341" i="5"/>
  <c r="AG341" i="5"/>
  <c r="B326" i="4"/>
  <c r="V326" i="4"/>
  <c r="AF341" i="5"/>
  <c r="C341" i="5"/>
  <c r="D326" i="4"/>
  <c r="E341" i="5"/>
  <c r="I341" i="5"/>
  <c r="I326" i="4"/>
  <c r="L341" i="5"/>
  <c r="J326" i="4"/>
  <c r="N341" i="5"/>
  <c r="L326" i="4"/>
  <c r="Q341" i="5"/>
  <c r="M326" i="4"/>
  <c r="R341" i="5"/>
  <c r="N326" i="4"/>
  <c r="T341" i="5"/>
  <c r="O326" i="4"/>
  <c r="U341" i="5"/>
  <c r="P326" i="4"/>
  <c r="W341" i="5"/>
  <c r="Q326" i="4"/>
  <c r="X341" i="5"/>
  <c r="AA341" i="5"/>
  <c r="AC341" i="5"/>
  <c r="AD341" i="5"/>
  <c r="X326" i="4"/>
  <c r="AI341" i="5"/>
  <c r="Y326" i="4"/>
  <c r="AJ341" i="5"/>
  <c r="AL341" i="5"/>
  <c r="AN341" i="5"/>
  <c r="O342" i="5"/>
  <c r="K342" i="5"/>
  <c r="AG342" i="5"/>
  <c r="B338" i="4"/>
  <c r="V338" i="4"/>
  <c r="AF342" i="5"/>
  <c r="C342" i="5"/>
  <c r="D338" i="4"/>
  <c r="E342" i="5"/>
  <c r="I342" i="5"/>
  <c r="I338" i="4"/>
  <c r="L342" i="5"/>
  <c r="J338" i="4"/>
  <c r="N342" i="5"/>
  <c r="L338" i="4"/>
  <c r="Q342" i="5"/>
  <c r="M338" i="4"/>
  <c r="R342" i="5"/>
  <c r="N338" i="4"/>
  <c r="T342" i="5"/>
  <c r="O338" i="4"/>
  <c r="U342" i="5"/>
  <c r="P338" i="4"/>
  <c r="W342" i="5"/>
  <c r="Q338" i="4"/>
  <c r="X342" i="5"/>
  <c r="AA342" i="5"/>
  <c r="AC342" i="5"/>
  <c r="AD342" i="5"/>
  <c r="X338" i="4"/>
  <c r="AI342" i="5"/>
  <c r="Y338" i="4"/>
  <c r="AJ342" i="5"/>
  <c r="AL342" i="5"/>
  <c r="AN342" i="5"/>
  <c r="O343" i="5"/>
  <c r="K343" i="5"/>
  <c r="AG343" i="5"/>
  <c r="B327" i="4"/>
  <c r="V327" i="4"/>
  <c r="AF343" i="5"/>
  <c r="C343" i="5"/>
  <c r="D327" i="4"/>
  <c r="E343" i="5"/>
  <c r="I327" i="4"/>
  <c r="L343" i="5"/>
  <c r="J327" i="4"/>
  <c r="N343" i="5"/>
  <c r="L327" i="4"/>
  <c r="Q343" i="5"/>
  <c r="M327" i="4"/>
  <c r="R343" i="5"/>
  <c r="N327" i="4"/>
  <c r="T343" i="5"/>
  <c r="O327" i="4"/>
  <c r="U343" i="5"/>
  <c r="P327" i="4"/>
  <c r="W343" i="5"/>
  <c r="Q327" i="4"/>
  <c r="X343" i="5"/>
  <c r="AA343" i="5"/>
  <c r="AC343" i="5"/>
  <c r="AD343" i="5"/>
  <c r="X327" i="4"/>
  <c r="AI343" i="5"/>
  <c r="Y327" i="4"/>
  <c r="AJ343" i="5"/>
  <c r="AL343" i="5"/>
  <c r="F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AN344" i="5"/>
  <c r="O345" i="5"/>
  <c r="K345" i="5"/>
  <c r="AG345" i="5"/>
  <c r="B329" i="4"/>
  <c r="V329" i="4"/>
  <c r="AF345" i="5"/>
  <c r="C345" i="5"/>
  <c r="D329" i="4"/>
  <c r="E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F345" i="5"/>
  <c r="AN345" i="5"/>
  <c r="O346" i="5"/>
  <c r="K346" i="5"/>
  <c r="AG346" i="5"/>
  <c r="B339" i="4"/>
  <c r="V339" i="4"/>
  <c r="AF346" i="5"/>
  <c r="C346" i="5"/>
  <c r="D339" i="4"/>
  <c r="E346" i="5"/>
  <c r="I346" i="5"/>
  <c r="I339" i="4"/>
  <c r="L346" i="5"/>
  <c r="J339" i="4"/>
  <c r="N346" i="5"/>
  <c r="L339" i="4"/>
  <c r="Q346" i="5"/>
  <c r="M339" i="4"/>
  <c r="R346" i="5"/>
  <c r="N339" i="4"/>
  <c r="T346" i="5"/>
  <c r="O339" i="4"/>
  <c r="U346" i="5"/>
  <c r="P339" i="4"/>
  <c r="W346" i="5"/>
  <c r="Q339" i="4"/>
  <c r="X346" i="5"/>
  <c r="AA346" i="5"/>
  <c r="AC346" i="5"/>
  <c r="AD346" i="5"/>
  <c r="X339" i="4"/>
  <c r="AI346" i="5"/>
  <c r="Y339" i="4"/>
  <c r="AJ346" i="5"/>
  <c r="AL346" i="5"/>
  <c r="AN346" i="5"/>
  <c r="K50" i="2"/>
  <c r="B347" i="4"/>
  <c r="K347" i="4"/>
  <c r="O347" i="5"/>
  <c r="H50" i="2"/>
  <c r="H347" i="4"/>
  <c r="K347" i="5"/>
  <c r="W50" i="2"/>
  <c r="W347" i="4"/>
  <c r="AG347" i="5"/>
  <c r="V50" i="2"/>
  <c r="V347" i="4"/>
  <c r="AF347" i="5"/>
  <c r="C50" i="2"/>
  <c r="C347" i="4"/>
  <c r="C347" i="5"/>
  <c r="D50" i="2"/>
  <c r="D347" i="4"/>
  <c r="E347" i="5"/>
  <c r="I50" i="2"/>
  <c r="I347" i="4"/>
  <c r="L347" i="5"/>
  <c r="J50" i="2"/>
  <c r="J347" i="4"/>
  <c r="N347" i="5"/>
  <c r="L50" i="2"/>
  <c r="L347" i="4"/>
  <c r="Q347" i="5"/>
  <c r="M50" i="2"/>
  <c r="M347" i="4"/>
  <c r="R347" i="5"/>
  <c r="N50" i="2"/>
  <c r="N347" i="4"/>
  <c r="T347" i="5"/>
  <c r="O50" i="2"/>
  <c r="O347" i="4"/>
  <c r="U347" i="5"/>
  <c r="P50" i="2"/>
  <c r="P347" i="4"/>
  <c r="W347" i="5"/>
  <c r="Q50" i="2"/>
  <c r="Q347" i="4"/>
  <c r="X347" i="5"/>
  <c r="S50" i="2"/>
  <c r="S347" i="4"/>
  <c r="AA347" i="5"/>
  <c r="T50" i="2"/>
  <c r="T347" i="4"/>
  <c r="AC347" i="5"/>
  <c r="U50" i="2"/>
  <c r="U347" i="4"/>
  <c r="AD347" i="5"/>
  <c r="X50" i="2"/>
  <c r="X347" i="4"/>
  <c r="AI347" i="5"/>
  <c r="Y50" i="2"/>
  <c r="Y347" i="4"/>
  <c r="AJ347" i="5"/>
  <c r="Z50" i="2"/>
  <c r="Z347" i="4"/>
  <c r="AL347" i="5"/>
  <c r="AN347" i="5"/>
  <c r="B367" i="4"/>
  <c r="K367" i="4"/>
  <c r="O348" i="5"/>
  <c r="H367" i="4"/>
  <c r="K348" i="5"/>
  <c r="W367" i="4"/>
  <c r="AG348" i="5"/>
  <c r="V367" i="4"/>
  <c r="AF348" i="5"/>
  <c r="C367" i="4"/>
  <c r="C348" i="5"/>
  <c r="D367" i="4"/>
  <c r="E348" i="5"/>
  <c r="I367" i="4"/>
  <c r="L348" i="5"/>
  <c r="J367" i="4"/>
  <c r="N348" i="5"/>
  <c r="L367" i="4"/>
  <c r="Q348" i="5"/>
  <c r="M367" i="4"/>
  <c r="R348" i="5"/>
  <c r="N367" i="4"/>
  <c r="T348" i="5"/>
  <c r="O367" i="4"/>
  <c r="U348" i="5"/>
  <c r="P367" i="4"/>
  <c r="W348" i="5"/>
  <c r="Q367" i="4"/>
  <c r="X348" i="5"/>
  <c r="S367" i="4"/>
  <c r="AA348" i="5"/>
  <c r="T367" i="4"/>
  <c r="AC348" i="5"/>
  <c r="U367" i="4"/>
  <c r="AD348" i="5"/>
  <c r="X367" i="4"/>
  <c r="AI348" i="5"/>
  <c r="Y367" i="4"/>
  <c r="AJ348" i="5"/>
  <c r="Z367" i="4"/>
  <c r="AL348" i="5"/>
  <c r="AN348" i="5"/>
  <c r="B368" i="4"/>
  <c r="K368" i="4"/>
  <c r="O349" i="5"/>
  <c r="H368" i="4"/>
  <c r="K349" i="5"/>
  <c r="W368" i="4"/>
  <c r="AG349" i="5"/>
  <c r="V368" i="4"/>
  <c r="AF349" i="5"/>
  <c r="C368" i="4"/>
  <c r="C349" i="5"/>
  <c r="D368" i="4"/>
  <c r="E349" i="5"/>
  <c r="I368" i="4"/>
  <c r="L349" i="5"/>
  <c r="J368" i="4"/>
  <c r="N349" i="5"/>
  <c r="L368" i="4"/>
  <c r="Q349" i="5"/>
  <c r="M368" i="4"/>
  <c r="R349" i="5"/>
  <c r="N368" i="4"/>
  <c r="T349" i="5"/>
  <c r="O368" i="4"/>
  <c r="U349" i="5"/>
  <c r="P368" i="4"/>
  <c r="W349" i="5"/>
  <c r="Q368" i="4"/>
  <c r="X349" i="5"/>
  <c r="S368" i="4"/>
  <c r="AA349" i="5"/>
  <c r="T368" i="4"/>
  <c r="AC349" i="5"/>
  <c r="U368" i="4"/>
  <c r="AD349" i="5"/>
  <c r="X368" i="4"/>
  <c r="AI349" i="5"/>
  <c r="Y368" i="4"/>
  <c r="AJ349" i="5"/>
  <c r="Z368" i="4"/>
  <c r="AL349" i="5"/>
  <c r="AN349" i="5"/>
  <c r="B366" i="4"/>
  <c r="S366" i="4"/>
  <c r="AA350" i="5"/>
  <c r="P51" i="2"/>
  <c r="P366" i="4"/>
  <c r="W350" i="5"/>
  <c r="K51" i="2"/>
  <c r="K366" i="4"/>
  <c r="O350" i="5"/>
  <c r="H51" i="2"/>
  <c r="H366" i="4"/>
  <c r="K350" i="5"/>
  <c r="W51" i="2"/>
  <c r="W366" i="4"/>
  <c r="AG350" i="5"/>
  <c r="V51" i="2"/>
  <c r="V366" i="4"/>
  <c r="AF350" i="5"/>
  <c r="C51" i="2"/>
  <c r="C366" i="4"/>
  <c r="C350" i="5"/>
  <c r="D51" i="2"/>
  <c r="D366" i="4"/>
  <c r="E350" i="5"/>
  <c r="I51" i="2"/>
  <c r="I366" i="4"/>
  <c r="L350" i="5"/>
  <c r="J51" i="2"/>
  <c r="J366" i="4"/>
  <c r="N350" i="5"/>
  <c r="L51" i="2"/>
  <c r="L366" i="4"/>
  <c r="Q350" i="5"/>
  <c r="M51" i="2"/>
  <c r="M366" i="4"/>
  <c r="R350" i="5"/>
  <c r="N51" i="2"/>
  <c r="N366" i="4"/>
  <c r="T350" i="5"/>
  <c r="O51" i="2"/>
  <c r="O366" i="4"/>
  <c r="U350" i="5"/>
  <c r="Q51" i="2"/>
  <c r="Q366" i="4"/>
  <c r="X350" i="5"/>
  <c r="R51" i="2"/>
  <c r="R366" i="4"/>
  <c r="Z350" i="5"/>
  <c r="T51" i="2"/>
  <c r="T366" i="4"/>
  <c r="AC350" i="5"/>
  <c r="U51" i="2"/>
  <c r="U366" i="4"/>
  <c r="AD350" i="5"/>
  <c r="X51" i="2"/>
  <c r="X366" i="4"/>
  <c r="AI350" i="5"/>
  <c r="Y366" i="4"/>
  <c r="AJ350" i="5"/>
  <c r="Z51" i="2"/>
  <c r="Z366" i="4"/>
  <c r="AL350" i="5"/>
  <c r="AN350" i="5"/>
  <c r="K348" i="4"/>
  <c r="O351" i="5"/>
  <c r="H348" i="4"/>
  <c r="K351" i="5"/>
  <c r="W348" i="4"/>
  <c r="AG351" i="5"/>
  <c r="V348" i="4"/>
  <c r="AF351" i="5"/>
  <c r="C348" i="4"/>
  <c r="C351" i="5"/>
  <c r="D348" i="4"/>
  <c r="E351" i="5"/>
  <c r="I348" i="4"/>
  <c r="L351" i="5"/>
  <c r="J348" i="4"/>
  <c r="N351" i="5"/>
  <c r="L348" i="4"/>
  <c r="Q351" i="5"/>
  <c r="M348" i="4"/>
  <c r="R351" i="5"/>
  <c r="N348" i="4"/>
  <c r="T351" i="5"/>
  <c r="O348" i="4"/>
  <c r="U351" i="5"/>
  <c r="P348" i="4"/>
  <c r="W351" i="5"/>
  <c r="Q348" i="4"/>
  <c r="X351" i="5"/>
  <c r="T348" i="4"/>
  <c r="AC351" i="5"/>
  <c r="U348" i="4"/>
  <c r="AD351" i="5"/>
  <c r="X348" i="4"/>
  <c r="AI351" i="5"/>
  <c r="Y348" i="4"/>
  <c r="AJ351" i="5"/>
  <c r="Z348" i="4"/>
  <c r="AL351" i="5"/>
  <c r="Z351" i="5"/>
  <c r="AN351" i="5"/>
  <c r="B349" i="4"/>
  <c r="K349" i="4"/>
  <c r="O352" i="5"/>
  <c r="H349" i="4"/>
  <c r="K352" i="5"/>
  <c r="W349" i="4"/>
  <c r="AG352" i="5"/>
  <c r="V349" i="4"/>
  <c r="AF352" i="5"/>
  <c r="C349" i="4"/>
  <c r="C352" i="5"/>
  <c r="D349" i="4"/>
  <c r="E352" i="5"/>
  <c r="I349" i="4"/>
  <c r="L352" i="5"/>
  <c r="J349" i="4"/>
  <c r="N352" i="5"/>
  <c r="L349" i="4"/>
  <c r="Q352" i="5"/>
  <c r="M349" i="4"/>
  <c r="R352" i="5"/>
  <c r="N349" i="4"/>
  <c r="T352" i="5"/>
  <c r="O349" i="4"/>
  <c r="U352" i="5"/>
  <c r="P349" i="4"/>
  <c r="W352" i="5"/>
  <c r="Q349" i="4"/>
  <c r="X352" i="5"/>
  <c r="S349" i="4"/>
  <c r="T349" i="4"/>
  <c r="AC352" i="5"/>
  <c r="U349" i="4"/>
  <c r="AD352" i="5"/>
  <c r="X349" i="4"/>
  <c r="AI352" i="5"/>
  <c r="Y349" i="4"/>
  <c r="AJ352" i="5"/>
  <c r="Z349" i="4"/>
  <c r="AL352" i="5"/>
  <c r="Z352" i="5"/>
  <c r="AN352" i="5"/>
  <c r="B350" i="4"/>
  <c r="K350" i="4"/>
  <c r="O353" i="5"/>
  <c r="H350" i="4"/>
  <c r="K353" i="5"/>
  <c r="W350" i="4"/>
  <c r="AG353" i="5"/>
  <c r="V350" i="4"/>
  <c r="AF353" i="5"/>
  <c r="C350" i="4"/>
  <c r="C353" i="5"/>
  <c r="D350" i="4"/>
  <c r="E353" i="5"/>
  <c r="I350" i="4"/>
  <c r="L353" i="5"/>
  <c r="J350" i="4"/>
  <c r="N353" i="5"/>
  <c r="L350" i="4"/>
  <c r="Q353" i="5"/>
  <c r="M350" i="4"/>
  <c r="R353" i="5"/>
  <c r="N350" i="4"/>
  <c r="T353" i="5"/>
  <c r="O350" i="4"/>
  <c r="U353" i="5"/>
  <c r="P350" i="4"/>
  <c r="W353" i="5"/>
  <c r="Q350" i="4"/>
  <c r="X353" i="5"/>
  <c r="S350" i="4"/>
  <c r="AA353" i="5"/>
  <c r="T350" i="4"/>
  <c r="AC353" i="5"/>
  <c r="U350" i="4"/>
  <c r="AD353" i="5"/>
  <c r="X350" i="4"/>
  <c r="AI353" i="5"/>
  <c r="Y350" i="4"/>
  <c r="AJ353" i="5"/>
  <c r="Z350" i="4"/>
  <c r="AL353" i="5"/>
  <c r="Z353" i="5"/>
  <c r="AN353" i="5"/>
  <c r="B351" i="4"/>
  <c r="K351" i="4"/>
  <c r="O354" i="5"/>
  <c r="H351" i="4"/>
  <c r="K354" i="5"/>
  <c r="W351" i="4"/>
  <c r="AG354" i="5"/>
  <c r="V351" i="4"/>
  <c r="AF354" i="5"/>
  <c r="C351" i="4"/>
  <c r="C354" i="5"/>
  <c r="D351" i="4"/>
  <c r="E354" i="5"/>
  <c r="I351" i="4"/>
  <c r="L354" i="5"/>
  <c r="J351" i="4"/>
  <c r="N354" i="5"/>
  <c r="L351" i="4"/>
  <c r="Q354" i="5"/>
  <c r="M351" i="4"/>
  <c r="R354" i="5"/>
  <c r="N351" i="4"/>
  <c r="T354" i="5"/>
  <c r="O351" i="4"/>
  <c r="U354" i="5"/>
  <c r="P351" i="4"/>
  <c r="W354" i="5"/>
  <c r="Q351" i="4"/>
  <c r="X354" i="5"/>
  <c r="S351" i="4"/>
  <c r="AA354" i="5"/>
  <c r="T351" i="4"/>
  <c r="AC354" i="5"/>
  <c r="U351" i="4"/>
  <c r="AD354" i="5"/>
  <c r="X351" i="4"/>
  <c r="AI354" i="5"/>
  <c r="Y351" i="4"/>
  <c r="AJ354" i="5"/>
  <c r="Z354" i="5"/>
  <c r="AN354" i="5"/>
  <c r="S352" i="4"/>
  <c r="P352" i="4"/>
  <c r="W355" i="5"/>
  <c r="K352" i="4"/>
  <c r="O355" i="5"/>
  <c r="H352" i="4"/>
  <c r="K355" i="5"/>
  <c r="W352" i="4"/>
  <c r="AG355" i="5"/>
  <c r="V352" i="4"/>
  <c r="AF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Q352" i="4"/>
  <c r="X355" i="5"/>
  <c r="R352" i="4"/>
  <c r="Z355" i="5"/>
  <c r="T352" i="4"/>
  <c r="AC355" i="5"/>
  <c r="U352" i="4"/>
  <c r="AD355" i="5"/>
  <c r="X352" i="4"/>
  <c r="AI355" i="5"/>
  <c r="AN355" i="5"/>
  <c r="B353" i="4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S353" i="4"/>
  <c r="AA356" i="5"/>
  <c r="T353" i="4"/>
  <c r="AC356" i="5"/>
  <c r="U353" i="4"/>
  <c r="AD356" i="5"/>
  <c r="X353" i="4"/>
  <c r="AI356" i="5"/>
  <c r="Y353" i="4"/>
  <c r="AJ356" i="5"/>
  <c r="Z353" i="4"/>
  <c r="AL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AA357" i="5"/>
  <c r="T354" i="4"/>
  <c r="AC357" i="5"/>
  <c r="U354" i="4"/>
  <c r="AD357" i="5"/>
  <c r="X354" i="4"/>
  <c r="AI357" i="5"/>
  <c r="Y354" i="4"/>
  <c r="AJ357" i="5"/>
  <c r="Z354" i="4"/>
  <c r="AL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57" i="4"/>
  <c r="AL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AN364" i="5"/>
  <c r="B362" i="4"/>
  <c r="S362" i="4"/>
  <c r="AA365" i="5"/>
  <c r="P362" i="4"/>
  <c r="W365" i="5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Q362" i="4"/>
  <c r="X365" i="5"/>
  <c r="R362" i="4"/>
  <c r="Z365" i="5"/>
  <c r="T362" i="4"/>
  <c r="AC365" i="5"/>
  <c r="U362" i="4"/>
  <c r="AD365" i="5"/>
  <c r="X362" i="4"/>
  <c r="AI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AN368" i="5"/>
  <c r="B372" i="4"/>
  <c r="K372" i="4"/>
  <c r="O369" i="5"/>
  <c r="H372" i="4"/>
  <c r="K369" i="5"/>
  <c r="W52" i="2"/>
  <c r="W372" i="4"/>
  <c r="AG369" i="5"/>
  <c r="V52" i="2"/>
  <c r="V372" i="4"/>
  <c r="AF369" i="5"/>
  <c r="C52" i="2"/>
  <c r="C372" i="4"/>
  <c r="C369" i="5"/>
  <c r="D372" i="4"/>
  <c r="E369" i="5"/>
  <c r="I372" i="4"/>
  <c r="L369" i="5"/>
  <c r="J372" i="4"/>
  <c r="N369" i="5"/>
  <c r="L372" i="4"/>
  <c r="Q369" i="5"/>
  <c r="M372" i="4"/>
  <c r="R369" i="5"/>
  <c r="N52" i="2"/>
  <c r="N372" i="4"/>
  <c r="T369" i="5"/>
  <c r="O52" i="2"/>
  <c r="O372" i="4"/>
  <c r="U369" i="5"/>
  <c r="P52" i="2"/>
  <c r="P372" i="4"/>
  <c r="W369" i="5"/>
  <c r="Q52" i="2"/>
  <c r="Q372" i="4"/>
  <c r="X369" i="5"/>
  <c r="S52" i="2"/>
  <c r="S372" i="4"/>
  <c r="AA369" i="5"/>
  <c r="T52" i="2"/>
  <c r="T372" i="4"/>
  <c r="AC369" i="5"/>
  <c r="U52" i="2"/>
  <c r="U372" i="4"/>
  <c r="AD369" i="5"/>
  <c r="X52" i="2"/>
  <c r="X372" i="4"/>
  <c r="AI369" i="5"/>
  <c r="Y52" i="2"/>
  <c r="Y372" i="4"/>
  <c r="AJ369" i="5"/>
  <c r="Z52" i="2"/>
  <c r="Z372" i="4"/>
  <c r="AL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AN370" i="5"/>
  <c r="B373" i="4"/>
  <c r="K373" i="4"/>
  <c r="O371" i="5"/>
  <c r="H373" i="4"/>
  <c r="K371" i="5"/>
  <c r="W373" i="4"/>
  <c r="AG371" i="5"/>
  <c r="V373" i="4"/>
  <c r="AF371" i="5"/>
  <c r="C373" i="4"/>
  <c r="C371" i="5"/>
  <c r="D373" i="4"/>
  <c r="E371" i="5"/>
  <c r="I373" i="4"/>
  <c r="L371" i="5"/>
  <c r="J373" i="4"/>
  <c r="N371" i="5"/>
  <c r="L373" i="4"/>
  <c r="Q371" i="5"/>
  <c r="M373" i="4"/>
  <c r="R371" i="5"/>
  <c r="N373" i="4"/>
  <c r="T371" i="5"/>
  <c r="O373" i="4"/>
  <c r="U371" i="5"/>
  <c r="P373" i="4"/>
  <c r="W371" i="5"/>
  <c r="Q373" i="4"/>
  <c r="X371" i="5"/>
  <c r="S373" i="4"/>
  <c r="AA371" i="5"/>
  <c r="T373" i="4"/>
  <c r="AC371" i="5"/>
  <c r="U373" i="4"/>
  <c r="AD371" i="5"/>
  <c r="X373" i="4"/>
  <c r="AI371" i="5"/>
  <c r="Y373" i="4"/>
  <c r="AJ371" i="5"/>
  <c r="Z373" i="4"/>
  <c r="AL371" i="5"/>
  <c r="AN371" i="5"/>
  <c r="B377" i="4"/>
  <c r="K377" i="4"/>
  <c r="O372" i="5"/>
  <c r="H377" i="4"/>
  <c r="K372" i="5"/>
  <c r="W377" i="4"/>
  <c r="AG372" i="5"/>
  <c r="V377" i="4"/>
  <c r="AF372" i="5"/>
  <c r="C377" i="4"/>
  <c r="C372" i="5"/>
  <c r="D377" i="4"/>
  <c r="E372" i="5"/>
  <c r="I377" i="4"/>
  <c r="L372" i="5"/>
  <c r="J377" i="4"/>
  <c r="N372" i="5"/>
  <c r="L377" i="4"/>
  <c r="Q372" i="5"/>
  <c r="M377" i="4"/>
  <c r="R372" i="5"/>
  <c r="N377" i="4"/>
  <c r="T372" i="5"/>
  <c r="O377" i="4"/>
  <c r="U372" i="5"/>
  <c r="P377" i="4"/>
  <c r="W372" i="5"/>
  <c r="Q377" i="4"/>
  <c r="X372" i="5"/>
  <c r="S377" i="4"/>
  <c r="AA372" i="5"/>
  <c r="T377" i="4"/>
  <c r="AC372" i="5"/>
  <c r="U377" i="4"/>
  <c r="AD372" i="5"/>
  <c r="X377" i="4"/>
  <c r="AI372" i="5"/>
  <c r="Y377" i="4"/>
  <c r="AJ372" i="5"/>
  <c r="Z377" i="4"/>
  <c r="AL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AN373" i="5"/>
  <c r="B369" i="4"/>
  <c r="K369" i="4"/>
  <c r="O374" i="5"/>
  <c r="H369" i="4"/>
  <c r="K374" i="5"/>
  <c r="W369" i="4"/>
  <c r="AG374" i="5"/>
  <c r="V369" i="4"/>
  <c r="AF374" i="5"/>
  <c r="C369" i="4"/>
  <c r="C374" i="5"/>
  <c r="D369" i="4"/>
  <c r="E374" i="5"/>
  <c r="I369" i="4"/>
  <c r="L374" i="5"/>
  <c r="J369" i="4"/>
  <c r="N374" i="5"/>
  <c r="L369" i="4"/>
  <c r="Q374" i="5"/>
  <c r="M369" i="4"/>
  <c r="R374" i="5"/>
  <c r="N369" i="4"/>
  <c r="T374" i="5"/>
  <c r="O369" i="4"/>
  <c r="U374" i="5"/>
  <c r="P369" i="4"/>
  <c r="W374" i="5"/>
  <c r="Q369" i="4"/>
  <c r="X374" i="5"/>
  <c r="S369" i="4"/>
  <c r="AA374" i="5"/>
  <c r="T369" i="4"/>
  <c r="AC374" i="5"/>
  <c r="U369" i="4"/>
  <c r="AD374" i="5"/>
  <c r="X369" i="4"/>
  <c r="AI374" i="5"/>
  <c r="Y369" i="4"/>
  <c r="AJ374" i="5"/>
  <c r="Z369" i="4"/>
  <c r="AL374" i="5"/>
  <c r="AN374" i="5"/>
  <c r="B378" i="4"/>
  <c r="K378" i="4"/>
  <c r="O375" i="5"/>
  <c r="H378" i="4"/>
  <c r="K375" i="5"/>
  <c r="W378" i="4"/>
  <c r="AG375" i="5"/>
  <c r="V378" i="4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AN376" i="5"/>
  <c r="B379" i="4"/>
  <c r="K379" i="4"/>
  <c r="O377" i="5"/>
  <c r="H379" i="4"/>
  <c r="K377" i="5"/>
  <c r="W379" i="4"/>
  <c r="AG377" i="5"/>
  <c r="V379" i="4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AN377" i="5"/>
  <c r="B371" i="4"/>
  <c r="K371" i="4"/>
  <c r="O378" i="5"/>
  <c r="H371" i="4"/>
  <c r="K378" i="5"/>
  <c r="W371" i="4"/>
  <c r="AG378" i="5"/>
  <c r="V371" i="4"/>
  <c r="AF378" i="5"/>
  <c r="C371" i="4"/>
  <c r="C378" i="5"/>
  <c r="D371" i="4"/>
  <c r="E378" i="5"/>
  <c r="I371" i="4"/>
  <c r="L378" i="5"/>
  <c r="J371" i="4"/>
  <c r="N378" i="5"/>
  <c r="L371" i="4"/>
  <c r="Q378" i="5"/>
  <c r="M371" i="4"/>
  <c r="R378" i="5"/>
  <c r="N371" i="4"/>
  <c r="T378" i="5"/>
  <c r="O371" i="4"/>
  <c r="U378" i="5"/>
  <c r="P371" i="4"/>
  <c r="W378" i="5"/>
  <c r="Q371" i="4"/>
  <c r="X378" i="5"/>
  <c r="S371" i="4"/>
  <c r="AA378" i="5"/>
  <c r="T371" i="4"/>
  <c r="AC378" i="5"/>
  <c r="U371" i="4"/>
  <c r="AD378" i="5"/>
  <c r="X371" i="4"/>
  <c r="AI378" i="5"/>
  <c r="Y371" i="4"/>
  <c r="AJ378" i="5"/>
  <c r="Z371" i="4"/>
  <c r="AL378" i="5"/>
  <c r="AN378" i="5"/>
  <c r="W376" i="4"/>
  <c r="AG379" i="5"/>
  <c r="V376" i="4"/>
  <c r="AF379" i="5"/>
  <c r="C376" i="4"/>
  <c r="C379" i="5"/>
  <c r="N376" i="4"/>
  <c r="T379" i="5"/>
  <c r="O376" i="4"/>
  <c r="U379" i="5"/>
  <c r="P376" i="4"/>
  <c r="W379" i="5"/>
  <c r="Q376" i="4"/>
  <c r="X379" i="5"/>
  <c r="S376" i="4"/>
  <c r="AA379" i="5"/>
  <c r="T376" i="4"/>
  <c r="AC379" i="5"/>
  <c r="U376" i="4"/>
  <c r="AD379" i="5"/>
  <c r="X376" i="4"/>
  <c r="AI379" i="5"/>
  <c r="Y376" i="4"/>
  <c r="AJ379" i="5"/>
  <c r="Z376" i="4"/>
  <c r="AL379" i="5"/>
  <c r="AN379" i="5"/>
  <c r="AA380" i="5"/>
  <c r="B384" i="4"/>
  <c r="P384" i="4"/>
  <c r="W380" i="5"/>
  <c r="O380" i="5"/>
  <c r="K380" i="5"/>
  <c r="AG380" i="5"/>
  <c r="AF380" i="5"/>
  <c r="E380" i="5"/>
  <c r="F380" i="5"/>
  <c r="H380" i="5"/>
  <c r="I380" i="5"/>
  <c r="L380" i="5"/>
  <c r="N380" i="5"/>
  <c r="Q380" i="5"/>
  <c r="R380" i="5"/>
  <c r="T380" i="5"/>
  <c r="U380" i="5"/>
  <c r="X380" i="5"/>
  <c r="Z380" i="5"/>
  <c r="AC380" i="5"/>
  <c r="AD380" i="5"/>
  <c r="AI380" i="5"/>
  <c r="AJ380" i="5"/>
  <c r="AL380" i="5"/>
  <c r="AN380" i="5"/>
  <c r="AA381" i="5"/>
  <c r="W381" i="5"/>
  <c r="O381" i="5"/>
  <c r="K381" i="5"/>
  <c r="AG381" i="5"/>
  <c r="AF381" i="5"/>
  <c r="E381" i="5"/>
  <c r="F381" i="5"/>
  <c r="H381" i="5"/>
  <c r="I381" i="5"/>
  <c r="L381" i="5"/>
  <c r="N381" i="5"/>
  <c r="Q381" i="5"/>
  <c r="R381" i="5"/>
  <c r="T381" i="5"/>
  <c r="U381" i="5"/>
  <c r="X381" i="5"/>
  <c r="Z381" i="5"/>
  <c r="AC381" i="5"/>
  <c r="AD381" i="5"/>
  <c r="AI381" i="5"/>
  <c r="AJ381" i="5"/>
  <c r="AL381" i="5"/>
  <c r="AN381" i="5"/>
  <c r="AA382" i="5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B381" i="4"/>
  <c r="C381" i="4"/>
  <c r="C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L384" i="5"/>
  <c r="AN384" i="5"/>
  <c r="AA385" i="5"/>
  <c r="B397" i="4"/>
  <c r="P397" i="4"/>
  <c r="W385" i="5"/>
  <c r="O385" i="5"/>
  <c r="K385" i="5"/>
  <c r="AG385" i="5"/>
  <c r="AF385" i="5"/>
  <c r="C385" i="5"/>
  <c r="L385" i="5"/>
  <c r="N385" i="5"/>
  <c r="L397" i="4"/>
  <c r="Q385" i="5"/>
  <c r="U385" i="5"/>
  <c r="Q397" i="4"/>
  <c r="X385" i="5"/>
  <c r="R15" i="2"/>
  <c r="R397" i="4"/>
  <c r="Z385" i="5"/>
  <c r="AC385" i="5"/>
  <c r="AD385" i="5"/>
  <c r="X397" i="4"/>
  <c r="AI385" i="5"/>
  <c r="Y397" i="4"/>
  <c r="AJ385" i="5"/>
  <c r="AL385" i="5"/>
  <c r="AN385" i="5"/>
  <c r="AA386" i="5"/>
  <c r="B398" i="4"/>
  <c r="P398" i="4"/>
  <c r="W386" i="5"/>
  <c r="O386" i="5"/>
  <c r="K386" i="5"/>
  <c r="AG386" i="5"/>
  <c r="AF386" i="5"/>
  <c r="C386" i="5"/>
  <c r="L386" i="5"/>
  <c r="N386" i="5"/>
  <c r="L398" i="4"/>
  <c r="Q386" i="5"/>
  <c r="U386" i="5"/>
  <c r="Q398" i="4"/>
  <c r="X386" i="5"/>
  <c r="R398" i="4"/>
  <c r="Z386" i="5"/>
  <c r="AC386" i="5"/>
  <c r="AD386" i="5"/>
  <c r="X398" i="4"/>
  <c r="AI386" i="5"/>
  <c r="Y398" i="4"/>
  <c r="AJ386" i="5"/>
  <c r="AL386" i="5"/>
  <c r="AN386" i="5"/>
  <c r="AA387" i="5"/>
  <c r="B399" i="4"/>
  <c r="P399" i="4"/>
  <c r="W387" i="5"/>
  <c r="O387" i="5"/>
  <c r="K387" i="5"/>
  <c r="AG387" i="5"/>
  <c r="AF387" i="5"/>
  <c r="C387" i="5"/>
  <c r="L387" i="5"/>
  <c r="N387" i="5"/>
  <c r="L399" i="4"/>
  <c r="Q387" i="5"/>
  <c r="U387" i="5"/>
  <c r="Q399" i="4"/>
  <c r="X387" i="5"/>
  <c r="R399" i="4"/>
  <c r="Z387" i="5"/>
  <c r="AC387" i="5"/>
  <c r="AD387" i="5"/>
  <c r="X399" i="4"/>
  <c r="AI387" i="5"/>
  <c r="Y399" i="4"/>
  <c r="AJ387" i="5"/>
  <c r="AL387" i="5"/>
  <c r="AN387" i="5"/>
  <c r="AA388" i="5"/>
  <c r="B385" i="4"/>
  <c r="P385" i="4"/>
  <c r="W388" i="5"/>
  <c r="O388" i="5"/>
  <c r="K388" i="5"/>
  <c r="AG388" i="5"/>
  <c r="AF388" i="5"/>
  <c r="C388" i="5"/>
  <c r="L388" i="5"/>
  <c r="N388" i="5"/>
  <c r="L385" i="4"/>
  <c r="Q388" i="5"/>
  <c r="U388" i="5"/>
  <c r="Q385" i="4"/>
  <c r="X388" i="5"/>
  <c r="R385" i="4"/>
  <c r="Z388" i="5"/>
  <c r="AC388" i="5"/>
  <c r="AD388" i="5"/>
  <c r="X385" i="4"/>
  <c r="AI388" i="5"/>
  <c r="Y385" i="4"/>
  <c r="AJ388" i="5"/>
  <c r="AN388" i="5"/>
  <c r="AA389" i="5"/>
  <c r="B388" i="4"/>
  <c r="P388" i="4"/>
  <c r="W389" i="5"/>
  <c r="O389" i="5"/>
  <c r="K389" i="5"/>
  <c r="AG389" i="5"/>
  <c r="AF389" i="5"/>
  <c r="C389" i="5"/>
  <c r="L389" i="5"/>
  <c r="N389" i="5"/>
  <c r="L388" i="4"/>
  <c r="Q389" i="5"/>
  <c r="U389" i="5"/>
  <c r="Q388" i="4"/>
  <c r="X389" i="5"/>
  <c r="R13" i="2"/>
  <c r="R388" i="4"/>
  <c r="Z389" i="5"/>
  <c r="AC389" i="5"/>
  <c r="AD389" i="5"/>
  <c r="X388" i="4"/>
  <c r="AI389" i="5"/>
  <c r="Y388" i="4"/>
  <c r="AJ389" i="5"/>
  <c r="AL389" i="5"/>
  <c r="AN389" i="5"/>
  <c r="AA390" i="5"/>
  <c r="B389" i="4"/>
  <c r="P389" i="4"/>
  <c r="W390" i="5"/>
  <c r="O390" i="5"/>
  <c r="K390" i="5"/>
  <c r="AG390" i="5"/>
  <c r="AF390" i="5"/>
  <c r="C390" i="5"/>
  <c r="L390" i="5"/>
  <c r="N390" i="5"/>
  <c r="L389" i="4"/>
  <c r="Q390" i="5"/>
  <c r="U390" i="5"/>
  <c r="Q389" i="4"/>
  <c r="X390" i="5"/>
  <c r="R389" i="4"/>
  <c r="Z390" i="5"/>
  <c r="AC390" i="5"/>
  <c r="AD390" i="5"/>
  <c r="X389" i="4"/>
  <c r="AI390" i="5"/>
  <c r="Y389" i="4"/>
  <c r="AJ390" i="5"/>
  <c r="AL390" i="5"/>
  <c r="AN390" i="5"/>
  <c r="AA391" i="5"/>
  <c r="B390" i="4"/>
  <c r="P390" i="4"/>
  <c r="W391" i="5"/>
  <c r="O391" i="5"/>
  <c r="K391" i="5"/>
  <c r="AG391" i="5"/>
  <c r="AF391" i="5"/>
  <c r="C391" i="5"/>
  <c r="L391" i="5"/>
  <c r="N391" i="5"/>
  <c r="L390" i="4"/>
  <c r="Q391" i="5"/>
  <c r="U391" i="5"/>
  <c r="Q390" i="4"/>
  <c r="X391" i="5"/>
  <c r="R390" i="4"/>
  <c r="Z391" i="5"/>
  <c r="AC391" i="5"/>
  <c r="AD391" i="5"/>
  <c r="X390" i="4"/>
  <c r="AI391" i="5"/>
  <c r="Y390" i="4"/>
  <c r="AJ391" i="5"/>
  <c r="AL391" i="5"/>
  <c r="AN391" i="5"/>
  <c r="AA392" i="5"/>
  <c r="B391" i="4"/>
  <c r="P391" i="4"/>
  <c r="W392" i="5"/>
  <c r="O392" i="5"/>
  <c r="K392" i="5"/>
  <c r="AG392" i="5"/>
  <c r="AF392" i="5"/>
  <c r="C392" i="5"/>
  <c r="L392" i="5"/>
  <c r="N392" i="5"/>
  <c r="L391" i="4"/>
  <c r="Q392" i="5"/>
  <c r="U392" i="5"/>
  <c r="Q391" i="4"/>
  <c r="X392" i="5"/>
  <c r="R391" i="4"/>
  <c r="Z392" i="5"/>
  <c r="AC392" i="5"/>
  <c r="AD392" i="5"/>
  <c r="X391" i="4"/>
  <c r="AI392" i="5"/>
  <c r="Y391" i="4"/>
  <c r="AJ392" i="5"/>
  <c r="AL392" i="5"/>
  <c r="AN392" i="5"/>
  <c r="AA393" i="5"/>
  <c r="B409" i="4"/>
  <c r="P409" i="4"/>
  <c r="W393" i="5"/>
  <c r="O393" i="5"/>
  <c r="K393" i="5"/>
  <c r="AG393" i="5"/>
  <c r="AF393" i="5"/>
  <c r="C393" i="5"/>
  <c r="L393" i="5"/>
  <c r="N393" i="5"/>
  <c r="L409" i="4"/>
  <c r="Q393" i="5"/>
  <c r="U393" i="5"/>
  <c r="Q409" i="4"/>
  <c r="X393" i="5"/>
  <c r="R409" i="4"/>
  <c r="Z393" i="5"/>
  <c r="AC393" i="5"/>
  <c r="AD393" i="5"/>
  <c r="X409" i="4"/>
  <c r="AI393" i="5"/>
  <c r="Y409" i="4"/>
  <c r="AJ393" i="5"/>
  <c r="AL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27" i="2"/>
  <c r="R402" i="4"/>
  <c r="Z396" i="5"/>
  <c r="AC396" i="5"/>
  <c r="AD396" i="5"/>
  <c r="X402" i="4"/>
  <c r="AI396" i="5"/>
  <c r="Y402" i="4"/>
  <c r="AJ396" i="5"/>
  <c r="AL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AN397" i="5"/>
  <c r="AA398" i="5"/>
  <c r="B392" i="4"/>
  <c r="P392" i="4"/>
  <c r="W398" i="5"/>
  <c r="O398" i="5"/>
  <c r="K398" i="5"/>
  <c r="AG398" i="5"/>
  <c r="AF398" i="5"/>
  <c r="C398" i="5"/>
  <c r="L398" i="5"/>
  <c r="N398" i="5"/>
  <c r="L392" i="4"/>
  <c r="Q398" i="5"/>
  <c r="U398" i="5"/>
  <c r="Q392" i="4"/>
  <c r="X398" i="5"/>
  <c r="R392" i="4"/>
  <c r="Z398" i="5"/>
  <c r="AC398" i="5"/>
  <c r="AD398" i="5"/>
  <c r="X392" i="4"/>
  <c r="AI398" i="5"/>
  <c r="Y392" i="4"/>
  <c r="AJ398" i="5"/>
  <c r="AL398" i="5"/>
  <c r="AN398" i="5"/>
  <c r="AA399" i="5"/>
  <c r="B393" i="4"/>
  <c r="P393" i="4"/>
  <c r="W399" i="5"/>
  <c r="O399" i="5"/>
  <c r="K399" i="5"/>
  <c r="AG399" i="5"/>
  <c r="AF399" i="5"/>
  <c r="C399" i="5"/>
  <c r="L399" i="5"/>
  <c r="N399" i="5"/>
  <c r="L393" i="4"/>
  <c r="Q399" i="5"/>
  <c r="U399" i="5"/>
  <c r="Q393" i="4"/>
  <c r="X399" i="5"/>
  <c r="R393" i="4"/>
  <c r="Z399" i="5"/>
  <c r="AC399" i="5"/>
  <c r="AD399" i="5"/>
  <c r="X393" i="4"/>
  <c r="AI399" i="5"/>
  <c r="Y393" i="4"/>
  <c r="AJ399" i="5"/>
  <c r="AL399" i="5"/>
  <c r="AN399" i="5"/>
  <c r="AA400" i="5"/>
  <c r="B394" i="4"/>
  <c r="P394" i="4"/>
  <c r="W400" i="5"/>
  <c r="O400" i="5"/>
  <c r="K400" i="5"/>
  <c r="AG400" i="5"/>
  <c r="AF400" i="5"/>
  <c r="C400" i="5"/>
  <c r="L400" i="5"/>
  <c r="N400" i="5"/>
  <c r="L394" i="4"/>
  <c r="Q400" i="5"/>
  <c r="U400" i="5"/>
  <c r="Q394" i="4"/>
  <c r="X400" i="5"/>
  <c r="R394" i="4"/>
  <c r="Z400" i="5"/>
  <c r="AC400" i="5"/>
  <c r="AD400" i="5"/>
  <c r="X394" i="4"/>
  <c r="AI400" i="5"/>
  <c r="Y394" i="4"/>
  <c r="AJ400" i="5"/>
  <c r="AL400" i="5"/>
  <c r="AN400" i="5"/>
  <c r="AA401" i="5"/>
  <c r="B395" i="4"/>
  <c r="P395" i="4"/>
  <c r="W401" i="5"/>
  <c r="O401" i="5"/>
  <c r="K401" i="5"/>
  <c r="AG401" i="5"/>
  <c r="AF401" i="5"/>
  <c r="C401" i="5"/>
  <c r="L401" i="5"/>
  <c r="N401" i="5"/>
  <c r="L395" i="4"/>
  <c r="Q401" i="5"/>
  <c r="U401" i="5"/>
  <c r="Q395" i="4"/>
  <c r="X401" i="5"/>
  <c r="R395" i="4"/>
  <c r="Z401" i="5"/>
  <c r="AC401" i="5"/>
  <c r="AD401" i="5"/>
  <c r="X395" i="4"/>
  <c r="AI401" i="5"/>
  <c r="Y395" i="4"/>
  <c r="AJ401" i="5"/>
  <c r="AL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AN402" i="5"/>
  <c r="AA403" i="5"/>
  <c r="B386" i="4"/>
  <c r="P386" i="4"/>
  <c r="W403" i="5"/>
  <c r="O403" i="5"/>
  <c r="K403" i="5"/>
  <c r="AG403" i="5"/>
  <c r="AF403" i="5"/>
  <c r="C403" i="5"/>
  <c r="L403" i="5"/>
  <c r="N403" i="5"/>
  <c r="L386" i="4"/>
  <c r="Q403" i="5"/>
  <c r="U403" i="5"/>
  <c r="Q386" i="4"/>
  <c r="X403" i="5"/>
  <c r="R386" i="4"/>
  <c r="Z403" i="5"/>
  <c r="AC403" i="5"/>
  <c r="AD403" i="5"/>
  <c r="X386" i="4"/>
  <c r="AI403" i="5"/>
  <c r="Y386" i="4"/>
  <c r="AJ403" i="5"/>
  <c r="AL403" i="5"/>
  <c r="AN403" i="5"/>
  <c r="AA404" i="5"/>
  <c r="B405" i="4"/>
  <c r="P405" i="4"/>
  <c r="W404" i="5"/>
  <c r="O404" i="5"/>
  <c r="K404" i="5"/>
  <c r="AG404" i="5"/>
  <c r="AF404" i="5"/>
  <c r="C404" i="5"/>
  <c r="L404" i="5"/>
  <c r="N404" i="5"/>
  <c r="L405" i="4"/>
  <c r="Q404" i="5"/>
  <c r="U404" i="5"/>
  <c r="Q405" i="4"/>
  <c r="X404" i="5"/>
  <c r="R405" i="4"/>
  <c r="Z404" i="5"/>
  <c r="AC404" i="5"/>
  <c r="AD404" i="5"/>
  <c r="X405" i="4"/>
  <c r="AI404" i="5"/>
  <c r="Y405" i="4"/>
  <c r="AJ404" i="5"/>
  <c r="AL404" i="5"/>
  <c r="AN404" i="5"/>
  <c r="AA405" i="5"/>
  <c r="B396" i="4"/>
  <c r="P396" i="4"/>
  <c r="W405" i="5"/>
  <c r="O405" i="5"/>
  <c r="K405" i="5"/>
  <c r="AG405" i="5"/>
  <c r="AF405" i="5"/>
  <c r="C405" i="5"/>
  <c r="L405" i="5"/>
  <c r="N405" i="5"/>
  <c r="L396" i="4"/>
  <c r="Q405" i="5"/>
  <c r="U405" i="5"/>
  <c r="Q396" i="4"/>
  <c r="X405" i="5"/>
  <c r="R396" i="4"/>
  <c r="Z405" i="5"/>
  <c r="AC405" i="5"/>
  <c r="AD405" i="5"/>
  <c r="X396" i="4"/>
  <c r="AI405" i="5"/>
  <c r="Y396" i="4"/>
  <c r="AJ405" i="5"/>
  <c r="AL405" i="5"/>
  <c r="AN405" i="5"/>
  <c r="AA406" i="5"/>
  <c r="B387" i="4"/>
  <c r="P387" i="4"/>
  <c r="W406" i="5"/>
  <c r="O406" i="5"/>
  <c r="K406" i="5"/>
  <c r="AG406" i="5"/>
  <c r="AF406" i="5"/>
  <c r="C406" i="5"/>
  <c r="L406" i="5"/>
  <c r="N406" i="5"/>
  <c r="L387" i="4"/>
  <c r="Q406" i="5"/>
  <c r="U406" i="5"/>
  <c r="Q387" i="4"/>
  <c r="X406" i="5"/>
  <c r="R387" i="4"/>
  <c r="Z406" i="5"/>
  <c r="AC406" i="5"/>
  <c r="AD406" i="5"/>
  <c r="X387" i="4"/>
  <c r="AI406" i="5"/>
  <c r="Y387" i="4"/>
  <c r="AJ406" i="5"/>
  <c r="AL406" i="5"/>
  <c r="AN406" i="5"/>
  <c r="AA407" i="5"/>
  <c r="B406" i="4"/>
  <c r="P406" i="4"/>
  <c r="W407" i="5"/>
  <c r="O407" i="5"/>
  <c r="K407" i="5"/>
  <c r="AG407" i="5"/>
  <c r="AF407" i="5"/>
  <c r="C407" i="5"/>
  <c r="L407" i="5"/>
  <c r="N407" i="5"/>
  <c r="L406" i="4"/>
  <c r="Q407" i="5"/>
  <c r="U407" i="5"/>
  <c r="Q406" i="4"/>
  <c r="X407" i="5"/>
  <c r="R25" i="2"/>
  <c r="R406" i="4"/>
  <c r="Z407" i="5"/>
  <c r="AC407" i="5"/>
  <c r="AD407" i="5"/>
  <c r="X406" i="4"/>
  <c r="AI407" i="5"/>
  <c r="Y406" i="4"/>
  <c r="AJ407" i="5"/>
  <c r="AL407" i="5"/>
  <c r="AN407" i="5"/>
  <c r="AA408" i="5"/>
  <c r="B407" i="4"/>
  <c r="P407" i="4"/>
  <c r="W408" i="5"/>
  <c r="O408" i="5"/>
  <c r="K408" i="5"/>
  <c r="AG408" i="5"/>
  <c r="AF408" i="5"/>
  <c r="C408" i="5"/>
  <c r="L408" i="5"/>
  <c r="N408" i="5"/>
  <c r="L407" i="4"/>
  <c r="Q408" i="5"/>
  <c r="U408" i="5"/>
  <c r="Q407" i="4"/>
  <c r="X408" i="5"/>
  <c r="R407" i="4"/>
  <c r="Z408" i="5"/>
  <c r="AC408" i="5"/>
  <c r="AD408" i="5"/>
  <c r="X407" i="4"/>
  <c r="AI408" i="5"/>
  <c r="Y407" i="4"/>
  <c r="AJ408" i="5"/>
  <c r="AL408" i="5"/>
  <c r="AN408" i="5"/>
  <c r="AA409" i="5"/>
  <c r="B408" i="4"/>
  <c r="P408" i="4"/>
  <c r="W409" i="5"/>
  <c r="O409" i="5"/>
  <c r="K409" i="5"/>
  <c r="AG409" i="5"/>
  <c r="AF409" i="5"/>
  <c r="C409" i="5"/>
  <c r="L409" i="5"/>
  <c r="N409" i="5"/>
  <c r="L408" i="4"/>
  <c r="Q409" i="5"/>
  <c r="U409" i="5"/>
  <c r="Q408" i="4"/>
  <c r="X409" i="5"/>
  <c r="R408" i="4"/>
  <c r="Z409" i="5"/>
  <c r="AC409" i="5"/>
  <c r="AD409" i="5"/>
  <c r="X408" i="4"/>
  <c r="AI409" i="5"/>
  <c r="Y408" i="4"/>
  <c r="AJ409" i="5"/>
  <c r="AL409" i="5"/>
  <c r="AN409" i="5"/>
  <c r="AG2" i="5"/>
  <c r="AF2" i="5"/>
  <c r="B137" i="4"/>
  <c r="C137" i="4"/>
  <c r="C2" i="5"/>
  <c r="D137" i="4"/>
  <c r="E2" i="5"/>
  <c r="K2" i="5"/>
  <c r="L137" i="4"/>
  <c r="Q2" i="5"/>
  <c r="M137" i="4"/>
  <c r="R2" i="5"/>
  <c r="T2" i="5"/>
  <c r="U2" i="5"/>
  <c r="P137" i="4"/>
  <c r="W2" i="5"/>
  <c r="Q137" i="4"/>
  <c r="X2" i="5"/>
  <c r="S137" i="4"/>
  <c r="AA2" i="5"/>
  <c r="AH137" i="4"/>
  <c r="T137" i="4" a="1"/>
  <c r="T137" i="4"/>
  <c r="AC2" i="5"/>
  <c r="U137" i="4" a="1"/>
  <c r="U137" i="4"/>
  <c r="AD2" i="5"/>
  <c r="X137" i="4"/>
  <c r="AI2" i="5"/>
  <c r="Y137" i="4"/>
  <c r="AJ2" i="5"/>
  <c r="Z137" i="4"/>
  <c r="AL2" i="5"/>
  <c r="F2" i="5"/>
  <c r="L2" i="5"/>
  <c r="N2" i="5"/>
  <c r="O2" i="5"/>
  <c r="AN2" i="5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40" i="1"/>
  <c r="BA40" i="1"/>
  <c r="BB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BC40" i="1"/>
  <c r="CT40" i="1"/>
  <c r="AZ39" i="1"/>
  <c r="BA39" i="1"/>
  <c r="BB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BC39" i="1"/>
  <c r="CT39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BB16" i="1"/>
  <c r="AZ16" i="1"/>
  <c r="BA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AZ115" i="1"/>
  <c r="BA115" i="1"/>
  <c r="BB115" i="1"/>
  <c r="CT115" i="1"/>
  <c r="AH302" i="4"/>
  <c r="AH307" i="4"/>
  <c r="A19" i="3"/>
  <c r="B19" i="3"/>
  <c r="C19" i="3"/>
  <c r="E19" i="3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M49" i="2"/>
  <c r="AL49" i="2"/>
  <c r="AK49" i="2"/>
  <c r="AJ49" i="2"/>
  <c r="AI49" i="2"/>
  <c r="AH49" i="2"/>
  <c r="AG49" i="2"/>
  <c r="AF49" i="2"/>
  <c r="AE49" i="2"/>
  <c r="H302" i="5"/>
  <c r="I302" i="5"/>
  <c r="AD49" i="2"/>
  <c r="F302" i="5"/>
  <c r="AC49" i="2"/>
  <c r="AB49" i="2"/>
  <c r="AA49" i="2"/>
  <c r="W49" i="2"/>
  <c r="S49" i="2"/>
  <c r="R49" i="2"/>
  <c r="K49" i="2"/>
  <c r="H49" i="2"/>
  <c r="G49" i="2"/>
  <c r="F49" i="2"/>
  <c r="E49" i="2"/>
  <c r="E47" i="2"/>
  <c r="E308" i="4"/>
  <c r="F47" i="2"/>
  <c r="F308" i="4"/>
  <c r="R47" i="2"/>
  <c r="R308" i="4"/>
  <c r="AA308" i="4"/>
  <c r="AB308" i="4"/>
  <c r="AC308" i="4"/>
  <c r="AD308" i="4"/>
  <c r="AE308" i="4"/>
  <c r="AF308" i="4"/>
  <c r="AG308" i="4"/>
  <c r="AH308" i="4"/>
  <c r="AI308" i="4"/>
  <c r="AK308" i="4"/>
  <c r="B302" i="5"/>
  <c r="Z302" i="5"/>
  <c r="AM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313" i="6"/>
  <c r="C313" i="6"/>
  <c r="D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D409" i="9"/>
  <c r="E409" i="9"/>
  <c r="F409" i="9"/>
  <c r="G409" i="9"/>
  <c r="C114" i="7"/>
  <c r="D114" i="7"/>
  <c r="E114" i="7"/>
  <c r="A29" i="3"/>
  <c r="B29" i="3"/>
  <c r="C29" i="3"/>
  <c r="U23" i="2"/>
  <c r="T23" i="2"/>
  <c r="E29" i="3"/>
  <c r="A18" i="3"/>
  <c r="B18" i="3"/>
  <c r="C18" i="3"/>
  <c r="E18" i="3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L73" i="5"/>
  <c r="AF20" i="2"/>
  <c r="AG20" i="2"/>
  <c r="AH20" i="2"/>
  <c r="AI20" i="2"/>
  <c r="AJ20" i="2"/>
  <c r="N73" i="5"/>
  <c r="O73" i="5"/>
  <c r="AK20" i="2"/>
  <c r="AL20" i="2"/>
  <c r="AM20" i="2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AZ44" i="1"/>
  <c r="BA44" i="1"/>
  <c r="BB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BC44" i="1"/>
  <c r="CT44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17" i="3"/>
  <c r="B17" i="3"/>
  <c r="C17" i="3"/>
  <c r="A6" i="3"/>
  <c r="A8" i="3"/>
  <c r="A9" i="3"/>
  <c r="A10" i="3"/>
  <c r="A11" i="3"/>
  <c r="A12" i="3"/>
  <c r="A13" i="3"/>
  <c r="A14" i="3"/>
  <c r="A15" i="3"/>
  <c r="A16" i="3"/>
  <c r="A20" i="3"/>
  <c r="A21" i="3"/>
  <c r="A22" i="3"/>
  <c r="A23" i="3"/>
  <c r="A24" i="3"/>
  <c r="A25" i="3"/>
  <c r="A26" i="3"/>
  <c r="A28" i="3"/>
  <c r="A30" i="3"/>
  <c r="A31" i="3"/>
  <c r="A32" i="3"/>
  <c r="A33" i="3"/>
  <c r="A34" i="3"/>
  <c r="A35" i="3"/>
  <c r="A36" i="3"/>
  <c r="A37" i="3"/>
  <c r="A38" i="3"/>
  <c r="A39" i="3"/>
  <c r="A40" i="3"/>
  <c r="A41" i="3"/>
  <c r="E17" i="3"/>
  <c r="E48" i="2"/>
  <c r="F48" i="2"/>
  <c r="G48" i="2"/>
  <c r="H48" i="2"/>
  <c r="K48" i="2"/>
  <c r="R48" i="2"/>
  <c r="S48" i="2"/>
  <c r="W48" i="2"/>
  <c r="AA48" i="2"/>
  <c r="AB48" i="2"/>
  <c r="F305" i="5"/>
  <c r="AC48" i="2"/>
  <c r="H305" i="5"/>
  <c r="I305" i="5"/>
  <c r="AD48" i="2"/>
  <c r="AE48" i="2"/>
  <c r="AF48" i="2"/>
  <c r="AG48" i="2"/>
  <c r="AH48" i="2"/>
  <c r="AI48" i="2"/>
  <c r="AJ48" i="2"/>
  <c r="AK48" i="2"/>
  <c r="AL48" i="2"/>
  <c r="AM48" i="2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E45" i="2"/>
  <c r="F45" i="2"/>
  <c r="G45" i="2"/>
  <c r="H45" i="2"/>
  <c r="K45" i="2"/>
  <c r="R45" i="2"/>
  <c r="S45" i="2"/>
  <c r="W45" i="2"/>
  <c r="AA45" i="2"/>
  <c r="AB45" i="2"/>
  <c r="F298" i="5"/>
  <c r="AC45" i="2"/>
  <c r="H298" i="5"/>
  <c r="I298" i="5"/>
  <c r="AD45" i="2"/>
  <c r="AE45" i="2"/>
  <c r="AF45" i="2"/>
  <c r="AG45" i="2"/>
  <c r="AH45" i="2"/>
  <c r="AI45" i="2"/>
  <c r="AJ45" i="2"/>
  <c r="AK45" i="2"/>
  <c r="AL45" i="2"/>
  <c r="AM45" i="2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L9" i="5"/>
  <c r="AF19" i="2"/>
  <c r="AG19" i="2"/>
  <c r="AH19" i="2"/>
  <c r="AI19" i="2"/>
  <c r="AJ19" i="2"/>
  <c r="N9" i="5"/>
  <c r="O9" i="5"/>
  <c r="AK19" i="2"/>
  <c r="AL19" i="2"/>
  <c r="AM19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Z9" i="5"/>
  <c r="L10" i="5"/>
  <c r="N10" i="5"/>
  <c r="O10" i="5"/>
  <c r="Z10" i="5"/>
  <c r="L11" i="5"/>
  <c r="N11" i="5"/>
  <c r="O11" i="5"/>
  <c r="Z11" i="5"/>
  <c r="E33" i="2"/>
  <c r="F33" i="2"/>
  <c r="I33" i="2"/>
  <c r="J33" i="2"/>
  <c r="R33" i="2"/>
  <c r="F16" i="5"/>
  <c r="H16" i="5"/>
  <c r="I16" i="5"/>
  <c r="F17" i="5"/>
  <c r="H17" i="5"/>
  <c r="I17" i="5"/>
  <c r="F18" i="5"/>
  <c r="H18" i="5"/>
  <c r="I18" i="5"/>
  <c r="F21" i="5"/>
  <c r="H21" i="5"/>
  <c r="I21" i="5"/>
  <c r="Z21" i="5"/>
  <c r="F22" i="5"/>
  <c r="H22" i="5"/>
  <c r="I22" i="5"/>
  <c r="Z22" i="5"/>
  <c r="F23" i="5"/>
  <c r="H23" i="5"/>
  <c r="I23" i="5"/>
  <c r="Z23" i="5"/>
  <c r="F24" i="5"/>
  <c r="H24" i="5"/>
  <c r="I24" i="5"/>
  <c r="Z24" i="5"/>
  <c r="F25" i="5"/>
  <c r="H25" i="5"/>
  <c r="I25" i="5"/>
  <c r="Z25" i="5"/>
  <c r="F26" i="5"/>
  <c r="H26" i="5"/>
  <c r="I26" i="5"/>
  <c r="Z26" i="5"/>
  <c r="Z27" i="5"/>
  <c r="Z28" i="5"/>
  <c r="F29" i="5"/>
  <c r="H29" i="5"/>
  <c r="I29" i="5"/>
  <c r="Z29" i="5"/>
  <c r="F30" i="5"/>
  <c r="H30" i="5"/>
  <c r="I30" i="5"/>
  <c r="Z30" i="5"/>
  <c r="F31" i="5"/>
  <c r="H31" i="5"/>
  <c r="I31" i="5"/>
  <c r="R14" i="2"/>
  <c r="F32" i="5"/>
  <c r="H32" i="5"/>
  <c r="I32" i="5"/>
  <c r="F33" i="5"/>
  <c r="H33" i="5"/>
  <c r="I33" i="5"/>
  <c r="Z35" i="5"/>
  <c r="F35" i="5"/>
  <c r="H35" i="5"/>
  <c r="I35" i="5"/>
  <c r="N35" i="5"/>
  <c r="O35" i="5"/>
  <c r="H34" i="2"/>
  <c r="Z36" i="5"/>
  <c r="F36" i="5"/>
  <c r="H36" i="5"/>
  <c r="I36" i="5"/>
  <c r="N36" i="5"/>
  <c r="O36" i="5"/>
  <c r="Z37" i="5"/>
  <c r="F37" i="5"/>
  <c r="H37" i="5"/>
  <c r="I37" i="5"/>
  <c r="N37" i="5"/>
  <c r="O37" i="5"/>
  <c r="Z260" i="5"/>
  <c r="F260" i="5"/>
  <c r="H260" i="5"/>
  <c r="I260" i="5"/>
  <c r="L260" i="5"/>
  <c r="N260" i="5"/>
  <c r="O260" i="5"/>
  <c r="R41" i="2"/>
  <c r="F291" i="5"/>
  <c r="H291" i="5"/>
  <c r="I291" i="5"/>
  <c r="L291" i="5"/>
  <c r="N291" i="5"/>
  <c r="O291" i="5"/>
  <c r="H2" i="5"/>
  <c r="I2" i="5"/>
  <c r="Z2" i="5"/>
  <c r="H3" i="5"/>
  <c r="I3" i="5"/>
  <c r="Z3" i="5"/>
  <c r="I29" i="2"/>
  <c r="J29" i="2"/>
  <c r="H4" i="5"/>
  <c r="I4" i="5"/>
  <c r="Z4" i="5"/>
  <c r="E17" i="2"/>
  <c r="F17" i="2"/>
  <c r="L5" i="5"/>
  <c r="N5" i="5"/>
  <c r="O5" i="5"/>
  <c r="Z5" i="5"/>
  <c r="L6" i="5"/>
  <c r="N6" i="5"/>
  <c r="O6" i="5"/>
  <c r="H6" i="5"/>
  <c r="I6" i="5"/>
  <c r="Z6" i="5"/>
  <c r="L7" i="5"/>
  <c r="N7" i="5"/>
  <c r="O7" i="5"/>
  <c r="H7" i="5"/>
  <c r="I7" i="5"/>
  <c r="Z7" i="5"/>
  <c r="L8" i="5"/>
  <c r="N8" i="5"/>
  <c r="O8" i="5"/>
  <c r="H8" i="5"/>
  <c r="I8" i="5"/>
  <c r="Z8" i="5"/>
  <c r="R52" i="2"/>
  <c r="F34" i="5"/>
  <c r="H34" i="5"/>
  <c r="I34" i="5"/>
  <c r="F38" i="5"/>
  <c r="H38" i="5"/>
  <c r="I38" i="5"/>
  <c r="L38" i="5"/>
  <c r="N38" i="5"/>
  <c r="O38" i="5"/>
  <c r="Z38" i="5"/>
  <c r="F39" i="5"/>
  <c r="H39" i="5"/>
  <c r="I39" i="5"/>
  <c r="L39" i="5"/>
  <c r="N39" i="5"/>
  <c r="O39" i="5"/>
  <c r="Z39" i="5"/>
  <c r="F40" i="5"/>
  <c r="H40" i="5"/>
  <c r="I40" i="5"/>
  <c r="L40" i="5"/>
  <c r="N40" i="5"/>
  <c r="O40" i="5"/>
  <c r="Z40" i="5"/>
  <c r="F41" i="5"/>
  <c r="H41" i="5"/>
  <c r="I41" i="5"/>
  <c r="L41" i="5"/>
  <c r="N41" i="5"/>
  <c r="O41" i="5"/>
  <c r="Z41" i="5"/>
  <c r="F42" i="5"/>
  <c r="H42" i="5"/>
  <c r="I42" i="5"/>
  <c r="L42" i="5"/>
  <c r="N42" i="5"/>
  <c r="O42" i="5"/>
  <c r="Z42" i="5"/>
  <c r="F43" i="5"/>
  <c r="H43" i="5"/>
  <c r="I43" i="5"/>
  <c r="L43" i="5"/>
  <c r="N43" i="5"/>
  <c r="O43" i="5"/>
  <c r="Z43" i="5"/>
  <c r="F44" i="5"/>
  <c r="H44" i="5"/>
  <c r="I44" i="5"/>
  <c r="L44" i="5"/>
  <c r="N44" i="5"/>
  <c r="O44" i="5"/>
  <c r="Z44" i="5"/>
  <c r="F45" i="5"/>
  <c r="H45" i="5"/>
  <c r="I45" i="5"/>
  <c r="L45" i="5"/>
  <c r="N45" i="5"/>
  <c r="O45" i="5"/>
  <c r="Z45" i="5"/>
  <c r="F46" i="5"/>
  <c r="H46" i="5"/>
  <c r="I46" i="5"/>
  <c r="L46" i="5"/>
  <c r="N46" i="5"/>
  <c r="O46" i="5"/>
  <c r="Z46" i="5"/>
  <c r="F47" i="5"/>
  <c r="H47" i="5"/>
  <c r="I47" i="5"/>
  <c r="L47" i="5"/>
  <c r="N47" i="5"/>
  <c r="O47" i="5"/>
  <c r="Z47" i="5"/>
  <c r="F48" i="5"/>
  <c r="H48" i="5"/>
  <c r="I48" i="5"/>
  <c r="L48" i="5"/>
  <c r="N48" i="5"/>
  <c r="O48" i="5"/>
  <c r="Z48" i="5"/>
  <c r="F49" i="5"/>
  <c r="H49" i="5"/>
  <c r="I49" i="5"/>
  <c r="L49" i="5"/>
  <c r="N49" i="5"/>
  <c r="O49" i="5"/>
  <c r="Z49" i="5"/>
  <c r="F50" i="5"/>
  <c r="H50" i="5"/>
  <c r="I50" i="5"/>
  <c r="N50" i="5"/>
  <c r="O50" i="5"/>
  <c r="Z50" i="5"/>
  <c r="F51" i="5"/>
  <c r="H51" i="5"/>
  <c r="I51" i="5"/>
  <c r="N51" i="5"/>
  <c r="O51" i="5"/>
  <c r="Z51" i="5"/>
  <c r="F52" i="5"/>
  <c r="H52" i="5"/>
  <c r="I52" i="5"/>
  <c r="N52" i="5"/>
  <c r="O52" i="5"/>
  <c r="Z52" i="5"/>
  <c r="F53" i="5"/>
  <c r="H53" i="5"/>
  <c r="I53" i="5"/>
  <c r="N53" i="5"/>
  <c r="O53" i="5"/>
  <c r="Z53" i="5"/>
  <c r="S46" i="2"/>
  <c r="F54" i="5"/>
  <c r="H54" i="5"/>
  <c r="I54" i="5"/>
  <c r="Z54" i="5"/>
  <c r="F55" i="5"/>
  <c r="H55" i="5"/>
  <c r="I55" i="5"/>
  <c r="Z55" i="5"/>
  <c r="F56" i="5"/>
  <c r="H56" i="5"/>
  <c r="I56" i="5"/>
  <c r="Z56" i="5"/>
  <c r="F57" i="5"/>
  <c r="H57" i="5"/>
  <c r="I57" i="5"/>
  <c r="Z57" i="5"/>
  <c r="F58" i="5"/>
  <c r="H58" i="5"/>
  <c r="I58" i="5"/>
  <c r="Z58" i="5"/>
  <c r="F59" i="5"/>
  <c r="H59" i="5"/>
  <c r="I59" i="5"/>
  <c r="Z59" i="5"/>
  <c r="F60" i="5"/>
  <c r="H60" i="5"/>
  <c r="I60" i="5"/>
  <c r="Z60" i="5"/>
  <c r="R12" i="2"/>
  <c r="R11" i="2"/>
  <c r="F61" i="5"/>
  <c r="H61" i="5"/>
  <c r="I61" i="5"/>
  <c r="F62" i="5"/>
  <c r="H62" i="5"/>
  <c r="I62" i="5"/>
  <c r="L62" i="5"/>
  <c r="N62" i="5"/>
  <c r="O62" i="5"/>
  <c r="Z62" i="5"/>
  <c r="F63" i="5"/>
  <c r="H63" i="5"/>
  <c r="I63" i="5"/>
  <c r="L63" i="5"/>
  <c r="N63" i="5"/>
  <c r="O63" i="5"/>
  <c r="Z63" i="5"/>
  <c r="F64" i="5"/>
  <c r="H64" i="5"/>
  <c r="I64" i="5"/>
  <c r="L64" i="5"/>
  <c r="N64" i="5"/>
  <c r="O64" i="5"/>
  <c r="Z64" i="5"/>
  <c r="F65" i="5"/>
  <c r="H65" i="5"/>
  <c r="I65" i="5"/>
  <c r="L65" i="5"/>
  <c r="N65" i="5"/>
  <c r="O65" i="5"/>
  <c r="Z65" i="5"/>
  <c r="F66" i="5"/>
  <c r="H66" i="5"/>
  <c r="I66" i="5"/>
  <c r="L66" i="5"/>
  <c r="N66" i="5"/>
  <c r="O66" i="5"/>
  <c r="Z66" i="5"/>
  <c r="F67" i="5"/>
  <c r="H67" i="5"/>
  <c r="I67" i="5"/>
  <c r="L67" i="5"/>
  <c r="N67" i="5"/>
  <c r="O67" i="5"/>
  <c r="Z67" i="5"/>
  <c r="F68" i="5"/>
  <c r="H68" i="5"/>
  <c r="I68" i="5"/>
  <c r="L68" i="5"/>
  <c r="N68" i="5"/>
  <c r="O68" i="5"/>
  <c r="Z68" i="5"/>
  <c r="F69" i="5"/>
  <c r="H69" i="5"/>
  <c r="I69" i="5"/>
  <c r="Z69" i="5"/>
  <c r="N14" i="2"/>
  <c r="F70" i="5"/>
  <c r="H70" i="5"/>
  <c r="I70" i="5"/>
  <c r="L70" i="5"/>
  <c r="N70" i="5"/>
  <c r="O70" i="5"/>
  <c r="Z70" i="5"/>
  <c r="F71" i="5"/>
  <c r="H71" i="5"/>
  <c r="I71" i="5"/>
  <c r="L71" i="5"/>
  <c r="N71" i="5"/>
  <c r="O71" i="5"/>
  <c r="Z71" i="5"/>
  <c r="F72" i="5"/>
  <c r="H72" i="5"/>
  <c r="I72" i="5"/>
  <c r="L72" i="5"/>
  <c r="N72" i="5"/>
  <c r="O72" i="5"/>
  <c r="Z72" i="5"/>
  <c r="Z73" i="5"/>
  <c r="H74" i="5"/>
  <c r="I74" i="5"/>
  <c r="L74" i="5"/>
  <c r="N74" i="5"/>
  <c r="O74" i="5"/>
  <c r="Z74" i="5"/>
  <c r="H23" i="2"/>
  <c r="H75" i="5"/>
  <c r="I75" i="5"/>
  <c r="L75" i="5"/>
  <c r="N75" i="5"/>
  <c r="O75" i="5"/>
  <c r="Z75" i="5"/>
  <c r="H76" i="5"/>
  <c r="I76" i="5"/>
  <c r="L76" i="5"/>
  <c r="N76" i="5"/>
  <c r="O76" i="5"/>
  <c r="Z76" i="5"/>
  <c r="L77" i="5"/>
  <c r="N77" i="5"/>
  <c r="O77" i="5"/>
  <c r="Z77" i="5"/>
  <c r="L78" i="5"/>
  <c r="N78" i="5"/>
  <c r="O78" i="5"/>
  <c r="Z78" i="5"/>
  <c r="L79" i="5"/>
  <c r="N79" i="5"/>
  <c r="O79" i="5"/>
  <c r="Z79" i="5"/>
  <c r="F80" i="5"/>
  <c r="H80" i="5"/>
  <c r="I80" i="5"/>
  <c r="L80" i="5"/>
  <c r="N80" i="5"/>
  <c r="O80" i="5"/>
  <c r="Z80" i="5"/>
  <c r="F81" i="5"/>
  <c r="H81" i="5"/>
  <c r="I81" i="5"/>
  <c r="L81" i="5"/>
  <c r="N81" i="5"/>
  <c r="O81" i="5"/>
  <c r="Z81" i="5"/>
  <c r="F82" i="5"/>
  <c r="H82" i="5"/>
  <c r="I82" i="5"/>
  <c r="L82" i="5"/>
  <c r="N82" i="5"/>
  <c r="O82" i="5"/>
  <c r="Z82" i="5"/>
  <c r="F83" i="5"/>
  <c r="H83" i="5"/>
  <c r="I83" i="5"/>
  <c r="L83" i="5"/>
  <c r="N83" i="5"/>
  <c r="O83" i="5"/>
  <c r="Z83" i="5"/>
  <c r="F84" i="5"/>
  <c r="H84" i="5"/>
  <c r="I84" i="5"/>
  <c r="L84" i="5"/>
  <c r="N84" i="5"/>
  <c r="O84" i="5"/>
  <c r="Z84" i="5"/>
  <c r="F85" i="5"/>
  <c r="H85" i="5"/>
  <c r="I85" i="5"/>
  <c r="L85" i="5"/>
  <c r="N85" i="5"/>
  <c r="O85" i="5"/>
  <c r="Z85" i="5"/>
  <c r="F86" i="5"/>
  <c r="H86" i="5"/>
  <c r="I86" i="5"/>
  <c r="L86" i="5"/>
  <c r="N86" i="5"/>
  <c r="O86" i="5"/>
  <c r="Z86" i="5"/>
  <c r="L87" i="5"/>
  <c r="N87" i="5"/>
  <c r="O87" i="5"/>
  <c r="Z87" i="5"/>
  <c r="L88" i="5"/>
  <c r="N88" i="5"/>
  <c r="O88" i="5"/>
  <c r="Z88" i="5"/>
  <c r="L89" i="5"/>
  <c r="N89" i="5"/>
  <c r="O89" i="5"/>
  <c r="Z89" i="5"/>
  <c r="K30" i="2"/>
  <c r="G30" i="2"/>
  <c r="V30" i="2"/>
  <c r="W30" i="2"/>
  <c r="F90" i="5"/>
  <c r="H90" i="5"/>
  <c r="F91" i="5"/>
  <c r="H91" i="5"/>
  <c r="I91" i="5"/>
  <c r="F92" i="5"/>
  <c r="H92" i="5"/>
  <c r="I92" i="5"/>
  <c r="Z92" i="5"/>
  <c r="F93" i="5"/>
  <c r="H93" i="5"/>
  <c r="I93" i="5"/>
  <c r="L93" i="5"/>
  <c r="N93" i="5"/>
  <c r="O93" i="5"/>
  <c r="Z93" i="5"/>
  <c r="F94" i="5"/>
  <c r="H94" i="5"/>
  <c r="I94" i="5"/>
  <c r="L94" i="5"/>
  <c r="N94" i="5"/>
  <c r="O94" i="5"/>
  <c r="Z94" i="5"/>
  <c r="F95" i="5"/>
  <c r="H95" i="5"/>
  <c r="I95" i="5"/>
  <c r="L95" i="5"/>
  <c r="N95" i="5"/>
  <c r="O95" i="5"/>
  <c r="Z95" i="5"/>
  <c r="F96" i="5"/>
  <c r="H96" i="5"/>
  <c r="I96" i="5"/>
  <c r="L96" i="5"/>
  <c r="N96" i="5"/>
  <c r="O96" i="5"/>
  <c r="Z96" i="5"/>
  <c r="F97" i="5"/>
  <c r="H97" i="5"/>
  <c r="I97" i="5"/>
  <c r="L97" i="5"/>
  <c r="N97" i="5"/>
  <c r="O97" i="5"/>
  <c r="Z97" i="5"/>
  <c r="F98" i="5"/>
  <c r="H98" i="5"/>
  <c r="I98" i="5"/>
  <c r="L98" i="5"/>
  <c r="N98" i="5"/>
  <c r="O98" i="5"/>
  <c r="Z98" i="5"/>
  <c r="F99" i="5"/>
  <c r="I99" i="5"/>
  <c r="L99" i="5"/>
  <c r="N99" i="5"/>
  <c r="O99" i="5"/>
  <c r="Z99" i="5"/>
  <c r="F100" i="5"/>
  <c r="I100" i="5"/>
  <c r="L100" i="5"/>
  <c r="N100" i="5"/>
  <c r="O100" i="5"/>
  <c r="Z100" i="5"/>
  <c r="F101" i="5"/>
  <c r="Z101" i="5"/>
  <c r="E25" i="2"/>
  <c r="F25" i="2"/>
  <c r="L102" i="5"/>
  <c r="N102" i="5"/>
  <c r="O102" i="5"/>
  <c r="Z102" i="5"/>
  <c r="H47" i="2"/>
  <c r="S47" i="2"/>
  <c r="L103" i="5"/>
  <c r="N103" i="5"/>
  <c r="O103" i="5"/>
  <c r="Z103" i="5"/>
  <c r="L104" i="5"/>
  <c r="N104" i="5"/>
  <c r="O104" i="5"/>
  <c r="Z104" i="5"/>
  <c r="L105" i="5"/>
  <c r="N105" i="5"/>
  <c r="O105" i="5"/>
  <c r="Z105" i="5"/>
  <c r="L106" i="5"/>
  <c r="N106" i="5"/>
  <c r="O106" i="5"/>
  <c r="Z106" i="5"/>
  <c r="L107" i="5"/>
  <c r="N107" i="5"/>
  <c r="O107" i="5"/>
  <c r="Z107" i="5"/>
  <c r="L108" i="5"/>
  <c r="N108" i="5"/>
  <c r="O108" i="5"/>
  <c r="Z108" i="5"/>
  <c r="L109" i="5"/>
  <c r="N109" i="5"/>
  <c r="O109" i="5"/>
  <c r="Z109" i="5"/>
  <c r="L110" i="5"/>
  <c r="N110" i="5"/>
  <c r="O110" i="5"/>
  <c r="Z110" i="5"/>
  <c r="H111" i="5"/>
  <c r="I111" i="5"/>
  <c r="L111" i="5"/>
  <c r="N111" i="5"/>
  <c r="O111" i="5"/>
  <c r="Z111" i="5"/>
  <c r="H112" i="5"/>
  <c r="I112" i="5"/>
  <c r="L112" i="5"/>
  <c r="N112" i="5"/>
  <c r="O112" i="5"/>
  <c r="Z112" i="5"/>
  <c r="H113" i="5"/>
  <c r="I113" i="5"/>
  <c r="L113" i="5"/>
  <c r="N113" i="5"/>
  <c r="O113" i="5"/>
  <c r="Z113" i="5"/>
  <c r="H114" i="5"/>
  <c r="I114" i="5"/>
  <c r="L114" i="5"/>
  <c r="N114" i="5"/>
  <c r="O114" i="5"/>
  <c r="Z114" i="5"/>
  <c r="H115" i="5"/>
  <c r="I115" i="5"/>
  <c r="L115" i="5"/>
  <c r="N115" i="5"/>
  <c r="O115" i="5"/>
  <c r="Z115" i="5"/>
  <c r="Z116" i="5"/>
  <c r="L117" i="5"/>
  <c r="N117" i="5"/>
  <c r="O117" i="5"/>
  <c r="Z117" i="5"/>
  <c r="R16" i="2"/>
  <c r="L118" i="5"/>
  <c r="N118" i="5"/>
  <c r="O118" i="5"/>
  <c r="L119" i="5"/>
  <c r="N119" i="5"/>
  <c r="O119" i="5"/>
  <c r="Z119" i="5"/>
  <c r="H120" i="5"/>
  <c r="I120" i="5"/>
  <c r="L120" i="5"/>
  <c r="N120" i="5"/>
  <c r="O120" i="5"/>
  <c r="Z120" i="5"/>
  <c r="H121" i="5"/>
  <c r="I121" i="5"/>
  <c r="L121" i="5"/>
  <c r="N121" i="5"/>
  <c r="O121" i="5"/>
  <c r="Z121" i="5"/>
  <c r="H122" i="5"/>
  <c r="I122" i="5"/>
  <c r="L122" i="5"/>
  <c r="N122" i="5"/>
  <c r="O122" i="5"/>
  <c r="Z122" i="5"/>
  <c r="Z123" i="5"/>
  <c r="H124" i="5"/>
  <c r="I124" i="5"/>
  <c r="L124" i="5"/>
  <c r="N124" i="5"/>
  <c r="O124" i="5"/>
  <c r="Z124" i="5"/>
  <c r="H125" i="5"/>
  <c r="I125" i="5"/>
  <c r="L125" i="5"/>
  <c r="N125" i="5"/>
  <c r="O125" i="5"/>
  <c r="Z125" i="5"/>
  <c r="H126" i="5"/>
  <c r="I126" i="5"/>
  <c r="L126" i="5"/>
  <c r="N126" i="5"/>
  <c r="O126" i="5"/>
  <c r="Z126" i="5"/>
  <c r="H127" i="5"/>
  <c r="I127" i="5"/>
  <c r="L127" i="5"/>
  <c r="N127" i="5"/>
  <c r="O127" i="5"/>
  <c r="Z127" i="5"/>
  <c r="L128" i="5"/>
  <c r="N128" i="5"/>
  <c r="O128" i="5"/>
  <c r="Z128" i="5"/>
  <c r="L129" i="5"/>
  <c r="N129" i="5"/>
  <c r="O129" i="5"/>
  <c r="L130" i="5"/>
  <c r="N130" i="5"/>
  <c r="O130" i="5"/>
  <c r="L131" i="5"/>
  <c r="N131" i="5"/>
  <c r="O131" i="5"/>
  <c r="L132" i="5"/>
  <c r="N132" i="5"/>
  <c r="O132" i="5"/>
  <c r="AG4" i="4"/>
  <c r="AG3" i="4"/>
  <c r="AG2" i="4"/>
  <c r="AG181" i="4"/>
  <c r="AG11" i="4"/>
  <c r="AG9" i="4"/>
  <c r="AG176" i="4"/>
  <c r="AG255" i="4"/>
  <c r="AG10" i="4"/>
  <c r="AG179" i="4"/>
  <c r="AG223" i="4"/>
  <c r="AG224" i="4"/>
  <c r="AG277" i="4"/>
  <c r="AG59" i="4"/>
  <c r="AG117" i="4"/>
  <c r="AG145" i="4"/>
  <c r="AG156" i="4"/>
  <c r="AG147" i="4"/>
  <c r="AG122" i="4"/>
  <c r="AG93" i="4"/>
  <c r="AG30" i="4"/>
  <c r="AG31" i="4"/>
  <c r="AG20" i="4"/>
  <c r="AG29" i="4"/>
  <c r="AG24" i="4"/>
  <c r="AG27" i="4"/>
  <c r="AG39" i="4"/>
  <c r="AG35" i="4"/>
  <c r="AG26" i="4"/>
  <c r="AG21" i="4"/>
  <c r="AG22" i="4"/>
  <c r="AG40" i="4"/>
  <c r="AG41" i="4"/>
  <c r="AG42" i="4"/>
  <c r="AG28" i="4"/>
  <c r="AG33" i="4"/>
  <c r="AG32" i="4"/>
  <c r="AG129" i="4"/>
  <c r="AG130" i="4"/>
  <c r="AG131" i="4"/>
  <c r="AG225" i="4"/>
  <c r="AG51" i="4"/>
  <c r="AG180" i="4"/>
  <c r="AG38" i="4"/>
  <c r="AG23" i="4"/>
  <c r="AG25" i="4"/>
  <c r="AG34" i="4"/>
  <c r="AG116" i="4"/>
  <c r="AG48" i="4"/>
  <c r="AG61" i="4"/>
  <c r="AG128" i="4"/>
  <c r="AG160" i="4"/>
  <c r="AG289" i="4"/>
  <c r="AG153" i="4"/>
  <c r="AG231" i="4"/>
  <c r="AG288" i="4"/>
  <c r="AG126" i="4"/>
  <c r="AG290" i="4"/>
  <c r="AG287" i="4"/>
  <c r="AG291" i="4"/>
  <c r="AG294" i="4"/>
  <c r="AG198" i="4"/>
  <c r="AG60" i="4"/>
  <c r="AG127" i="4"/>
  <c r="AG209" i="4"/>
  <c r="AG57" i="4"/>
  <c r="AG212" i="4"/>
  <c r="AG149" i="4"/>
  <c r="AG159" i="4"/>
  <c r="AG170" i="4"/>
  <c r="AG171" i="4"/>
  <c r="AG210" i="4"/>
  <c r="AG217" i="4"/>
  <c r="AG227" i="4"/>
  <c r="AG140" i="4"/>
  <c r="AG221" i="4"/>
  <c r="AG251" i="4"/>
  <c r="AG120" i="4"/>
  <c r="AG169" i="4"/>
  <c r="AG144" i="4"/>
  <c r="AG216" i="4"/>
  <c r="AG75" i="4"/>
  <c r="AG37" i="4"/>
  <c r="AG111" i="4"/>
  <c r="AG110" i="4"/>
  <c r="AG142" i="4"/>
  <c r="AG250" i="4"/>
  <c r="AG49" i="4"/>
  <c r="AG70" i="4"/>
  <c r="AG84" i="4"/>
  <c r="AG58" i="4"/>
  <c r="AG56" i="4"/>
  <c r="AG50" i="4"/>
  <c r="AG214" i="4"/>
  <c r="AG155" i="4"/>
  <c r="AG14" i="4"/>
  <c r="AG15" i="4"/>
  <c r="AG222" i="4"/>
  <c r="AG114" i="4"/>
  <c r="AG148" i="4"/>
  <c r="AG12" i="4"/>
  <c r="AG121" i="4"/>
  <c r="AG228" i="4"/>
  <c r="AG167" i="4"/>
  <c r="AG7" i="4"/>
  <c r="AG282" i="4"/>
  <c r="AG112" i="4"/>
  <c r="AG83" i="4"/>
  <c r="AG132" i="4"/>
  <c r="AG85" i="4"/>
  <c r="AG213" i="4"/>
  <c r="AG215" i="4"/>
  <c r="AG218" i="4"/>
  <c r="AG220" i="4"/>
  <c r="AG219" i="4"/>
  <c r="AG276" i="4"/>
  <c r="AG113" i="4"/>
  <c r="AG64" i="4"/>
  <c r="AG65" i="4"/>
  <c r="AG82" i="4"/>
  <c r="AG63" i="4"/>
  <c r="AG273" i="4"/>
  <c r="AG66" i="4"/>
  <c r="AG68" i="4"/>
  <c r="AG79" i="4"/>
  <c r="AG67" i="4"/>
  <c r="AG80" i="4"/>
  <c r="AG69" i="4"/>
  <c r="AG62" i="4"/>
  <c r="AG177" i="4"/>
  <c r="AG141" i="4"/>
  <c r="AG146" i="4"/>
  <c r="AG157" i="4"/>
  <c r="AG76" i="4"/>
  <c r="AG77" i="4"/>
  <c r="AG293" i="4"/>
  <c r="AG292" i="4"/>
  <c r="AG133" i="4"/>
  <c r="AG203" i="4"/>
  <c r="AG204" i="4"/>
  <c r="AG202" i="4"/>
  <c r="AG206" i="4"/>
  <c r="AG205" i="4"/>
  <c r="AG194" i="4"/>
  <c r="AG185" i="4"/>
  <c r="AG124" i="4"/>
  <c r="AG125" i="4"/>
  <c r="AG158" i="4"/>
  <c r="AG183" i="4"/>
  <c r="AG278" i="4"/>
  <c r="AG136" i="4"/>
  <c r="AG182" i="4"/>
  <c r="AG134" i="4"/>
  <c r="AG81" i="4"/>
  <c r="AG184" i="4"/>
  <c r="AG195" i="4"/>
  <c r="AG275" i="4"/>
  <c r="AG18" i="4"/>
  <c r="AG173" i="4"/>
  <c r="AG257" i="4"/>
  <c r="AG186" i="4"/>
  <c r="AG188" i="4"/>
  <c r="AG193" i="4"/>
  <c r="AG197" i="4"/>
  <c r="AG267" i="4"/>
  <c r="AG268" i="4"/>
  <c r="AG233" i="4"/>
  <c r="AG235" i="4"/>
  <c r="AG19" i="4"/>
  <c r="AG284" i="4"/>
  <c r="AG53" i="4"/>
  <c r="AG54" i="4"/>
  <c r="AG55" i="4"/>
  <c r="AG199" i="4"/>
  <c r="AG201" i="4"/>
  <c r="AG187" i="4"/>
  <c r="AG150" i="4"/>
  <c r="AG165" i="4"/>
  <c r="AG259" i="4"/>
  <c r="AG280" i="4"/>
  <c r="AG16" i="4"/>
  <c r="AG281" i="4"/>
  <c r="AG168" i="4"/>
  <c r="AG189" i="4"/>
  <c r="AG6" i="4"/>
  <c r="AG178" i="4"/>
  <c r="AG295" i="4"/>
  <c r="AG115" i="4"/>
  <c r="AG190" i="4"/>
  <c r="AG8" i="4"/>
  <c r="AG5" i="4"/>
  <c r="AG285" i="4"/>
  <c r="AG261" i="4"/>
  <c r="AG191" i="4"/>
  <c r="AG74" i="4"/>
  <c r="AG283" i="4"/>
  <c r="AG17" i="4"/>
  <c r="AG44" i="4"/>
  <c r="AG137" i="4"/>
  <c r="AG296" i="4"/>
  <c r="AG234" i="4"/>
  <c r="AG230" i="4"/>
  <c r="AG175" i="4"/>
  <c r="AG229" i="4"/>
  <c r="AG78" i="4"/>
  <c r="AG13" i="4"/>
  <c r="AG236" i="4"/>
  <c r="AG238" i="4"/>
  <c r="AG237" i="4"/>
  <c r="AG232" i="4"/>
  <c r="AG200" i="4"/>
  <c r="AG258" i="4"/>
  <c r="AG269" i="4"/>
  <c r="AG139" i="4"/>
  <c r="AG151" i="4"/>
  <c r="AG252" i="4"/>
  <c r="AG260" i="4"/>
  <c r="AG162" i="4"/>
  <c r="AG254" i="4"/>
  <c r="AG262" i="4"/>
  <c r="AG192" i="4"/>
  <c r="AG36" i="4"/>
  <c r="AG286" i="4"/>
  <c r="AG256" i="4"/>
  <c r="AG242" i="4"/>
  <c r="AG91" i="4"/>
  <c r="AG264" i="4"/>
  <c r="AG274" i="4"/>
  <c r="AG43" i="4"/>
  <c r="AG270" i="4"/>
  <c r="AG164" i="4"/>
  <c r="AG154" i="4"/>
  <c r="AG46" i="4"/>
  <c r="AG265" i="4"/>
  <c r="AG163" i="4"/>
  <c r="AG161" i="4"/>
  <c r="AG47" i="4"/>
  <c r="AG271" i="4"/>
  <c r="AG108" i="4"/>
  <c r="AG240" i="4"/>
  <c r="AG239" i="4"/>
  <c r="AG211" i="4"/>
  <c r="AG45" i="4"/>
  <c r="AG263" i="4"/>
  <c r="AG92" i="4"/>
  <c r="AG208" i="4"/>
  <c r="AG143" i="4"/>
  <c r="AG241" i="4"/>
  <c r="AG107" i="4"/>
  <c r="AG207" i="4"/>
  <c r="AG246" i="4"/>
  <c r="AG226" i="4"/>
  <c r="AG100" i="4"/>
  <c r="AG247" i="4"/>
  <c r="AG109" i="4"/>
  <c r="AG243" i="4"/>
  <c r="AG101" i="4"/>
  <c r="AG266" i="4"/>
  <c r="AG71" i="4"/>
  <c r="AG279" i="4"/>
  <c r="AG102" i="4"/>
  <c r="AG166" i="4"/>
  <c r="AG245" i="4"/>
  <c r="AG106" i="4"/>
  <c r="AG152" i="4"/>
  <c r="AG88" i="4"/>
  <c r="AG119" i="4"/>
  <c r="AG87" i="4"/>
  <c r="AG244" i="4"/>
  <c r="AG272" i="4"/>
  <c r="AG89" i="4"/>
  <c r="AG297" i="4"/>
  <c r="AG90" i="4"/>
  <c r="AG135" i="4"/>
  <c r="AG253" i="4"/>
  <c r="AG52" i="4"/>
  <c r="AG248" i="4"/>
  <c r="AG86" i="4"/>
  <c r="AG196" i="4"/>
  <c r="AG174" i="4"/>
  <c r="AG105" i="4"/>
  <c r="AG94" i="4"/>
  <c r="AG103" i="4"/>
  <c r="AG123" i="4"/>
  <c r="AG104" i="4"/>
  <c r="AG95" i="4"/>
  <c r="AG98" i="4"/>
  <c r="AG138" i="4"/>
  <c r="AG172" i="4"/>
  <c r="AG99" i="4"/>
  <c r="AG97" i="4"/>
  <c r="AG96" i="4"/>
  <c r="AG298" i="4"/>
  <c r="AG299" i="4"/>
  <c r="AG300" i="4"/>
  <c r="AG301" i="4"/>
  <c r="AG307" i="4"/>
  <c r="AG309" i="4"/>
  <c r="AG310" i="4"/>
  <c r="AG311" i="4"/>
  <c r="AG302" i="4"/>
  <c r="AG303" i="4"/>
  <c r="AG304" i="4"/>
  <c r="AG305" i="4"/>
  <c r="AG306" i="4"/>
  <c r="AG312" i="4"/>
  <c r="AG313" i="4"/>
  <c r="AG333" i="4"/>
  <c r="AG329" i="4"/>
  <c r="AG327" i="4"/>
  <c r="AG328" i="4"/>
  <c r="AG339" i="4"/>
  <c r="AG340" i="4"/>
  <c r="AG326" i="4"/>
  <c r="AG336" i="4"/>
  <c r="AG334" i="4"/>
  <c r="AG337" i="4"/>
  <c r="AG344" i="4"/>
  <c r="AG346" i="4"/>
  <c r="AG316" i="4"/>
  <c r="AG322" i="4"/>
  <c r="AG323" i="4"/>
  <c r="AG324" i="4"/>
  <c r="AG325" i="4"/>
  <c r="AG318" i="4"/>
  <c r="AG319" i="4"/>
  <c r="AG320" i="4"/>
  <c r="AG321" i="4"/>
  <c r="AG341" i="4"/>
  <c r="AG342" i="4"/>
  <c r="AG345" i="4"/>
  <c r="AG338" i="4"/>
  <c r="AG335" i="4"/>
  <c r="AG343" i="4"/>
  <c r="AG317" i="4"/>
  <c r="AG314" i="4"/>
  <c r="AG315" i="4"/>
  <c r="AG332" i="4"/>
  <c r="AG330" i="4"/>
  <c r="AG331" i="4"/>
  <c r="AG353" i="4"/>
  <c r="AG354" i="4"/>
  <c r="AG348" i="4"/>
  <c r="AG349" i="4"/>
  <c r="AG363" i="4"/>
  <c r="AG364" i="4"/>
  <c r="AG365" i="4"/>
  <c r="AG358" i="4"/>
  <c r="AG347" i="4"/>
  <c r="AG355" i="4"/>
  <c r="AG356" i="4"/>
  <c r="AG357" i="4"/>
  <c r="AG359" i="4"/>
  <c r="AG360" i="4"/>
  <c r="AG361" i="4"/>
  <c r="AG367" i="4"/>
  <c r="AG368" i="4"/>
  <c r="AG350" i="4"/>
  <c r="AG351" i="4"/>
  <c r="AG352" i="4"/>
  <c r="AG362" i="4"/>
  <c r="AG366" i="4"/>
  <c r="AG369" i="4"/>
  <c r="AG370" i="4"/>
  <c r="AG371" i="4"/>
  <c r="AG372" i="4"/>
  <c r="AG373" i="4"/>
  <c r="AG374" i="4"/>
  <c r="AG375" i="4"/>
  <c r="AG377" i="4"/>
  <c r="AG378" i="4"/>
  <c r="AG376" i="4"/>
  <c r="AG379" i="4"/>
  <c r="AG383" i="4"/>
  <c r="AG382" i="4"/>
  <c r="AG381" i="4"/>
  <c r="AG380" i="4"/>
  <c r="AG384" i="4"/>
  <c r="AG385" i="4"/>
  <c r="AG399" i="4"/>
  <c r="AG404" i="4"/>
  <c r="AG398" i="4"/>
  <c r="AG396" i="4"/>
  <c r="AG400" i="4"/>
  <c r="AG388" i="4"/>
  <c r="AG389" i="4"/>
  <c r="AG390" i="4"/>
  <c r="AG391" i="4"/>
  <c r="AG392" i="4"/>
  <c r="AG394" i="4"/>
  <c r="AG395" i="4"/>
  <c r="AG402" i="4"/>
  <c r="AG403" i="4"/>
  <c r="AG405" i="4"/>
  <c r="AG406" i="4"/>
  <c r="AG407" i="4"/>
  <c r="AG408" i="4"/>
  <c r="AG409" i="4"/>
  <c r="AG401" i="4"/>
  <c r="AG386" i="4"/>
  <c r="AG397" i="4"/>
  <c r="AG387" i="4"/>
  <c r="AG393" i="4"/>
  <c r="AG118" i="4"/>
  <c r="F134" i="5"/>
  <c r="H134" i="5"/>
  <c r="I134" i="5"/>
  <c r="F135" i="5"/>
  <c r="H135" i="5"/>
  <c r="I135" i="5"/>
  <c r="F136" i="5"/>
  <c r="H136" i="5"/>
  <c r="I136" i="5"/>
  <c r="F137" i="5"/>
  <c r="H137" i="5"/>
  <c r="I137" i="5"/>
  <c r="F138" i="5"/>
  <c r="H138" i="5"/>
  <c r="I138" i="5"/>
  <c r="Z138" i="5"/>
  <c r="Z139" i="5"/>
  <c r="Z140" i="5"/>
  <c r="Z141" i="5"/>
  <c r="Z142" i="5"/>
  <c r="Z143" i="5"/>
  <c r="Z144" i="5"/>
  <c r="Z145" i="5"/>
  <c r="Z146" i="5"/>
  <c r="Z147" i="5"/>
  <c r="E3" i="2"/>
  <c r="F3" i="2"/>
  <c r="Z148" i="5"/>
  <c r="E31" i="2"/>
  <c r="F31" i="2"/>
  <c r="R31" i="2"/>
  <c r="L157" i="5"/>
  <c r="N157" i="5"/>
  <c r="O157" i="5"/>
  <c r="Z157" i="5"/>
  <c r="L158" i="5"/>
  <c r="N158" i="5"/>
  <c r="O158" i="5"/>
  <c r="Z158" i="5"/>
  <c r="L159" i="5"/>
  <c r="N159" i="5"/>
  <c r="O159" i="5"/>
  <c r="Z159" i="5"/>
  <c r="L160" i="5"/>
  <c r="N160" i="5"/>
  <c r="O160" i="5"/>
  <c r="Z160" i="5"/>
  <c r="H161" i="5"/>
  <c r="I161" i="5"/>
  <c r="L161" i="5"/>
  <c r="N161" i="5"/>
  <c r="O161" i="5"/>
  <c r="Z161" i="5"/>
  <c r="H162" i="5"/>
  <c r="I162" i="5"/>
  <c r="L162" i="5"/>
  <c r="N162" i="5"/>
  <c r="O162" i="5"/>
  <c r="Z162" i="5"/>
  <c r="H163" i="5"/>
  <c r="I163" i="5"/>
  <c r="L163" i="5"/>
  <c r="N163" i="5"/>
  <c r="O163" i="5"/>
  <c r="Z163" i="5"/>
  <c r="Z164" i="5"/>
  <c r="Z165" i="5"/>
  <c r="E38" i="2"/>
  <c r="E36" i="2"/>
  <c r="F38" i="2"/>
  <c r="F36" i="2"/>
  <c r="I38" i="2"/>
  <c r="J38" i="2"/>
  <c r="Z166" i="5"/>
  <c r="F167" i="5"/>
  <c r="H167" i="5"/>
  <c r="I167" i="5"/>
  <c r="L167" i="5"/>
  <c r="N167" i="5"/>
  <c r="O167" i="5"/>
  <c r="Z167" i="5"/>
  <c r="F168" i="5"/>
  <c r="H168" i="5"/>
  <c r="I168" i="5"/>
  <c r="L168" i="5"/>
  <c r="N168" i="5"/>
  <c r="O168" i="5"/>
  <c r="Z168" i="5"/>
  <c r="F169" i="5"/>
  <c r="H169" i="5"/>
  <c r="I169" i="5"/>
  <c r="L169" i="5"/>
  <c r="N169" i="5"/>
  <c r="O169" i="5"/>
  <c r="Z169" i="5"/>
  <c r="F170" i="5"/>
  <c r="H170" i="5"/>
  <c r="I170" i="5"/>
  <c r="L170" i="5"/>
  <c r="N170" i="5"/>
  <c r="O170" i="5"/>
  <c r="Z170" i="5"/>
  <c r="F171" i="5"/>
  <c r="H171" i="5"/>
  <c r="I171" i="5"/>
  <c r="L171" i="5"/>
  <c r="N171" i="5"/>
  <c r="O171" i="5"/>
  <c r="Z171" i="5"/>
  <c r="F172" i="5"/>
  <c r="H172" i="5"/>
  <c r="I172" i="5"/>
  <c r="L172" i="5"/>
  <c r="N172" i="5"/>
  <c r="O172" i="5"/>
  <c r="Z172" i="5"/>
  <c r="I41" i="2"/>
  <c r="J41" i="2"/>
  <c r="H175" i="5"/>
  <c r="I175" i="5"/>
  <c r="H176" i="5"/>
  <c r="I176" i="5"/>
  <c r="H177" i="5"/>
  <c r="I177" i="5"/>
  <c r="H178" i="5"/>
  <c r="I178" i="5"/>
  <c r="H3" i="2"/>
  <c r="R43" i="2"/>
  <c r="R3" i="2"/>
  <c r="R24" i="2"/>
  <c r="R42" i="2"/>
  <c r="F188" i="5"/>
  <c r="H188" i="5"/>
  <c r="I188" i="5"/>
  <c r="F189" i="5"/>
  <c r="H189" i="5"/>
  <c r="I189" i="5"/>
  <c r="L189" i="5"/>
  <c r="N189" i="5"/>
  <c r="O189" i="5"/>
  <c r="Z189" i="5"/>
  <c r="F190" i="5"/>
  <c r="H190" i="5"/>
  <c r="I190" i="5"/>
  <c r="L190" i="5"/>
  <c r="N190" i="5"/>
  <c r="O190" i="5"/>
  <c r="Z190" i="5"/>
  <c r="F191" i="5"/>
  <c r="H191" i="5"/>
  <c r="I191" i="5"/>
  <c r="L191" i="5"/>
  <c r="N191" i="5"/>
  <c r="O191" i="5"/>
  <c r="Z191" i="5"/>
  <c r="F192" i="5"/>
  <c r="H192" i="5"/>
  <c r="I192" i="5"/>
  <c r="L192" i="5"/>
  <c r="N192" i="5"/>
  <c r="O192" i="5"/>
  <c r="Z192" i="5"/>
  <c r="F193" i="5"/>
  <c r="H193" i="5"/>
  <c r="I193" i="5"/>
  <c r="L193" i="5"/>
  <c r="N193" i="5"/>
  <c r="O193" i="5"/>
  <c r="Z193" i="5"/>
  <c r="F194" i="5"/>
  <c r="H194" i="5"/>
  <c r="I194" i="5"/>
  <c r="L194" i="5"/>
  <c r="N194" i="5"/>
  <c r="O194" i="5"/>
  <c r="Z194" i="5"/>
  <c r="F195" i="5"/>
  <c r="H195" i="5"/>
  <c r="I195" i="5"/>
  <c r="L195" i="5"/>
  <c r="N195" i="5"/>
  <c r="O195" i="5"/>
  <c r="Z195" i="5"/>
  <c r="F196" i="5"/>
  <c r="H196" i="5"/>
  <c r="I196" i="5"/>
  <c r="L196" i="5"/>
  <c r="N196" i="5"/>
  <c r="O196" i="5"/>
  <c r="Z196" i="5"/>
  <c r="F197" i="5"/>
  <c r="H197" i="5"/>
  <c r="I197" i="5"/>
  <c r="Z197" i="5"/>
  <c r="Z198" i="5"/>
  <c r="Z199" i="5"/>
  <c r="F200" i="5"/>
  <c r="H200" i="5"/>
  <c r="I200" i="5"/>
  <c r="Z200" i="5"/>
  <c r="F201" i="5"/>
  <c r="H201" i="5"/>
  <c r="I201" i="5"/>
  <c r="Z201" i="5"/>
  <c r="I31" i="2"/>
  <c r="J31" i="2"/>
  <c r="N31" i="2"/>
  <c r="F202" i="5"/>
  <c r="H202" i="5"/>
  <c r="I202" i="5"/>
  <c r="Z202" i="5"/>
  <c r="F203" i="5"/>
  <c r="H203" i="5"/>
  <c r="I203" i="5"/>
  <c r="Z203" i="5"/>
  <c r="F204" i="5"/>
  <c r="H204" i="5"/>
  <c r="I204" i="5"/>
  <c r="Z204" i="5"/>
  <c r="F205" i="5"/>
  <c r="H205" i="5"/>
  <c r="I205" i="5"/>
  <c r="Z205" i="5"/>
  <c r="F206" i="5"/>
  <c r="H206" i="5"/>
  <c r="I206" i="5"/>
  <c r="Z206" i="5"/>
  <c r="F207" i="5"/>
  <c r="H207" i="5"/>
  <c r="I207" i="5"/>
  <c r="Z207" i="5"/>
  <c r="F208" i="5"/>
  <c r="H208" i="5"/>
  <c r="I208" i="5"/>
  <c r="L208" i="5"/>
  <c r="N208" i="5"/>
  <c r="O208" i="5"/>
  <c r="Z208" i="5"/>
  <c r="L209" i="5"/>
  <c r="N209" i="5"/>
  <c r="O209" i="5"/>
  <c r="Z209" i="5"/>
  <c r="L210" i="5"/>
  <c r="N210" i="5"/>
  <c r="O210" i="5"/>
  <c r="Z210" i="5"/>
  <c r="L211" i="5"/>
  <c r="N211" i="5"/>
  <c r="O211" i="5"/>
  <c r="Z211" i="5"/>
  <c r="L212" i="5"/>
  <c r="N212" i="5"/>
  <c r="O212" i="5"/>
  <c r="Z212" i="5"/>
  <c r="L213" i="5"/>
  <c r="N213" i="5"/>
  <c r="O213" i="5"/>
  <c r="Z213" i="5"/>
  <c r="L214" i="5"/>
  <c r="N214" i="5"/>
  <c r="O214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7" i="5"/>
  <c r="Z228" i="5"/>
  <c r="Z229" i="5"/>
  <c r="Z230" i="5"/>
  <c r="F231" i="5"/>
  <c r="H231" i="5"/>
  <c r="I231" i="5"/>
  <c r="Z231" i="5"/>
  <c r="F232" i="5"/>
  <c r="H232" i="5"/>
  <c r="I232" i="5"/>
  <c r="Z232" i="5"/>
  <c r="F233" i="5"/>
  <c r="H233" i="5"/>
  <c r="I233" i="5"/>
  <c r="F234" i="5"/>
  <c r="H234" i="5"/>
  <c r="I234" i="5"/>
  <c r="L234" i="5"/>
  <c r="N234" i="5"/>
  <c r="O234" i="5"/>
  <c r="Z234" i="5"/>
  <c r="F235" i="5"/>
  <c r="H235" i="5"/>
  <c r="I235" i="5"/>
  <c r="L235" i="5"/>
  <c r="N235" i="5"/>
  <c r="O235" i="5"/>
  <c r="Z235" i="5"/>
  <c r="F236" i="5"/>
  <c r="H236" i="5"/>
  <c r="I236" i="5"/>
  <c r="L236" i="5"/>
  <c r="N236" i="5"/>
  <c r="O236" i="5"/>
  <c r="Z236" i="5"/>
  <c r="F237" i="5"/>
  <c r="H237" i="5"/>
  <c r="I237" i="5"/>
  <c r="L237" i="5"/>
  <c r="N237" i="5"/>
  <c r="O237" i="5"/>
  <c r="Z237" i="5"/>
  <c r="F238" i="5"/>
  <c r="H238" i="5"/>
  <c r="I238" i="5"/>
  <c r="L238" i="5"/>
  <c r="N238" i="5"/>
  <c r="O238" i="5"/>
  <c r="Z238" i="5"/>
  <c r="L239" i="5"/>
  <c r="N239" i="5"/>
  <c r="O239" i="5"/>
  <c r="Z239" i="5"/>
  <c r="F385" i="5"/>
  <c r="E385" i="5"/>
  <c r="H385" i="5"/>
  <c r="I385" i="5"/>
  <c r="R385" i="5"/>
  <c r="T385" i="5"/>
  <c r="F386" i="5"/>
  <c r="E386" i="5"/>
  <c r="H386" i="5"/>
  <c r="I386" i="5"/>
  <c r="R386" i="5"/>
  <c r="T386" i="5"/>
  <c r="R17" i="2"/>
  <c r="F387" i="5"/>
  <c r="E387" i="5"/>
  <c r="H387" i="5"/>
  <c r="I387" i="5"/>
  <c r="R387" i="5"/>
  <c r="T387" i="5"/>
  <c r="F388" i="5"/>
  <c r="E388" i="5"/>
  <c r="H388" i="5"/>
  <c r="I388" i="5"/>
  <c r="R388" i="5"/>
  <c r="T388" i="5"/>
  <c r="F389" i="5"/>
  <c r="E389" i="5"/>
  <c r="H389" i="5"/>
  <c r="I389" i="5"/>
  <c r="R389" i="5"/>
  <c r="T389" i="5"/>
  <c r="F390" i="5"/>
  <c r="E390" i="5"/>
  <c r="H390" i="5"/>
  <c r="I390" i="5"/>
  <c r="R390" i="5"/>
  <c r="T390" i="5"/>
  <c r="F391" i="5"/>
  <c r="E391" i="5"/>
  <c r="H391" i="5"/>
  <c r="I391" i="5"/>
  <c r="R391" i="5"/>
  <c r="T391" i="5"/>
  <c r="F392" i="5"/>
  <c r="E392" i="5"/>
  <c r="H392" i="5"/>
  <c r="I392" i="5"/>
  <c r="R392" i="5"/>
  <c r="T392" i="5"/>
  <c r="F393" i="5"/>
  <c r="E393" i="5"/>
  <c r="H393" i="5"/>
  <c r="I393" i="5"/>
  <c r="R393" i="5"/>
  <c r="T393" i="5"/>
  <c r="F394" i="5"/>
  <c r="E394" i="5"/>
  <c r="H394" i="5"/>
  <c r="I394" i="5"/>
  <c r="R394" i="5"/>
  <c r="T394" i="5"/>
  <c r="F395" i="5"/>
  <c r="E395" i="5"/>
  <c r="H395" i="5"/>
  <c r="I395" i="5"/>
  <c r="R395" i="5"/>
  <c r="T395" i="5"/>
  <c r="F396" i="5"/>
  <c r="E396" i="5"/>
  <c r="H396" i="5"/>
  <c r="I396" i="5"/>
  <c r="R396" i="5"/>
  <c r="T396" i="5"/>
  <c r="F397" i="5"/>
  <c r="E397" i="5"/>
  <c r="H397" i="5"/>
  <c r="I397" i="5"/>
  <c r="R397" i="5"/>
  <c r="T397" i="5"/>
  <c r="F398" i="5"/>
  <c r="E398" i="5"/>
  <c r="H398" i="5"/>
  <c r="I398" i="5"/>
  <c r="R398" i="5"/>
  <c r="T398" i="5"/>
  <c r="F399" i="5"/>
  <c r="E399" i="5"/>
  <c r="H399" i="5"/>
  <c r="I399" i="5"/>
  <c r="R399" i="5"/>
  <c r="T399" i="5"/>
  <c r="F400" i="5"/>
  <c r="E400" i="5"/>
  <c r="H400" i="5"/>
  <c r="I400" i="5"/>
  <c r="R400" i="5"/>
  <c r="T400" i="5"/>
  <c r="F401" i="5"/>
  <c r="E401" i="5"/>
  <c r="H401" i="5"/>
  <c r="I401" i="5"/>
  <c r="R401" i="5"/>
  <c r="T401" i="5"/>
  <c r="F402" i="5"/>
  <c r="E402" i="5"/>
  <c r="H402" i="5"/>
  <c r="I402" i="5"/>
  <c r="R402" i="5"/>
  <c r="T402" i="5"/>
  <c r="L240" i="5"/>
  <c r="N240" i="5"/>
  <c r="O240" i="5"/>
  <c r="Z240" i="5"/>
  <c r="R38" i="2"/>
  <c r="F403" i="5"/>
  <c r="E403" i="5"/>
  <c r="H403" i="5"/>
  <c r="I403" i="5"/>
  <c r="R403" i="5"/>
  <c r="T403" i="5"/>
  <c r="F404" i="5"/>
  <c r="E404" i="5"/>
  <c r="H404" i="5"/>
  <c r="I404" i="5"/>
  <c r="R404" i="5"/>
  <c r="T404" i="5"/>
  <c r="F405" i="5"/>
  <c r="E405" i="5"/>
  <c r="H405" i="5"/>
  <c r="I405" i="5"/>
  <c r="R405" i="5"/>
  <c r="T405" i="5"/>
  <c r="R23" i="2"/>
  <c r="F406" i="5"/>
  <c r="E406" i="5"/>
  <c r="H406" i="5"/>
  <c r="I406" i="5"/>
  <c r="R406" i="5"/>
  <c r="T406" i="5"/>
  <c r="F407" i="5"/>
  <c r="E407" i="5"/>
  <c r="H407" i="5"/>
  <c r="I407" i="5"/>
  <c r="R407" i="5"/>
  <c r="T407" i="5"/>
  <c r="F408" i="5"/>
  <c r="E408" i="5"/>
  <c r="H408" i="5"/>
  <c r="I408" i="5"/>
  <c r="R408" i="5"/>
  <c r="T408" i="5"/>
  <c r="F409" i="5"/>
  <c r="E409" i="5"/>
  <c r="H409" i="5"/>
  <c r="I409" i="5"/>
  <c r="R409" i="5"/>
  <c r="T409" i="5"/>
  <c r="F241" i="5"/>
  <c r="H241" i="5"/>
  <c r="I241" i="5"/>
  <c r="L241" i="5"/>
  <c r="N241" i="5"/>
  <c r="O241" i="5"/>
  <c r="Z241" i="5"/>
  <c r="F242" i="5"/>
  <c r="H242" i="5"/>
  <c r="I242" i="5"/>
  <c r="L242" i="5"/>
  <c r="N242" i="5"/>
  <c r="O242" i="5"/>
  <c r="Z242" i="5"/>
  <c r="F243" i="5"/>
  <c r="H243" i="5"/>
  <c r="I243" i="5"/>
  <c r="L243" i="5"/>
  <c r="N243" i="5"/>
  <c r="O243" i="5"/>
  <c r="Z243" i="5"/>
  <c r="F244" i="5"/>
  <c r="H244" i="5"/>
  <c r="I244" i="5"/>
  <c r="L244" i="5"/>
  <c r="N244" i="5"/>
  <c r="O244" i="5"/>
  <c r="Z244" i="5"/>
  <c r="F245" i="5"/>
  <c r="H245" i="5"/>
  <c r="I245" i="5"/>
  <c r="L245" i="5"/>
  <c r="N245" i="5"/>
  <c r="O245" i="5"/>
  <c r="Z245" i="5"/>
  <c r="F246" i="5"/>
  <c r="H246" i="5"/>
  <c r="I246" i="5"/>
  <c r="L246" i="5"/>
  <c r="N246" i="5"/>
  <c r="O246" i="5"/>
  <c r="Z246" i="5"/>
  <c r="F247" i="5"/>
  <c r="H247" i="5"/>
  <c r="I247" i="5"/>
  <c r="L247" i="5"/>
  <c r="N247" i="5"/>
  <c r="O247" i="5"/>
  <c r="Z247" i="5"/>
  <c r="F248" i="5"/>
  <c r="H248" i="5"/>
  <c r="I248" i="5"/>
  <c r="L248" i="5"/>
  <c r="N248" i="5"/>
  <c r="O248" i="5"/>
  <c r="Z248" i="5"/>
  <c r="F249" i="5"/>
  <c r="H249" i="5"/>
  <c r="I249" i="5"/>
  <c r="L249" i="5"/>
  <c r="N249" i="5"/>
  <c r="O249" i="5"/>
  <c r="Z249" i="5"/>
  <c r="F250" i="5"/>
  <c r="H250" i="5"/>
  <c r="I250" i="5"/>
  <c r="L250" i="5"/>
  <c r="N250" i="5"/>
  <c r="O250" i="5"/>
  <c r="Z250" i="5"/>
  <c r="F251" i="5"/>
  <c r="H251" i="5"/>
  <c r="I251" i="5"/>
  <c r="L251" i="5"/>
  <c r="N251" i="5"/>
  <c r="O251" i="5"/>
  <c r="Z251" i="5"/>
  <c r="F252" i="5"/>
  <c r="H252" i="5"/>
  <c r="I252" i="5"/>
  <c r="Z252" i="5"/>
  <c r="F253" i="5"/>
  <c r="H253" i="5"/>
  <c r="I253" i="5"/>
  <c r="Z253" i="5"/>
  <c r="F254" i="5"/>
  <c r="H254" i="5"/>
  <c r="I254" i="5"/>
  <c r="Z254" i="5"/>
  <c r="F255" i="5"/>
  <c r="H255" i="5"/>
  <c r="I255" i="5"/>
  <c r="L255" i="5"/>
  <c r="N255" i="5"/>
  <c r="O255" i="5"/>
  <c r="Z255" i="5"/>
  <c r="F256" i="5"/>
  <c r="H256" i="5"/>
  <c r="I256" i="5"/>
  <c r="L256" i="5"/>
  <c r="N256" i="5"/>
  <c r="O256" i="5"/>
  <c r="Z256" i="5"/>
  <c r="F257" i="5"/>
  <c r="H257" i="5"/>
  <c r="I257" i="5"/>
  <c r="L257" i="5"/>
  <c r="N257" i="5"/>
  <c r="O257" i="5"/>
  <c r="Z257" i="5"/>
  <c r="F258" i="5"/>
  <c r="H258" i="5"/>
  <c r="I258" i="5"/>
  <c r="L258" i="5"/>
  <c r="N258" i="5"/>
  <c r="O258" i="5"/>
  <c r="Z258" i="5"/>
  <c r="F259" i="5"/>
  <c r="H259" i="5"/>
  <c r="I259" i="5"/>
  <c r="L259" i="5"/>
  <c r="N259" i="5"/>
  <c r="O259" i="5"/>
  <c r="Z259" i="5"/>
  <c r="F261" i="5"/>
  <c r="H261" i="5"/>
  <c r="I261" i="5"/>
  <c r="L261" i="5"/>
  <c r="N261" i="5"/>
  <c r="O261" i="5"/>
  <c r="Z261" i="5"/>
  <c r="F262" i="5"/>
  <c r="H262" i="5"/>
  <c r="I262" i="5"/>
  <c r="L262" i="5"/>
  <c r="N262" i="5"/>
  <c r="O262" i="5"/>
  <c r="Z262" i="5"/>
  <c r="Z263" i="5"/>
  <c r="H264" i="5"/>
  <c r="I264" i="5"/>
  <c r="Z264" i="5"/>
  <c r="H265" i="5"/>
  <c r="I265" i="5"/>
  <c r="Z265" i="5"/>
  <c r="Z314" i="5"/>
  <c r="Z315" i="5"/>
  <c r="Z316" i="5"/>
  <c r="Z317" i="5"/>
  <c r="Z318" i="5"/>
  <c r="Z319" i="5"/>
  <c r="Z320" i="5"/>
  <c r="Z321" i="5"/>
  <c r="H322" i="5"/>
  <c r="I322" i="5"/>
  <c r="Z322" i="5"/>
  <c r="H323" i="5"/>
  <c r="I323" i="5"/>
  <c r="Z323" i="5"/>
  <c r="H324" i="5"/>
  <c r="I324" i="5"/>
  <c r="Z324" i="5"/>
  <c r="Z325" i="5"/>
  <c r="Z326" i="5"/>
  <c r="Z327" i="5"/>
  <c r="Z328" i="5"/>
  <c r="Z329" i="5"/>
  <c r="Z330" i="5"/>
  <c r="Z331" i="5"/>
  <c r="Z332" i="5"/>
  <c r="Z333" i="5"/>
  <c r="Z334" i="5"/>
  <c r="Z336" i="5"/>
  <c r="Z337" i="5"/>
  <c r="Z338" i="5"/>
  <c r="Z339" i="5"/>
  <c r="Z340" i="5"/>
  <c r="Z341" i="5"/>
  <c r="T18" i="2"/>
  <c r="U18" i="2"/>
  <c r="Z298" i="5"/>
  <c r="F299" i="5"/>
  <c r="H299" i="5"/>
  <c r="I299" i="5"/>
  <c r="Z299" i="5"/>
  <c r="F347" i="5"/>
  <c r="H347" i="5"/>
  <c r="I347" i="5"/>
  <c r="Z347" i="5"/>
  <c r="H266" i="5"/>
  <c r="I266" i="5"/>
  <c r="Z266" i="5"/>
  <c r="Z342" i="5"/>
  <c r="H343" i="5"/>
  <c r="I343" i="5"/>
  <c r="Z343" i="5"/>
  <c r="H344" i="5"/>
  <c r="I344" i="5"/>
  <c r="Z344" i="5"/>
  <c r="H345" i="5"/>
  <c r="I345" i="5"/>
  <c r="Z345" i="5"/>
  <c r="F300" i="5"/>
  <c r="H300" i="5"/>
  <c r="I300" i="5"/>
  <c r="Z300" i="5"/>
  <c r="T24" i="2"/>
  <c r="U24" i="2"/>
  <c r="V24" i="2"/>
  <c r="F301" i="5"/>
  <c r="H301" i="5"/>
  <c r="I301" i="5"/>
  <c r="Z301" i="5"/>
  <c r="F369" i="5"/>
  <c r="H369" i="5"/>
  <c r="I369" i="5"/>
  <c r="Z369" i="5"/>
  <c r="F370" i="5"/>
  <c r="H370" i="5"/>
  <c r="I370" i="5"/>
  <c r="Z370" i="5"/>
  <c r="K29" i="2"/>
  <c r="T29" i="2"/>
  <c r="U29" i="2"/>
  <c r="V29" i="2"/>
  <c r="W29" i="2"/>
  <c r="F371" i="5"/>
  <c r="H371" i="5"/>
  <c r="I371" i="5"/>
  <c r="Z371" i="5"/>
  <c r="F372" i="5"/>
  <c r="H372" i="5"/>
  <c r="I372" i="5"/>
  <c r="Z372" i="5"/>
  <c r="F373" i="5"/>
  <c r="H373" i="5"/>
  <c r="I373" i="5"/>
  <c r="Z373" i="5"/>
  <c r="F374" i="5"/>
  <c r="H374" i="5"/>
  <c r="I374" i="5"/>
  <c r="Z374" i="5"/>
  <c r="F375" i="5"/>
  <c r="H375" i="5"/>
  <c r="I375" i="5"/>
  <c r="Z375" i="5"/>
  <c r="F376" i="5"/>
  <c r="H376" i="5"/>
  <c r="I376" i="5"/>
  <c r="Z376" i="5"/>
  <c r="F377" i="5"/>
  <c r="H377" i="5"/>
  <c r="I377" i="5"/>
  <c r="Z377" i="5"/>
  <c r="F378" i="5"/>
  <c r="H378" i="5"/>
  <c r="I378" i="5"/>
  <c r="Z378" i="5"/>
  <c r="F348" i="5"/>
  <c r="H348" i="5"/>
  <c r="I348" i="5"/>
  <c r="Z348" i="5"/>
  <c r="F349" i="5"/>
  <c r="H349" i="5"/>
  <c r="I349" i="5"/>
  <c r="Z349" i="5"/>
  <c r="F303" i="5"/>
  <c r="H303" i="5"/>
  <c r="I303" i="5"/>
  <c r="Z303" i="5"/>
  <c r="F304" i="5"/>
  <c r="H304" i="5"/>
  <c r="I304" i="5"/>
  <c r="Z304" i="5"/>
  <c r="Z305" i="5"/>
  <c r="F306" i="5"/>
  <c r="H306" i="5"/>
  <c r="I306" i="5"/>
  <c r="Z306" i="5"/>
  <c r="F307" i="5"/>
  <c r="H307" i="5"/>
  <c r="I307" i="5"/>
  <c r="Z307" i="5"/>
  <c r="Z335" i="5"/>
  <c r="Z267" i="5"/>
  <c r="Z268" i="5"/>
  <c r="E23" i="2"/>
  <c r="F23" i="2"/>
  <c r="Z271" i="5"/>
  <c r="F350" i="5"/>
  <c r="H350" i="5"/>
  <c r="I350" i="5"/>
  <c r="F351" i="5"/>
  <c r="H351" i="5"/>
  <c r="I351" i="5"/>
  <c r="Z272" i="5"/>
  <c r="H273" i="5"/>
  <c r="I273" i="5"/>
  <c r="Z273" i="5"/>
  <c r="F352" i="5"/>
  <c r="H352" i="5"/>
  <c r="I352" i="5"/>
  <c r="H274" i="5"/>
  <c r="I274" i="5"/>
  <c r="Z274" i="5"/>
  <c r="F353" i="5"/>
  <c r="H353" i="5"/>
  <c r="I353" i="5"/>
  <c r="F354" i="5"/>
  <c r="H354" i="5"/>
  <c r="I354" i="5"/>
  <c r="F355" i="5"/>
  <c r="H355" i="5"/>
  <c r="I355" i="5"/>
  <c r="F356" i="5"/>
  <c r="H356" i="5"/>
  <c r="I356" i="5"/>
  <c r="Z356" i="5"/>
  <c r="H275" i="5"/>
  <c r="I275" i="5"/>
  <c r="Z275" i="5"/>
  <c r="Z276" i="5"/>
  <c r="F277" i="5"/>
  <c r="H277" i="5"/>
  <c r="I277" i="5"/>
  <c r="Z277" i="5"/>
  <c r="F278" i="5"/>
  <c r="H278" i="5"/>
  <c r="I278" i="5"/>
  <c r="Z278" i="5"/>
  <c r="F279" i="5"/>
  <c r="L279" i="5"/>
  <c r="N279" i="5"/>
  <c r="O279" i="5"/>
  <c r="H279" i="5"/>
  <c r="I279" i="5"/>
  <c r="Z279" i="5"/>
  <c r="Z346" i="5"/>
  <c r="F357" i="5"/>
  <c r="H357" i="5"/>
  <c r="I357" i="5"/>
  <c r="Z357" i="5"/>
  <c r="F358" i="5"/>
  <c r="H358" i="5"/>
  <c r="I358" i="5"/>
  <c r="Z358" i="5"/>
  <c r="F359" i="5"/>
  <c r="H359" i="5"/>
  <c r="I359" i="5"/>
  <c r="Z359" i="5"/>
  <c r="F360" i="5"/>
  <c r="H360" i="5"/>
  <c r="I360" i="5"/>
  <c r="Z360" i="5"/>
  <c r="K27" i="2"/>
  <c r="T27" i="2"/>
  <c r="U27" i="2"/>
  <c r="W27" i="2"/>
  <c r="F361" i="5"/>
  <c r="H361" i="5"/>
  <c r="I361" i="5"/>
  <c r="Z361" i="5"/>
  <c r="F362" i="5"/>
  <c r="H362" i="5"/>
  <c r="I362" i="5"/>
  <c r="Z362" i="5"/>
  <c r="F363" i="5"/>
  <c r="H363" i="5"/>
  <c r="I363" i="5"/>
  <c r="Z363" i="5"/>
  <c r="F364" i="5"/>
  <c r="H364" i="5"/>
  <c r="I364" i="5"/>
  <c r="Z364" i="5"/>
  <c r="F280" i="5"/>
  <c r="H280" i="5"/>
  <c r="I280" i="5"/>
  <c r="L280" i="5"/>
  <c r="N280" i="5"/>
  <c r="O280" i="5"/>
  <c r="Z280" i="5"/>
  <c r="F281" i="5"/>
  <c r="H281" i="5"/>
  <c r="I281" i="5"/>
  <c r="L281" i="5"/>
  <c r="N281" i="5"/>
  <c r="O281" i="5"/>
  <c r="Z281" i="5"/>
  <c r="F282" i="5"/>
  <c r="H282" i="5"/>
  <c r="I282" i="5"/>
  <c r="L282" i="5"/>
  <c r="N282" i="5"/>
  <c r="O282" i="5"/>
  <c r="Z282" i="5"/>
  <c r="F283" i="5"/>
  <c r="H283" i="5"/>
  <c r="I283" i="5"/>
  <c r="L283" i="5"/>
  <c r="N283" i="5"/>
  <c r="O283" i="5"/>
  <c r="Z283" i="5"/>
  <c r="F284" i="5"/>
  <c r="H284" i="5"/>
  <c r="I284" i="5"/>
  <c r="L284" i="5"/>
  <c r="N284" i="5"/>
  <c r="O284" i="5"/>
  <c r="Z284" i="5"/>
  <c r="F285" i="5"/>
  <c r="H285" i="5"/>
  <c r="I285" i="5"/>
  <c r="L285" i="5"/>
  <c r="N285" i="5"/>
  <c r="O285" i="5"/>
  <c r="Z285" i="5"/>
  <c r="F286" i="5"/>
  <c r="H286" i="5"/>
  <c r="I286" i="5"/>
  <c r="L286" i="5"/>
  <c r="N286" i="5"/>
  <c r="O286" i="5"/>
  <c r="Z286" i="5"/>
  <c r="F287" i="5"/>
  <c r="H287" i="5"/>
  <c r="I287" i="5"/>
  <c r="L287" i="5"/>
  <c r="N287" i="5"/>
  <c r="O287" i="5"/>
  <c r="Z287" i="5"/>
  <c r="F288" i="5"/>
  <c r="H288" i="5"/>
  <c r="I288" i="5"/>
  <c r="L288" i="5"/>
  <c r="N288" i="5"/>
  <c r="O288" i="5"/>
  <c r="Z288" i="5"/>
  <c r="F289" i="5"/>
  <c r="H289" i="5"/>
  <c r="I289" i="5"/>
  <c r="L289" i="5"/>
  <c r="N289" i="5"/>
  <c r="O289" i="5"/>
  <c r="Z289" i="5"/>
  <c r="F290" i="5"/>
  <c r="H290" i="5"/>
  <c r="I290" i="5"/>
  <c r="L290" i="5"/>
  <c r="N290" i="5"/>
  <c r="O290" i="5"/>
  <c r="Z290" i="5"/>
  <c r="F292" i="5"/>
  <c r="H292" i="5"/>
  <c r="I292" i="5"/>
  <c r="L292" i="5"/>
  <c r="N292" i="5"/>
  <c r="O292" i="5"/>
  <c r="Z292" i="5"/>
  <c r="F293" i="5"/>
  <c r="H293" i="5"/>
  <c r="I293" i="5"/>
  <c r="L293" i="5"/>
  <c r="N293" i="5"/>
  <c r="O293" i="5"/>
  <c r="Z293" i="5"/>
  <c r="F308" i="5"/>
  <c r="H308" i="5"/>
  <c r="I308" i="5"/>
  <c r="Z308" i="5"/>
  <c r="L294" i="5"/>
  <c r="N294" i="5"/>
  <c r="O294" i="5"/>
  <c r="F294" i="5"/>
  <c r="H294" i="5"/>
  <c r="I294" i="5"/>
  <c r="Z294" i="5"/>
  <c r="L295" i="5"/>
  <c r="N295" i="5"/>
  <c r="O295" i="5"/>
  <c r="F295" i="5"/>
  <c r="H295" i="5"/>
  <c r="I295" i="5"/>
  <c r="Z295" i="5"/>
  <c r="F309" i="5"/>
  <c r="H309" i="5"/>
  <c r="I309" i="5"/>
  <c r="Z309" i="5"/>
  <c r="F310" i="5"/>
  <c r="H310" i="5"/>
  <c r="I310" i="5"/>
  <c r="Z310" i="5"/>
  <c r="F365" i="5"/>
  <c r="H365" i="5"/>
  <c r="I365" i="5"/>
  <c r="F296" i="5"/>
  <c r="H296" i="5"/>
  <c r="I296" i="5"/>
  <c r="L296" i="5"/>
  <c r="N296" i="5"/>
  <c r="O296" i="5"/>
  <c r="Z296" i="5"/>
  <c r="F311" i="5"/>
  <c r="H311" i="5"/>
  <c r="I311" i="5"/>
  <c r="Z311" i="5"/>
  <c r="K23" i="2"/>
  <c r="V23" i="2"/>
  <c r="W23" i="2"/>
  <c r="F379" i="5"/>
  <c r="H379" i="5"/>
  <c r="I379" i="5"/>
  <c r="Z379" i="5"/>
  <c r="F366" i="5"/>
  <c r="H366" i="5"/>
  <c r="I366" i="5"/>
  <c r="Z366" i="5"/>
  <c r="F367" i="5"/>
  <c r="H367" i="5"/>
  <c r="I367" i="5"/>
  <c r="Z367" i="5"/>
  <c r="F368" i="5"/>
  <c r="H368" i="5"/>
  <c r="I368" i="5"/>
  <c r="Z368" i="5"/>
  <c r="F297" i="5"/>
  <c r="H297" i="5"/>
  <c r="I297" i="5"/>
  <c r="Z297" i="5"/>
  <c r="F312" i="5"/>
  <c r="H312" i="5"/>
  <c r="I312" i="5"/>
  <c r="Z312" i="5"/>
  <c r="F313" i="5"/>
  <c r="H313" i="5"/>
  <c r="I313" i="5"/>
  <c r="Z313" i="5"/>
  <c r="F133" i="5"/>
  <c r="H133" i="5"/>
  <c r="I133" i="5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C42" i="1"/>
  <c r="BB42" i="1"/>
  <c r="BA42" i="1"/>
  <c r="AZ42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N43" i="4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0" i="6"/>
  <c r="AA306" i="6"/>
  <c r="AA298" i="6"/>
  <c r="AA299" i="6"/>
  <c r="AA301" i="6"/>
  <c r="AA302" i="6"/>
  <c r="AA303" i="6"/>
  <c r="AA304" i="6"/>
  <c r="AA305" i="6"/>
  <c r="AA307" i="6"/>
  <c r="AA308" i="6"/>
  <c r="AA309" i="6"/>
  <c r="AA310" i="6"/>
  <c r="AA311" i="6"/>
  <c r="AA312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5" i="6"/>
  <c r="AA341" i="6"/>
  <c r="AA342" i="6"/>
  <c r="AA346" i="6"/>
  <c r="AA343" i="6"/>
  <c r="AA344" i="6"/>
  <c r="AA355" i="6"/>
  <c r="AA365" i="6"/>
  <c r="AA360" i="6"/>
  <c r="AA347" i="6"/>
  <c r="AA361" i="6"/>
  <c r="AA348" i="6"/>
  <c r="AA349" i="6"/>
  <c r="AA350" i="6"/>
  <c r="AA351" i="6"/>
  <c r="AA352" i="6"/>
  <c r="AA353" i="6"/>
  <c r="AA354" i="6"/>
  <c r="AA362" i="6"/>
  <c r="AA363" i="6"/>
  <c r="AA364" i="6"/>
  <c r="AA366" i="6"/>
  <c r="AA367" i="6"/>
  <c r="AA368" i="6"/>
  <c r="AA356" i="6"/>
  <c r="AA357" i="6"/>
  <c r="AA358" i="6"/>
  <c r="AA359" i="6"/>
  <c r="AA379" i="6"/>
  <c r="AA369" i="6"/>
  <c r="AA370" i="6"/>
  <c r="AA371" i="6"/>
  <c r="AA372" i="6"/>
  <c r="AA373" i="6"/>
  <c r="AA374" i="6"/>
  <c r="AA375" i="6"/>
  <c r="AA376" i="6"/>
  <c r="AA377" i="6"/>
  <c r="AA378" i="6"/>
  <c r="AA381" i="6"/>
  <c r="AA384" i="6"/>
  <c r="AA380" i="6"/>
  <c r="AA383" i="6"/>
  <c r="AA382" i="6"/>
  <c r="AA408" i="6"/>
  <c r="AA386" i="6"/>
  <c r="AA407" i="6"/>
  <c r="AA406" i="6"/>
  <c r="AA389" i="6"/>
  <c r="AA390" i="6"/>
  <c r="AA391" i="6"/>
  <c r="AA392" i="6"/>
  <c r="AA393" i="6"/>
  <c r="AA388" i="6"/>
  <c r="AA404" i="6"/>
  <c r="AA394" i="6"/>
  <c r="AA395" i="6"/>
  <c r="AA396" i="6"/>
  <c r="AA397" i="6"/>
  <c r="AA398" i="6"/>
  <c r="AA399" i="6"/>
  <c r="AA385" i="6"/>
  <c r="AA405" i="6"/>
  <c r="AA400" i="6"/>
  <c r="AA387" i="6"/>
  <c r="AA409" i="6"/>
  <c r="AA401" i="6"/>
  <c r="AA402" i="6"/>
  <c r="AA403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0" i="6"/>
  <c r="Z306" i="6"/>
  <c r="Z298" i="6"/>
  <c r="Z299" i="6"/>
  <c r="Z301" i="6"/>
  <c r="Z302" i="6"/>
  <c r="Z303" i="6"/>
  <c r="Z304" i="6"/>
  <c r="Z305" i="6"/>
  <c r="Z307" i="6"/>
  <c r="Z308" i="6"/>
  <c r="Z309" i="6"/>
  <c r="Z310" i="6"/>
  <c r="Z311" i="6"/>
  <c r="Z312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5" i="6"/>
  <c r="Z341" i="6"/>
  <c r="Z342" i="6"/>
  <c r="Z346" i="6"/>
  <c r="Z343" i="6"/>
  <c r="Z344" i="6"/>
  <c r="Z355" i="6"/>
  <c r="Z365" i="6"/>
  <c r="Z360" i="6"/>
  <c r="Z347" i="6"/>
  <c r="Z361" i="6"/>
  <c r="Z348" i="6"/>
  <c r="Z349" i="6"/>
  <c r="Z350" i="6"/>
  <c r="Z351" i="6"/>
  <c r="Z352" i="6"/>
  <c r="Z353" i="6"/>
  <c r="Z354" i="6"/>
  <c r="Z362" i="6"/>
  <c r="Z363" i="6"/>
  <c r="Z364" i="6"/>
  <c r="Z366" i="6"/>
  <c r="Z367" i="6"/>
  <c r="Z368" i="6"/>
  <c r="Z356" i="6"/>
  <c r="Z357" i="6"/>
  <c r="Z358" i="6"/>
  <c r="Z359" i="6"/>
  <c r="Z379" i="6"/>
  <c r="Z369" i="6"/>
  <c r="Z370" i="6"/>
  <c r="Z371" i="6"/>
  <c r="Z372" i="6"/>
  <c r="Z373" i="6"/>
  <c r="Z374" i="6"/>
  <c r="Z375" i="6"/>
  <c r="Z376" i="6"/>
  <c r="Z377" i="6"/>
  <c r="Z378" i="6"/>
  <c r="Z381" i="6"/>
  <c r="Z384" i="6"/>
  <c r="Z380" i="6"/>
  <c r="Z383" i="6"/>
  <c r="Z382" i="6"/>
  <c r="Z408" i="6"/>
  <c r="Z386" i="6"/>
  <c r="Z407" i="6"/>
  <c r="Z406" i="6"/>
  <c r="Z389" i="6"/>
  <c r="Z390" i="6"/>
  <c r="Z391" i="6"/>
  <c r="Z392" i="6"/>
  <c r="Z393" i="6"/>
  <c r="Z388" i="6"/>
  <c r="Z404" i="6"/>
  <c r="Z394" i="6"/>
  <c r="Z395" i="6"/>
  <c r="Z396" i="6"/>
  <c r="Z397" i="6"/>
  <c r="Z398" i="6"/>
  <c r="Z399" i="6"/>
  <c r="Z385" i="6"/>
  <c r="Z405" i="6"/>
  <c r="Z400" i="6"/>
  <c r="Z387" i="6"/>
  <c r="Z409" i="6"/>
  <c r="Z401" i="6"/>
  <c r="Z402" i="6"/>
  <c r="Z403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2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6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5" i="5"/>
  <c r="AO56" i="5"/>
  <c r="AO394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2" i="5"/>
  <c r="AO389" i="5"/>
  <c r="AO390" i="5"/>
  <c r="AO391" i="5"/>
  <c r="AO392" i="5"/>
  <c r="AO393" i="5"/>
  <c r="AO396" i="5"/>
  <c r="AO397" i="5"/>
  <c r="AO398" i="5"/>
  <c r="AO399" i="5"/>
  <c r="AO400" i="5"/>
  <c r="AO401" i="5"/>
  <c r="AO404" i="5"/>
  <c r="AO407" i="5"/>
  <c r="AO408" i="5"/>
  <c r="AO409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6" i="5"/>
  <c r="AO333" i="5"/>
  <c r="AO343" i="5"/>
  <c r="AO344" i="5"/>
  <c r="AO329" i="5"/>
  <c r="AO341" i="5"/>
  <c r="AO317" i="5"/>
  <c r="AO318" i="5"/>
  <c r="AO335" i="5"/>
  <c r="AO339" i="5"/>
  <c r="AO337" i="5"/>
  <c r="AO338" i="5"/>
  <c r="AO315" i="5"/>
  <c r="AO327" i="5"/>
  <c r="AO316" i="5"/>
  <c r="AO320" i="5"/>
  <c r="AO331" i="5"/>
  <c r="AO321" i="5"/>
  <c r="AO325" i="5"/>
  <c r="AO319" i="5"/>
  <c r="AO322" i="5"/>
  <c r="AO336" i="5"/>
  <c r="AO326" i="5"/>
  <c r="AO330" i="5"/>
  <c r="AO340" i="5"/>
  <c r="AO328" i="5"/>
  <c r="AO323" i="5"/>
  <c r="AO332" i="5"/>
  <c r="AO334" i="5"/>
  <c r="AO324" i="5"/>
  <c r="AO298" i="5"/>
  <c r="AO299" i="5"/>
  <c r="AO300" i="5"/>
  <c r="AO301" i="5"/>
  <c r="AO314" i="5"/>
  <c r="AO380" i="5"/>
  <c r="AO384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5" i="5"/>
  <c r="AO342" i="5"/>
  <c r="AO309" i="5"/>
  <c r="AO306" i="5"/>
  <c r="AO310" i="5"/>
  <c r="AO305" i="5"/>
  <c r="AO308" i="5"/>
  <c r="AO307" i="5"/>
  <c r="AO304" i="5"/>
  <c r="AO311" i="5"/>
  <c r="AO312" i="5"/>
  <c r="AO303" i="5"/>
  <c r="AO313" i="5"/>
  <c r="AO350" i="5"/>
  <c r="AO355" i="5"/>
  <c r="AO365" i="5"/>
  <c r="AO383" i="5"/>
  <c r="AO348" i="5"/>
  <c r="AO357" i="5"/>
  <c r="AO356" i="5"/>
  <c r="AO368" i="5"/>
  <c r="AO366" i="5"/>
  <c r="AO367" i="5"/>
  <c r="AO351" i="5"/>
  <c r="AO352" i="5"/>
  <c r="AO354" i="5"/>
  <c r="AO353" i="5"/>
  <c r="AO347" i="5"/>
  <c r="AO363" i="5"/>
  <c r="AO360" i="5"/>
  <c r="AO362" i="5"/>
  <c r="AO364" i="5"/>
  <c r="AO361" i="5"/>
  <c r="AO359" i="5"/>
  <c r="AO358" i="5"/>
  <c r="AO349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5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3" i="5"/>
  <c r="AO166" i="5"/>
  <c r="AO24" i="5"/>
  <c r="AO207" i="5"/>
  <c r="AO271" i="5"/>
  <c r="AO6" i="5"/>
  <c r="AO153" i="5"/>
  <c r="AO151" i="5"/>
  <c r="AO388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7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1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5" i="5"/>
  <c r="AO369" i="5"/>
  <c r="AO377" i="5"/>
  <c r="AO376" i="5"/>
  <c r="AO371" i="5"/>
  <c r="AO374" i="5"/>
  <c r="AO379" i="5"/>
  <c r="AO378" i="5"/>
  <c r="AO370" i="5"/>
  <c r="AO373" i="5"/>
  <c r="AO372" i="5"/>
  <c r="AO375" i="5"/>
  <c r="AO270" i="5"/>
  <c r="AO406" i="5"/>
  <c r="AO297" i="5"/>
  <c r="AO30" i="5"/>
  <c r="C2" i="7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19" i="1"/>
  <c r="BA62" i="1"/>
  <c r="BA61" i="1"/>
  <c r="BA91" i="1"/>
  <c r="BA89" i="1"/>
  <c r="BA92" i="1"/>
  <c r="BA93" i="1"/>
  <c r="BA94" i="1"/>
  <c r="BA95" i="1"/>
  <c r="BA166" i="1"/>
  <c r="BA175" i="1"/>
  <c r="BA176" i="1"/>
  <c r="BA225" i="1"/>
  <c r="BA3" i="1"/>
  <c r="BA4" i="1"/>
  <c r="BA6" i="1"/>
  <c r="BA8" i="1"/>
  <c r="BA7" i="1"/>
  <c r="BA9" i="1"/>
  <c r="BA18" i="1"/>
  <c r="BA28" i="1"/>
  <c r="BA26" i="1"/>
  <c r="BA31" i="1"/>
  <c r="BA35" i="1"/>
  <c r="BA36" i="1"/>
  <c r="BA37" i="1"/>
  <c r="BA38" i="1"/>
  <c r="BA27" i="1"/>
  <c r="BA33" i="1"/>
  <c r="BA23" i="1"/>
  <c r="BA24" i="1"/>
  <c r="BA25" i="1"/>
  <c r="BA30" i="1"/>
  <c r="BA32" i="1"/>
  <c r="BA34" i="1"/>
  <c r="BA29" i="1"/>
  <c r="BA22" i="1"/>
  <c r="BA21" i="1"/>
  <c r="BA57" i="1"/>
  <c r="BA58" i="1"/>
  <c r="BA59" i="1"/>
  <c r="BA60" i="1"/>
  <c r="BA63" i="1"/>
  <c r="BA64" i="1"/>
  <c r="BA65" i="1"/>
  <c r="BA66" i="1"/>
  <c r="BA67" i="1"/>
  <c r="BA68" i="1"/>
  <c r="BA69" i="1"/>
  <c r="BA70" i="1"/>
  <c r="BA71" i="1"/>
  <c r="BA72" i="1"/>
  <c r="BA75" i="1"/>
  <c r="BA76" i="1"/>
  <c r="BA78" i="1"/>
  <c r="BA79" i="1"/>
  <c r="BA74" i="1"/>
  <c r="BA81" i="1"/>
  <c r="BA77" i="1"/>
  <c r="BA73" i="1"/>
  <c r="BA82" i="1"/>
  <c r="BA80" i="1"/>
  <c r="BA83" i="1"/>
  <c r="BA97" i="1"/>
  <c r="BA90" i="1"/>
  <c r="BA84" i="1"/>
  <c r="BA96" i="1"/>
  <c r="BA85" i="1"/>
  <c r="BA86" i="1"/>
  <c r="BA87" i="1"/>
  <c r="BA88" i="1"/>
  <c r="BA99" i="1"/>
  <c r="BA101" i="1"/>
  <c r="BA102" i="1"/>
  <c r="BA100" i="1"/>
  <c r="BA111" i="1"/>
  <c r="BA112" i="1"/>
  <c r="BA113" i="1"/>
  <c r="BA114" i="1"/>
  <c r="BA117" i="1"/>
  <c r="BA119" i="1"/>
  <c r="BA120" i="1"/>
  <c r="BA121" i="1"/>
  <c r="BA229" i="1"/>
  <c r="BA233" i="1"/>
  <c r="BA232" i="1"/>
  <c r="BA231" i="1"/>
  <c r="BA230" i="1"/>
  <c r="BA124" i="1"/>
  <c r="BA125" i="1"/>
  <c r="BA127" i="1"/>
  <c r="BA126" i="1"/>
  <c r="BA130" i="1"/>
  <c r="BA131" i="1"/>
  <c r="BA137" i="1"/>
  <c r="BA136" i="1"/>
  <c r="BA135" i="1"/>
  <c r="BA140" i="1"/>
  <c r="BA141" i="1"/>
  <c r="BA234" i="1"/>
  <c r="BA236" i="1"/>
  <c r="BA235" i="1"/>
  <c r="BA237" i="1"/>
  <c r="BA248" i="1"/>
  <c r="BA249" i="1"/>
  <c r="BA250" i="1"/>
  <c r="BA251" i="1"/>
  <c r="BA252" i="1"/>
  <c r="BA253" i="1"/>
  <c r="BA144" i="1"/>
  <c r="BA145" i="1"/>
  <c r="BA146" i="1"/>
  <c r="BA147" i="1"/>
  <c r="BA148" i="1"/>
  <c r="BA149" i="1"/>
  <c r="BA150" i="1"/>
  <c r="BA151" i="1"/>
  <c r="BA154" i="1"/>
  <c r="BA153" i="1"/>
  <c r="BA152" i="1"/>
  <c r="BA156" i="1"/>
  <c r="BA157" i="1"/>
  <c r="BA158" i="1"/>
  <c r="BA159" i="1"/>
  <c r="BA160" i="1"/>
  <c r="BA161" i="1"/>
  <c r="BA162" i="1"/>
  <c r="BA164" i="1"/>
  <c r="BA165" i="1"/>
  <c r="BA167" i="1"/>
  <c r="BA169" i="1"/>
  <c r="BA168" i="1"/>
  <c r="BA170" i="1"/>
  <c r="BA171" i="1"/>
  <c r="BA178" i="1"/>
  <c r="BA179" i="1"/>
  <c r="BA180" i="1"/>
  <c r="BA172" i="1"/>
  <c r="BA173" i="1"/>
  <c r="BA192" i="1"/>
  <c r="BA193" i="1"/>
  <c r="BA196" i="1"/>
  <c r="BA197" i="1"/>
  <c r="BA198" i="1"/>
  <c r="BA199" i="1"/>
  <c r="BA200" i="1"/>
  <c r="BA201" i="1"/>
  <c r="BA202" i="1"/>
  <c r="BA205" i="1"/>
  <c r="BA207" i="1"/>
  <c r="BA206" i="1"/>
  <c r="BA208" i="1"/>
  <c r="BA209" i="1"/>
  <c r="BA210" i="1"/>
  <c r="BA211" i="1"/>
  <c r="BA212" i="1"/>
  <c r="BA213" i="1"/>
  <c r="BA222" i="1"/>
  <c r="BA223" i="1"/>
  <c r="BA256" i="1"/>
  <c r="BA258" i="1"/>
  <c r="BA257" i="1"/>
  <c r="BA260" i="1"/>
  <c r="BA261" i="1"/>
  <c r="BA262" i="1"/>
  <c r="BA263" i="1"/>
  <c r="BA259" i="1"/>
  <c r="BA224" i="1"/>
  <c r="BA20" i="1"/>
  <c r="AZ20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C111" i="1"/>
  <c r="BB111" i="1"/>
  <c r="AZ111" i="1"/>
  <c r="BB176" i="1"/>
  <c r="BB4" i="1"/>
  <c r="BB9" i="1"/>
  <c r="BB173" i="1"/>
  <c r="BB175" i="1"/>
  <c r="BB178" i="1"/>
  <c r="BB179" i="1"/>
  <c r="BB180" i="1"/>
  <c r="BB192" i="1"/>
  <c r="BB33" i="1"/>
  <c r="BB34" i="1"/>
  <c r="BB35" i="1"/>
  <c r="BB36" i="1"/>
  <c r="BB37" i="1"/>
  <c r="BB38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9" i="1"/>
  <c r="BB100" i="1"/>
  <c r="BB101" i="1"/>
  <c r="BB102" i="1"/>
  <c r="BB113" i="1"/>
  <c r="BB114" i="1"/>
  <c r="BB117" i="1"/>
  <c r="BB119" i="1"/>
  <c r="BB120" i="1"/>
  <c r="BB121" i="1"/>
  <c r="BB229" i="1"/>
  <c r="BB230" i="1"/>
  <c r="BB231" i="1"/>
  <c r="BB232" i="1"/>
  <c r="BB233" i="1"/>
  <c r="BB124" i="1"/>
  <c r="BB125" i="1"/>
  <c r="BB126" i="1"/>
  <c r="BB127" i="1"/>
  <c r="BB130" i="1"/>
  <c r="BB131" i="1"/>
  <c r="BB135" i="1"/>
  <c r="BB136" i="1"/>
  <c r="BB137" i="1"/>
  <c r="BB140" i="1"/>
  <c r="BB141" i="1"/>
  <c r="BB234" i="1"/>
  <c r="BB235" i="1"/>
  <c r="BB236" i="1"/>
  <c r="BB237" i="1"/>
  <c r="BB248" i="1"/>
  <c r="BB249" i="1"/>
  <c r="BB250" i="1"/>
  <c r="BB251" i="1"/>
  <c r="BB252" i="1"/>
  <c r="BB253" i="1"/>
  <c r="BB144" i="1"/>
  <c r="BB145" i="1"/>
  <c r="BB146" i="1"/>
  <c r="BB147" i="1"/>
  <c r="BB148" i="1"/>
  <c r="BB149" i="1"/>
  <c r="BB150" i="1"/>
  <c r="BB151" i="1"/>
  <c r="BB152" i="1"/>
  <c r="BB153" i="1"/>
  <c r="BB154" i="1"/>
  <c r="BB156" i="1"/>
  <c r="BB157" i="1"/>
  <c r="BB158" i="1"/>
  <c r="BB159" i="1"/>
  <c r="BB160" i="1"/>
  <c r="BB161" i="1"/>
  <c r="BB162" i="1"/>
  <c r="BB164" i="1"/>
  <c r="BB165" i="1"/>
  <c r="BB166" i="1"/>
  <c r="BB167" i="1"/>
  <c r="BB168" i="1"/>
  <c r="BB169" i="1"/>
  <c r="BB170" i="1"/>
  <c r="BB171" i="1"/>
  <c r="BB172" i="1"/>
  <c r="BB30" i="1"/>
  <c r="BB31" i="1"/>
  <c r="BB32" i="1"/>
  <c r="AZ30" i="1"/>
  <c r="AZ175" i="1"/>
  <c r="AZ176" i="1"/>
  <c r="AZ178" i="1"/>
  <c r="AZ179" i="1"/>
  <c r="AZ18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T2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C137" i="1"/>
  <c r="BC136" i="1"/>
  <c r="BC29" i="1"/>
  <c r="BC82" i="1"/>
  <c r="BC180" i="1"/>
  <c r="BC237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E35" i="4"/>
  <c r="AE13" i="4"/>
  <c r="AE260" i="4"/>
  <c r="AE199" i="4"/>
  <c r="AE38" i="4"/>
  <c r="AE161" i="4"/>
  <c r="AE163" i="4"/>
  <c r="AE211" i="4"/>
  <c r="AE270" i="4"/>
  <c r="AE12" i="4"/>
  <c r="AE21" i="4"/>
  <c r="AE137" i="4"/>
  <c r="AE195" i="4"/>
  <c r="AE186" i="4"/>
  <c r="AE188" i="4"/>
  <c r="AE193" i="4"/>
  <c r="AE197" i="4"/>
  <c r="AE150" i="4"/>
  <c r="AE165" i="4"/>
  <c r="AE187" i="4"/>
  <c r="AE190" i="4"/>
  <c r="AE191" i="4"/>
  <c r="AE192" i="4"/>
  <c r="AE152" i="4"/>
  <c r="AE196" i="4"/>
  <c r="AE194" i="4"/>
  <c r="AE259" i="4"/>
  <c r="AE267" i="4"/>
  <c r="AE268" i="4"/>
  <c r="AE269" i="4"/>
  <c r="AE295" i="4"/>
  <c r="AE208" i="4"/>
  <c r="AE207" i="4"/>
  <c r="AE30" i="4"/>
  <c r="AE31" i="4"/>
  <c r="AE75" i="4"/>
  <c r="AE85" i="4"/>
  <c r="AE54" i="4"/>
  <c r="AE55" i="4"/>
  <c r="AE78" i="4"/>
  <c r="AE76" i="4"/>
  <c r="AE49" i="4"/>
  <c r="AE70" i="4"/>
  <c r="AE111" i="4"/>
  <c r="AE222" i="4"/>
  <c r="AE202" i="4"/>
  <c r="AE206" i="4"/>
  <c r="AE201" i="4"/>
  <c r="AE241" i="4"/>
  <c r="AE240" i="4"/>
  <c r="AE141" i="4"/>
  <c r="AE205" i="4"/>
  <c r="AE250" i="4"/>
  <c r="AE253" i="4"/>
  <c r="AE251" i="4"/>
  <c r="AE292" i="4"/>
  <c r="AE293" i="4"/>
  <c r="AE74" i="4"/>
  <c r="AE53" i="4"/>
  <c r="AE203" i="4"/>
  <c r="AE204" i="4"/>
  <c r="AE3" i="4"/>
  <c r="AE9" i="4"/>
  <c r="AE10" i="4"/>
  <c r="AE11" i="4"/>
  <c r="AE7" i="4"/>
  <c r="AE6" i="4"/>
  <c r="AE8" i="4"/>
  <c r="AE5" i="4"/>
  <c r="AE14" i="4"/>
  <c r="AE15" i="4"/>
  <c r="AE20" i="4"/>
  <c r="AE29" i="4"/>
  <c r="AE18" i="4"/>
  <c r="AE36" i="4"/>
  <c r="AE34" i="4"/>
  <c r="AE37" i="4"/>
  <c r="AE32" i="4"/>
  <c r="AE24" i="4"/>
  <c r="AE27" i="4"/>
  <c r="AE39" i="4"/>
  <c r="AE23" i="4"/>
  <c r="AE19" i="4"/>
  <c r="AE16" i="4"/>
  <c r="AE59" i="4"/>
  <c r="AE60" i="4"/>
  <c r="AE79" i="4"/>
  <c r="AE44" i="4"/>
  <c r="AE46" i="4"/>
  <c r="AE47" i="4"/>
  <c r="AE45" i="4"/>
  <c r="AE71" i="4"/>
  <c r="AE40" i="4"/>
  <c r="AE41" i="4"/>
  <c r="AE77" i="4"/>
  <c r="AE81" i="4"/>
  <c r="AE84" i="4"/>
  <c r="AE67" i="4"/>
  <c r="AE80" i="4"/>
  <c r="AE57" i="4"/>
  <c r="AE58" i="4"/>
  <c r="AE83" i="4"/>
  <c r="AE61" i="4"/>
  <c r="AE51" i="4"/>
  <c r="AE48" i="4"/>
  <c r="AE56" i="4"/>
  <c r="AE82" i="4"/>
  <c r="AE50" i="4"/>
  <c r="AE117" i="4"/>
  <c r="AE129" i="4"/>
  <c r="AE145" i="4"/>
  <c r="AE156" i="4"/>
  <c r="AE180" i="4"/>
  <c r="AE116" i="4"/>
  <c r="AE128" i="4"/>
  <c r="AE153" i="4"/>
  <c r="AE231" i="4"/>
  <c r="AE127" i="4"/>
  <c r="AE140" i="4"/>
  <c r="AE149" i="4"/>
  <c r="AE159" i="4"/>
  <c r="AE170" i="4"/>
  <c r="AE171" i="4"/>
  <c r="AE198" i="4"/>
  <c r="AE209" i="4"/>
  <c r="AE210" i="4"/>
  <c r="AE217" i="4"/>
  <c r="AE227" i="4"/>
  <c r="AE120" i="4"/>
  <c r="AE144" i="4"/>
  <c r="AE169" i="4"/>
  <c r="AE216" i="4"/>
  <c r="AE142" i="4"/>
  <c r="AE214" i="4"/>
  <c r="AE114" i="4"/>
  <c r="AE148" i="4"/>
  <c r="AE228" i="4"/>
  <c r="AE132" i="4"/>
  <c r="AE213" i="4"/>
  <c r="AE220" i="4"/>
  <c r="AE113" i="4"/>
  <c r="AE146" i="4"/>
  <c r="AE157" i="4"/>
  <c r="AE177" i="4"/>
  <c r="AE133" i="4"/>
  <c r="AE134" i="4"/>
  <c r="AE136" i="4"/>
  <c r="AE182" i="4"/>
  <c r="AE183" i="4"/>
  <c r="AE184" i="4"/>
  <c r="AE173" i="4"/>
  <c r="AE233" i="4"/>
  <c r="AE235" i="4"/>
  <c r="AE115" i="4"/>
  <c r="AE168" i="4"/>
  <c r="AE178" i="4"/>
  <c r="AE175" i="4"/>
  <c r="AE234" i="4"/>
  <c r="AE200" i="4"/>
  <c r="AE232" i="4"/>
  <c r="AE236" i="4"/>
  <c r="AE238" i="4"/>
  <c r="AE151" i="4"/>
  <c r="AE242" i="4"/>
  <c r="AE164" i="4"/>
  <c r="AE239" i="4"/>
  <c r="AE143" i="4"/>
  <c r="AE226" i="4"/>
  <c r="AE109" i="4"/>
  <c r="AE101" i="4"/>
  <c r="AE102" i="4"/>
  <c r="AE166" i="4"/>
  <c r="AE106" i="4"/>
  <c r="AE88" i="4"/>
  <c r="AE89" i="4"/>
  <c r="AE90" i="4"/>
  <c r="AE135" i="4"/>
  <c r="AE86" i="4"/>
  <c r="AE103" i="4"/>
  <c r="AE104" i="4"/>
  <c r="AE138" i="4"/>
  <c r="AE99" i="4"/>
  <c r="AE96" i="4"/>
  <c r="AE118" i="4"/>
  <c r="AE179" i="4"/>
  <c r="AE130" i="4"/>
  <c r="AE155" i="4"/>
  <c r="AE189" i="4"/>
  <c r="AE229" i="4"/>
  <c r="AE176" i="4"/>
  <c r="AE223" i="4"/>
  <c r="AE147" i="4"/>
  <c r="AE121" i="4"/>
  <c r="AE139" i="4"/>
  <c r="AE237" i="4"/>
  <c r="AE100" i="4"/>
  <c r="AE181" i="4"/>
  <c r="AE93" i="4"/>
  <c r="AE225" i="4"/>
  <c r="AE112" i="4"/>
  <c r="AE185" i="4"/>
  <c r="AE162" i="4"/>
  <c r="AE154" i="4"/>
  <c r="AE119" i="4"/>
  <c r="AE224" i="4"/>
  <c r="AE122" i="4"/>
  <c r="AE160" i="4"/>
  <c r="AE219" i="4"/>
  <c r="AE92" i="4"/>
  <c r="AE105" i="4"/>
  <c r="AE131" i="4"/>
  <c r="AE167" i="4"/>
  <c r="AE255" i="4"/>
  <c r="AE257" i="4"/>
  <c r="AE252" i="4"/>
  <c r="AE254" i="4"/>
  <c r="AE256" i="4"/>
  <c r="AE246" i="4"/>
  <c r="AE247" i="4"/>
  <c r="AE243" i="4"/>
  <c r="AE245" i="4"/>
  <c r="AE261" i="4"/>
  <c r="AE262" i="4"/>
  <c r="AE264" i="4"/>
  <c r="AE263" i="4"/>
  <c r="AE266" i="4"/>
  <c r="AE271" i="4"/>
  <c r="AE277" i="4"/>
  <c r="AE276" i="4"/>
  <c r="AE275" i="4"/>
  <c r="AE274" i="4"/>
  <c r="AE279" i="4"/>
  <c r="AE280" i="4"/>
  <c r="AE281" i="4"/>
  <c r="AE278" i="4"/>
  <c r="AE282" i="4"/>
  <c r="AE284" i="4"/>
  <c r="AE285" i="4"/>
  <c r="AE283" i="4"/>
  <c r="AE286" i="4"/>
  <c r="AE288" i="4"/>
  <c r="AE289" i="4"/>
  <c r="AE290" i="4"/>
  <c r="AE287" i="4"/>
  <c r="AE291" i="4"/>
  <c r="AE294" i="4"/>
  <c r="AE297" i="4"/>
  <c r="AE25" i="4"/>
  <c r="AE33" i="4"/>
  <c r="AE17" i="4"/>
  <c r="AE43" i="4"/>
  <c r="AE64" i="4"/>
  <c r="AE68" i="4"/>
  <c r="AE69" i="4"/>
  <c r="AE65" i="4"/>
  <c r="AE66" i="4"/>
  <c r="AE126" i="4"/>
  <c r="AE212" i="4"/>
  <c r="AE221" i="4"/>
  <c r="AE110" i="4"/>
  <c r="AE218" i="4"/>
  <c r="AE108" i="4"/>
  <c r="AE107" i="4"/>
  <c r="AE87" i="4"/>
  <c r="AE94" i="4"/>
  <c r="AE95" i="4"/>
  <c r="AE98" i="4"/>
  <c r="AE172" i="4"/>
  <c r="AE97" i="4"/>
  <c r="AE124" i="4"/>
  <c r="AE258" i="4"/>
  <c r="AE244" i="4"/>
  <c r="AE265" i="4"/>
  <c r="AE2" i="4"/>
  <c r="AE22" i="4"/>
  <c r="AE52" i="4"/>
  <c r="AE125" i="4"/>
  <c r="AE158" i="4"/>
  <c r="AE123" i="4"/>
  <c r="AE215" i="4"/>
  <c r="AE91" i="4"/>
  <c r="AE174" i="4"/>
  <c r="AE272" i="4"/>
  <c r="AE296" i="4"/>
  <c r="AE26" i="4"/>
  <c r="AE62" i="4"/>
  <c r="AE63" i="4"/>
  <c r="AE42" i="4"/>
  <c r="AE28" i="4"/>
  <c r="AE248" i="4"/>
  <c r="AE230" i="4"/>
  <c r="AE273" i="4"/>
  <c r="AE306" i="4"/>
  <c r="AE298" i="4"/>
  <c r="AE300" i="4"/>
  <c r="AE301" i="4"/>
  <c r="AE302" i="4"/>
  <c r="AE303" i="4"/>
  <c r="AE304" i="4"/>
  <c r="AE305" i="4"/>
  <c r="AE307" i="4"/>
  <c r="AE309" i="4"/>
  <c r="AE310" i="4"/>
  <c r="AE312" i="4"/>
  <c r="AE313" i="4"/>
  <c r="AE299" i="4"/>
  <c r="AE311" i="4"/>
  <c r="AE326" i="4"/>
  <c r="AE314" i="4"/>
  <c r="AE315" i="4"/>
  <c r="AE329" i="4"/>
  <c r="AE327" i="4"/>
  <c r="AE328" i="4"/>
  <c r="AE316" i="4"/>
  <c r="AE322" i="4"/>
  <c r="AE323" i="4"/>
  <c r="AE324" i="4"/>
  <c r="AE325" i="4"/>
  <c r="AE317" i="4"/>
  <c r="AE339" i="4"/>
  <c r="AE338" i="4"/>
  <c r="AE333" i="4"/>
  <c r="AE336" i="4"/>
  <c r="AE334" i="4"/>
  <c r="AE337" i="4"/>
  <c r="AE335" i="4"/>
  <c r="AE340" i="4"/>
  <c r="AE346" i="4"/>
  <c r="AE341" i="4"/>
  <c r="AE344" i="4"/>
  <c r="AE342" i="4"/>
  <c r="AE343" i="4"/>
  <c r="AE345" i="4"/>
  <c r="AE318" i="4"/>
  <c r="AE319" i="4"/>
  <c r="AE320" i="4"/>
  <c r="AE321" i="4"/>
  <c r="AE332" i="4"/>
  <c r="AE330" i="4"/>
  <c r="AE331" i="4"/>
  <c r="AE348" i="4"/>
  <c r="AE349" i="4"/>
  <c r="AE350" i="4"/>
  <c r="AE351" i="4"/>
  <c r="AE352" i="4"/>
  <c r="AE362" i="4"/>
  <c r="AE368" i="4"/>
  <c r="AE353" i="4"/>
  <c r="AE366" i="4"/>
  <c r="AE347" i="4"/>
  <c r="AE355" i="4"/>
  <c r="AE356" i="4"/>
  <c r="AE357" i="4"/>
  <c r="AE359" i="4"/>
  <c r="AE360" i="4"/>
  <c r="AE361" i="4"/>
  <c r="AE367" i="4"/>
  <c r="AE363" i="4"/>
  <c r="AE364" i="4"/>
  <c r="AE365" i="4"/>
  <c r="AE354" i="4"/>
  <c r="AE358" i="4"/>
  <c r="AE369" i="4"/>
  <c r="AE370" i="4"/>
  <c r="AE371" i="4"/>
  <c r="AE372" i="4"/>
  <c r="AE373" i="4"/>
  <c r="AE374" i="4"/>
  <c r="AE375" i="4"/>
  <c r="AE377" i="4"/>
  <c r="AE378" i="4"/>
  <c r="AE379" i="4"/>
  <c r="AE376" i="4"/>
  <c r="AE382" i="4"/>
  <c r="AE380" i="4"/>
  <c r="AE381" i="4"/>
  <c r="AE384" i="4"/>
  <c r="AE383" i="4"/>
  <c r="AE385" i="4"/>
  <c r="AE386" i="4"/>
  <c r="AE387" i="4"/>
  <c r="AE388" i="4"/>
  <c r="AE389" i="4"/>
  <c r="AE390" i="4"/>
  <c r="AE391" i="4"/>
  <c r="AE392" i="4"/>
  <c r="AE394" i="4"/>
  <c r="AE395" i="4"/>
  <c r="AE396" i="4"/>
  <c r="AE393" i="4"/>
  <c r="AE399" i="4"/>
  <c r="AE397" i="4"/>
  <c r="AE398" i="4"/>
  <c r="AE400" i="4"/>
  <c r="AE401" i="4"/>
  <c r="AE402" i="4"/>
  <c r="AE403" i="4"/>
  <c r="AE404" i="4"/>
  <c r="AE405" i="4"/>
  <c r="AE406" i="4"/>
  <c r="AE407" i="4"/>
  <c r="AE408" i="4"/>
  <c r="AE409" i="4"/>
  <c r="AE4" i="4"/>
  <c r="AD2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3" i="6"/>
  <c r="D304" i="6"/>
  <c r="D305" i="6"/>
  <c r="D306" i="6"/>
  <c r="D299" i="6"/>
  <c r="D300" i="6"/>
  <c r="D301" i="6"/>
  <c r="D312" i="6"/>
  <c r="D298" i="6"/>
  <c r="D302" i="6"/>
  <c r="D311" i="6"/>
  <c r="D307" i="6"/>
  <c r="D308" i="6"/>
  <c r="D309" i="6"/>
  <c r="D310" i="6"/>
  <c r="D326" i="6"/>
  <c r="D327" i="6"/>
  <c r="D328" i="6"/>
  <c r="D314" i="6"/>
  <c r="D315" i="6"/>
  <c r="D316" i="6"/>
  <c r="D319" i="6"/>
  <c r="D324" i="6"/>
  <c r="D346" i="6"/>
  <c r="D325" i="6"/>
  <c r="D329" i="6"/>
  <c r="D341" i="6"/>
  <c r="D342" i="6"/>
  <c r="D317" i="6"/>
  <c r="D318" i="6"/>
  <c r="D320" i="6"/>
  <c r="D321" i="6"/>
  <c r="D322" i="6"/>
  <c r="D323" i="6"/>
  <c r="D330" i="6"/>
  <c r="D331" i="6"/>
  <c r="D332" i="6"/>
  <c r="D333" i="6"/>
  <c r="D334" i="6"/>
  <c r="D335" i="6"/>
  <c r="D336" i="6"/>
  <c r="D337" i="6"/>
  <c r="D338" i="6"/>
  <c r="D339" i="6"/>
  <c r="D340" i="6"/>
  <c r="D345" i="6"/>
  <c r="D343" i="6"/>
  <c r="D344" i="6"/>
  <c r="D349" i="6"/>
  <c r="D351" i="6"/>
  <c r="D353" i="6"/>
  <c r="D356" i="6"/>
  <c r="D360" i="6"/>
  <c r="D354" i="6"/>
  <c r="D357" i="6"/>
  <c r="D359" i="6"/>
  <c r="D350" i="6"/>
  <c r="D364" i="6"/>
  <c r="D365" i="6"/>
  <c r="D347" i="6"/>
  <c r="D361" i="6"/>
  <c r="D348" i="6"/>
  <c r="D366" i="6"/>
  <c r="D352" i="6"/>
  <c r="D355" i="6"/>
  <c r="D362" i="6"/>
  <c r="D363" i="6"/>
  <c r="D367" i="6"/>
  <c r="D368" i="6"/>
  <c r="D358" i="6"/>
  <c r="D374" i="6"/>
  <c r="D377" i="6"/>
  <c r="D369" i="6"/>
  <c r="D370" i="6"/>
  <c r="D371" i="6"/>
  <c r="D372" i="6"/>
  <c r="D373" i="6"/>
  <c r="D375" i="6"/>
  <c r="D376" i="6"/>
  <c r="D378" i="6"/>
  <c r="D379" i="6"/>
  <c r="D381" i="6"/>
  <c r="D380" i="6"/>
  <c r="D384" i="6"/>
  <c r="D383" i="6"/>
  <c r="D382" i="6"/>
  <c r="D389" i="6"/>
  <c r="D390" i="6"/>
  <c r="D391" i="6"/>
  <c r="D392" i="6"/>
  <c r="D396" i="6"/>
  <c r="D397" i="6"/>
  <c r="D398" i="6"/>
  <c r="D399" i="6"/>
  <c r="D395" i="6"/>
  <c r="D385" i="6"/>
  <c r="D387" i="6"/>
  <c r="D401" i="6"/>
  <c r="D400" i="6"/>
  <c r="D393" i="6"/>
  <c r="D394" i="6"/>
  <c r="D403" i="6"/>
  <c r="D408" i="6"/>
  <c r="D386" i="6"/>
  <c r="D407" i="6"/>
  <c r="D409" i="6"/>
  <c r="D402" i="6"/>
  <c r="D405" i="6"/>
  <c r="D388" i="6"/>
  <c r="D404" i="6"/>
  <c r="D406" i="6"/>
  <c r="D22" i="6"/>
  <c r="A171" i="8"/>
  <c r="C171" i="8"/>
  <c r="AZ117" i="1"/>
  <c r="BC117" i="1"/>
  <c r="AZ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K35" i="2"/>
  <c r="K64" i="4"/>
  <c r="K34" i="2"/>
  <c r="K32" i="2"/>
  <c r="K68" i="4"/>
  <c r="K33" i="2"/>
  <c r="K8" i="2"/>
  <c r="K16" i="2"/>
  <c r="K69" i="4"/>
  <c r="K31" i="2"/>
  <c r="K65" i="4"/>
  <c r="K66" i="4"/>
  <c r="K53" i="4"/>
  <c r="K74" i="4"/>
  <c r="AK3" i="4"/>
  <c r="AK4" i="4"/>
  <c r="AK9" i="4"/>
  <c r="AK10" i="4"/>
  <c r="AK11" i="4"/>
  <c r="AK7" i="4"/>
  <c r="AK6" i="4"/>
  <c r="AK8" i="4"/>
  <c r="AK14" i="4"/>
  <c r="AK15" i="4"/>
  <c r="AK12" i="4"/>
  <c r="AK13" i="4"/>
  <c r="AK20" i="4"/>
  <c r="AK21" i="4"/>
  <c r="AK29" i="4"/>
  <c r="AK30" i="4"/>
  <c r="AK35" i="4"/>
  <c r="AK18" i="4"/>
  <c r="AK36" i="4"/>
  <c r="AK25" i="4"/>
  <c r="AK34" i="4"/>
  <c r="AK37" i="4"/>
  <c r="AK22" i="4"/>
  <c r="AK32" i="4"/>
  <c r="AK33" i="4"/>
  <c r="AK31" i="4"/>
  <c r="AK24" i="4"/>
  <c r="AK26" i="4"/>
  <c r="AK17" i="4"/>
  <c r="AK28" i="4"/>
  <c r="AK59" i="4"/>
  <c r="AK60" i="4"/>
  <c r="AK75" i="4"/>
  <c r="AK85" i="4"/>
  <c r="AK62" i="4"/>
  <c r="AK79" i="4"/>
  <c r="AK54" i="4"/>
  <c r="AK55" i="4"/>
  <c r="AK74" i="4"/>
  <c r="AK44" i="4"/>
  <c r="AK78" i="4"/>
  <c r="AK46" i="4"/>
  <c r="AK47" i="4"/>
  <c r="AK45" i="4"/>
  <c r="AK71" i="4"/>
  <c r="AK52" i="4"/>
  <c r="AK43" i="4"/>
  <c r="AK40" i="4"/>
  <c r="AK41" i="4"/>
  <c r="AK64" i="4"/>
  <c r="AK68" i="4"/>
  <c r="AK69" i="4"/>
  <c r="AK77" i="4"/>
  <c r="AK81" i="4"/>
  <c r="AK137" i="4"/>
  <c r="AK84" i="4"/>
  <c r="AK63" i="4"/>
  <c r="AK65" i="4"/>
  <c r="AK67" i="4"/>
  <c r="AK80" i="4"/>
  <c r="AK57" i="4"/>
  <c r="AK58" i="4"/>
  <c r="AK83" i="4"/>
  <c r="AK66" i="4"/>
  <c r="AK76" i="4"/>
  <c r="AK61" i="4"/>
  <c r="AK42" i="4"/>
  <c r="AK51" i="4"/>
  <c r="AK48" i="4"/>
  <c r="AK49" i="4"/>
  <c r="AK70" i="4"/>
  <c r="AK56" i="4"/>
  <c r="AK117" i="4"/>
  <c r="AK129" i="4"/>
  <c r="AK145" i="4"/>
  <c r="AK156" i="4"/>
  <c r="AK180" i="4"/>
  <c r="AK116" i="4"/>
  <c r="AK128" i="4"/>
  <c r="AK126" i="4"/>
  <c r="AK153" i="4"/>
  <c r="AK231" i="4"/>
  <c r="AK127" i="4"/>
  <c r="AK140" i="4"/>
  <c r="AK149" i="4"/>
  <c r="AK159" i="4"/>
  <c r="AK170" i="4"/>
  <c r="AK171" i="4"/>
  <c r="AK198" i="4"/>
  <c r="AK209" i="4"/>
  <c r="AK210" i="4"/>
  <c r="AK212" i="4"/>
  <c r="AK217" i="4"/>
  <c r="AK221" i="4"/>
  <c r="AK227" i="4"/>
  <c r="AK120" i="4"/>
  <c r="AK144" i="4"/>
  <c r="AK169" i="4"/>
  <c r="AK216" i="4"/>
  <c r="AK110" i="4"/>
  <c r="AK111" i="4"/>
  <c r="AK142" i="4"/>
  <c r="AK214" i="4"/>
  <c r="AK222" i="4"/>
  <c r="AK114" i="4"/>
  <c r="AK148" i="4"/>
  <c r="AK228" i="4"/>
  <c r="AK132" i="4"/>
  <c r="AK213" i="4"/>
  <c r="AK218" i="4"/>
  <c r="AK220" i="4"/>
  <c r="AK113" i="4"/>
  <c r="AK146" i="4"/>
  <c r="AK157" i="4"/>
  <c r="AK177" i="4"/>
  <c r="AK133" i="4"/>
  <c r="AK202" i="4"/>
  <c r="AK203" i="4"/>
  <c r="AK204" i="4"/>
  <c r="AK206" i="4"/>
  <c r="AK125" i="4"/>
  <c r="AK158" i="4"/>
  <c r="AK134" i="4"/>
  <c r="AK136" i="4"/>
  <c r="AK182" i="4"/>
  <c r="AK183" i="4"/>
  <c r="AK184" i="4"/>
  <c r="AK195" i="4"/>
  <c r="AK173" i="4"/>
  <c r="AK186" i="4"/>
  <c r="AK188" i="4"/>
  <c r="AK193" i="4"/>
  <c r="AK197" i="4"/>
  <c r="AK150" i="4"/>
  <c r="AK165" i="4"/>
  <c r="AK187" i="4"/>
  <c r="AK199" i="4"/>
  <c r="AK201" i="4"/>
  <c r="AK233" i="4"/>
  <c r="AK235" i="4"/>
  <c r="AK115" i="4"/>
  <c r="AK168" i="4"/>
  <c r="AK178" i="4"/>
  <c r="AK190" i="4"/>
  <c r="AK191" i="4"/>
  <c r="AK175" i="4"/>
  <c r="AK230" i="4"/>
  <c r="AK234" i="4"/>
  <c r="AK200" i="4"/>
  <c r="AK232" i="4"/>
  <c r="AK236" i="4"/>
  <c r="AK238" i="4"/>
  <c r="AK151" i="4"/>
  <c r="AK192" i="4"/>
  <c r="AK242" i="4"/>
  <c r="AK164" i="4"/>
  <c r="AK161" i="4"/>
  <c r="AK108" i="4"/>
  <c r="AK239" i="4"/>
  <c r="AK208" i="4"/>
  <c r="AK143" i="4"/>
  <c r="AK241" i="4"/>
  <c r="AK107" i="4"/>
  <c r="AK207" i="4"/>
  <c r="AK226" i="4"/>
  <c r="AK109" i="4"/>
  <c r="AK101" i="4"/>
  <c r="AK102" i="4"/>
  <c r="AK166" i="4"/>
  <c r="AK106" i="4"/>
  <c r="AK152" i="4"/>
  <c r="AK88" i="4"/>
  <c r="AK87" i="4"/>
  <c r="AK89" i="4"/>
  <c r="AK90" i="4"/>
  <c r="AK135" i="4"/>
  <c r="AK86" i="4"/>
  <c r="AK196" i="4"/>
  <c r="AK94" i="4"/>
  <c r="AK103" i="4"/>
  <c r="AK123" i="4"/>
  <c r="AK104" i="4"/>
  <c r="AK95" i="4"/>
  <c r="AK98" i="4"/>
  <c r="AK138" i="4"/>
  <c r="AK172" i="4"/>
  <c r="AK99" i="4"/>
  <c r="AK96" i="4"/>
  <c r="AK97" i="4"/>
  <c r="AK124" i="4"/>
  <c r="AK118" i="4"/>
  <c r="AK179" i="4"/>
  <c r="AK130" i="4"/>
  <c r="AK155" i="4"/>
  <c r="AK215" i="4"/>
  <c r="AK189" i="4"/>
  <c r="AK229" i="4"/>
  <c r="AK240" i="4"/>
  <c r="AK176" i="4"/>
  <c r="AK223" i="4"/>
  <c r="AK147" i="4"/>
  <c r="AK121" i="4"/>
  <c r="AK141" i="4"/>
  <c r="AK139" i="4"/>
  <c r="AK237" i="4"/>
  <c r="AK100" i="4"/>
  <c r="AK181" i="4"/>
  <c r="AK93" i="4"/>
  <c r="AK225" i="4"/>
  <c r="AK112" i="4"/>
  <c r="AK185" i="4"/>
  <c r="AK162" i="4"/>
  <c r="AK154" i="4"/>
  <c r="AK119" i="4"/>
  <c r="AK224" i="4"/>
  <c r="AK122" i="4"/>
  <c r="AK160" i="4"/>
  <c r="AK219" i="4"/>
  <c r="AK205" i="4"/>
  <c r="AK163" i="4"/>
  <c r="AK92" i="4"/>
  <c r="AK105" i="4"/>
  <c r="AK255" i="4"/>
  <c r="AK250" i="4"/>
  <c r="AK257" i="4"/>
  <c r="AK259" i="4"/>
  <c r="AK258" i="4"/>
  <c r="AK252" i="4"/>
  <c r="AK254" i="4"/>
  <c r="AK256" i="4"/>
  <c r="AK246" i="4"/>
  <c r="AK247" i="4"/>
  <c r="AK243" i="4"/>
  <c r="AK245" i="4"/>
  <c r="AK244" i="4"/>
  <c r="AK253" i="4"/>
  <c r="AK248" i="4"/>
  <c r="AK267" i="4"/>
  <c r="AK268" i="4"/>
  <c r="AK261" i="4"/>
  <c r="AK260" i="4"/>
  <c r="AK262" i="4"/>
  <c r="AK264" i="4"/>
  <c r="AK265" i="4"/>
  <c r="AK263" i="4"/>
  <c r="AK266" i="4"/>
  <c r="AK269" i="4"/>
  <c r="AK270" i="4"/>
  <c r="AK271" i="4"/>
  <c r="AK277" i="4"/>
  <c r="AK276" i="4"/>
  <c r="AK273" i="4"/>
  <c r="AK275" i="4"/>
  <c r="AK274" i="4"/>
  <c r="AK279" i="4"/>
  <c r="AK272" i="4"/>
  <c r="AK280" i="4"/>
  <c r="AK281" i="4"/>
  <c r="AK278" i="4"/>
  <c r="AK282" i="4"/>
  <c r="AK284" i="4"/>
  <c r="AK285" i="4"/>
  <c r="AK283" i="4"/>
  <c r="AK286" i="4"/>
  <c r="AK288" i="4"/>
  <c r="AK289" i="4"/>
  <c r="AK290" i="4"/>
  <c r="AK287" i="4"/>
  <c r="AK291" i="4"/>
  <c r="AK294" i="4"/>
  <c r="AK292" i="4"/>
  <c r="AK293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9" i="4"/>
  <c r="AK310" i="4"/>
  <c r="AK311" i="4"/>
  <c r="AK312" i="4"/>
  <c r="AK313" i="4"/>
  <c r="AK329" i="4"/>
  <c r="AK327" i="4"/>
  <c r="AK328" i="4"/>
  <c r="AK326" i="4"/>
  <c r="AK316" i="4"/>
  <c r="AK318" i="4"/>
  <c r="AK319" i="4"/>
  <c r="AK320" i="4"/>
  <c r="AK321" i="4"/>
  <c r="AK322" i="4"/>
  <c r="AK323" i="4"/>
  <c r="AK324" i="4"/>
  <c r="AK325" i="4"/>
  <c r="AK317" i="4"/>
  <c r="AK314" i="4"/>
  <c r="AK315" i="4"/>
  <c r="AK333" i="4"/>
  <c r="AK339" i="4"/>
  <c r="AK336" i="4"/>
  <c r="AK334" i="4"/>
  <c r="AK337" i="4"/>
  <c r="AK338" i="4"/>
  <c r="AK335" i="4"/>
  <c r="AK332" i="4"/>
  <c r="AK330" i="4"/>
  <c r="AK331" i="4"/>
  <c r="AK340" i="4"/>
  <c r="AK341" i="4"/>
  <c r="AK344" i="4"/>
  <c r="AK342" i="4"/>
  <c r="AK343" i="4"/>
  <c r="AK345" i="4"/>
  <c r="AK346" i="4"/>
  <c r="AK353" i="4"/>
  <c r="AK347" i="4"/>
  <c r="AK348" i="4"/>
  <c r="AK349" i="4"/>
  <c r="AK354" i="4"/>
  <c r="AK355" i="4"/>
  <c r="AK356" i="4"/>
  <c r="AK357" i="4"/>
  <c r="AK358" i="4"/>
  <c r="AK359" i="4"/>
  <c r="AK360" i="4"/>
  <c r="AK361" i="4"/>
  <c r="AK363" i="4"/>
  <c r="AK364" i="4"/>
  <c r="AK365" i="4"/>
  <c r="AK350" i="4"/>
  <c r="AK351" i="4"/>
  <c r="AK352" i="4"/>
  <c r="AK362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4" i="4"/>
  <c r="AK395" i="4"/>
  <c r="AK396" i="4"/>
  <c r="AK393" i="4"/>
  <c r="AK399" i="4"/>
  <c r="AK397" i="4"/>
  <c r="AK398" i="4"/>
  <c r="AK400" i="4"/>
  <c r="AK401" i="4"/>
  <c r="AK402" i="4"/>
  <c r="AK403" i="4"/>
  <c r="AK404" i="4"/>
  <c r="AK405" i="4"/>
  <c r="AK406" i="4"/>
  <c r="AK407" i="4"/>
  <c r="AK408" i="4"/>
  <c r="AK409" i="4"/>
  <c r="AK5" i="4"/>
  <c r="AK27" i="4"/>
  <c r="AK39" i="4"/>
  <c r="AK23" i="4"/>
  <c r="AK19" i="4"/>
  <c r="AK16" i="4"/>
  <c r="AK38" i="4"/>
  <c r="AK82" i="4"/>
  <c r="AK53" i="4"/>
  <c r="AK50" i="4"/>
  <c r="AK131" i="4"/>
  <c r="AK167" i="4"/>
  <c r="AK194" i="4"/>
  <c r="AK91" i="4"/>
  <c r="AK211" i="4"/>
  <c r="AK174" i="4"/>
  <c r="AK251" i="4"/>
  <c r="AK2" i="4"/>
  <c r="F43" i="4"/>
  <c r="F44" i="4"/>
  <c r="E44" i="4"/>
  <c r="E43" i="4"/>
  <c r="M43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19" i="1"/>
  <c r="BC119" i="1"/>
  <c r="AZ120" i="1"/>
  <c r="BC120" i="1"/>
  <c r="BC179" i="1"/>
  <c r="AZ170" i="1"/>
  <c r="BC170" i="1"/>
  <c r="AZ169" i="1"/>
  <c r="BC169" i="1"/>
  <c r="AZ82" i="1"/>
  <c r="AZ263" i="1"/>
  <c r="BC263" i="1"/>
  <c r="BB263" i="1"/>
  <c r="AZ262" i="1"/>
  <c r="BC262" i="1"/>
  <c r="BB262" i="1"/>
  <c r="AZ154" i="1"/>
  <c r="BC154" i="1"/>
  <c r="AZ153" i="1"/>
  <c r="BC153" i="1"/>
  <c r="AZ34" i="1"/>
  <c r="BC34" i="1"/>
  <c r="AZ33" i="1"/>
  <c r="BC33" i="1"/>
  <c r="AZ32" i="1"/>
  <c r="BC32" i="1"/>
  <c r="AZ31" i="1"/>
  <c r="BC31" i="1"/>
  <c r="BC30" i="1"/>
  <c r="AZ97" i="1"/>
  <c r="BC97" i="1"/>
  <c r="AZ96" i="1"/>
  <c r="BC96" i="1"/>
  <c r="AZ38" i="1"/>
  <c r="BC38" i="1"/>
  <c r="AZ37" i="1"/>
  <c r="BC37" i="1"/>
  <c r="AZ3" i="1"/>
  <c r="AZ4" i="1"/>
  <c r="AZ6" i="1"/>
  <c r="AZ7" i="1"/>
  <c r="AZ8" i="1"/>
  <c r="AZ9" i="1"/>
  <c r="AZ18" i="1"/>
  <c r="AZ19" i="1"/>
  <c r="AZ21" i="1"/>
  <c r="AZ22" i="1"/>
  <c r="AZ23" i="1"/>
  <c r="AZ24" i="1"/>
  <c r="AZ25" i="1"/>
  <c r="AZ26" i="1"/>
  <c r="AZ27" i="1"/>
  <c r="AZ28" i="1"/>
  <c r="AZ29" i="1"/>
  <c r="AZ35" i="1"/>
  <c r="AZ3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9" i="1"/>
  <c r="AZ100" i="1"/>
  <c r="AZ101" i="1"/>
  <c r="AZ102" i="1"/>
  <c r="AZ113" i="1"/>
  <c r="AZ114" i="1"/>
  <c r="AZ124" i="1"/>
  <c r="AZ125" i="1"/>
  <c r="AZ126" i="1"/>
  <c r="AZ127" i="1"/>
  <c r="AZ130" i="1"/>
  <c r="AZ131" i="1"/>
  <c r="AZ135" i="1"/>
  <c r="AZ136" i="1"/>
  <c r="AZ137" i="1"/>
  <c r="AZ140" i="1"/>
  <c r="AZ141" i="1"/>
  <c r="AZ144" i="1"/>
  <c r="AZ145" i="1"/>
  <c r="AZ146" i="1"/>
  <c r="AZ147" i="1"/>
  <c r="AZ148" i="1"/>
  <c r="AZ149" i="1"/>
  <c r="AZ150" i="1"/>
  <c r="AZ151" i="1"/>
  <c r="AZ152" i="1"/>
  <c r="AZ156" i="1"/>
  <c r="AZ157" i="1"/>
  <c r="AZ158" i="1"/>
  <c r="AZ159" i="1"/>
  <c r="AZ160" i="1"/>
  <c r="AZ161" i="1"/>
  <c r="AZ162" i="1"/>
  <c r="AZ164" i="1"/>
  <c r="AZ165" i="1"/>
  <c r="AZ166" i="1"/>
  <c r="AZ167" i="1"/>
  <c r="AZ168" i="1"/>
  <c r="AZ171" i="1"/>
  <c r="AZ172" i="1"/>
  <c r="AZ173" i="1"/>
  <c r="AZ192" i="1"/>
  <c r="AZ193" i="1"/>
  <c r="AZ196" i="1"/>
  <c r="AZ197" i="1"/>
  <c r="AZ198" i="1"/>
  <c r="AZ199" i="1"/>
  <c r="AZ200" i="1"/>
  <c r="AZ201" i="1"/>
  <c r="AZ202" i="1"/>
  <c r="AZ205" i="1"/>
  <c r="AZ206" i="1"/>
  <c r="AZ207" i="1"/>
  <c r="AZ208" i="1"/>
  <c r="AZ209" i="1"/>
  <c r="AZ210" i="1"/>
  <c r="AZ211" i="1"/>
  <c r="AZ212" i="1"/>
  <c r="AZ213" i="1"/>
  <c r="AZ222" i="1"/>
  <c r="AZ223" i="1"/>
  <c r="AZ224" i="1"/>
  <c r="AZ225" i="1"/>
  <c r="AZ229" i="1"/>
  <c r="AZ230" i="1"/>
  <c r="AZ231" i="1"/>
  <c r="AZ232" i="1"/>
  <c r="AZ233" i="1"/>
  <c r="AZ234" i="1"/>
  <c r="AZ235" i="1"/>
  <c r="AZ236" i="1"/>
  <c r="AZ237" i="1"/>
  <c r="AZ248" i="1"/>
  <c r="AZ249" i="1"/>
  <c r="AZ250" i="1"/>
  <c r="AZ251" i="1"/>
  <c r="AZ252" i="1"/>
  <c r="AZ253" i="1"/>
  <c r="AZ256" i="1"/>
  <c r="AZ257" i="1"/>
  <c r="AZ258" i="1"/>
  <c r="AZ259" i="1"/>
  <c r="AZ260" i="1"/>
  <c r="AZ261" i="1"/>
  <c r="AZ2" i="1"/>
  <c r="BC36" i="1"/>
  <c r="BC35" i="1"/>
  <c r="BC158" i="1"/>
  <c r="BB261" i="1"/>
  <c r="BC261" i="1"/>
  <c r="BB260" i="1"/>
  <c r="BC260" i="1"/>
  <c r="BB259" i="1"/>
  <c r="BC259" i="1"/>
  <c r="BB258" i="1"/>
  <c r="BC258" i="1"/>
  <c r="BB257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B256" i="1"/>
  <c r="BC256" i="1"/>
  <c r="BC253" i="1"/>
  <c r="BC252" i="1"/>
  <c r="BC251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C250" i="1"/>
  <c r="BC249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C248" i="1"/>
  <c r="BC236" i="1"/>
  <c r="BC235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C234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C233" i="1"/>
  <c r="BC232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C231" i="1"/>
  <c r="BC230" i="1"/>
  <c r="BC229" i="1"/>
  <c r="BB225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B224" i="1"/>
  <c r="BC224" i="1"/>
  <c r="BB223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B222" i="1"/>
  <c r="BC222" i="1"/>
  <c r="BB213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B212" i="1"/>
  <c r="BC212" i="1"/>
  <c r="BB211" i="1"/>
  <c r="BC211" i="1"/>
  <c r="BB210" i="1"/>
  <c r="BC210" i="1"/>
  <c r="BB209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B208" i="1"/>
  <c r="BC208" i="1"/>
  <c r="BB207" i="1"/>
  <c r="BC207" i="1"/>
  <c r="BB206" i="1"/>
  <c r="BC206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B205" i="1"/>
  <c r="BC205" i="1"/>
  <c r="BB202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B201" i="1"/>
  <c r="BC201" i="1"/>
  <c r="BB200" i="1"/>
  <c r="BC200" i="1"/>
  <c r="BB199" i="1"/>
  <c r="BC199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B198" i="1"/>
  <c r="BC198" i="1"/>
  <c r="BB197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B196" i="1"/>
  <c r="BC196" i="1"/>
  <c r="BB193" i="1"/>
  <c r="BC193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C192" i="1"/>
  <c r="BC178" i="1"/>
  <c r="BC176" i="1"/>
  <c r="BC175" i="1"/>
  <c r="BC173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C171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C167" i="1"/>
  <c r="BC166" i="1"/>
  <c r="BC165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C164" i="1"/>
  <c r="BC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7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C156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9" i="1"/>
  <c r="BC148" i="1"/>
  <c r="BC147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C146" i="1"/>
  <c r="BC145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C144" i="1"/>
  <c r="BC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C131" i="1"/>
  <c r="BC130" i="1"/>
  <c r="BC127" i="1"/>
  <c r="BC126" i="1"/>
  <c r="BC125" i="1"/>
  <c r="BC124" i="1"/>
  <c r="BC114" i="1"/>
  <c r="BC113" i="1"/>
  <c r="BC102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C101" i="1"/>
  <c r="BC100" i="1"/>
  <c r="BC99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9" i="1"/>
  <c r="BC58" i="1"/>
  <c r="BC57" i="1"/>
  <c r="BB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B19" i="1"/>
  <c r="BC19" i="1"/>
  <c r="BB18" i="1"/>
  <c r="BC18" i="1"/>
  <c r="BC9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B8" i="1"/>
  <c r="BC8" i="1"/>
  <c r="BB7" i="1"/>
  <c r="BC7" i="1"/>
  <c r="BB6" i="1"/>
  <c r="BC6" i="1"/>
  <c r="BC4" i="1"/>
  <c r="BB3" i="1"/>
  <c r="BC3" i="1"/>
  <c r="BB2" i="1"/>
  <c r="B270" i="6"/>
  <c r="F42" i="3"/>
  <c r="A42" i="3"/>
  <c r="G42" i="3"/>
  <c r="H42" i="3"/>
  <c r="F43" i="3"/>
  <c r="F44" i="3"/>
  <c r="F45" i="3"/>
  <c r="A43" i="3"/>
  <c r="H43" i="3"/>
  <c r="A44" i="3"/>
  <c r="H44" i="3"/>
  <c r="A45" i="3"/>
  <c r="H45" i="3"/>
  <c r="AH212" i="4"/>
  <c r="AH258" i="4"/>
  <c r="U258" i="4" a="1"/>
  <c r="U258" i="4"/>
  <c r="AH208" i="4"/>
  <c r="AH207" i="4"/>
  <c r="G43" i="3"/>
  <c r="G44" i="3"/>
  <c r="G45" i="3"/>
  <c r="T258" i="4" a="1"/>
  <c r="T258" i="4"/>
  <c r="T208" i="4" a="1"/>
  <c r="T208" i="4"/>
  <c r="T207" i="4" a="1"/>
  <c r="T207" i="4"/>
  <c r="B27" i="3"/>
  <c r="C27" i="3"/>
  <c r="E27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29" i="4"/>
  <c r="R327" i="4"/>
  <c r="R328" i="4"/>
  <c r="R345" i="4"/>
  <c r="R326" i="4"/>
  <c r="R314" i="4"/>
  <c r="R315" i="4"/>
  <c r="R337" i="4"/>
  <c r="R324" i="4"/>
  <c r="R322" i="4"/>
  <c r="R323" i="4"/>
  <c r="R331" i="4"/>
  <c r="R341" i="4"/>
  <c r="R332" i="4"/>
  <c r="R317" i="4"/>
  <c r="R334" i="4"/>
  <c r="R318" i="4"/>
  <c r="R50" i="2"/>
  <c r="R347" i="4"/>
  <c r="R342" i="4"/>
  <c r="R367" i="4"/>
  <c r="R360" i="4"/>
  <c r="R354" i="4"/>
  <c r="R357" i="4"/>
  <c r="R353" i="4"/>
  <c r="R359" i="4"/>
  <c r="R361" i="4"/>
  <c r="R316" i="4"/>
  <c r="R358" i="4"/>
  <c r="R356" i="4"/>
  <c r="R365" i="4"/>
  <c r="R355" i="4"/>
  <c r="R363" i="4"/>
  <c r="R364" i="4"/>
  <c r="R36" i="2"/>
  <c r="R290" i="4"/>
  <c r="R289" i="4"/>
  <c r="R319" i="4"/>
  <c r="R288" i="4"/>
  <c r="R338" i="4"/>
  <c r="R368" i="4"/>
  <c r="R346" i="4"/>
  <c r="R343" i="4"/>
  <c r="R333" i="4"/>
  <c r="R325" i="4"/>
  <c r="R344" i="4"/>
  <c r="R293" i="4"/>
  <c r="R348" i="4"/>
  <c r="R294" i="4"/>
  <c r="R292" i="4"/>
  <c r="R349" i="4"/>
  <c r="R320" i="4"/>
  <c r="R287" i="4"/>
  <c r="R37" i="2"/>
  <c r="R291" i="4"/>
  <c r="R372" i="4"/>
  <c r="R379" i="4"/>
  <c r="R335" i="4"/>
  <c r="R340" i="4"/>
  <c r="R158" i="4"/>
  <c r="R375" i="4"/>
  <c r="R373" i="4"/>
  <c r="R369" i="4"/>
  <c r="R376" i="4"/>
  <c r="R371" i="4"/>
  <c r="R370" i="4"/>
  <c r="R374" i="4"/>
  <c r="R377" i="4"/>
  <c r="R321" i="4"/>
  <c r="R378" i="4"/>
  <c r="R300" i="4"/>
  <c r="R313" i="4"/>
  <c r="R310" i="4"/>
  <c r="R301" i="4"/>
  <c r="R191" i="4"/>
  <c r="R312" i="4"/>
  <c r="R309" i="4"/>
  <c r="R303" i="4"/>
  <c r="R311" i="4"/>
  <c r="R299" i="4"/>
  <c r="R125" i="4"/>
  <c r="R307" i="4"/>
  <c r="R304" i="4"/>
  <c r="R305" i="4"/>
  <c r="R298" i="4"/>
  <c r="R302" i="4"/>
  <c r="R306" i="4"/>
  <c r="R177" i="4"/>
  <c r="R295" i="4"/>
  <c r="R124" i="4"/>
  <c r="R221" i="4"/>
  <c r="R223" i="4"/>
  <c r="R230" i="4"/>
  <c r="R102" i="4"/>
  <c r="R278" i="4"/>
  <c r="R209" i="4"/>
  <c r="R182" i="4"/>
  <c r="R188" i="4"/>
  <c r="R247" i="4"/>
  <c r="R163" i="4"/>
  <c r="R224" i="4"/>
  <c r="R243" i="4"/>
  <c r="R222" i="4"/>
  <c r="R265" i="4"/>
  <c r="R165" i="4"/>
  <c r="R264" i="4"/>
  <c r="R10" i="2"/>
  <c r="R96" i="4"/>
  <c r="R200" i="4"/>
  <c r="R97" i="4"/>
  <c r="R256" i="4"/>
  <c r="R67" i="4"/>
  <c r="R46" i="4"/>
  <c r="R260" i="4"/>
  <c r="R68" i="4"/>
  <c r="R267" i="4"/>
  <c r="R106" i="4"/>
  <c r="R114" i="4"/>
  <c r="R259" i="4"/>
  <c r="R26" i="4"/>
  <c r="R150" i="4"/>
  <c r="R262" i="4"/>
  <c r="R66" i="4"/>
  <c r="R208" i="4"/>
  <c r="R149" i="4"/>
  <c r="R268" i="4"/>
  <c r="R79" i="4"/>
  <c r="R244" i="4"/>
  <c r="R245" i="4"/>
  <c r="R135" i="4"/>
  <c r="R37" i="4"/>
  <c r="R157" i="4"/>
  <c r="R257" i="4"/>
  <c r="R115" i="4"/>
  <c r="R32" i="4"/>
  <c r="R190" i="4"/>
  <c r="R194" i="4"/>
  <c r="R205" i="4"/>
  <c r="R206" i="4"/>
  <c r="R240" i="4"/>
  <c r="R105" i="4"/>
  <c r="R34" i="4"/>
  <c r="R145" i="4"/>
  <c r="R60" i="4"/>
  <c r="R207" i="4"/>
  <c r="R212" i="4"/>
  <c r="R351" i="4"/>
  <c r="R195" i="4"/>
  <c r="R229" i="4"/>
  <c r="R233" i="4"/>
  <c r="R137" i="4"/>
  <c r="R69" i="4"/>
  <c r="R87" i="4"/>
  <c r="R107" i="4"/>
  <c r="R85" i="4"/>
  <c r="R28" i="4"/>
  <c r="R136" i="4"/>
  <c r="R26" i="2"/>
  <c r="R189" i="4"/>
  <c r="R193" i="4"/>
  <c r="R196" i="4"/>
  <c r="R64" i="4"/>
  <c r="R65" i="4"/>
  <c r="R82" i="4"/>
  <c r="R42" i="4"/>
  <c r="R152" i="4"/>
  <c r="R63" i="4"/>
  <c r="R192" i="4"/>
  <c r="R330" i="4"/>
  <c r="R93" i="4"/>
  <c r="R109" i="4"/>
  <c r="R119" i="4"/>
  <c r="R31" i="4"/>
  <c r="R168" i="4"/>
  <c r="R4" i="4"/>
  <c r="R20" i="4"/>
  <c r="R101" i="4"/>
  <c r="R111" i="4"/>
  <c r="R263" i="4"/>
  <c r="R242" i="4"/>
  <c r="R47" i="4"/>
  <c r="R266" i="4"/>
  <c r="R219" i="4"/>
  <c r="R162" i="4"/>
  <c r="R80" i="4"/>
  <c r="R350" i="4"/>
  <c r="R246" i="4"/>
  <c r="R269" i="4"/>
  <c r="R167" i="4"/>
  <c r="R235" i="4"/>
  <c r="R108" i="4"/>
  <c r="R22" i="4"/>
  <c r="R153" i="4"/>
  <c r="R51" i="4"/>
  <c r="R175" i="4"/>
  <c r="R217" i="4"/>
  <c r="R231" i="4"/>
  <c r="R81" i="4"/>
  <c r="R23" i="4"/>
  <c r="R184" i="4"/>
  <c r="R236" i="4"/>
  <c r="R238" i="4"/>
  <c r="R113" i="4"/>
  <c r="R122" i="4"/>
  <c r="R253" i="4"/>
  <c r="R234" i="4"/>
  <c r="R237" i="4"/>
  <c r="R88" i="4"/>
  <c r="R103" i="4"/>
  <c r="R117" i="4"/>
  <c r="R174" i="4"/>
  <c r="R56" i="4"/>
  <c r="R62" i="4"/>
  <c r="R199" i="4"/>
  <c r="R86" i="4"/>
  <c r="R24" i="4"/>
  <c r="R121" i="4"/>
  <c r="R30" i="4"/>
  <c r="R132" i="4"/>
  <c r="R141" i="4"/>
  <c r="R147" i="4"/>
  <c r="R203" i="4"/>
  <c r="R204" i="4"/>
  <c r="R211" i="4"/>
  <c r="R274" i="4"/>
  <c r="R118" i="4"/>
  <c r="R33" i="4"/>
  <c r="R45" i="4"/>
  <c r="R140" i="4"/>
  <c r="R258" i="4"/>
  <c r="R83" i="4"/>
  <c r="R241" i="4"/>
  <c r="R98" i="4"/>
  <c r="R214" i="4"/>
  <c r="R91" i="4"/>
  <c r="R21" i="4"/>
  <c r="R178" i="4"/>
  <c r="R202" i="4"/>
  <c r="R99" i="4"/>
  <c r="R40" i="4"/>
  <c r="R41" i="4"/>
  <c r="R27" i="4"/>
  <c r="R148" i="4"/>
  <c r="R201" i="4"/>
  <c r="R210" i="4"/>
  <c r="R213" i="4"/>
  <c r="R286" i="4"/>
  <c r="R123" i="4"/>
  <c r="R138" i="4"/>
  <c r="R142" i="4"/>
  <c r="R161" i="4"/>
  <c r="R225" i="4"/>
  <c r="R232" i="4"/>
  <c r="R112" i="4"/>
  <c r="R2" i="4"/>
  <c r="R248" i="4"/>
  <c r="R146" i="4"/>
  <c r="R151" i="4"/>
  <c r="R187" i="4"/>
  <c r="R70" i="4"/>
  <c r="R92" i="4"/>
  <c r="R110" i="4"/>
  <c r="R35" i="4"/>
  <c r="R172" i="4"/>
  <c r="R186" i="4"/>
  <c r="R156" i="4"/>
  <c r="R239" i="4"/>
  <c r="R94" i="4"/>
  <c r="R25" i="4"/>
  <c r="R143" i="4"/>
  <c r="R185" i="4"/>
  <c r="R170" i="4"/>
  <c r="R171" i="4"/>
  <c r="R183" i="4"/>
  <c r="R215" i="4"/>
  <c r="R95" i="4"/>
  <c r="R100" i="4"/>
  <c r="R129" i="4"/>
  <c r="R130" i="4"/>
  <c r="R131" i="4"/>
  <c r="R29" i="4"/>
  <c r="R133" i="4"/>
  <c r="R57" i="4"/>
  <c r="R216" i="4"/>
  <c r="R218" i="4"/>
  <c r="R39" i="4"/>
  <c r="R261" i="4"/>
  <c r="R252" i="4"/>
  <c r="R173" i="4"/>
  <c r="R89" i="4"/>
  <c r="R120" i="4"/>
  <c r="R228" i="4"/>
  <c r="R38" i="4"/>
  <c r="R90" i="4"/>
  <c r="R116" i="4"/>
  <c r="R134" i="4"/>
  <c r="R50" i="4"/>
  <c r="R254" i="4"/>
  <c r="R198" i="4"/>
  <c r="R220" i="4"/>
  <c r="R84" i="4"/>
  <c r="R18" i="4"/>
  <c r="R272" i="4"/>
  <c r="R126" i="4"/>
  <c r="R281" i="4"/>
  <c r="R227" i="4"/>
  <c r="R16" i="4"/>
  <c r="R128" i="4"/>
  <c r="R160" i="4"/>
  <c r="R279" i="4"/>
  <c r="R49" i="4"/>
  <c r="R159" i="4"/>
  <c r="R15" i="4"/>
  <c r="R166" i="4"/>
  <c r="R58" i="4"/>
  <c r="R59" i="4"/>
  <c r="R17" i="4"/>
  <c r="R19" i="4"/>
  <c r="R48" i="4"/>
  <c r="R144" i="4"/>
  <c r="R169" i="4"/>
  <c r="R104" i="4"/>
  <c r="R127" i="4"/>
  <c r="R52" i="4"/>
  <c r="R155" i="4"/>
  <c r="R7" i="4"/>
  <c r="R270" i="4"/>
  <c r="R271" i="4"/>
  <c r="R154" i="4"/>
  <c r="R164" i="4"/>
  <c r="Z351" i="4"/>
  <c r="Z352" i="4"/>
  <c r="Z362" i="4"/>
  <c r="U2" i="12"/>
  <c r="R277" i="4"/>
  <c r="R275" i="4"/>
  <c r="R139" i="4"/>
  <c r="R339" i="4"/>
  <c r="Q2" i="12"/>
  <c r="O2" i="12"/>
  <c r="N397" i="4"/>
  <c r="N387" i="4"/>
  <c r="M2" i="12"/>
  <c r="K2" i="12"/>
  <c r="J118" i="4"/>
  <c r="J255" i="4"/>
  <c r="J223" i="4"/>
  <c r="J224" i="4"/>
  <c r="J277" i="4"/>
  <c r="J117" i="4"/>
  <c r="J40" i="4"/>
  <c r="J22" i="4"/>
  <c r="J41" i="4"/>
  <c r="J24" i="4"/>
  <c r="J42" i="4"/>
  <c r="J26" i="4"/>
  <c r="J27" i="4"/>
  <c r="J28" i="4"/>
  <c r="J122" i="4"/>
  <c r="J30" i="4"/>
  <c r="J31" i="4"/>
  <c r="J32" i="4"/>
  <c r="J33" i="4"/>
  <c r="J35" i="4"/>
  <c r="J129" i="4"/>
  <c r="J130" i="4"/>
  <c r="J131" i="4"/>
  <c r="J145" i="4"/>
  <c r="J147" i="4"/>
  <c r="J51" i="4"/>
  <c r="J156" i="4"/>
  <c r="J59" i="4"/>
  <c r="J225" i="4"/>
  <c r="J39" i="4"/>
  <c r="J116" i="4"/>
  <c r="J23" i="4"/>
  <c r="J25" i="4"/>
  <c r="J34" i="4"/>
  <c r="J128" i="4"/>
  <c r="J48" i="4"/>
  <c r="J160" i="4"/>
  <c r="J26" i="2"/>
  <c r="J126" i="4"/>
  <c r="J153" i="4"/>
  <c r="J231" i="4"/>
  <c r="J127" i="4"/>
  <c r="J287" i="4"/>
  <c r="J140" i="4"/>
  <c r="J149" i="4"/>
  <c r="J159" i="4"/>
  <c r="J170" i="4"/>
  <c r="J171" i="4"/>
  <c r="J57" i="4"/>
  <c r="J291" i="4"/>
  <c r="J60" i="4"/>
  <c r="J198" i="4"/>
  <c r="J209" i="4"/>
  <c r="J210" i="4"/>
  <c r="J212" i="4"/>
  <c r="J217" i="4"/>
  <c r="J221" i="4"/>
  <c r="J227" i="4"/>
  <c r="J294" i="4"/>
  <c r="J120" i="4"/>
  <c r="J169" i="4"/>
  <c r="J216" i="4"/>
  <c r="J75" i="4"/>
  <c r="J110" i="4"/>
  <c r="J111" i="4"/>
  <c r="J250" i="4"/>
  <c r="J142" i="4"/>
  <c r="J49" i="4"/>
  <c r="J37" i="4"/>
  <c r="J50" i="4"/>
  <c r="J155" i="4"/>
  <c r="J56" i="4"/>
  <c r="J58" i="4"/>
  <c r="J214" i="4"/>
  <c r="J70" i="4"/>
  <c r="J222" i="4"/>
  <c r="J84" i="4"/>
  <c r="J114" i="4"/>
  <c r="J121" i="4"/>
  <c r="J12" i="4"/>
  <c r="J148" i="4"/>
  <c r="J167" i="4"/>
  <c r="J228" i="4"/>
  <c r="J112" i="4"/>
  <c r="J132" i="4"/>
  <c r="J213" i="4"/>
  <c r="J215" i="4"/>
  <c r="J219" i="4"/>
  <c r="J276" i="4"/>
  <c r="J83" i="4"/>
  <c r="J85" i="4"/>
  <c r="J113" i="4"/>
  <c r="J141" i="4"/>
  <c r="J146" i="4"/>
  <c r="J157" i="4"/>
  <c r="J273" i="4"/>
  <c r="J177" i="4"/>
  <c r="J62" i="4"/>
  <c r="J63" i="4"/>
  <c r="J64" i="4"/>
  <c r="J66" i="4"/>
  <c r="J67" i="4"/>
  <c r="J69" i="4"/>
  <c r="J76" i="4"/>
  <c r="J77" i="4"/>
  <c r="J79" i="4"/>
  <c r="J80" i="4"/>
  <c r="J82" i="4"/>
  <c r="J133" i="4"/>
  <c r="J185" i="4"/>
  <c r="J194" i="4"/>
  <c r="J202" i="4"/>
  <c r="J204" i="4"/>
  <c r="J205" i="4"/>
  <c r="J206" i="4"/>
  <c r="J293" i="4"/>
  <c r="J124" i="4"/>
  <c r="J158" i="4"/>
  <c r="J278" i="4"/>
  <c r="J134" i="4"/>
  <c r="J136" i="4"/>
  <c r="J182" i="4"/>
  <c r="J183" i="4"/>
  <c r="J184" i="4"/>
  <c r="J195" i="4"/>
  <c r="J275" i="4"/>
  <c r="J81" i="4"/>
  <c r="J18" i="4"/>
  <c r="J173" i="4"/>
  <c r="J186" i="4"/>
  <c r="J188" i="4"/>
  <c r="J257" i="4"/>
  <c r="J193" i="4"/>
  <c r="J197" i="4"/>
  <c r="J267" i="4"/>
  <c r="J268" i="4"/>
  <c r="J19" i="4"/>
  <c r="J150" i="4"/>
  <c r="J165" i="4"/>
  <c r="J53" i="4"/>
  <c r="J54" i="4"/>
  <c r="J55" i="4"/>
  <c r="J187" i="4"/>
  <c r="J199" i="4"/>
  <c r="J201" i="4"/>
  <c r="J259" i="4"/>
  <c r="J233" i="4"/>
  <c r="J235" i="4"/>
  <c r="J16" i="4"/>
  <c r="J115" i="4"/>
  <c r="J168" i="4"/>
  <c r="J178" i="4"/>
  <c r="J189" i="4"/>
  <c r="J190" i="4"/>
  <c r="J191" i="4"/>
  <c r="J74" i="4"/>
  <c r="J17" i="4"/>
  <c r="J137" i="4"/>
  <c r="J175" i="4"/>
  <c r="J229" i="4"/>
  <c r="J230" i="4"/>
  <c r="J78" i="4"/>
  <c r="J234" i="4"/>
  <c r="J269" i="4"/>
  <c r="J200" i="4"/>
  <c r="J232" i="4"/>
  <c r="J236" i="4"/>
  <c r="J237" i="4"/>
  <c r="J238" i="4"/>
  <c r="J252" i="4"/>
  <c r="J254" i="4"/>
  <c r="J192" i="4"/>
  <c r="J36" i="4"/>
  <c r="J256" i="4"/>
  <c r="J242" i="4"/>
  <c r="J91" i="4"/>
  <c r="J264" i="4"/>
  <c r="J46" i="4"/>
  <c r="J161" i="4"/>
  <c r="J163" i="4"/>
  <c r="J47" i="4"/>
  <c r="J271" i="4"/>
  <c r="J108" i="4"/>
  <c r="J211" i="4"/>
  <c r="J239" i="4"/>
  <c r="J240" i="4"/>
  <c r="J45" i="4"/>
  <c r="J263" i="4"/>
  <c r="J92" i="4"/>
  <c r="J208" i="4"/>
  <c r="J143" i="4"/>
  <c r="J241" i="4"/>
  <c r="J207" i="4"/>
  <c r="J246" i="4"/>
  <c r="J247" i="4"/>
  <c r="J100" i="4"/>
  <c r="J109" i="4"/>
  <c r="J243" i="4"/>
  <c r="J101" i="4"/>
  <c r="J266" i="4"/>
  <c r="J10" i="2"/>
  <c r="J279" i="4"/>
  <c r="J71" i="4"/>
  <c r="J102" i="4"/>
  <c r="J245" i="4"/>
  <c r="J106" i="4"/>
  <c r="J88" i="4"/>
  <c r="J119" i="4"/>
  <c r="J87" i="4"/>
  <c r="J244" i="4"/>
  <c r="J89" i="4"/>
  <c r="J297" i="4"/>
  <c r="J90" i="4"/>
  <c r="J135" i="4"/>
  <c r="J13" i="2"/>
  <c r="J52" i="4"/>
  <c r="J248" i="4"/>
  <c r="J86" i="4"/>
  <c r="J196" i="4"/>
  <c r="J11" i="2"/>
  <c r="J174" i="4"/>
  <c r="J105" i="4"/>
  <c r="J94" i="4"/>
  <c r="J103" i="4"/>
  <c r="J123" i="4"/>
  <c r="J104" i="4"/>
  <c r="J95" i="4"/>
  <c r="J98" i="4"/>
  <c r="J138" i="4"/>
  <c r="J172" i="4"/>
  <c r="J99" i="4"/>
  <c r="J96" i="4"/>
  <c r="I2" i="12"/>
  <c r="H201" i="4"/>
  <c r="H200" i="4"/>
  <c r="G2" i="12"/>
  <c r="F2" i="4"/>
  <c r="F46" i="2"/>
  <c r="F20" i="4"/>
  <c r="F93" i="4"/>
  <c r="F21" i="4"/>
  <c r="F40" i="4"/>
  <c r="F22" i="4"/>
  <c r="F41" i="4"/>
  <c r="F24" i="4"/>
  <c r="F42" i="4"/>
  <c r="F26" i="4"/>
  <c r="F27" i="4"/>
  <c r="F28" i="4"/>
  <c r="F29" i="4"/>
  <c r="F30" i="4"/>
  <c r="F31" i="4"/>
  <c r="F32" i="4"/>
  <c r="F33" i="4"/>
  <c r="F35" i="4"/>
  <c r="F145" i="4"/>
  <c r="F59" i="4"/>
  <c r="F52" i="2"/>
  <c r="F38" i="4"/>
  <c r="F39" i="4"/>
  <c r="F23" i="4"/>
  <c r="F25" i="4"/>
  <c r="F34" i="4"/>
  <c r="F48" i="4"/>
  <c r="F153" i="4"/>
  <c r="F231" i="4"/>
  <c r="F287" i="4"/>
  <c r="F57" i="4"/>
  <c r="F37" i="2"/>
  <c r="F291" i="4"/>
  <c r="F60" i="4"/>
  <c r="F209" i="4"/>
  <c r="F221" i="4"/>
  <c r="F294" i="4"/>
  <c r="F75" i="4"/>
  <c r="F110" i="4"/>
  <c r="F37" i="4"/>
  <c r="F14" i="4"/>
  <c r="F155" i="4"/>
  <c r="F56" i="4"/>
  <c r="F58" i="4"/>
  <c r="F12" i="2"/>
  <c r="F11" i="2"/>
  <c r="F282" i="4"/>
  <c r="F114" i="4"/>
  <c r="F7" i="4"/>
  <c r="F215" i="4"/>
  <c r="F276" i="4"/>
  <c r="F83" i="4"/>
  <c r="F85" i="4"/>
  <c r="F113" i="4"/>
  <c r="F146" i="4"/>
  <c r="F177" i="4"/>
  <c r="F62" i="4"/>
  <c r="F63" i="4"/>
  <c r="F64" i="4"/>
  <c r="F65" i="4"/>
  <c r="F66" i="4"/>
  <c r="F67" i="4"/>
  <c r="F68" i="4"/>
  <c r="F69" i="4"/>
  <c r="F76" i="4"/>
  <c r="F77" i="4"/>
  <c r="F79" i="4"/>
  <c r="F80" i="4"/>
  <c r="F82" i="4"/>
  <c r="F133" i="4"/>
  <c r="F185" i="4"/>
  <c r="F194" i="4"/>
  <c r="F202" i="4"/>
  <c r="F203" i="4"/>
  <c r="F204" i="4"/>
  <c r="F205" i="4"/>
  <c r="F206" i="4"/>
  <c r="F292" i="4"/>
  <c r="F293" i="4"/>
  <c r="F124" i="4"/>
  <c r="F125" i="4"/>
  <c r="F158" i="4"/>
  <c r="F278" i="4"/>
  <c r="F134" i="4"/>
  <c r="F136" i="4"/>
  <c r="F182" i="4"/>
  <c r="F183" i="4"/>
  <c r="F184" i="4"/>
  <c r="F195" i="4"/>
  <c r="F81" i="4"/>
  <c r="F18" i="4"/>
  <c r="F173" i="4"/>
  <c r="F186" i="4"/>
  <c r="F188" i="4"/>
  <c r="F257" i="4"/>
  <c r="F193" i="4"/>
  <c r="F197" i="4"/>
  <c r="F267" i="4"/>
  <c r="F268" i="4"/>
  <c r="F19" i="4"/>
  <c r="F150" i="4"/>
  <c r="F165" i="4"/>
  <c r="F53" i="4"/>
  <c r="F54" i="4"/>
  <c r="F55" i="4"/>
  <c r="F280" i="4"/>
  <c r="F284" i="4"/>
  <c r="F187" i="4"/>
  <c r="F199" i="4"/>
  <c r="F201" i="4"/>
  <c r="F259" i="4"/>
  <c r="F7" i="2"/>
  <c r="F233" i="4"/>
  <c r="F235" i="4"/>
  <c r="F16" i="4"/>
  <c r="F115" i="4"/>
  <c r="F295" i="4"/>
  <c r="F6" i="4"/>
  <c r="F8" i="4"/>
  <c r="F168" i="4"/>
  <c r="F285" i="4"/>
  <c r="F189" i="4"/>
  <c r="F190" i="4"/>
  <c r="F283" i="4"/>
  <c r="F191" i="4"/>
  <c r="F74" i="4"/>
  <c r="F17" i="4"/>
  <c r="F137" i="4"/>
  <c r="F296" i="4"/>
  <c r="F175" i="4"/>
  <c r="F229" i="4"/>
  <c r="F230" i="4"/>
  <c r="F78" i="4"/>
  <c r="F234" i="4"/>
  <c r="F13" i="2"/>
  <c r="F13" i="4"/>
  <c r="F269" i="4"/>
  <c r="F200" i="4"/>
  <c r="F258" i="4"/>
  <c r="F232" i="4"/>
  <c r="F236" i="4"/>
  <c r="F237" i="4"/>
  <c r="F238" i="4"/>
  <c r="F151" i="4"/>
  <c r="F252" i="4"/>
  <c r="F162" i="4"/>
  <c r="F254" i="4"/>
  <c r="F36" i="4"/>
  <c r="F256" i="4"/>
  <c r="F242" i="4"/>
  <c r="F91" i="4"/>
  <c r="F264" i="4"/>
  <c r="F274" i="4"/>
  <c r="F154" i="4"/>
  <c r="F164" i="4"/>
  <c r="F46" i="4"/>
  <c r="F265" i="4"/>
  <c r="F161" i="4"/>
  <c r="F163" i="4"/>
  <c r="F271" i="4"/>
  <c r="F108" i="4"/>
  <c r="F211" i="4"/>
  <c r="F239" i="4"/>
  <c r="F240" i="4"/>
  <c r="F45" i="4"/>
  <c r="F92" i="4"/>
  <c r="F208" i="4"/>
  <c r="F143" i="4"/>
  <c r="F241" i="4"/>
  <c r="F107" i="4"/>
  <c r="F207" i="4"/>
  <c r="F246" i="4"/>
  <c r="F247" i="4"/>
  <c r="F100" i="4"/>
  <c r="F109" i="4"/>
  <c r="F243" i="4"/>
  <c r="F101" i="4"/>
  <c r="F10" i="2"/>
  <c r="F279" i="4"/>
  <c r="F71" i="4"/>
  <c r="F102" i="4"/>
  <c r="F166" i="4"/>
  <c r="F245" i="4"/>
  <c r="F106" i="4"/>
  <c r="F152" i="4"/>
  <c r="F88" i="4"/>
  <c r="F119" i="4"/>
  <c r="F87" i="4"/>
  <c r="F244" i="4"/>
  <c r="F272" i="4"/>
  <c r="F89" i="4"/>
  <c r="F90" i="4"/>
  <c r="F135" i="4"/>
  <c r="F253" i="4"/>
  <c r="F52" i="4"/>
  <c r="F248" i="4"/>
  <c r="F86" i="4"/>
  <c r="F196" i="4"/>
  <c r="F174" i="4"/>
  <c r="F105" i="4"/>
  <c r="F94" i="4"/>
  <c r="F103" i="4"/>
  <c r="F123" i="4"/>
  <c r="F104" i="4"/>
  <c r="F95" i="4"/>
  <c r="F98" i="4"/>
  <c r="F138" i="4"/>
  <c r="F50" i="2"/>
  <c r="F172" i="4"/>
  <c r="F99" i="4"/>
  <c r="F96" i="4"/>
  <c r="F97" i="4"/>
  <c r="F300" i="4"/>
  <c r="F301" i="4"/>
  <c r="F299" i="4"/>
  <c r="F298" i="4"/>
  <c r="F307" i="4"/>
  <c r="F309" i="4"/>
  <c r="F310" i="4"/>
  <c r="F311" i="4"/>
  <c r="F302" i="4"/>
  <c r="F303" i="4"/>
  <c r="F304" i="4"/>
  <c r="F305" i="4"/>
  <c r="F306" i="4"/>
  <c r="F313" i="4"/>
  <c r="F51" i="2"/>
  <c r="F312" i="4"/>
  <c r="F333" i="4"/>
  <c r="F329" i="4"/>
  <c r="F327" i="4"/>
  <c r="F328" i="4"/>
  <c r="F340" i="4"/>
  <c r="F339" i="4"/>
  <c r="F336" i="4"/>
  <c r="F326" i="4"/>
  <c r="F343" i="4"/>
  <c r="F344" i="4"/>
  <c r="F334" i="4"/>
  <c r="F346" i="4"/>
  <c r="F337" i="4"/>
  <c r="F316" i="4"/>
  <c r="F318" i="4"/>
  <c r="F319" i="4"/>
  <c r="F320" i="4"/>
  <c r="F321" i="4"/>
  <c r="F342" i="4"/>
  <c r="F341" i="4"/>
  <c r="F345" i="4"/>
  <c r="F322" i="4"/>
  <c r="F323" i="4"/>
  <c r="F324" i="4"/>
  <c r="F325" i="4"/>
  <c r="F338" i="4"/>
  <c r="F335" i="4"/>
  <c r="F317" i="4"/>
  <c r="F314" i="4"/>
  <c r="F315" i="4"/>
  <c r="F332" i="4"/>
  <c r="F330" i="4"/>
  <c r="F331" i="4"/>
  <c r="F353" i="4"/>
  <c r="F347" i="4"/>
  <c r="F348" i="4"/>
  <c r="F349" i="4"/>
  <c r="F354" i="4"/>
  <c r="F355" i="4"/>
  <c r="F356" i="4"/>
  <c r="F357" i="4"/>
  <c r="F358" i="4"/>
  <c r="F359" i="4"/>
  <c r="F360" i="4"/>
  <c r="F361" i="4"/>
  <c r="F363" i="4"/>
  <c r="F364" i="4"/>
  <c r="F365" i="4"/>
  <c r="F367" i="4"/>
  <c r="F368" i="4"/>
  <c r="F366" i="4"/>
  <c r="F350" i="4"/>
  <c r="F351" i="4"/>
  <c r="F352" i="4"/>
  <c r="F362" i="4"/>
  <c r="F372" i="4"/>
  <c r="F370" i="4"/>
  <c r="F373" i="4"/>
  <c r="F377" i="4"/>
  <c r="F374" i="4"/>
  <c r="F369" i="4"/>
  <c r="F378" i="4"/>
  <c r="F375" i="4"/>
  <c r="F371" i="4"/>
  <c r="F379" i="4"/>
  <c r="F376" i="4"/>
  <c r="F385" i="4"/>
  <c r="F399" i="4"/>
  <c r="F397" i="4"/>
  <c r="F398" i="4"/>
  <c r="F388" i="4"/>
  <c r="F389" i="4"/>
  <c r="F390" i="4"/>
  <c r="F391" i="4"/>
  <c r="F409" i="4"/>
  <c r="F400" i="4"/>
  <c r="F401" i="4"/>
  <c r="F402" i="4"/>
  <c r="F403" i="4"/>
  <c r="F392" i="4"/>
  <c r="F394" i="4"/>
  <c r="F395" i="4"/>
  <c r="F404" i="4"/>
  <c r="F386" i="4"/>
  <c r="F405" i="4"/>
  <c r="F396" i="4"/>
  <c r="F387" i="4"/>
  <c r="F406" i="4"/>
  <c r="F407" i="4"/>
  <c r="F408" i="4"/>
  <c r="F393" i="4"/>
  <c r="E2" i="12"/>
  <c r="C2" i="12"/>
  <c r="E2" i="4"/>
  <c r="E46" i="2"/>
  <c r="E20" i="4"/>
  <c r="E93" i="4"/>
  <c r="E21" i="4"/>
  <c r="E40" i="4"/>
  <c r="E22" i="4"/>
  <c r="E41" i="4"/>
  <c r="E24" i="4"/>
  <c r="E42" i="4"/>
  <c r="E26" i="4"/>
  <c r="E27" i="4"/>
  <c r="E28" i="4"/>
  <c r="E29" i="4"/>
  <c r="E30" i="4"/>
  <c r="E31" i="4"/>
  <c r="E32" i="4"/>
  <c r="E33" i="4"/>
  <c r="E35" i="4"/>
  <c r="E145" i="4"/>
  <c r="E59" i="4"/>
  <c r="E52" i="2"/>
  <c r="E38" i="4"/>
  <c r="E39" i="4"/>
  <c r="E23" i="4"/>
  <c r="E25" i="4"/>
  <c r="E34" i="4"/>
  <c r="E48" i="4"/>
  <c r="E153" i="4"/>
  <c r="E231" i="4"/>
  <c r="E287" i="4"/>
  <c r="E57" i="4"/>
  <c r="E37" i="2"/>
  <c r="E291" i="4"/>
  <c r="E60" i="4"/>
  <c r="E209" i="4"/>
  <c r="E221" i="4"/>
  <c r="E294" i="4"/>
  <c r="E75" i="4"/>
  <c r="E110" i="4"/>
  <c r="E37" i="4"/>
  <c r="E14" i="4"/>
  <c r="E155" i="4"/>
  <c r="E56" i="4"/>
  <c r="E58" i="4"/>
  <c r="E12" i="2"/>
  <c r="E11" i="2"/>
  <c r="E282" i="4"/>
  <c r="E114" i="4"/>
  <c r="E7" i="4"/>
  <c r="E215" i="4"/>
  <c r="E276" i="4"/>
  <c r="E83" i="4"/>
  <c r="E85" i="4"/>
  <c r="E113" i="4"/>
  <c r="E146" i="4"/>
  <c r="E177" i="4"/>
  <c r="E62" i="4"/>
  <c r="E63" i="4"/>
  <c r="E64" i="4"/>
  <c r="E65" i="4"/>
  <c r="E66" i="4"/>
  <c r="E67" i="4"/>
  <c r="E68" i="4"/>
  <c r="E69" i="4"/>
  <c r="E76" i="4"/>
  <c r="E77" i="4"/>
  <c r="E79" i="4"/>
  <c r="E80" i="4"/>
  <c r="E82" i="4"/>
  <c r="E133" i="4"/>
  <c r="E185" i="4"/>
  <c r="E194" i="4"/>
  <c r="E202" i="4"/>
  <c r="E203" i="4"/>
  <c r="E204" i="4"/>
  <c r="E205" i="4"/>
  <c r="E206" i="4"/>
  <c r="E292" i="4"/>
  <c r="E293" i="4"/>
  <c r="E124" i="4"/>
  <c r="E125" i="4"/>
  <c r="E158" i="4"/>
  <c r="E278" i="4"/>
  <c r="E134" i="4"/>
  <c r="E136" i="4"/>
  <c r="E182" i="4"/>
  <c r="E183" i="4"/>
  <c r="E184" i="4"/>
  <c r="E195" i="4"/>
  <c r="E81" i="4"/>
  <c r="E18" i="4"/>
  <c r="E173" i="4"/>
  <c r="E186" i="4"/>
  <c r="E188" i="4"/>
  <c r="E257" i="4"/>
  <c r="E193" i="4"/>
  <c r="E197" i="4"/>
  <c r="E267" i="4"/>
  <c r="E268" i="4"/>
  <c r="E19" i="4"/>
  <c r="E150" i="4"/>
  <c r="E165" i="4"/>
  <c r="E53" i="4"/>
  <c r="E54" i="4"/>
  <c r="E55" i="4"/>
  <c r="E280" i="4"/>
  <c r="E284" i="4"/>
  <c r="E187" i="4"/>
  <c r="E199" i="4"/>
  <c r="E201" i="4"/>
  <c r="E259" i="4"/>
  <c r="E7" i="2"/>
  <c r="E233" i="4"/>
  <c r="E235" i="4"/>
  <c r="E16" i="4"/>
  <c r="E115" i="4"/>
  <c r="E295" i="4"/>
  <c r="E6" i="4"/>
  <c r="E8" i="4"/>
  <c r="E168" i="4"/>
  <c r="E285" i="4"/>
  <c r="E189" i="4"/>
  <c r="E190" i="4"/>
  <c r="E283" i="4"/>
  <c r="E191" i="4"/>
  <c r="E74" i="4"/>
  <c r="E17" i="4"/>
  <c r="E137" i="4"/>
  <c r="E296" i="4"/>
  <c r="E175" i="4"/>
  <c r="E229" i="4"/>
  <c r="E230" i="4"/>
  <c r="E78" i="4"/>
  <c r="E234" i="4"/>
  <c r="E13" i="2"/>
  <c r="E13" i="4"/>
  <c r="E269" i="4"/>
  <c r="E200" i="4"/>
  <c r="E258" i="4"/>
  <c r="E232" i="4"/>
  <c r="E236" i="4"/>
  <c r="E237" i="4"/>
  <c r="E238" i="4"/>
  <c r="E151" i="4"/>
  <c r="E252" i="4"/>
  <c r="E162" i="4"/>
  <c r="E254" i="4"/>
  <c r="E36" i="4"/>
  <c r="E256" i="4"/>
  <c r="E242" i="4"/>
  <c r="E91" i="4"/>
  <c r="E264" i="4"/>
  <c r="E274" i="4"/>
  <c r="E154" i="4"/>
  <c r="E164" i="4"/>
  <c r="E46" i="4"/>
  <c r="E265" i="4"/>
  <c r="E161" i="4"/>
  <c r="E163" i="4"/>
  <c r="E271" i="4"/>
  <c r="E108" i="4"/>
  <c r="E211" i="4"/>
  <c r="E239" i="4"/>
  <c r="E240" i="4"/>
  <c r="E45" i="4"/>
  <c r="E92" i="4"/>
  <c r="E208" i="4"/>
  <c r="E143" i="4"/>
  <c r="E241" i="4"/>
  <c r="E107" i="4"/>
  <c r="E207" i="4"/>
  <c r="E246" i="4"/>
  <c r="E247" i="4"/>
  <c r="E100" i="4"/>
  <c r="E109" i="4"/>
  <c r="E243" i="4"/>
  <c r="E101" i="4"/>
  <c r="E10" i="2"/>
  <c r="E279" i="4"/>
  <c r="E71" i="4"/>
  <c r="E102" i="4"/>
  <c r="E166" i="4"/>
  <c r="E245" i="4"/>
  <c r="E106" i="4"/>
  <c r="E152" i="4"/>
  <c r="E88" i="4"/>
  <c r="E119" i="4"/>
  <c r="E87" i="4"/>
  <c r="E244" i="4"/>
  <c r="E272" i="4"/>
  <c r="E89" i="4"/>
  <c r="E90" i="4"/>
  <c r="E135" i="4"/>
  <c r="E253" i="4"/>
  <c r="E52" i="4"/>
  <c r="E248" i="4"/>
  <c r="E86" i="4"/>
  <c r="E196" i="4"/>
  <c r="E174" i="4"/>
  <c r="E105" i="4"/>
  <c r="E94" i="4"/>
  <c r="E103" i="4"/>
  <c r="E123" i="4"/>
  <c r="E104" i="4"/>
  <c r="E95" i="4"/>
  <c r="E98" i="4"/>
  <c r="E138" i="4"/>
  <c r="E50" i="2"/>
  <c r="E172" i="4"/>
  <c r="E99" i="4"/>
  <c r="E96" i="4"/>
  <c r="E97" i="4"/>
  <c r="E300" i="4"/>
  <c r="E301" i="4"/>
  <c r="E299" i="4"/>
  <c r="E298" i="4"/>
  <c r="E307" i="4"/>
  <c r="E309" i="4"/>
  <c r="E310" i="4"/>
  <c r="E311" i="4"/>
  <c r="E302" i="4"/>
  <c r="E303" i="4"/>
  <c r="E304" i="4"/>
  <c r="E305" i="4"/>
  <c r="E306" i="4"/>
  <c r="E313" i="4"/>
  <c r="E51" i="2"/>
  <c r="E312" i="4"/>
  <c r="E333" i="4"/>
  <c r="E329" i="4"/>
  <c r="E327" i="4"/>
  <c r="E328" i="4"/>
  <c r="E340" i="4"/>
  <c r="E339" i="4"/>
  <c r="E336" i="4"/>
  <c r="E326" i="4"/>
  <c r="E343" i="4"/>
  <c r="E344" i="4"/>
  <c r="E334" i="4"/>
  <c r="E346" i="4"/>
  <c r="E337" i="4"/>
  <c r="E316" i="4"/>
  <c r="E318" i="4"/>
  <c r="E319" i="4"/>
  <c r="E320" i="4"/>
  <c r="E321" i="4"/>
  <c r="E342" i="4"/>
  <c r="E341" i="4"/>
  <c r="E345" i="4"/>
  <c r="E322" i="4"/>
  <c r="E323" i="4"/>
  <c r="E324" i="4"/>
  <c r="E325" i="4"/>
  <c r="E338" i="4"/>
  <c r="E335" i="4"/>
  <c r="E317" i="4"/>
  <c r="E314" i="4"/>
  <c r="E315" i="4"/>
  <c r="E332" i="4"/>
  <c r="E330" i="4"/>
  <c r="E331" i="4"/>
  <c r="E353" i="4"/>
  <c r="E347" i="4"/>
  <c r="E348" i="4"/>
  <c r="E349" i="4"/>
  <c r="E354" i="4"/>
  <c r="E355" i="4"/>
  <c r="E356" i="4"/>
  <c r="E357" i="4"/>
  <c r="E358" i="4"/>
  <c r="E359" i="4"/>
  <c r="E360" i="4"/>
  <c r="E361" i="4"/>
  <c r="E363" i="4"/>
  <c r="E364" i="4"/>
  <c r="E365" i="4"/>
  <c r="E367" i="4"/>
  <c r="E368" i="4"/>
  <c r="E366" i="4"/>
  <c r="E350" i="4"/>
  <c r="E351" i="4"/>
  <c r="E352" i="4"/>
  <c r="E362" i="4"/>
  <c r="E372" i="4"/>
  <c r="E370" i="4"/>
  <c r="E373" i="4"/>
  <c r="E377" i="4"/>
  <c r="E374" i="4"/>
  <c r="E369" i="4"/>
  <c r="E378" i="4"/>
  <c r="E375" i="4"/>
  <c r="E371" i="4"/>
  <c r="E379" i="4"/>
  <c r="E376" i="4"/>
  <c r="E385" i="4"/>
  <c r="E399" i="4"/>
  <c r="E397" i="4"/>
  <c r="E398" i="4"/>
  <c r="E388" i="4"/>
  <c r="E389" i="4"/>
  <c r="E390" i="4"/>
  <c r="E391" i="4"/>
  <c r="E409" i="4"/>
  <c r="E400" i="4"/>
  <c r="E401" i="4"/>
  <c r="E402" i="4"/>
  <c r="E403" i="4"/>
  <c r="E392" i="4"/>
  <c r="E394" i="4"/>
  <c r="E395" i="4"/>
  <c r="E404" i="4"/>
  <c r="E386" i="4"/>
  <c r="E405" i="4"/>
  <c r="E396" i="4"/>
  <c r="E387" i="4"/>
  <c r="E406" i="4"/>
  <c r="E407" i="4"/>
  <c r="E408" i="4"/>
  <c r="E393" i="4"/>
  <c r="D2" i="12"/>
  <c r="F2" i="12"/>
  <c r="I118" i="4"/>
  <c r="I255" i="4"/>
  <c r="I223" i="4"/>
  <c r="I224" i="4"/>
  <c r="I277" i="4"/>
  <c r="I117" i="4"/>
  <c r="I40" i="4"/>
  <c r="I22" i="4"/>
  <c r="I41" i="4"/>
  <c r="I24" i="4"/>
  <c r="I42" i="4"/>
  <c r="I26" i="4"/>
  <c r="I27" i="4"/>
  <c r="I28" i="4"/>
  <c r="I122" i="4"/>
  <c r="I30" i="4"/>
  <c r="I31" i="4"/>
  <c r="I32" i="4"/>
  <c r="I33" i="4"/>
  <c r="I35" i="4"/>
  <c r="I129" i="4"/>
  <c r="I130" i="4"/>
  <c r="I131" i="4"/>
  <c r="I145" i="4"/>
  <c r="I147" i="4"/>
  <c r="I51" i="4"/>
  <c r="I156" i="4"/>
  <c r="I59" i="4"/>
  <c r="I225" i="4"/>
  <c r="I39" i="4"/>
  <c r="I116" i="4"/>
  <c r="I23" i="4"/>
  <c r="I25" i="4"/>
  <c r="I34" i="4"/>
  <c r="I128" i="4"/>
  <c r="I48" i="4"/>
  <c r="I160" i="4"/>
  <c r="I26" i="2"/>
  <c r="I126" i="4"/>
  <c r="I153" i="4"/>
  <c r="I231" i="4"/>
  <c r="I127" i="4"/>
  <c r="I140" i="4"/>
  <c r="I149" i="4"/>
  <c r="I159" i="4"/>
  <c r="I170" i="4"/>
  <c r="I171" i="4"/>
  <c r="I57" i="4"/>
  <c r="I60" i="4"/>
  <c r="I198" i="4"/>
  <c r="I209" i="4"/>
  <c r="I210" i="4"/>
  <c r="I212" i="4"/>
  <c r="I217" i="4"/>
  <c r="I221" i="4"/>
  <c r="I227" i="4"/>
  <c r="I120" i="4"/>
  <c r="I169" i="4"/>
  <c r="I216" i="4"/>
  <c r="I75" i="4"/>
  <c r="I110" i="4"/>
  <c r="I111" i="4"/>
  <c r="I250" i="4"/>
  <c r="I142" i="4"/>
  <c r="I49" i="4"/>
  <c r="I37" i="4"/>
  <c r="I50" i="4"/>
  <c r="I155" i="4"/>
  <c r="I56" i="4"/>
  <c r="I58" i="4"/>
  <c r="I214" i="4"/>
  <c r="I70" i="4"/>
  <c r="I222" i="4"/>
  <c r="I84" i="4"/>
  <c r="I114" i="4"/>
  <c r="I121" i="4"/>
  <c r="I12" i="4"/>
  <c r="I148" i="4"/>
  <c r="I167" i="4"/>
  <c r="I228" i="4"/>
  <c r="I112" i="4"/>
  <c r="I132" i="4"/>
  <c r="I213" i="4"/>
  <c r="I215" i="4"/>
  <c r="I219" i="4"/>
  <c r="I276" i="4"/>
  <c r="I83" i="4"/>
  <c r="I85" i="4"/>
  <c r="I113" i="4"/>
  <c r="I141" i="4"/>
  <c r="I146" i="4"/>
  <c r="I157" i="4"/>
  <c r="I273" i="4"/>
  <c r="I177" i="4"/>
  <c r="I62" i="4"/>
  <c r="I63" i="4"/>
  <c r="I64" i="4"/>
  <c r="I66" i="4"/>
  <c r="I67" i="4"/>
  <c r="I69" i="4"/>
  <c r="I76" i="4"/>
  <c r="I77" i="4"/>
  <c r="I79" i="4"/>
  <c r="I80" i="4"/>
  <c r="I82" i="4"/>
  <c r="I133" i="4"/>
  <c r="I185" i="4"/>
  <c r="I194" i="4"/>
  <c r="I202" i="4"/>
  <c r="I204" i="4"/>
  <c r="I205" i="4"/>
  <c r="I206" i="4"/>
  <c r="I293" i="4"/>
  <c r="I124" i="4"/>
  <c r="I158" i="4"/>
  <c r="I278" i="4"/>
  <c r="I134" i="4"/>
  <c r="I136" i="4"/>
  <c r="I182" i="4"/>
  <c r="I183" i="4"/>
  <c r="I184" i="4"/>
  <c r="I195" i="4"/>
  <c r="I81" i="4"/>
  <c r="I18" i="4"/>
  <c r="I173" i="4"/>
  <c r="I186" i="4"/>
  <c r="I188" i="4"/>
  <c r="I257" i="4"/>
  <c r="I193" i="4"/>
  <c r="I197" i="4"/>
  <c r="I267" i="4"/>
  <c r="I268" i="4"/>
  <c r="I19" i="4"/>
  <c r="I150" i="4"/>
  <c r="I165" i="4"/>
  <c r="I53" i="4"/>
  <c r="I54" i="4"/>
  <c r="I55" i="4"/>
  <c r="I187" i="4"/>
  <c r="I199" i="4"/>
  <c r="I201" i="4"/>
  <c r="I259" i="4"/>
  <c r="I233" i="4"/>
  <c r="I235" i="4"/>
  <c r="I16" i="4"/>
  <c r="I115" i="4"/>
  <c r="I168" i="4"/>
  <c r="I178" i="4"/>
  <c r="I189" i="4"/>
  <c r="I190" i="4"/>
  <c r="I191" i="4"/>
  <c r="I74" i="4"/>
  <c r="I17" i="4"/>
  <c r="I137" i="4"/>
  <c r="I175" i="4"/>
  <c r="I229" i="4"/>
  <c r="I230" i="4"/>
  <c r="I78" i="4"/>
  <c r="I234" i="4"/>
  <c r="I269" i="4"/>
  <c r="I200" i="4"/>
  <c r="I232" i="4"/>
  <c r="I236" i="4"/>
  <c r="I237" i="4"/>
  <c r="I238" i="4"/>
  <c r="I252" i="4"/>
  <c r="I254" i="4"/>
  <c r="I192" i="4"/>
  <c r="I36" i="4"/>
  <c r="I256" i="4"/>
  <c r="I242" i="4"/>
  <c r="I91" i="4"/>
  <c r="I264" i="4"/>
  <c r="I46" i="4"/>
  <c r="I161" i="4"/>
  <c r="I163" i="4"/>
  <c r="I47" i="4"/>
  <c r="I271" i="4"/>
  <c r="I108" i="4"/>
  <c r="I211" i="4"/>
  <c r="I239" i="4"/>
  <c r="I240" i="4"/>
  <c r="I45" i="4"/>
  <c r="I263" i="4"/>
  <c r="I92" i="4"/>
  <c r="I208" i="4"/>
  <c r="I143" i="4"/>
  <c r="I241" i="4"/>
  <c r="I207" i="4"/>
  <c r="I246" i="4"/>
  <c r="I247" i="4"/>
  <c r="I100" i="4"/>
  <c r="I109" i="4"/>
  <c r="I243" i="4"/>
  <c r="I101" i="4"/>
  <c r="I266" i="4"/>
  <c r="I10" i="2"/>
  <c r="I279" i="4"/>
  <c r="I71" i="4"/>
  <c r="I102" i="4"/>
  <c r="I245" i="4"/>
  <c r="I106" i="4"/>
  <c r="I88" i="4"/>
  <c r="I119" i="4"/>
  <c r="I87" i="4"/>
  <c r="I244" i="4"/>
  <c r="I89" i="4"/>
  <c r="I297" i="4"/>
  <c r="I90" i="4"/>
  <c r="I135" i="4"/>
  <c r="I13" i="2"/>
  <c r="I52" i="4"/>
  <c r="I248" i="4"/>
  <c r="I86" i="4"/>
  <c r="I196" i="4"/>
  <c r="I11" i="2"/>
  <c r="I174" i="4"/>
  <c r="I105" i="4"/>
  <c r="I94" i="4"/>
  <c r="I103" i="4"/>
  <c r="I123" i="4"/>
  <c r="I104" i="4"/>
  <c r="I95" i="4"/>
  <c r="I98" i="4"/>
  <c r="I138" i="4"/>
  <c r="I172" i="4"/>
  <c r="I99" i="4"/>
  <c r="I96" i="4"/>
  <c r="H2" i="12"/>
  <c r="J2" i="12"/>
  <c r="M282" i="4"/>
  <c r="M280" i="4"/>
  <c r="M5" i="4"/>
  <c r="M6" i="4"/>
  <c r="M8" i="4"/>
  <c r="M285" i="4"/>
  <c r="M283" i="4"/>
  <c r="M44" i="4"/>
  <c r="M297" i="4"/>
  <c r="M385" i="4"/>
  <c r="M399" i="4"/>
  <c r="M397" i="4"/>
  <c r="M398" i="4"/>
  <c r="M388" i="4"/>
  <c r="M389" i="4"/>
  <c r="M390" i="4"/>
  <c r="M391" i="4"/>
  <c r="M409" i="4"/>
  <c r="M400" i="4"/>
  <c r="M401" i="4"/>
  <c r="M402" i="4"/>
  <c r="M403" i="4"/>
  <c r="M392" i="4"/>
  <c r="M394" i="4"/>
  <c r="M395" i="4"/>
  <c r="M404" i="4"/>
  <c r="M386" i="4"/>
  <c r="M405" i="4"/>
  <c r="M396" i="4"/>
  <c r="M387" i="4"/>
  <c r="M406" i="4"/>
  <c r="M407" i="4"/>
  <c r="M408" i="4"/>
  <c r="M393" i="4"/>
  <c r="L2" i="12"/>
  <c r="N2" i="12"/>
  <c r="Q277" i="4"/>
  <c r="Q275" i="4"/>
  <c r="Q139" i="4"/>
  <c r="P2" i="12"/>
  <c r="R2" i="12"/>
  <c r="V2" i="12"/>
  <c r="Y343" i="4"/>
  <c r="Y362" i="4"/>
  <c r="B383" i="4"/>
  <c r="C383" i="4"/>
  <c r="B382" i="4"/>
  <c r="C382" i="4"/>
  <c r="B380" i="4"/>
  <c r="C380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8" i="6"/>
  <c r="AH298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4" i="6"/>
  <c r="AH314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5" i="6"/>
  <c r="AH345" i="6"/>
  <c r="AG341" i="6"/>
  <c r="AH341" i="6"/>
  <c r="AG342" i="6"/>
  <c r="AH342" i="6"/>
  <c r="AG346" i="6"/>
  <c r="AH346" i="6"/>
  <c r="AG343" i="6"/>
  <c r="AH343" i="6"/>
  <c r="AG344" i="6"/>
  <c r="AH344" i="6"/>
  <c r="AG360" i="6"/>
  <c r="AH360" i="6"/>
  <c r="AG347" i="6"/>
  <c r="AH347" i="6"/>
  <c r="AG361" i="6"/>
  <c r="AH361" i="6"/>
  <c r="AG348" i="6"/>
  <c r="AH348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62" i="6"/>
  <c r="AH362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56" i="6"/>
  <c r="AH356" i="6"/>
  <c r="AG357" i="6"/>
  <c r="AH357" i="6"/>
  <c r="AG358" i="6"/>
  <c r="AH358" i="6"/>
  <c r="AG359" i="6"/>
  <c r="AH359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1" i="6"/>
  <c r="AH381" i="6"/>
  <c r="AG384" i="6"/>
  <c r="AH384" i="6"/>
  <c r="AG380" i="6"/>
  <c r="AH380" i="6"/>
  <c r="AG383" i="6"/>
  <c r="AH383" i="6"/>
  <c r="AG382" i="6"/>
  <c r="AH382" i="6"/>
  <c r="AG408" i="6"/>
  <c r="AH408" i="6"/>
  <c r="AG386" i="6"/>
  <c r="AH386" i="6"/>
  <c r="AG407" i="6"/>
  <c r="AH407" i="6"/>
  <c r="AG406" i="6"/>
  <c r="AH406" i="6"/>
  <c r="AG389" i="6"/>
  <c r="AH389" i="6"/>
  <c r="AG390" i="6"/>
  <c r="AH390" i="6"/>
  <c r="AG391" i="6"/>
  <c r="AH391" i="6"/>
  <c r="AG392" i="6"/>
  <c r="AH392" i="6"/>
  <c r="AG393" i="6"/>
  <c r="AH393" i="6"/>
  <c r="AG388" i="6"/>
  <c r="AH388" i="6"/>
  <c r="AG404" i="6"/>
  <c r="AH404" i="6"/>
  <c r="AG394" i="6"/>
  <c r="AH394" i="6"/>
  <c r="AG395" i="6"/>
  <c r="AH395" i="6"/>
  <c r="AG396" i="6"/>
  <c r="AH396" i="6"/>
  <c r="AG397" i="6"/>
  <c r="AH397" i="6"/>
  <c r="AG398" i="6"/>
  <c r="AH398" i="6"/>
  <c r="AG399" i="6"/>
  <c r="AH399" i="6"/>
  <c r="AG385" i="6"/>
  <c r="AH385" i="6"/>
  <c r="AG405" i="6"/>
  <c r="AH405" i="6"/>
  <c r="AG400" i="6"/>
  <c r="AH400" i="6"/>
  <c r="AG387" i="6"/>
  <c r="AH387" i="6"/>
  <c r="AG409" i="6"/>
  <c r="AH409" i="6"/>
  <c r="AG401" i="6"/>
  <c r="AH401" i="6"/>
  <c r="AG402" i="6"/>
  <c r="AH402" i="6"/>
  <c r="AG403" i="6"/>
  <c r="AH403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5" i="6"/>
  <c r="AF341" i="6"/>
  <c r="AF342" i="6"/>
  <c r="AF346" i="6"/>
  <c r="AF343" i="6"/>
  <c r="AF344" i="6"/>
  <c r="AF360" i="6"/>
  <c r="AF347" i="6"/>
  <c r="AF361" i="6"/>
  <c r="AF348" i="6"/>
  <c r="AF349" i="6"/>
  <c r="AF350" i="6"/>
  <c r="AF351" i="6"/>
  <c r="AF352" i="6"/>
  <c r="AF353" i="6"/>
  <c r="AF354" i="6"/>
  <c r="AF355" i="6"/>
  <c r="AF362" i="6"/>
  <c r="AF363" i="6"/>
  <c r="AF364" i="6"/>
  <c r="AF365" i="6"/>
  <c r="AF366" i="6"/>
  <c r="AF367" i="6"/>
  <c r="AF368" i="6"/>
  <c r="AF356" i="6"/>
  <c r="AF357" i="6"/>
  <c r="AF358" i="6"/>
  <c r="AF359" i="6"/>
  <c r="AF369" i="6"/>
  <c r="AF370" i="6"/>
  <c r="AF371" i="6"/>
  <c r="AF372" i="6"/>
  <c r="AF373" i="6"/>
  <c r="AF374" i="6"/>
  <c r="AF375" i="6"/>
  <c r="AF376" i="6"/>
  <c r="AF377" i="6"/>
  <c r="AF378" i="6"/>
  <c r="AF379" i="6"/>
  <c r="AF381" i="6"/>
  <c r="AF384" i="6"/>
  <c r="AF380" i="6"/>
  <c r="AF383" i="6"/>
  <c r="AF382" i="6"/>
  <c r="AF408" i="6"/>
  <c r="AF386" i="6"/>
  <c r="AF407" i="6"/>
  <c r="AF406" i="6"/>
  <c r="AF389" i="6"/>
  <c r="AF390" i="6"/>
  <c r="AF391" i="6"/>
  <c r="AF392" i="6"/>
  <c r="AF393" i="6"/>
  <c r="AF388" i="6"/>
  <c r="AF404" i="6"/>
  <c r="AF394" i="6"/>
  <c r="AF395" i="6"/>
  <c r="AF396" i="6"/>
  <c r="AF397" i="6"/>
  <c r="AF398" i="6"/>
  <c r="AF399" i="6"/>
  <c r="AF385" i="6"/>
  <c r="AF405" i="6"/>
  <c r="AF400" i="6"/>
  <c r="AF387" i="6"/>
  <c r="AF409" i="6"/>
  <c r="AF401" i="6"/>
  <c r="AF402" i="6"/>
  <c r="AF403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8" i="6"/>
  <c r="AC298" i="6"/>
  <c r="AD298" i="6"/>
  <c r="AE298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5" i="6"/>
  <c r="AC345" i="6"/>
  <c r="AD345" i="6"/>
  <c r="AE345" i="6"/>
  <c r="AB341" i="6"/>
  <c r="AC341" i="6"/>
  <c r="AD341" i="6"/>
  <c r="AE341" i="6"/>
  <c r="AB342" i="6"/>
  <c r="AC342" i="6"/>
  <c r="AD342" i="6"/>
  <c r="AE342" i="6"/>
  <c r="AB346" i="6"/>
  <c r="AC346" i="6"/>
  <c r="AD346" i="6"/>
  <c r="AE346" i="6"/>
  <c r="AB343" i="6"/>
  <c r="AC343" i="6"/>
  <c r="AD343" i="6"/>
  <c r="AE343" i="6"/>
  <c r="AB344" i="6"/>
  <c r="AC344" i="6"/>
  <c r="AD344" i="6"/>
  <c r="AE344" i="6"/>
  <c r="AB360" i="6"/>
  <c r="AC360" i="6"/>
  <c r="AD360" i="6"/>
  <c r="AE360" i="6"/>
  <c r="AB347" i="6"/>
  <c r="AC347" i="6"/>
  <c r="AD347" i="6"/>
  <c r="AE347" i="6"/>
  <c r="AB361" i="6"/>
  <c r="AC361" i="6"/>
  <c r="AD361" i="6"/>
  <c r="AE361" i="6"/>
  <c r="AB348" i="6"/>
  <c r="AC348" i="6"/>
  <c r="AD348" i="6"/>
  <c r="AE348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1" i="6"/>
  <c r="AC381" i="6"/>
  <c r="AD381" i="6"/>
  <c r="AE381" i="6"/>
  <c r="AB384" i="6"/>
  <c r="AC384" i="6"/>
  <c r="AD384" i="6"/>
  <c r="AE384" i="6"/>
  <c r="AB380" i="6"/>
  <c r="AC380" i="6"/>
  <c r="AD380" i="6"/>
  <c r="AE380" i="6"/>
  <c r="AB383" i="6"/>
  <c r="AC383" i="6"/>
  <c r="AD383" i="6"/>
  <c r="AE383" i="6"/>
  <c r="AB382" i="6"/>
  <c r="AC382" i="6"/>
  <c r="AD382" i="6"/>
  <c r="AE382" i="6"/>
  <c r="AB408" i="6"/>
  <c r="AC408" i="6"/>
  <c r="AD408" i="6"/>
  <c r="AE408" i="6"/>
  <c r="AB386" i="6"/>
  <c r="AC386" i="6"/>
  <c r="AD386" i="6"/>
  <c r="AE386" i="6"/>
  <c r="AB407" i="6"/>
  <c r="AC407" i="6"/>
  <c r="AD407" i="6"/>
  <c r="AE407" i="6"/>
  <c r="AB406" i="6"/>
  <c r="AC406" i="6"/>
  <c r="AD406" i="6"/>
  <c r="AE406" i="6"/>
  <c r="AB389" i="6"/>
  <c r="AC389" i="6"/>
  <c r="AD389" i="6"/>
  <c r="AE389" i="6"/>
  <c r="AB390" i="6"/>
  <c r="AC390" i="6"/>
  <c r="AD390" i="6"/>
  <c r="AE390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88" i="6"/>
  <c r="AC388" i="6"/>
  <c r="AD388" i="6"/>
  <c r="AE388" i="6"/>
  <c r="AB404" i="6"/>
  <c r="AC404" i="6"/>
  <c r="AD404" i="6"/>
  <c r="AE404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385" i="6"/>
  <c r="AC385" i="6"/>
  <c r="AD385" i="6"/>
  <c r="AE385" i="6"/>
  <c r="AB405" i="6"/>
  <c r="AC405" i="6"/>
  <c r="AD405" i="6"/>
  <c r="AE405" i="6"/>
  <c r="AB400" i="6"/>
  <c r="AC400" i="6"/>
  <c r="AD400" i="6"/>
  <c r="AE400" i="6"/>
  <c r="AB387" i="6"/>
  <c r="AC387" i="6"/>
  <c r="AD387" i="6"/>
  <c r="AE387" i="6"/>
  <c r="AB409" i="6"/>
  <c r="AC409" i="6"/>
  <c r="AD409" i="6"/>
  <c r="AE409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5" i="6"/>
  <c r="W345" i="6"/>
  <c r="X345" i="6"/>
  <c r="Y345" i="6"/>
  <c r="V341" i="6"/>
  <c r="W341" i="6"/>
  <c r="X341" i="6"/>
  <c r="Y341" i="6"/>
  <c r="V342" i="6"/>
  <c r="W342" i="6"/>
  <c r="X342" i="6"/>
  <c r="Y342" i="6"/>
  <c r="V346" i="6"/>
  <c r="W346" i="6"/>
  <c r="X346" i="6"/>
  <c r="Y346" i="6"/>
  <c r="V343" i="6"/>
  <c r="W343" i="6"/>
  <c r="X343" i="6"/>
  <c r="Y343" i="6"/>
  <c r="V344" i="6"/>
  <c r="W344" i="6"/>
  <c r="X344" i="6"/>
  <c r="Y344" i="6"/>
  <c r="V360" i="6"/>
  <c r="W360" i="6"/>
  <c r="X360" i="6"/>
  <c r="Y360" i="6"/>
  <c r="V347" i="6"/>
  <c r="W347" i="6"/>
  <c r="X347" i="6"/>
  <c r="Y347" i="6"/>
  <c r="V361" i="6"/>
  <c r="W361" i="6"/>
  <c r="X361" i="6"/>
  <c r="Y361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1" i="6"/>
  <c r="W381" i="6"/>
  <c r="X381" i="6"/>
  <c r="Y381" i="6"/>
  <c r="V384" i="6"/>
  <c r="W384" i="6"/>
  <c r="X384" i="6"/>
  <c r="Y384" i="6"/>
  <c r="V380" i="6"/>
  <c r="W380" i="6"/>
  <c r="X380" i="6"/>
  <c r="Y380" i="6"/>
  <c r="V383" i="6"/>
  <c r="W383" i="6"/>
  <c r="X383" i="6"/>
  <c r="Y383" i="6"/>
  <c r="V382" i="6"/>
  <c r="W382" i="6"/>
  <c r="X382" i="6"/>
  <c r="Y382" i="6"/>
  <c r="V408" i="6"/>
  <c r="W408" i="6"/>
  <c r="X408" i="6"/>
  <c r="Y408" i="6"/>
  <c r="V386" i="6"/>
  <c r="W386" i="6"/>
  <c r="X386" i="6"/>
  <c r="Y386" i="6"/>
  <c r="V407" i="6"/>
  <c r="W407" i="6"/>
  <c r="X407" i="6"/>
  <c r="Y407" i="6"/>
  <c r="V406" i="6"/>
  <c r="W406" i="6"/>
  <c r="X406" i="6"/>
  <c r="Y406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88" i="6"/>
  <c r="W388" i="6"/>
  <c r="X388" i="6"/>
  <c r="Y388" i="6"/>
  <c r="V404" i="6"/>
  <c r="W404" i="6"/>
  <c r="X404" i="6"/>
  <c r="Y404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385" i="6"/>
  <c r="W385" i="6"/>
  <c r="X385" i="6"/>
  <c r="Y385" i="6"/>
  <c r="V405" i="6"/>
  <c r="W405" i="6"/>
  <c r="X405" i="6"/>
  <c r="Y405" i="6"/>
  <c r="V400" i="6"/>
  <c r="W400" i="6"/>
  <c r="X400" i="6"/>
  <c r="Y400" i="6"/>
  <c r="V387" i="6"/>
  <c r="W387" i="6"/>
  <c r="X387" i="6"/>
  <c r="Y387" i="6"/>
  <c r="V409" i="6"/>
  <c r="W409" i="6"/>
  <c r="X409" i="6"/>
  <c r="Y409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C406" i="6"/>
  <c r="C155" i="6"/>
  <c r="C116" i="6"/>
  <c r="C115" i="6"/>
  <c r="C387" i="6"/>
  <c r="C324" i="6"/>
  <c r="C389" i="6"/>
  <c r="C397" i="6"/>
  <c r="C399" i="6"/>
  <c r="C134" i="6"/>
  <c r="C117" i="6"/>
  <c r="C288" i="6"/>
  <c r="C6" i="6"/>
  <c r="C34" i="6"/>
  <c r="C7" i="6"/>
  <c r="C386" i="6"/>
  <c r="C405" i="6"/>
  <c r="C175" i="6"/>
  <c r="C385" i="6"/>
  <c r="C282" i="6"/>
  <c r="C179" i="6"/>
  <c r="C224" i="6"/>
  <c r="C334" i="6"/>
  <c r="C129" i="6"/>
  <c r="C5" i="6"/>
  <c r="C4" i="6"/>
  <c r="C3" i="6"/>
  <c r="C339" i="6"/>
  <c r="C394" i="6"/>
  <c r="C402" i="6"/>
  <c r="C2" i="6"/>
  <c r="C114" i="6"/>
  <c r="C286" i="6"/>
  <c r="C332" i="6"/>
  <c r="C10" i="6"/>
  <c r="C371" i="6"/>
  <c r="C376" i="6"/>
  <c r="C369" i="6"/>
  <c r="C358" i="6"/>
  <c r="C409" i="6"/>
  <c r="C30" i="6"/>
  <c r="C153" i="6"/>
  <c r="C404" i="6"/>
  <c r="C40" i="6"/>
  <c r="C45" i="6"/>
  <c r="C388" i="6"/>
  <c r="C11" i="6"/>
  <c r="C200" i="6"/>
  <c r="C255" i="6"/>
  <c r="C357" i="6"/>
  <c r="C27" i="6"/>
  <c r="C408" i="6"/>
  <c r="C390" i="6"/>
  <c r="C392" i="6"/>
  <c r="C395" i="6"/>
  <c r="C396" i="6"/>
  <c r="C398" i="6"/>
  <c r="C403" i="6"/>
  <c r="C275" i="6"/>
  <c r="C287" i="6"/>
  <c r="C400" i="6"/>
  <c r="C273" i="6"/>
  <c r="C330" i="6"/>
  <c r="C29" i="6"/>
  <c r="C401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2" i="6"/>
  <c r="C393" i="6"/>
  <c r="C61" i="6"/>
  <c r="C295" i="6"/>
  <c r="C16" i="6"/>
  <c r="C18" i="6"/>
  <c r="C251" i="6"/>
  <c r="C12" i="6"/>
  <c r="C366" i="6"/>
  <c r="C407" i="6"/>
  <c r="C260" i="6"/>
  <c r="C381" i="6"/>
  <c r="C230" i="6"/>
  <c r="C359" i="6"/>
  <c r="C80" i="6"/>
  <c r="C238" i="6"/>
  <c r="C227" i="6"/>
  <c r="C131" i="6"/>
  <c r="C15" i="6"/>
  <c r="C25" i="6"/>
  <c r="C43" i="6"/>
  <c r="C20" i="6"/>
  <c r="C321" i="6"/>
  <c r="C391" i="6"/>
  <c r="C259" i="6"/>
  <c r="C68" i="6"/>
  <c r="C266" i="6"/>
  <c r="C301" i="6"/>
  <c r="C310" i="6"/>
  <c r="C300" i="6"/>
  <c r="C328" i="6"/>
  <c r="C160" i="6"/>
  <c r="C161" i="6"/>
  <c r="C235" i="6"/>
  <c r="C276" i="6"/>
  <c r="C35" i="6"/>
  <c r="C233" i="6"/>
  <c r="C373" i="6"/>
  <c r="C322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4" i="6"/>
  <c r="C345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4" i="6"/>
  <c r="C176" i="6"/>
  <c r="C110" i="6"/>
  <c r="C111" i="6"/>
  <c r="C81" i="6"/>
  <c r="C188" i="6"/>
  <c r="C74" i="6"/>
  <c r="C252" i="6"/>
  <c r="C382" i="6"/>
  <c r="C73" i="6"/>
  <c r="C14" i="6"/>
  <c r="C383" i="6"/>
  <c r="C38" i="6"/>
  <c r="C250" i="6"/>
  <c r="C162" i="6"/>
  <c r="C108" i="6"/>
  <c r="C109" i="6"/>
  <c r="C107" i="6"/>
  <c r="C163" i="6"/>
  <c r="C312" i="6"/>
  <c r="C323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3" i="6"/>
  <c r="C130" i="6"/>
  <c r="C59" i="6"/>
  <c r="C65" i="6"/>
  <c r="C93" i="6"/>
  <c r="C261" i="6"/>
  <c r="C96" i="6"/>
  <c r="C71" i="6"/>
  <c r="C216" i="6"/>
  <c r="C148" i="6"/>
  <c r="C307" i="6"/>
  <c r="C327" i="6"/>
  <c r="C283" i="6"/>
  <c r="C137" i="6"/>
  <c r="C75" i="6"/>
  <c r="C92" i="6"/>
  <c r="C262" i="6"/>
  <c r="C149" i="6"/>
  <c r="C311" i="6"/>
  <c r="C362" i="6"/>
  <c r="C269" i="6"/>
  <c r="C172" i="6"/>
  <c r="C203" i="6"/>
  <c r="C69" i="6"/>
  <c r="C124" i="6"/>
  <c r="C145" i="6"/>
  <c r="C94" i="6"/>
  <c r="C208" i="6"/>
  <c r="C123" i="6"/>
  <c r="C370" i="6"/>
  <c r="C320" i="6"/>
  <c r="C254" i="6"/>
  <c r="C243" i="6"/>
  <c r="C207" i="6"/>
  <c r="C272" i="6"/>
  <c r="C31" i="6"/>
  <c r="C138" i="6"/>
  <c r="C297" i="6"/>
  <c r="C173" i="6"/>
  <c r="C105" i="6"/>
  <c r="C205" i="6"/>
  <c r="C303" i="6"/>
  <c r="C98" i="6"/>
  <c r="C170" i="6"/>
  <c r="C169" i="6"/>
  <c r="C378" i="6"/>
  <c r="C53" i="6"/>
  <c r="C127" i="6"/>
  <c r="C84" i="6"/>
  <c r="C374" i="6"/>
  <c r="C60" i="6"/>
  <c r="C277" i="6"/>
  <c r="C247" i="6"/>
  <c r="C299" i="6"/>
  <c r="C306" i="6"/>
  <c r="C319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5" i="6"/>
  <c r="C368" i="6"/>
  <c r="C364" i="6"/>
  <c r="C367" i="6"/>
  <c r="C142" i="6"/>
  <c r="C241" i="6"/>
  <c r="C67" i="6"/>
  <c r="C85" i="6"/>
  <c r="C199" i="6"/>
  <c r="C206" i="6"/>
  <c r="C113" i="6"/>
  <c r="C174" i="6"/>
  <c r="C298" i="6"/>
  <c r="C58" i="6"/>
  <c r="C253" i="6"/>
  <c r="C290" i="6"/>
  <c r="C146" i="6"/>
  <c r="C234" i="6"/>
  <c r="C87" i="6"/>
  <c r="C335" i="6"/>
  <c r="C183" i="6"/>
  <c r="C244" i="6"/>
  <c r="C177" i="6"/>
  <c r="C104" i="6"/>
  <c r="C239" i="6"/>
  <c r="C47" i="6"/>
  <c r="C158" i="6"/>
  <c r="C63" i="6"/>
  <c r="C36" i="6"/>
  <c r="C329" i="6"/>
  <c r="C167" i="6"/>
  <c r="C82" i="6"/>
  <c r="C293" i="6"/>
  <c r="C32" i="6"/>
  <c r="C119" i="6"/>
  <c r="C182" i="6"/>
  <c r="C83" i="6"/>
  <c r="C215" i="6"/>
  <c r="C353" i="6"/>
  <c r="C292" i="6"/>
  <c r="C226" i="6"/>
  <c r="C72" i="6"/>
  <c r="C197" i="6"/>
  <c r="C184" i="6"/>
  <c r="C211" i="6"/>
  <c r="C356" i="6"/>
  <c r="C62" i="6"/>
  <c r="C202" i="6"/>
  <c r="C147" i="6"/>
  <c r="C377" i="6"/>
  <c r="C157" i="6"/>
  <c r="C354" i="6"/>
  <c r="C333" i="6"/>
  <c r="C23" i="6"/>
  <c r="C201" i="6"/>
  <c r="C294" i="6"/>
  <c r="C21" i="6"/>
  <c r="C242" i="6"/>
  <c r="C186" i="6"/>
  <c r="C122" i="6"/>
  <c r="C166" i="6"/>
  <c r="C380" i="6"/>
  <c r="C8" i="6"/>
  <c r="C231" i="6"/>
  <c r="C51" i="6"/>
  <c r="C220" i="6"/>
  <c r="C22" i="6"/>
  <c r="C347" i="6"/>
  <c r="C218" i="6"/>
  <c r="C343" i="6"/>
  <c r="C305" i="6"/>
  <c r="C181" i="6"/>
  <c r="C196" i="6"/>
  <c r="C144" i="6"/>
  <c r="C118" i="6"/>
  <c r="C351" i="6"/>
  <c r="C219" i="6"/>
  <c r="C28" i="6"/>
  <c r="C209" i="6"/>
  <c r="C54" i="6"/>
  <c r="C55" i="6"/>
  <c r="C48" i="6"/>
  <c r="C308" i="6"/>
  <c r="C309" i="6"/>
  <c r="C187" i="6"/>
  <c r="C195" i="6"/>
  <c r="C331" i="6"/>
  <c r="C352" i="6"/>
  <c r="C190" i="6"/>
  <c r="C9" i="6"/>
  <c r="C52" i="6"/>
  <c r="C78" i="6"/>
  <c r="C344" i="6"/>
  <c r="C268" i="6"/>
  <c r="C120" i="6"/>
  <c r="C372" i="6"/>
  <c r="C50" i="6"/>
  <c r="C49" i="6"/>
  <c r="C143" i="6"/>
  <c r="C361" i="6"/>
  <c r="C198" i="6"/>
  <c r="C13" i="6"/>
  <c r="C375" i="6"/>
  <c r="C360" i="6"/>
  <c r="C314" i="6"/>
  <c r="C379" i="6"/>
  <c r="C46" i="6"/>
  <c r="C315" i="6"/>
  <c r="C316" i="6"/>
  <c r="C341" i="6"/>
  <c r="C342" i="6"/>
  <c r="C210" i="6"/>
  <c r="C217" i="6"/>
  <c r="C338" i="6"/>
  <c r="C355" i="6"/>
  <c r="C296" i="6"/>
  <c r="C337" i="6"/>
  <c r="C318" i="6"/>
  <c r="C336" i="6"/>
  <c r="C317" i="6"/>
  <c r="C365" i="6"/>
  <c r="C340" i="6"/>
  <c r="C348" i="6"/>
  <c r="C346" i="6"/>
  <c r="C349" i="6"/>
  <c r="C350" i="6"/>
  <c r="C168" i="6"/>
  <c r="C280" i="6"/>
  <c r="C326" i="6"/>
  <c r="C225" i="6"/>
  <c r="B326" i="6"/>
  <c r="B280" i="6"/>
  <c r="B168" i="6"/>
  <c r="B350" i="6"/>
  <c r="B349" i="6"/>
  <c r="B346" i="6"/>
  <c r="B348" i="6"/>
  <c r="B340" i="6"/>
  <c r="B365" i="6"/>
  <c r="B317" i="6"/>
  <c r="B336" i="6"/>
  <c r="B318" i="6"/>
  <c r="B337" i="6"/>
  <c r="B296" i="6"/>
  <c r="B355" i="6"/>
  <c r="B338" i="6"/>
  <c r="B217" i="6"/>
  <c r="B210" i="6"/>
  <c r="B342" i="6"/>
  <c r="B341" i="6"/>
  <c r="B316" i="6"/>
  <c r="B315" i="6"/>
  <c r="B46" i="6"/>
  <c r="B379" i="6"/>
  <c r="B314" i="6"/>
  <c r="B360" i="6"/>
  <c r="B375" i="6"/>
  <c r="B13" i="6"/>
  <c r="B198" i="6"/>
  <c r="B361" i="6"/>
  <c r="B143" i="6"/>
  <c r="B49" i="6"/>
  <c r="B50" i="6"/>
  <c r="B372" i="6"/>
  <c r="B120" i="6"/>
  <c r="B268" i="6"/>
  <c r="B344" i="6"/>
  <c r="B78" i="6"/>
  <c r="B52" i="6"/>
  <c r="B9" i="6"/>
  <c r="B190" i="6"/>
  <c r="B352" i="6"/>
  <c r="B331" i="6"/>
  <c r="B195" i="6"/>
  <c r="B309" i="6"/>
  <c r="B308" i="6"/>
  <c r="B48" i="6"/>
  <c r="B55" i="6"/>
  <c r="B54" i="6"/>
  <c r="B209" i="6"/>
  <c r="B28" i="6"/>
  <c r="B219" i="6"/>
  <c r="B351" i="6"/>
  <c r="B118" i="6"/>
  <c r="B144" i="6"/>
  <c r="B196" i="6"/>
  <c r="B181" i="6"/>
  <c r="B305" i="6"/>
  <c r="B343" i="6"/>
  <c r="B218" i="6"/>
  <c r="B347" i="6"/>
  <c r="B22" i="6"/>
  <c r="B220" i="6"/>
  <c r="B51" i="6"/>
  <c r="B231" i="6"/>
  <c r="B8" i="6"/>
  <c r="B380" i="6"/>
  <c r="B166" i="6"/>
  <c r="B122" i="6"/>
  <c r="B186" i="6"/>
  <c r="B242" i="6"/>
  <c r="B21" i="6"/>
  <c r="B294" i="6"/>
  <c r="B201" i="6"/>
  <c r="B23" i="6"/>
  <c r="B333" i="6"/>
  <c r="B354" i="6"/>
  <c r="B157" i="6"/>
  <c r="B377" i="6"/>
  <c r="B147" i="6"/>
  <c r="B202" i="6"/>
  <c r="B62" i="6"/>
  <c r="B356" i="6"/>
  <c r="B211" i="6"/>
  <c r="B184" i="6"/>
  <c r="B197" i="6"/>
  <c r="B72" i="6"/>
  <c r="B226" i="6"/>
  <c r="B292" i="6"/>
  <c r="B353" i="6"/>
  <c r="B215" i="6"/>
  <c r="B83" i="6"/>
  <c r="B182" i="6"/>
  <c r="B119" i="6"/>
  <c r="B32" i="6"/>
  <c r="B293" i="6"/>
  <c r="B82" i="6"/>
  <c r="B167" i="6"/>
  <c r="B329" i="6"/>
  <c r="B36" i="6"/>
  <c r="B63" i="6"/>
  <c r="B158" i="6"/>
  <c r="B47" i="6"/>
  <c r="B239" i="6"/>
  <c r="B104" i="6"/>
  <c r="B177" i="6"/>
  <c r="B244" i="6"/>
  <c r="B183" i="6"/>
  <c r="B335" i="6"/>
  <c r="B87" i="6"/>
  <c r="B234" i="6"/>
  <c r="B146" i="6"/>
  <c r="B290" i="6"/>
  <c r="B253" i="6"/>
  <c r="B58" i="6"/>
  <c r="B298" i="6"/>
  <c r="B174" i="6"/>
  <c r="B113" i="6"/>
  <c r="B206" i="6"/>
  <c r="B199" i="6"/>
  <c r="B85" i="6"/>
  <c r="B67" i="6"/>
  <c r="B241" i="6"/>
  <c r="B142" i="6"/>
  <c r="B367" i="6"/>
  <c r="B364" i="6"/>
  <c r="B368" i="6"/>
  <c r="B325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19" i="6"/>
  <c r="B306" i="6"/>
  <c r="B299" i="6"/>
  <c r="B247" i="6"/>
  <c r="B277" i="6"/>
  <c r="B60" i="6"/>
  <c r="B374" i="6"/>
  <c r="B84" i="6"/>
  <c r="B127" i="6"/>
  <c r="B53" i="6"/>
  <c r="B378" i="6"/>
  <c r="B169" i="6"/>
  <c r="B170" i="6"/>
  <c r="B98" i="6"/>
  <c r="B303" i="6"/>
  <c r="B205" i="6"/>
  <c r="B105" i="6"/>
  <c r="B173" i="6"/>
  <c r="B297" i="6"/>
  <c r="B138" i="6"/>
  <c r="B31" i="6"/>
  <c r="B272" i="6"/>
  <c r="B207" i="6"/>
  <c r="B243" i="6"/>
  <c r="B254" i="6"/>
  <c r="B320" i="6"/>
  <c r="B370" i="6"/>
  <c r="B123" i="6"/>
  <c r="B208" i="6"/>
  <c r="B94" i="6"/>
  <c r="B145" i="6"/>
  <c r="B124" i="6"/>
  <c r="B69" i="6"/>
  <c r="B203" i="6"/>
  <c r="B172" i="6"/>
  <c r="B269" i="6"/>
  <c r="B362" i="6"/>
  <c r="B311" i="6"/>
  <c r="B149" i="6"/>
  <c r="B262" i="6"/>
  <c r="B92" i="6"/>
  <c r="B75" i="6"/>
  <c r="B137" i="6"/>
  <c r="B283" i="6"/>
  <c r="B327" i="6"/>
  <c r="B307" i="6"/>
  <c r="B148" i="6"/>
  <c r="B216" i="6"/>
  <c r="B71" i="6"/>
  <c r="B96" i="6"/>
  <c r="B261" i="6"/>
  <c r="B93" i="6"/>
  <c r="B65" i="6"/>
  <c r="B59" i="6"/>
  <c r="B130" i="6"/>
  <c r="B363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3" i="6"/>
  <c r="B312" i="6"/>
  <c r="B163" i="6"/>
  <c r="B107" i="6"/>
  <c r="B109" i="6"/>
  <c r="B108" i="6"/>
  <c r="B162" i="6"/>
  <c r="B250" i="6"/>
  <c r="B38" i="6"/>
  <c r="B383" i="6"/>
  <c r="B14" i="6"/>
  <c r="B73" i="6"/>
  <c r="B382" i="6"/>
  <c r="B252" i="6"/>
  <c r="B74" i="6"/>
  <c r="B81" i="6"/>
  <c r="B111" i="6"/>
  <c r="B110" i="6"/>
  <c r="B176" i="6"/>
  <c r="B304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5" i="6"/>
  <c r="B384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2" i="6"/>
  <c r="B373" i="6"/>
  <c r="B233" i="6"/>
  <c r="B35" i="6"/>
  <c r="B276" i="6"/>
  <c r="B235" i="6"/>
  <c r="B161" i="6"/>
  <c r="B160" i="6"/>
  <c r="B328" i="6"/>
  <c r="B300" i="6"/>
  <c r="B310" i="6"/>
  <c r="B301" i="6"/>
  <c r="B266" i="6"/>
  <c r="B68" i="6"/>
  <c r="B259" i="6"/>
  <c r="B391" i="6"/>
  <c r="B321" i="6"/>
  <c r="B20" i="6"/>
  <c r="B43" i="6"/>
  <c r="B25" i="6"/>
  <c r="B15" i="6"/>
  <c r="B131" i="6"/>
  <c r="B227" i="6"/>
  <c r="B238" i="6"/>
  <c r="B80" i="6"/>
  <c r="B359" i="6"/>
  <c r="B230" i="6"/>
  <c r="B381" i="6"/>
  <c r="B260" i="6"/>
  <c r="B407" i="6"/>
  <c r="B366" i="6"/>
  <c r="B12" i="6"/>
  <c r="B251" i="6"/>
  <c r="B18" i="6"/>
  <c r="B16" i="6"/>
  <c r="B295" i="6"/>
  <c r="B61" i="6"/>
  <c r="B393" i="6"/>
  <c r="B302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1" i="6"/>
  <c r="B29" i="6"/>
  <c r="B330" i="6"/>
  <c r="B273" i="6"/>
  <c r="B400" i="6"/>
  <c r="B287" i="6"/>
  <c r="B275" i="6"/>
  <c r="B403" i="6"/>
  <c r="B398" i="6"/>
  <c r="B396" i="6"/>
  <c r="B395" i="6"/>
  <c r="B392" i="6"/>
  <c r="B390" i="6"/>
  <c r="B408" i="6"/>
  <c r="B27" i="6"/>
  <c r="B357" i="6"/>
  <c r="B255" i="6"/>
  <c r="B200" i="6"/>
  <c r="B11" i="6"/>
  <c r="B388" i="6"/>
  <c r="B45" i="6"/>
  <c r="B40" i="6"/>
  <c r="B404" i="6"/>
  <c r="B153" i="6"/>
  <c r="B30" i="6"/>
  <c r="B409" i="6"/>
  <c r="B358" i="6"/>
  <c r="B369" i="6"/>
  <c r="B376" i="6"/>
  <c r="B371" i="6"/>
  <c r="B10" i="6"/>
  <c r="B332" i="6"/>
  <c r="B286" i="6"/>
  <c r="B114" i="6"/>
  <c r="B2" i="6"/>
  <c r="B402" i="6"/>
  <c r="B394" i="6"/>
  <c r="B339" i="6"/>
  <c r="B3" i="6"/>
  <c r="B4" i="6"/>
  <c r="B5" i="6"/>
  <c r="B129" i="6"/>
  <c r="B334" i="6"/>
  <c r="B224" i="6"/>
  <c r="B179" i="6"/>
  <c r="B282" i="6"/>
  <c r="B385" i="6"/>
  <c r="B175" i="6"/>
  <c r="B405" i="6"/>
  <c r="B386" i="6"/>
  <c r="B7" i="6"/>
  <c r="B34" i="6"/>
  <c r="B6" i="6"/>
  <c r="B288" i="6"/>
  <c r="B117" i="6"/>
  <c r="B134" i="6"/>
  <c r="B399" i="6"/>
  <c r="B397" i="6"/>
  <c r="B389" i="6"/>
  <c r="B324" i="6"/>
  <c r="B387" i="6"/>
  <c r="B115" i="6"/>
  <c r="B116" i="6"/>
  <c r="B155" i="6"/>
  <c r="B406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4" i="5"/>
  <c r="BA117" i="5"/>
  <c r="BA334" i="5"/>
  <c r="BA340" i="5"/>
  <c r="BA332" i="5"/>
  <c r="BA371" i="5"/>
  <c r="BA376" i="5"/>
  <c r="BA369" i="5"/>
  <c r="BA367" i="5"/>
  <c r="BA366" i="5"/>
  <c r="BA330" i="5"/>
  <c r="BA303" i="5"/>
  <c r="BA362" i="5"/>
  <c r="BA380" i="5"/>
  <c r="BA368" i="5"/>
  <c r="BA321" i="5"/>
  <c r="BA301" i="5"/>
  <c r="BA311" i="5"/>
  <c r="BA300" i="5"/>
  <c r="BA328" i="5"/>
  <c r="BA373" i="5"/>
  <c r="BA322" i="5"/>
  <c r="BA381" i="5"/>
  <c r="BA342" i="5"/>
  <c r="BA305" i="5"/>
  <c r="BA384" i="5"/>
  <c r="BA383" i="5"/>
  <c r="BA313" i="5"/>
  <c r="BA323" i="5"/>
  <c r="BA295" i="5"/>
  <c r="BA294" i="5"/>
  <c r="BA359" i="5"/>
  <c r="BA308" i="5"/>
  <c r="BA327" i="5"/>
  <c r="BA312" i="5"/>
  <c r="BA358" i="5"/>
  <c r="BA370" i="5"/>
  <c r="BA320" i="5"/>
  <c r="BA304" i="5"/>
  <c r="BA378" i="5"/>
  <c r="BA374" i="5"/>
  <c r="BA299" i="5"/>
  <c r="BA307" i="5"/>
  <c r="BA319" i="5"/>
  <c r="BA325" i="5"/>
  <c r="BA364" i="5"/>
  <c r="BA360" i="5"/>
  <c r="BA363" i="5"/>
  <c r="BA298" i="5"/>
  <c r="BA336" i="5"/>
  <c r="BA29" i="5"/>
  <c r="BA329" i="5"/>
  <c r="BA355" i="5"/>
  <c r="BA365" i="5"/>
  <c r="BA70" i="5"/>
  <c r="BA377" i="5"/>
  <c r="BA356" i="5"/>
  <c r="BA333" i="5"/>
  <c r="BA382" i="5"/>
  <c r="BA348" i="5"/>
  <c r="BA335" i="5"/>
  <c r="BA306" i="5"/>
  <c r="BA353" i="5"/>
  <c r="BA309" i="5"/>
  <c r="BA310" i="5"/>
  <c r="BA331" i="5"/>
  <c r="BA354" i="5"/>
  <c r="BA346" i="5"/>
  <c r="BA372" i="5"/>
  <c r="BA349" i="5"/>
  <c r="BA375" i="5"/>
  <c r="BA347" i="5"/>
  <c r="BA314" i="5"/>
  <c r="BA379" i="5"/>
  <c r="BA315" i="5"/>
  <c r="BA316" i="5"/>
  <c r="BA343" i="5"/>
  <c r="BA344" i="5"/>
  <c r="BA339" i="5"/>
  <c r="BA357" i="5"/>
  <c r="BA338" i="5"/>
  <c r="BA318" i="5"/>
  <c r="BA337" i="5"/>
  <c r="BA317" i="5"/>
  <c r="BA361" i="5"/>
  <c r="BA341" i="5"/>
  <c r="BA350" i="5"/>
  <c r="BA345" i="5"/>
  <c r="BA351" i="5"/>
  <c r="BA352" i="5"/>
  <c r="BA326" i="5"/>
  <c r="BA388" i="5"/>
  <c r="BF219" i="5"/>
  <c r="BF324" i="5"/>
  <c r="BF326" i="5"/>
  <c r="BF332" i="5"/>
  <c r="BF334" i="5"/>
  <c r="BF340" i="5"/>
  <c r="BF388" i="5"/>
  <c r="BF253" i="5"/>
  <c r="BF262" i="5"/>
  <c r="BF405" i="5"/>
  <c r="BF389" i="5"/>
  <c r="BF399" i="5"/>
  <c r="BF401" i="5"/>
  <c r="BF97" i="5"/>
  <c r="BF161" i="5"/>
  <c r="BF188" i="5"/>
  <c r="BF42" i="5"/>
  <c r="BF47" i="5"/>
  <c r="BF177" i="5"/>
  <c r="BF386" i="5"/>
  <c r="BF402" i="5"/>
  <c r="BF403" i="5"/>
  <c r="BF61" i="5"/>
  <c r="BF117" i="5"/>
  <c r="BF283" i="5"/>
  <c r="BF290" i="5"/>
  <c r="BF39" i="5"/>
  <c r="BF40" i="5"/>
  <c r="BF41" i="5"/>
  <c r="BF102" i="5"/>
  <c r="BF330" i="5"/>
  <c r="BF396" i="5"/>
  <c r="BF408" i="5"/>
  <c r="BF38" i="5"/>
  <c r="BF66" i="5"/>
  <c r="BF175" i="5"/>
  <c r="BF65" i="5"/>
  <c r="BF67" i="5"/>
  <c r="BF367" i="5"/>
  <c r="BF369" i="5"/>
  <c r="BF371" i="5"/>
  <c r="BF376" i="5"/>
  <c r="BF394" i="5"/>
  <c r="BF395" i="5"/>
  <c r="BF406" i="5"/>
  <c r="BF53" i="5"/>
  <c r="BF56" i="5"/>
  <c r="BF59" i="5"/>
  <c r="BF153" i="5"/>
  <c r="BF257" i="5"/>
  <c r="BF366" i="5"/>
  <c r="BF50" i="5"/>
  <c r="BF385" i="5"/>
  <c r="BF390" i="5"/>
  <c r="BF392" i="5"/>
  <c r="BF397" i="5"/>
  <c r="BF398" i="5"/>
  <c r="BF400" i="5"/>
  <c r="BF409" i="5"/>
  <c r="BF148" i="5"/>
  <c r="BF152" i="5"/>
  <c r="BF321" i="5"/>
  <c r="BF176" i="5"/>
  <c r="BF328" i="5"/>
  <c r="BF404" i="5"/>
  <c r="BF142" i="5"/>
  <c r="BF407" i="5"/>
  <c r="BF52" i="5"/>
  <c r="BF263" i="5"/>
  <c r="BF140" i="5"/>
  <c r="BF154" i="5"/>
  <c r="BF322" i="5"/>
  <c r="BF129" i="5"/>
  <c r="BF137" i="5"/>
  <c r="BF149" i="5"/>
  <c r="BF256" i="5"/>
  <c r="BF179" i="5"/>
  <c r="BF244" i="5"/>
  <c r="BF246" i="5"/>
  <c r="BF124" i="5"/>
  <c r="BF255" i="5"/>
  <c r="BF27" i="5"/>
  <c r="BF225" i="5"/>
  <c r="BF303" i="5"/>
  <c r="BF393" i="5"/>
  <c r="BF118" i="5"/>
  <c r="BF209" i="5"/>
  <c r="BF241" i="5"/>
  <c r="BF243" i="5"/>
  <c r="BF245" i="5"/>
  <c r="BF362" i="5"/>
  <c r="BF387" i="5"/>
  <c r="BF123" i="5"/>
  <c r="BF8" i="5"/>
  <c r="BF342" i="5"/>
  <c r="BF368" i="5"/>
  <c r="BF380" i="5"/>
  <c r="BF269" i="5"/>
  <c r="BF138" i="5"/>
  <c r="BF183" i="5"/>
  <c r="BF221" i="5"/>
  <c r="BF240" i="5"/>
  <c r="BF242" i="5"/>
  <c r="BF60" i="5"/>
  <c r="BF254" i="5"/>
  <c r="BF247" i="5"/>
  <c r="BF391" i="5"/>
  <c r="BF74" i="5"/>
  <c r="BF216" i="5"/>
  <c r="BF239" i="5"/>
  <c r="BF300" i="5"/>
  <c r="BF301" i="5"/>
  <c r="BF311" i="5"/>
  <c r="BF105" i="5"/>
  <c r="BF139" i="5"/>
  <c r="BF88" i="5"/>
  <c r="BF15" i="5"/>
  <c r="BF181" i="5"/>
  <c r="BF323" i="5"/>
  <c r="BF373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1" i="5"/>
  <c r="BF284" i="5"/>
  <c r="BE284" i="5"/>
  <c r="E116" i="7"/>
  <c r="E117" i="7"/>
  <c r="E118" i="7"/>
  <c r="E119" i="7"/>
  <c r="E120" i="7"/>
  <c r="E121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99" i="7"/>
  <c r="E100" i="7"/>
  <c r="E44" i="7"/>
  <c r="E45" i="7"/>
  <c r="E33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3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5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1" i="5"/>
  <c r="T42" i="2"/>
  <c r="T22" i="2"/>
  <c r="K46" i="2"/>
  <c r="K42" i="2"/>
  <c r="K22" i="2"/>
  <c r="BE384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8" i="5"/>
  <c r="BE299" i="5"/>
  <c r="BE300" i="5"/>
  <c r="BE301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6" i="5"/>
  <c r="BE337" i="5"/>
  <c r="BE338" i="5"/>
  <c r="BE339" i="5"/>
  <c r="BE340" i="5"/>
  <c r="BE341" i="5"/>
  <c r="BE342" i="5"/>
  <c r="BE343" i="5"/>
  <c r="BE344" i="5"/>
  <c r="BE345" i="5"/>
  <c r="BE33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291" i="5"/>
  <c r="BC291" i="5"/>
  <c r="BC384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8" i="5"/>
  <c r="BC299" i="5"/>
  <c r="BC300" i="5"/>
  <c r="BC301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6" i="5"/>
  <c r="BC337" i="5"/>
  <c r="BC338" i="5"/>
  <c r="BC339" i="5"/>
  <c r="BC340" i="5"/>
  <c r="BC341" i="5"/>
  <c r="BC342" i="5"/>
  <c r="BC343" i="5"/>
  <c r="BC344" i="5"/>
  <c r="BC345" i="5"/>
  <c r="BC33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B384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8" i="5"/>
  <c r="BB299" i="5"/>
  <c r="BB300" i="5"/>
  <c r="BB301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6" i="5"/>
  <c r="BB337" i="5"/>
  <c r="BB338" i="5"/>
  <c r="BB339" i="5"/>
  <c r="BB340" i="5"/>
  <c r="BB341" i="5"/>
  <c r="BB342" i="5"/>
  <c r="BB343" i="5"/>
  <c r="BB344" i="5"/>
  <c r="BB345" i="5"/>
  <c r="BB33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H300" i="4"/>
  <c r="AH301" i="4"/>
  <c r="AH299" i="4"/>
  <c r="AH298" i="4"/>
  <c r="AH309" i="4"/>
  <c r="AH310" i="4"/>
  <c r="AH311" i="4"/>
  <c r="AH303" i="4"/>
  <c r="AH304" i="4"/>
  <c r="AH305" i="4"/>
  <c r="AH306" i="4"/>
  <c r="AH313" i="4"/>
  <c r="AH312" i="4"/>
  <c r="AH333" i="4"/>
  <c r="AH329" i="4"/>
  <c r="AH327" i="4"/>
  <c r="AH328" i="4"/>
  <c r="AH340" i="4"/>
  <c r="AH339" i="4"/>
  <c r="AH336" i="4"/>
  <c r="AH326" i="4"/>
  <c r="AH343" i="4"/>
  <c r="AH344" i="4"/>
  <c r="AH334" i="4"/>
  <c r="AH346" i="4"/>
  <c r="AH337" i="4"/>
  <c r="AH316" i="4"/>
  <c r="AH318" i="4"/>
  <c r="AH319" i="4"/>
  <c r="AH320" i="4"/>
  <c r="AH321" i="4"/>
  <c r="AH342" i="4"/>
  <c r="AH341" i="4"/>
  <c r="AH345" i="4"/>
  <c r="AH322" i="4"/>
  <c r="AH323" i="4"/>
  <c r="AH324" i="4"/>
  <c r="AH325" i="4"/>
  <c r="AH338" i="4"/>
  <c r="AH335" i="4"/>
  <c r="AH317" i="4"/>
  <c r="AH314" i="4"/>
  <c r="AH315" i="4"/>
  <c r="AH332" i="4"/>
  <c r="AH330" i="4"/>
  <c r="AH331" i="4"/>
  <c r="AH353" i="4"/>
  <c r="AH347" i="4"/>
  <c r="AH348" i="4"/>
  <c r="AH349" i="4"/>
  <c r="AH354" i="4"/>
  <c r="AH355" i="4"/>
  <c r="AH356" i="4"/>
  <c r="AH357" i="4"/>
  <c r="AH358" i="4"/>
  <c r="AH359" i="4"/>
  <c r="AH360" i="4"/>
  <c r="AH361" i="4"/>
  <c r="AH363" i="4"/>
  <c r="AH364" i="4"/>
  <c r="AH365" i="4"/>
  <c r="AH367" i="4"/>
  <c r="AH368" i="4"/>
  <c r="AH366" i="4"/>
  <c r="AH350" i="4"/>
  <c r="AH351" i="4"/>
  <c r="AH352" i="4"/>
  <c r="AH362" i="4"/>
  <c r="AH372" i="4"/>
  <c r="AH370" i="4"/>
  <c r="AH373" i="4"/>
  <c r="AH377" i="4"/>
  <c r="AH374" i="4"/>
  <c r="AH369" i="4"/>
  <c r="AH378" i="4"/>
  <c r="AH375" i="4"/>
  <c r="AH371" i="4"/>
  <c r="AH379" i="4"/>
  <c r="AH376" i="4"/>
  <c r="AH383" i="4"/>
  <c r="AH382" i="4"/>
  <c r="AH381" i="4"/>
  <c r="AH380" i="4"/>
  <c r="AH384" i="4"/>
  <c r="AH385" i="4"/>
  <c r="AH399" i="4"/>
  <c r="AH397" i="4"/>
  <c r="AH398" i="4"/>
  <c r="AH388" i="4"/>
  <c r="AH389" i="4"/>
  <c r="AH390" i="4"/>
  <c r="AH391" i="4"/>
  <c r="AH409" i="4"/>
  <c r="AH400" i="4"/>
  <c r="AH401" i="4"/>
  <c r="AH402" i="4"/>
  <c r="AH403" i="4"/>
  <c r="AH392" i="4"/>
  <c r="AH394" i="4"/>
  <c r="AH395" i="4"/>
  <c r="AH404" i="4"/>
  <c r="AH386" i="4"/>
  <c r="AH405" i="4"/>
  <c r="AH396" i="4"/>
  <c r="AH387" i="4"/>
  <c r="AH406" i="4"/>
  <c r="AH407" i="4"/>
  <c r="AH408" i="4"/>
  <c r="AH393" i="4"/>
  <c r="BF79" i="5"/>
  <c r="I45" i="3"/>
  <c r="E10" i="3"/>
  <c r="E11" i="3"/>
  <c r="E12" i="3"/>
  <c r="E13" i="3"/>
  <c r="E15" i="3"/>
  <c r="E16" i="3"/>
  <c r="E20" i="3"/>
  <c r="E21" i="3"/>
  <c r="E22" i="3"/>
  <c r="E23" i="3"/>
  <c r="E24" i="3"/>
  <c r="E25" i="3"/>
  <c r="E26" i="3"/>
  <c r="E28" i="3"/>
  <c r="E30" i="3"/>
  <c r="E31" i="3"/>
  <c r="E42" i="3"/>
  <c r="E32" i="3"/>
  <c r="E33" i="3"/>
  <c r="E43" i="3"/>
  <c r="E44" i="3"/>
  <c r="E45" i="3"/>
  <c r="E34" i="3"/>
  <c r="E35" i="3"/>
  <c r="E36" i="3"/>
  <c r="E37" i="3"/>
  <c r="E38" i="3"/>
  <c r="E39" i="3"/>
  <c r="E40" i="3"/>
  <c r="E41" i="3"/>
  <c r="E6" i="3"/>
  <c r="I38" i="3"/>
  <c r="I33" i="3"/>
  <c r="I23" i="3"/>
  <c r="I31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3" i="5"/>
  <c r="AR303" i="5"/>
  <c r="AS303" i="5"/>
  <c r="AT303" i="5"/>
  <c r="AU303" i="5"/>
  <c r="AV303" i="5"/>
  <c r="AW303" i="5"/>
  <c r="AX303" i="5"/>
  <c r="AY303" i="5"/>
  <c r="AZ303" i="5"/>
  <c r="AP308" i="5"/>
  <c r="AR308" i="5"/>
  <c r="AS308" i="5"/>
  <c r="AT308" i="5"/>
  <c r="AU308" i="5"/>
  <c r="AV308" i="5"/>
  <c r="AW308" i="5"/>
  <c r="AX308" i="5"/>
  <c r="AY308" i="5"/>
  <c r="AZ308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45" i="5"/>
  <c r="AR345" i="5"/>
  <c r="AS345" i="5"/>
  <c r="AT345" i="5"/>
  <c r="AU345" i="5"/>
  <c r="AV345" i="5"/>
  <c r="AW345" i="5"/>
  <c r="AX345" i="5"/>
  <c r="AY345" i="5"/>
  <c r="AZ345" i="5"/>
  <c r="AP330" i="5"/>
  <c r="AR330" i="5"/>
  <c r="AS330" i="5"/>
  <c r="AT330" i="5"/>
  <c r="AU330" i="5"/>
  <c r="AV330" i="5"/>
  <c r="AW330" i="5"/>
  <c r="AX330" i="5"/>
  <c r="AY330" i="5"/>
  <c r="AZ330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6" i="5"/>
  <c r="AR346" i="5"/>
  <c r="AS346" i="5"/>
  <c r="AT346" i="5"/>
  <c r="AU346" i="5"/>
  <c r="AV346" i="5"/>
  <c r="AW346" i="5"/>
  <c r="AX346" i="5"/>
  <c r="AY346" i="5"/>
  <c r="AZ346" i="5"/>
  <c r="AP333" i="5"/>
  <c r="AR333" i="5"/>
  <c r="AS333" i="5"/>
  <c r="AT333" i="5"/>
  <c r="AU333" i="5"/>
  <c r="AV333" i="5"/>
  <c r="AW333" i="5"/>
  <c r="AX333" i="5"/>
  <c r="AY333" i="5"/>
  <c r="AZ333" i="5"/>
  <c r="AP341" i="5"/>
  <c r="AR341" i="5"/>
  <c r="AS341" i="5"/>
  <c r="AT341" i="5"/>
  <c r="AU341" i="5"/>
  <c r="AV341" i="5"/>
  <c r="AW341" i="5"/>
  <c r="AX341" i="5"/>
  <c r="AY341" i="5"/>
  <c r="AZ341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1" i="5"/>
  <c r="AR331" i="5"/>
  <c r="AS331" i="5"/>
  <c r="AT331" i="5"/>
  <c r="AU331" i="5"/>
  <c r="AV331" i="5"/>
  <c r="AW331" i="5"/>
  <c r="AX331" i="5"/>
  <c r="AY331" i="5"/>
  <c r="AZ331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19" i="5"/>
  <c r="AR319" i="5"/>
  <c r="AS319" i="5"/>
  <c r="AT319" i="5"/>
  <c r="AU319" i="5"/>
  <c r="AV319" i="5"/>
  <c r="AW319" i="5"/>
  <c r="AX319" i="5"/>
  <c r="AY319" i="5"/>
  <c r="AZ319" i="5"/>
  <c r="AP321" i="5"/>
  <c r="AR321" i="5"/>
  <c r="AS321" i="5"/>
  <c r="AT321" i="5"/>
  <c r="AU321" i="5"/>
  <c r="AV321" i="5"/>
  <c r="AW321" i="5"/>
  <c r="AX321" i="5"/>
  <c r="AY321" i="5"/>
  <c r="AZ321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7" i="5"/>
  <c r="AR337" i="5"/>
  <c r="AS337" i="5"/>
  <c r="AT337" i="5"/>
  <c r="AU337" i="5"/>
  <c r="AV337" i="5"/>
  <c r="AW337" i="5"/>
  <c r="AX337" i="5"/>
  <c r="AY337" i="5"/>
  <c r="AZ337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32" i="5"/>
  <c r="AR332" i="5"/>
  <c r="AS332" i="5"/>
  <c r="AT332" i="5"/>
  <c r="AU332" i="5"/>
  <c r="AV332" i="5"/>
  <c r="AW332" i="5"/>
  <c r="AX332" i="5"/>
  <c r="AY332" i="5"/>
  <c r="AZ332" i="5"/>
  <c r="AP342" i="5"/>
  <c r="AR342" i="5"/>
  <c r="AS342" i="5"/>
  <c r="AT342" i="5"/>
  <c r="AU342" i="5"/>
  <c r="AV342" i="5"/>
  <c r="AW342" i="5"/>
  <c r="AX342" i="5"/>
  <c r="AY342" i="5"/>
  <c r="AZ342" i="5"/>
  <c r="AP320" i="5"/>
  <c r="AR320" i="5"/>
  <c r="AS320" i="5"/>
  <c r="AT320" i="5"/>
  <c r="AU320" i="5"/>
  <c r="AV320" i="5"/>
  <c r="AW320" i="5"/>
  <c r="AX320" i="5"/>
  <c r="AY320" i="5"/>
  <c r="AZ320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6" i="5"/>
  <c r="AR356" i="5"/>
  <c r="AS356" i="5"/>
  <c r="AT356" i="5"/>
  <c r="AU356" i="5"/>
  <c r="AV356" i="5"/>
  <c r="AW356" i="5"/>
  <c r="AX356" i="5"/>
  <c r="AY356" i="5"/>
  <c r="AZ356" i="5"/>
  <c r="AP347" i="5"/>
  <c r="AR347" i="5"/>
  <c r="AS347" i="5"/>
  <c r="AT347" i="5"/>
  <c r="AU347" i="5"/>
  <c r="AV347" i="5"/>
  <c r="AW347" i="5"/>
  <c r="AX347" i="5"/>
  <c r="AY347" i="5"/>
  <c r="AZ347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65" i="5"/>
  <c r="AR365" i="5"/>
  <c r="AS365" i="5"/>
  <c r="AT365" i="5"/>
  <c r="AU365" i="5"/>
  <c r="AV365" i="5"/>
  <c r="AW365" i="5"/>
  <c r="AX365" i="5"/>
  <c r="AY365" i="5"/>
  <c r="AZ365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8" i="5"/>
  <c r="AR378" i="5"/>
  <c r="AS378" i="5"/>
  <c r="AT378" i="5"/>
  <c r="AU378" i="5"/>
  <c r="AV378" i="5"/>
  <c r="AW378" i="5"/>
  <c r="AX378" i="5"/>
  <c r="AY378" i="5"/>
  <c r="AZ378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81" i="5"/>
  <c r="AQ381" i="5"/>
  <c r="AR381" i="5"/>
  <c r="AS381" i="5"/>
  <c r="AT381" i="5"/>
  <c r="AU381" i="5"/>
  <c r="AV381" i="5"/>
  <c r="AW381" i="5"/>
  <c r="AX381" i="5"/>
  <c r="AY381" i="5"/>
  <c r="AZ381" i="5"/>
  <c r="AP382" i="5"/>
  <c r="AQ382" i="5"/>
  <c r="AR382" i="5"/>
  <c r="AS382" i="5"/>
  <c r="AT382" i="5"/>
  <c r="AU382" i="5"/>
  <c r="AV382" i="5"/>
  <c r="AW382" i="5"/>
  <c r="AX382" i="5"/>
  <c r="AY382" i="5"/>
  <c r="AZ382" i="5"/>
  <c r="AP383" i="5"/>
  <c r="AQ383" i="5"/>
  <c r="AR383" i="5"/>
  <c r="AS383" i="5"/>
  <c r="AT383" i="5"/>
  <c r="AU383" i="5"/>
  <c r="AV383" i="5"/>
  <c r="AW383" i="5"/>
  <c r="AX383" i="5"/>
  <c r="AY383" i="5"/>
  <c r="AZ383" i="5"/>
  <c r="AP380" i="5"/>
  <c r="AQ380" i="5"/>
  <c r="AR380" i="5"/>
  <c r="AS380" i="5"/>
  <c r="AT380" i="5"/>
  <c r="AU380" i="5"/>
  <c r="AV380" i="5"/>
  <c r="AW380" i="5"/>
  <c r="AX380" i="5"/>
  <c r="AY380" i="5"/>
  <c r="AZ380" i="5"/>
  <c r="AP384" i="5"/>
  <c r="AQ384" i="5"/>
  <c r="AR384" i="5"/>
  <c r="AS384" i="5"/>
  <c r="AT384" i="5"/>
  <c r="AU384" i="5"/>
  <c r="AV384" i="5"/>
  <c r="AW384" i="5"/>
  <c r="AX384" i="5"/>
  <c r="AY384" i="5"/>
  <c r="AZ384" i="5"/>
  <c r="AR388" i="5"/>
  <c r="AS388" i="5"/>
  <c r="AT388" i="5"/>
  <c r="AU388" i="5"/>
  <c r="AV388" i="5"/>
  <c r="AW388" i="5"/>
  <c r="AX388" i="5"/>
  <c r="AY388" i="5"/>
  <c r="AR387" i="5"/>
  <c r="AS387" i="5"/>
  <c r="AT387" i="5"/>
  <c r="AU387" i="5"/>
  <c r="AV387" i="5"/>
  <c r="AW387" i="5"/>
  <c r="AX387" i="5"/>
  <c r="AY387" i="5"/>
  <c r="AR385" i="5"/>
  <c r="AS385" i="5"/>
  <c r="AT385" i="5"/>
  <c r="AU385" i="5"/>
  <c r="AV385" i="5"/>
  <c r="AW385" i="5"/>
  <c r="AX385" i="5"/>
  <c r="AY385" i="5"/>
  <c r="AR386" i="5"/>
  <c r="AS386" i="5"/>
  <c r="AT386" i="5"/>
  <c r="AU386" i="5"/>
  <c r="AV386" i="5"/>
  <c r="AW386" i="5"/>
  <c r="AX386" i="5"/>
  <c r="AY386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399" i="5"/>
  <c r="AS399" i="5"/>
  <c r="AT399" i="5"/>
  <c r="AU399" i="5"/>
  <c r="AV399" i="5"/>
  <c r="AW399" i="5"/>
  <c r="AX399" i="5"/>
  <c r="AY399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13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71" i="4"/>
  <c r="AB269" i="4"/>
  <c r="AB270" i="4"/>
  <c r="AB279" i="4"/>
  <c r="AB272" i="4"/>
  <c r="AB273" i="4"/>
  <c r="AB274" i="4"/>
  <c r="AB275" i="4"/>
  <c r="AB276" i="4"/>
  <c r="AB277" i="4"/>
  <c r="AB278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8" i="4"/>
  <c r="AB337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2" i="4"/>
  <c r="AC2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0" i="5"/>
  <c r="BD384" i="5"/>
  <c r="BD380" i="5"/>
  <c r="BD381" i="5"/>
  <c r="BD389" i="5"/>
  <c r="BD405" i="5"/>
  <c r="BD406" i="5"/>
  <c r="BD386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1" i="5"/>
  <c r="BD313" i="5"/>
  <c r="BD303" i="5"/>
  <c r="BD304" i="5"/>
  <c r="BD299" i="5"/>
  <c r="BD307" i="5"/>
  <c r="BD311" i="5"/>
  <c r="BD312" i="5"/>
  <c r="BD305" i="5"/>
  <c r="BD310" i="5"/>
  <c r="BD300" i="5"/>
  <c r="BD308" i="5"/>
  <c r="BD306" i="5"/>
  <c r="BD298" i="5"/>
  <c r="BD309" i="5"/>
  <c r="BD324" i="5"/>
  <c r="BD323" i="5"/>
  <c r="BD322" i="5"/>
  <c r="BD337" i="5"/>
  <c r="BD339" i="5"/>
  <c r="BD344" i="5"/>
  <c r="BD343" i="5"/>
  <c r="BD345" i="5"/>
  <c r="BD335" i="5"/>
  <c r="BD329" i="5"/>
  <c r="BD319" i="5"/>
  <c r="BD314" i="5"/>
  <c r="BD315" i="5"/>
  <c r="BD316" i="5"/>
  <c r="BD317" i="5"/>
  <c r="BD318" i="5"/>
  <c r="BD320" i="5"/>
  <c r="BD321" i="5"/>
  <c r="BD325" i="5"/>
  <c r="BD326" i="5"/>
  <c r="BD327" i="5"/>
  <c r="BD328" i="5"/>
  <c r="BD331" i="5"/>
  <c r="BD332" i="5"/>
  <c r="BD333" i="5"/>
  <c r="BD334" i="5"/>
  <c r="BD336" i="5"/>
  <c r="BD338" i="5"/>
  <c r="BD340" i="5"/>
  <c r="BD341" i="5"/>
  <c r="BD342" i="5"/>
  <c r="BD346" i="5"/>
  <c r="BD350" i="5"/>
  <c r="BD352" i="5"/>
  <c r="BD351" i="5"/>
  <c r="BD349" i="5"/>
  <c r="BD367" i="5"/>
  <c r="BD366" i="5"/>
  <c r="BD358" i="5"/>
  <c r="BD368" i="5"/>
  <c r="BD359" i="5"/>
  <c r="BD361" i="5"/>
  <c r="BD364" i="5"/>
  <c r="BD362" i="5"/>
  <c r="BD360" i="5"/>
  <c r="BD363" i="5"/>
  <c r="BD348" i="5"/>
  <c r="BD357" i="5"/>
  <c r="BD347" i="5"/>
  <c r="BD356" i="5"/>
  <c r="BD355" i="5"/>
  <c r="BD365" i="5"/>
  <c r="BD354" i="5"/>
  <c r="BD353" i="5"/>
  <c r="BD375" i="5"/>
  <c r="BD372" i="5"/>
  <c r="BD373" i="5"/>
  <c r="BD370" i="5"/>
  <c r="BD379" i="5"/>
  <c r="BD378" i="5"/>
  <c r="BD374" i="5"/>
  <c r="BD371" i="5"/>
  <c r="BD376" i="5"/>
  <c r="BD377" i="5"/>
  <c r="BD369" i="5"/>
  <c r="BD382" i="5"/>
  <c r="BD383" i="5"/>
  <c r="BD385" i="5"/>
  <c r="BD387" i="5"/>
  <c r="BD390" i="5"/>
  <c r="BD391" i="5"/>
  <c r="BD392" i="5"/>
  <c r="BD396" i="5"/>
  <c r="BD397" i="5"/>
  <c r="BD398" i="5"/>
  <c r="BD399" i="5"/>
  <c r="BD400" i="5"/>
  <c r="BD401" i="5"/>
  <c r="BD403" i="5"/>
  <c r="BD404" i="5"/>
  <c r="BD407" i="5"/>
  <c r="BD408" i="5"/>
  <c r="BD409" i="5"/>
  <c r="BD388" i="5"/>
  <c r="BD393" i="5"/>
  <c r="BD402" i="5"/>
  <c r="BD395" i="5"/>
  <c r="BD394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13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71" i="4"/>
  <c r="AC269" i="4"/>
  <c r="AC270" i="4"/>
  <c r="AC279" i="4"/>
  <c r="AC272" i="4"/>
  <c r="AC273" i="4"/>
  <c r="AC274" i="4"/>
  <c r="AC275" i="4"/>
  <c r="AC276" i="4"/>
  <c r="AC277" i="4"/>
  <c r="AC278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8" i="4"/>
  <c r="AC337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D270" i="4"/>
  <c r="AD5" i="4"/>
  <c r="AD6" i="4"/>
  <c r="AD8" i="4"/>
  <c r="AD176" i="4"/>
  <c r="AD127" i="4"/>
  <c r="AD128" i="4"/>
  <c r="AD160" i="4"/>
  <c r="AD166" i="4"/>
  <c r="AD274" i="4"/>
  <c r="AD92" i="4"/>
  <c r="AD19" i="4"/>
  <c r="AD103" i="4"/>
  <c r="AD126" i="4"/>
  <c r="AD297" i="4"/>
  <c r="AD271" i="4"/>
  <c r="AD279" i="4"/>
  <c r="AD151" i="4"/>
  <c r="AD162" i="4"/>
  <c r="AD296" i="4"/>
  <c r="AD255" i="4"/>
  <c r="AD179" i="4"/>
  <c r="AD180" i="4"/>
  <c r="AD3" i="4"/>
  <c r="AD79" i="4"/>
  <c r="AD82" i="4"/>
  <c r="AD89" i="4"/>
  <c r="AD91" i="4"/>
  <c r="AD246" i="4"/>
  <c r="AD94" i="4"/>
  <c r="AD95" i="4"/>
  <c r="AD96" i="4"/>
  <c r="AD97" i="4"/>
  <c r="AD98" i="4"/>
  <c r="AD99" i="4"/>
  <c r="AD106" i="4"/>
  <c r="AD107" i="4"/>
  <c r="AD108" i="4"/>
  <c r="AD123" i="4"/>
  <c r="AD261" i="4"/>
  <c r="AD154" i="4"/>
  <c r="AD164" i="4"/>
  <c r="AD165" i="4"/>
  <c r="AD172" i="4"/>
  <c r="AD53" i="4"/>
  <c r="AD281" i="4"/>
  <c r="AD292" i="4"/>
  <c r="AD293" i="4"/>
  <c r="AD232" i="4"/>
  <c r="AD233" i="4"/>
  <c r="AD234" i="4"/>
  <c r="AD235" i="4"/>
  <c r="AD236" i="4"/>
  <c r="AD237" i="4"/>
  <c r="AD238" i="4"/>
  <c r="AD248" i="4"/>
  <c r="AD90" i="4"/>
  <c r="AD16" i="4"/>
  <c r="AD100" i="4"/>
  <c r="AD101" i="4"/>
  <c r="AD102" i="4"/>
  <c r="AD109" i="4"/>
  <c r="AD43" i="4"/>
  <c r="AD44" i="4"/>
  <c r="AD287" i="4"/>
  <c r="AD139" i="4"/>
  <c r="AD143" i="4"/>
  <c r="AD252" i="4"/>
  <c r="AD269" i="4"/>
  <c r="AD50" i="4"/>
  <c r="AD150" i="4"/>
  <c r="AD152" i="4"/>
  <c r="AD272" i="4"/>
  <c r="AD156" i="4"/>
  <c r="AD263" i="4"/>
  <c r="AD254" i="4"/>
  <c r="AD173" i="4"/>
  <c r="AD174" i="4"/>
  <c r="AD288" i="4"/>
  <c r="AD289" i="4"/>
  <c r="AD290" i="4"/>
  <c r="AD54" i="4"/>
  <c r="AD55" i="4"/>
  <c r="AD291" i="4"/>
  <c r="AD199" i="4"/>
  <c r="AD200" i="4"/>
  <c r="AD201" i="4"/>
  <c r="AD202" i="4"/>
  <c r="AD203" i="4"/>
  <c r="AD204" i="4"/>
  <c r="AD258" i="4"/>
  <c r="AD205" i="4"/>
  <c r="AD206" i="4"/>
  <c r="AD211" i="4"/>
  <c r="AD71" i="4"/>
  <c r="AD239" i="4"/>
  <c r="AD294" i="4"/>
  <c r="AD242" i="4"/>
  <c r="AD86" i="4"/>
  <c r="AD87" i="4"/>
  <c r="AD88" i="4"/>
  <c r="AD17" i="4"/>
  <c r="AD104" i="4"/>
  <c r="AD105" i="4"/>
  <c r="AD138" i="4"/>
  <c r="AD253" i="4"/>
  <c r="AD52" i="4"/>
  <c r="AD177" i="4"/>
  <c r="AD178" i="4"/>
  <c r="AD61" i="4"/>
  <c r="AD276" i="4"/>
  <c r="AD74" i="4"/>
  <c r="AD75" i="4"/>
  <c r="AD76" i="4"/>
  <c r="AD78" i="4"/>
  <c r="AD244" i="4"/>
  <c r="AD18" i="4"/>
  <c r="AD122" i="4"/>
  <c r="AD132" i="4"/>
  <c r="AD133" i="4"/>
  <c r="AD134" i="4"/>
  <c r="AD137" i="4"/>
  <c r="AD295" i="4"/>
  <c r="AD141" i="4"/>
  <c r="AD13" i="4"/>
  <c r="AD14" i="4"/>
  <c r="AD9" i="4"/>
  <c r="AD181" i="4"/>
  <c r="AD10" i="4"/>
  <c r="AD11" i="4"/>
  <c r="AD62" i="4"/>
  <c r="AD63" i="4"/>
  <c r="AD192" i="4"/>
  <c r="AD66" i="4"/>
  <c r="AD67" i="4"/>
  <c r="AD68" i="4"/>
  <c r="AD69" i="4"/>
  <c r="AD216" i="4"/>
  <c r="AD77" i="4"/>
  <c r="AD80" i="4"/>
  <c r="AD81" i="4"/>
  <c r="AD83" i="4"/>
  <c r="AD243" i="4"/>
  <c r="AD245" i="4"/>
  <c r="AD247" i="4"/>
  <c r="AD282" i="4"/>
  <c r="AD119" i="4"/>
  <c r="AD35" i="4"/>
  <c r="AD125" i="4"/>
  <c r="AD47" i="4"/>
  <c r="AD135" i="4"/>
  <c r="AD250" i="4"/>
  <c r="AD251" i="4"/>
  <c r="AD260" i="4"/>
  <c r="AD158" i="4"/>
  <c r="AD161" i="4"/>
  <c r="AD163" i="4"/>
  <c r="AD283" i="4"/>
  <c r="AD280" i="4"/>
  <c r="AD284" i="4"/>
  <c r="AD285" i="4"/>
  <c r="AD182" i="4"/>
  <c r="AD183" i="4"/>
  <c r="AD184" i="4"/>
  <c r="AD185" i="4"/>
  <c r="AD186" i="4"/>
  <c r="AD187" i="4"/>
  <c r="AD188" i="4"/>
  <c r="AD193" i="4"/>
  <c r="AD194" i="4"/>
  <c r="AD195" i="4"/>
  <c r="AD196" i="4"/>
  <c r="AD64" i="4"/>
  <c r="AD65" i="4"/>
  <c r="AD226" i="4"/>
  <c r="AD259" i="4"/>
  <c r="AD85" i="4"/>
  <c r="AD240" i="4"/>
  <c r="AD241" i="4"/>
  <c r="AD222" i="4"/>
  <c r="AD223" i="4"/>
  <c r="AD224" i="4"/>
  <c r="AD116" i="4"/>
  <c r="AD117" i="4"/>
  <c r="AD118" i="4"/>
  <c r="AD121" i="4"/>
  <c r="AD48" i="4"/>
  <c r="AD142" i="4"/>
  <c r="AD147" i="4"/>
  <c r="AD168" i="4"/>
  <c r="AD169" i="4"/>
  <c r="AD189" i="4"/>
  <c r="AD198" i="4"/>
  <c r="AD286" i="4"/>
  <c r="AD225" i="4"/>
  <c r="AD267" i="4"/>
  <c r="AD268" i="4"/>
  <c r="AD221" i="4"/>
  <c r="AD115" i="4"/>
  <c r="AD45" i="4"/>
  <c r="AD7" i="4"/>
  <c r="AD256" i="4"/>
  <c r="AD257" i="4"/>
  <c r="AD190" i="4"/>
  <c r="AD191" i="4"/>
  <c r="AD229" i="4"/>
  <c r="AD129" i="4"/>
  <c r="AD136" i="4"/>
  <c r="AD155" i="4"/>
  <c r="AD51" i="4"/>
  <c r="AD273" i="4"/>
  <c r="AD175" i="4"/>
  <c r="AD207" i="4"/>
  <c r="AD208" i="4"/>
  <c r="AD209" i="4"/>
  <c r="AD112" i="4"/>
  <c r="AD130" i="4"/>
  <c r="AD131" i="4"/>
  <c r="AD148" i="4"/>
  <c r="AD157" i="4"/>
  <c r="AD262" i="4"/>
  <c r="AD264" i="4"/>
  <c r="AD265" i="4"/>
  <c r="AD266" i="4"/>
  <c r="AD210" i="4"/>
  <c r="AD213" i="4"/>
  <c r="AD214" i="4"/>
  <c r="AD228" i="4"/>
  <c r="AD20" i="4"/>
  <c r="AD110" i="4"/>
  <c r="AD111" i="4"/>
  <c r="AD113" i="4"/>
  <c r="AD114" i="4"/>
  <c r="AD120" i="4"/>
  <c r="AD29" i="4"/>
  <c r="AD144" i="4"/>
  <c r="AD49" i="4"/>
  <c r="AD145" i="4"/>
  <c r="AD149" i="4"/>
  <c r="AD159" i="4"/>
  <c r="AD15" i="4"/>
  <c r="AD167" i="4"/>
  <c r="AD56" i="4"/>
  <c r="AD58" i="4"/>
  <c r="AD215" i="4"/>
  <c r="AD70" i="4"/>
  <c r="AD218" i="4"/>
  <c r="AD219" i="4"/>
  <c r="AD220" i="4"/>
  <c r="AD39" i="4"/>
  <c r="AD40" i="4"/>
  <c r="AD23" i="4"/>
  <c r="AD41" i="4"/>
  <c r="AD24" i="4"/>
  <c r="AD25" i="4"/>
  <c r="AD42" i="4"/>
  <c r="AD27" i="4"/>
  <c r="AD93" i="4"/>
  <c r="AD21" i="4"/>
  <c r="AD30" i="4"/>
  <c r="AD31" i="4"/>
  <c r="AD32" i="4"/>
  <c r="AD33" i="4"/>
  <c r="AD34" i="4"/>
  <c r="AD46" i="4"/>
  <c r="AD278" i="4"/>
  <c r="AD124" i="4"/>
  <c r="AD12" i="4"/>
  <c r="AD153" i="4"/>
  <c r="AD170" i="4"/>
  <c r="AD171" i="4"/>
  <c r="AD57" i="4"/>
  <c r="AD230" i="4"/>
  <c r="AD231" i="4"/>
  <c r="AD84" i="4"/>
  <c r="AD277" i="4"/>
  <c r="AD38" i="4"/>
  <c r="AD22" i="4"/>
  <c r="AD26" i="4"/>
  <c r="AD28" i="4"/>
  <c r="AD4" i="4"/>
  <c r="AD146" i="4"/>
  <c r="AD59" i="4"/>
  <c r="AD60" i="4"/>
  <c r="AD212" i="4"/>
  <c r="AD275" i="4"/>
  <c r="AD227" i="4"/>
  <c r="AD37" i="4"/>
  <c r="AD140" i="4"/>
  <c r="AD217" i="4"/>
  <c r="AD197" i="4"/>
  <c r="AD304" i="4"/>
  <c r="AD302" i="4"/>
  <c r="AD303" i="4"/>
  <c r="AD305" i="4"/>
  <c r="AD306" i="4"/>
  <c r="AD300" i="4"/>
  <c r="AD301" i="4"/>
  <c r="AD299" i="4"/>
  <c r="AD298" i="4"/>
  <c r="AD312" i="4"/>
  <c r="AD307" i="4"/>
  <c r="AD309" i="4"/>
  <c r="AD310" i="4"/>
  <c r="AD311" i="4"/>
  <c r="AD313" i="4"/>
  <c r="AD317" i="4"/>
  <c r="AD335" i="4"/>
  <c r="AD316" i="4"/>
  <c r="AD318" i="4"/>
  <c r="AD319" i="4"/>
  <c r="AD320" i="4"/>
  <c r="AD334" i="4"/>
  <c r="AD336" i="4"/>
  <c r="AD340" i="4"/>
  <c r="AD322" i="4"/>
  <c r="AD323" i="4"/>
  <c r="AD324" i="4"/>
  <c r="AD325" i="4"/>
  <c r="AD338" i="4"/>
  <c r="AD327" i="4"/>
  <c r="AD328" i="4"/>
  <c r="AD329" i="4"/>
  <c r="AD337" i="4"/>
  <c r="AD339" i="4"/>
  <c r="AD314" i="4"/>
  <c r="AD315" i="4"/>
  <c r="AD342" i="4"/>
  <c r="AD343" i="4"/>
  <c r="AD341" i="4"/>
  <c r="AD344" i="4"/>
  <c r="AD345" i="4"/>
  <c r="AD326" i="4"/>
  <c r="AD333" i="4"/>
  <c r="AD330" i="4"/>
  <c r="AD331" i="4"/>
  <c r="AD332" i="4"/>
  <c r="AD346" i="4"/>
  <c r="AD321" i="4"/>
  <c r="AD354" i="4"/>
  <c r="AD358" i="4"/>
  <c r="AD347" i="4"/>
  <c r="AD353" i="4"/>
  <c r="AD363" i="4"/>
  <c r="AD364" i="4"/>
  <c r="AD365" i="4"/>
  <c r="AD366" i="4"/>
  <c r="AD362" i="4"/>
  <c r="AD367" i="4"/>
  <c r="AD368" i="4"/>
  <c r="AD355" i="4"/>
  <c r="AD356" i="4"/>
  <c r="AD348" i="4"/>
  <c r="AD349" i="4"/>
  <c r="AD351" i="4"/>
  <c r="AD350" i="4"/>
  <c r="AD352" i="4"/>
  <c r="AD357" i="4"/>
  <c r="AD359" i="4"/>
  <c r="AD360" i="4"/>
  <c r="AD361" i="4"/>
  <c r="AD374" i="4"/>
  <c r="AD369" i="4"/>
  <c r="AD379" i="4"/>
  <c r="AD373" i="4"/>
  <c r="AD377" i="4"/>
  <c r="AD378" i="4"/>
  <c r="AD375" i="4"/>
  <c r="AD370" i="4"/>
  <c r="AD371" i="4"/>
  <c r="AD372" i="4"/>
  <c r="AD376" i="4"/>
  <c r="AD384" i="4"/>
  <c r="AD380" i="4"/>
  <c r="AD383" i="4"/>
  <c r="AD381" i="4"/>
  <c r="AD382" i="4"/>
  <c r="AD393" i="4"/>
  <c r="AD398" i="4"/>
  <c r="AD399" i="4"/>
  <c r="AD385" i="4"/>
  <c r="AD400" i="4"/>
  <c r="AD401" i="4"/>
  <c r="AD402" i="4"/>
  <c r="AD404" i="4"/>
  <c r="AD386" i="4"/>
  <c r="AD397" i="4"/>
  <c r="AD388" i="4"/>
  <c r="AD389" i="4"/>
  <c r="AD390" i="4"/>
  <c r="AD391" i="4"/>
  <c r="AD409" i="4"/>
  <c r="AD403" i="4"/>
  <c r="AD392" i="4"/>
  <c r="AD394" i="4"/>
  <c r="AD395" i="4"/>
  <c r="AD405" i="4"/>
  <c r="AD396" i="4"/>
  <c r="AD387" i="4"/>
  <c r="AD406" i="4"/>
  <c r="AD407" i="4"/>
  <c r="AD408" i="4"/>
  <c r="AD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F381" i="4"/>
  <c r="AF382" i="4"/>
  <c r="AF384" i="4"/>
  <c r="AF383" i="4"/>
  <c r="AF380" i="4"/>
  <c r="AF397" i="4"/>
  <c r="AF398" i="4"/>
  <c r="AF399" i="4"/>
  <c r="AF385" i="4"/>
  <c r="AF388" i="4"/>
  <c r="AF389" i="4"/>
  <c r="AF390" i="4"/>
  <c r="AF391" i="4"/>
  <c r="AF409" i="4"/>
  <c r="AF400" i="4"/>
  <c r="AF401" i="4"/>
  <c r="AF402" i="4"/>
  <c r="AF403" i="4"/>
  <c r="AF392" i="4"/>
  <c r="AF393" i="4"/>
  <c r="AF394" i="4"/>
  <c r="AF395" i="4"/>
  <c r="AF404" i="4"/>
  <c r="AF386" i="4"/>
  <c r="AF405" i="4"/>
  <c r="AF396" i="4"/>
  <c r="AF387" i="4"/>
  <c r="AF406" i="4"/>
  <c r="AF407" i="4"/>
  <c r="AF408" i="4"/>
  <c r="AI300" i="4"/>
  <c r="AI301" i="4"/>
  <c r="AI299" i="4"/>
  <c r="AI298" i="4"/>
  <c r="AI302" i="4"/>
  <c r="AI307" i="4"/>
  <c r="AI309" i="4"/>
  <c r="AI310" i="4"/>
  <c r="AI311" i="4"/>
  <c r="AI303" i="4"/>
  <c r="AI313" i="4"/>
  <c r="AI312" i="4"/>
  <c r="AI304" i="4"/>
  <c r="AI305" i="4"/>
  <c r="AI306" i="4"/>
  <c r="AI330" i="4"/>
  <c r="AI331" i="4"/>
  <c r="AI332" i="4"/>
  <c r="AI314" i="4"/>
  <c r="AI315" i="4"/>
  <c r="AI316" i="4"/>
  <c r="AI317" i="4"/>
  <c r="AI318" i="4"/>
  <c r="AI319" i="4"/>
  <c r="AI320" i="4"/>
  <c r="AI321" i="4"/>
  <c r="AI342" i="4"/>
  <c r="AI343" i="4"/>
  <c r="AI341" i="4"/>
  <c r="AI344" i="4"/>
  <c r="AI345" i="4"/>
  <c r="AI333" i="4"/>
  <c r="AI334" i="4"/>
  <c r="AI335" i="4"/>
  <c r="AI336" i="4"/>
  <c r="AI346" i="4"/>
  <c r="AI322" i="4"/>
  <c r="AI323" i="4"/>
  <c r="AI324" i="4"/>
  <c r="AI325" i="4"/>
  <c r="AI326" i="4"/>
  <c r="AI327" i="4"/>
  <c r="AI328" i="4"/>
  <c r="AI329" i="4"/>
  <c r="AI337" i="4"/>
  <c r="AI339" i="4"/>
  <c r="AI340" i="4"/>
  <c r="AI338" i="4"/>
  <c r="AI347" i="4"/>
  <c r="AI367" i="4"/>
  <c r="AI368" i="4"/>
  <c r="AI366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72" i="4"/>
  <c r="AI370" i="4"/>
  <c r="AI373" i="4"/>
  <c r="AI377" i="4"/>
  <c r="AI374" i="4"/>
  <c r="AI369" i="4"/>
  <c r="AI378" i="4"/>
  <c r="AI375" i="4"/>
  <c r="AI379" i="4"/>
  <c r="AI371" i="4"/>
  <c r="AI376" i="4"/>
  <c r="AI381" i="4"/>
  <c r="AI382" i="4"/>
  <c r="AI384" i="4"/>
  <c r="AI383" i="4"/>
  <c r="AI380" i="4"/>
  <c r="AI397" i="4"/>
  <c r="AI398" i="4"/>
  <c r="AI399" i="4"/>
  <c r="AI385" i="4"/>
  <c r="AI388" i="4"/>
  <c r="AI389" i="4"/>
  <c r="AI390" i="4"/>
  <c r="AI391" i="4"/>
  <c r="AI409" i="4"/>
  <c r="AI400" i="4"/>
  <c r="AI401" i="4"/>
  <c r="AI402" i="4"/>
  <c r="AI403" i="4"/>
  <c r="AI392" i="4"/>
  <c r="AI393" i="4"/>
  <c r="AI394" i="4"/>
  <c r="AI395" i="4"/>
  <c r="AI404" i="4"/>
  <c r="AI386" i="4"/>
  <c r="AI405" i="4"/>
  <c r="AI396" i="4"/>
  <c r="AI387" i="4"/>
  <c r="AI406" i="4"/>
  <c r="AI407" i="4"/>
  <c r="AI408" i="4"/>
  <c r="AF91" i="4"/>
  <c r="AF101" i="4"/>
  <c r="AF102" i="4"/>
  <c r="AF106" i="4"/>
  <c r="AF107" i="4"/>
  <c r="AF108" i="4"/>
  <c r="AF109" i="4"/>
  <c r="AF45" i="4"/>
  <c r="AF46" i="4"/>
  <c r="AF139" i="4"/>
  <c r="AF161" i="4"/>
  <c r="AF173" i="4"/>
  <c r="AF292" i="4"/>
  <c r="AF293" i="4"/>
  <c r="AF232" i="4"/>
  <c r="AF94" i="4"/>
  <c r="AF95" i="4"/>
  <c r="AF98" i="4"/>
  <c r="AF172" i="4"/>
  <c r="AF143" i="4"/>
  <c r="AF152" i="4"/>
  <c r="AF271" i="4"/>
  <c r="AF261" i="4"/>
  <c r="AF43" i="4"/>
  <c r="AF44" i="4"/>
  <c r="AF13" i="4"/>
  <c r="AF6" i="4"/>
  <c r="AF53" i="4"/>
  <c r="AF54" i="4"/>
  <c r="AF55" i="4"/>
  <c r="AF96" i="4"/>
  <c r="AF97" i="4"/>
  <c r="AF99" i="4"/>
  <c r="AF174" i="4"/>
  <c r="AF52" i="4"/>
  <c r="AF248" i="4"/>
  <c r="AF104" i="4"/>
  <c r="AF105" i="4"/>
  <c r="AF123" i="4"/>
  <c r="AF154" i="4"/>
  <c r="AF263" i="4"/>
  <c r="AF270" i="4"/>
  <c r="AF163" i="4"/>
  <c r="AF296" i="4"/>
  <c r="AF201" i="4"/>
  <c r="AF202" i="4"/>
  <c r="AF204" i="4"/>
  <c r="AF258" i="4"/>
  <c r="AF205" i="4"/>
  <c r="AF206" i="4"/>
  <c r="AF199" i="4"/>
  <c r="AF200" i="4"/>
  <c r="AF203" i="4"/>
  <c r="AF86" i="4"/>
  <c r="AF87" i="4"/>
  <c r="AF88" i="4"/>
  <c r="AF89" i="4"/>
  <c r="AF90" i="4"/>
  <c r="AF246" i="4"/>
  <c r="AF92" i="4"/>
  <c r="AF247" i="4"/>
  <c r="AF100" i="4"/>
  <c r="AF103" i="4"/>
  <c r="AF36" i="4"/>
  <c r="AF279" i="4"/>
  <c r="AF276" i="4"/>
  <c r="AF233" i="4"/>
  <c r="AF234" i="4"/>
  <c r="AF235" i="4"/>
  <c r="AF236" i="4"/>
  <c r="AF237" i="4"/>
  <c r="AF238" i="4"/>
  <c r="AF5" i="4"/>
  <c r="AF8" i="4"/>
  <c r="AF74" i="4"/>
  <c r="AF75" i="4"/>
  <c r="AF76" i="4"/>
  <c r="AF77" i="4"/>
  <c r="AF78" i="4"/>
  <c r="AF282" i="4"/>
  <c r="AF283" i="4"/>
  <c r="AF280" i="4"/>
  <c r="AF285" i="4"/>
  <c r="AF16" i="4"/>
  <c r="AF17" i="4"/>
  <c r="AF18" i="4"/>
  <c r="AF19" i="4"/>
  <c r="AF287" i="4"/>
  <c r="AF289" i="4"/>
  <c r="AF291" i="4"/>
  <c r="AF284" i="4"/>
  <c r="AF275" i="4"/>
  <c r="AF294" i="4"/>
  <c r="AF243" i="4"/>
  <c r="AF244" i="4"/>
  <c r="AF245" i="4"/>
  <c r="AF252" i="4"/>
  <c r="AF272" i="4"/>
  <c r="AF254" i="4"/>
  <c r="AF290" i="4"/>
  <c r="AF133" i="4"/>
  <c r="AF134" i="4"/>
  <c r="AF48" i="4"/>
  <c r="AF12" i="4"/>
  <c r="AF175" i="4"/>
  <c r="AF177" i="4"/>
  <c r="AF62" i="4"/>
  <c r="AF69" i="4"/>
  <c r="AF81" i="4"/>
  <c r="AF83" i="4"/>
  <c r="AF239" i="4"/>
  <c r="AF85" i="4"/>
  <c r="AF242" i="4"/>
  <c r="AF278" i="4"/>
  <c r="AF124" i="4"/>
  <c r="AF47" i="4"/>
  <c r="AF132" i="4"/>
  <c r="AF250" i="4"/>
  <c r="AF51" i="4"/>
  <c r="AF59" i="4"/>
  <c r="AF255" i="4"/>
  <c r="AF9" i="4"/>
  <c r="AF10" i="4"/>
  <c r="AF11" i="4"/>
  <c r="AF183" i="4"/>
  <c r="AF66" i="4"/>
  <c r="AF209" i="4"/>
  <c r="AF116" i="4"/>
  <c r="AF137" i="4"/>
  <c r="AF67" i="4"/>
  <c r="AF68" i="4"/>
  <c r="AF79" i="4"/>
  <c r="AF80" i="4"/>
  <c r="AF240" i="4"/>
  <c r="AF241" i="4"/>
  <c r="AF178" i="4"/>
  <c r="AF63" i="4"/>
  <c r="AF64" i="4"/>
  <c r="AF65" i="4"/>
  <c r="AF225" i="4"/>
  <c r="AF71" i="4"/>
  <c r="AF82" i="4"/>
  <c r="AF127" i="4"/>
  <c r="AF128" i="4"/>
  <c r="AF146" i="4"/>
  <c r="AF14" i="4"/>
  <c r="AF7" i="4"/>
  <c r="AF160" i="4"/>
  <c r="AF15" i="4"/>
  <c r="AF56" i="4"/>
  <c r="AF57" i="4"/>
  <c r="AF58" i="4"/>
  <c r="AF179" i="4"/>
  <c r="AF216" i="4"/>
  <c r="AF221" i="4"/>
  <c r="AF222" i="4"/>
  <c r="AF223" i="4"/>
  <c r="AF224" i="4"/>
  <c r="AF115" i="4"/>
  <c r="AF119" i="4"/>
  <c r="AF125" i="4"/>
  <c r="AF135" i="4"/>
  <c r="AF295" i="4"/>
  <c r="AF260" i="4"/>
  <c r="AF269" i="4"/>
  <c r="AF150" i="4"/>
  <c r="AF151" i="4"/>
  <c r="AF158" i="4"/>
  <c r="AF162" i="4"/>
  <c r="AF164" i="4"/>
  <c r="AF165" i="4"/>
  <c r="AF166" i="4"/>
  <c r="AF168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207" i="4"/>
  <c r="AF208" i="4"/>
  <c r="AF211" i="4"/>
  <c r="AF267" i="4"/>
  <c r="AF268" i="4"/>
  <c r="AF259" i="4"/>
  <c r="AF229" i="4"/>
  <c r="AF136" i="4"/>
  <c r="AF141" i="4"/>
  <c r="AF142" i="4"/>
  <c r="AF262" i="4"/>
  <c r="AF182" i="4"/>
  <c r="AF256" i="4"/>
  <c r="AF257" i="4"/>
  <c r="AF264" i="4"/>
  <c r="AF265" i="4"/>
  <c r="AF266" i="4"/>
  <c r="AF286" i="4"/>
  <c r="AF274" i="4"/>
  <c r="AF37" i="4"/>
  <c r="AF144" i="4"/>
  <c r="AF157" i="4"/>
  <c r="AF273" i="4"/>
  <c r="AF167" i="4"/>
  <c r="AF218" i="4"/>
  <c r="AF219" i="4"/>
  <c r="AF220" i="4"/>
  <c r="AF226" i="4"/>
  <c r="AF228" i="4"/>
  <c r="AF277" i="4"/>
  <c r="AF4" i="4"/>
  <c r="AF20" i="4"/>
  <c r="AF21" i="4"/>
  <c r="AF40" i="4"/>
  <c r="AF22" i="4"/>
  <c r="AF23" i="4"/>
  <c r="AF41" i="4"/>
  <c r="AF24" i="4"/>
  <c r="AF25" i="4"/>
  <c r="AF42" i="4"/>
  <c r="AF26" i="4"/>
  <c r="AF27" i="4"/>
  <c r="AF28" i="4"/>
  <c r="AF2" i="4"/>
  <c r="AF29" i="4"/>
  <c r="AF30" i="4"/>
  <c r="AF31" i="4"/>
  <c r="AF35" i="4"/>
  <c r="AF138" i="4"/>
  <c r="AF251" i="4"/>
  <c r="AF39" i="4"/>
  <c r="AF93" i="4"/>
  <c r="AF110" i="4"/>
  <c r="AF111" i="4"/>
  <c r="AF112" i="4"/>
  <c r="AF113" i="4"/>
  <c r="AF114" i="4"/>
  <c r="AF117" i="4"/>
  <c r="AF122" i="4"/>
  <c r="AF145" i="4"/>
  <c r="AF147" i="4"/>
  <c r="AF148" i="4"/>
  <c r="AF153" i="4"/>
  <c r="AF156" i="4"/>
  <c r="AF288" i="4"/>
  <c r="AF61" i="4"/>
  <c r="AF3" i="4"/>
  <c r="AF181" i="4"/>
  <c r="AF198" i="4"/>
  <c r="AF230" i="4"/>
  <c r="AF231" i="4"/>
  <c r="AF118" i="4"/>
  <c r="AF32" i="4"/>
  <c r="AF33" i="4"/>
  <c r="AF34" i="4"/>
  <c r="AF129" i="4"/>
  <c r="AF130" i="4"/>
  <c r="AF131" i="4"/>
  <c r="AF60" i="4"/>
  <c r="AF297" i="4"/>
  <c r="AF253" i="4"/>
  <c r="AF38" i="4"/>
  <c r="AF120" i="4"/>
  <c r="AF121" i="4"/>
  <c r="AF140" i="4"/>
  <c r="AF49" i="4"/>
  <c r="AF149" i="4"/>
  <c r="AF50" i="4"/>
  <c r="AF155" i="4"/>
  <c r="AF159" i="4"/>
  <c r="AF169" i="4"/>
  <c r="AF170" i="4"/>
  <c r="AF171" i="4"/>
  <c r="AF176" i="4"/>
  <c r="AF180" i="4"/>
  <c r="AF210" i="4"/>
  <c r="AF212" i="4"/>
  <c r="AF213" i="4"/>
  <c r="AF214" i="4"/>
  <c r="AF215" i="4"/>
  <c r="AF70" i="4"/>
  <c r="AF217" i="4"/>
  <c r="AF281" i="4"/>
  <c r="AF227" i="4"/>
  <c r="AF84" i="4"/>
  <c r="AF300" i="4"/>
  <c r="AF301" i="4"/>
  <c r="AF299" i="4"/>
  <c r="AF298" i="4"/>
  <c r="AF302" i="4"/>
  <c r="AF307" i="4"/>
  <c r="AF309" i="4"/>
  <c r="AF310" i="4"/>
  <c r="AF311" i="4"/>
  <c r="AF303" i="4"/>
  <c r="AF313" i="4"/>
  <c r="AF312" i="4"/>
  <c r="AF304" i="4"/>
  <c r="AF305" i="4"/>
  <c r="AF306" i="4"/>
  <c r="AF330" i="4"/>
  <c r="AF331" i="4"/>
  <c r="AF332" i="4"/>
  <c r="AF314" i="4"/>
  <c r="AF315" i="4"/>
  <c r="AF316" i="4"/>
  <c r="AF317" i="4"/>
  <c r="AF318" i="4"/>
  <c r="AF319" i="4"/>
  <c r="AF320" i="4"/>
  <c r="AF321" i="4"/>
  <c r="AF342" i="4"/>
  <c r="AF343" i="4"/>
  <c r="AF341" i="4"/>
  <c r="AF344" i="4"/>
  <c r="AF345" i="4"/>
  <c r="AF333" i="4"/>
  <c r="AF334" i="4"/>
  <c r="AF335" i="4"/>
  <c r="AF336" i="4"/>
  <c r="AF346" i="4"/>
  <c r="AF322" i="4"/>
  <c r="AF323" i="4"/>
  <c r="AF324" i="4"/>
  <c r="AF325" i="4"/>
  <c r="AF326" i="4"/>
  <c r="AF327" i="4"/>
  <c r="AF328" i="4"/>
  <c r="AF329" i="4"/>
  <c r="AF337" i="4"/>
  <c r="AF339" i="4"/>
  <c r="AF340" i="4"/>
  <c r="AF338" i="4"/>
  <c r="AF347" i="4"/>
  <c r="AF367" i="4"/>
  <c r="AF368" i="4"/>
  <c r="AF366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72" i="4"/>
  <c r="AF370" i="4"/>
  <c r="AF373" i="4"/>
  <c r="AF377" i="4"/>
  <c r="AF374" i="4"/>
  <c r="AF369" i="4"/>
  <c r="AF378" i="4"/>
  <c r="AF375" i="4"/>
  <c r="AF379" i="4"/>
  <c r="AF371" i="4"/>
  <c r="AF376" i="4"/>
  <c r="AF12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58" i="2"/>
  <c r="AP57" i="2"/>
  <c r="AP59" i="2"/>
  <c r="AP64" i="2"/>
  <c r="AP61" i="2"/>
  <c r="AP60" i="2"/>
  <c r="AP62" i="2"/>
  <c r="AP63" i="2"/>
  <c r="AP65" i="2"/>
  <c r="AP67" i="2"/>
  <c r="AP66" i="2"/>
  <c r="AP68" i="2"/>
  <c r="AP69" i="2"/>
  <c r="AQ58" i="2"/>
  <c r="AQ57" i="2"/>
  <c r="AQ59" i="2"/>
  <c r="AQ64" i="2"/>
  <c r="AQ61" i="2"/>
  <c r="AQ60" i="2"/>
  <c r="AQ62" i="2"/>
  <c r="AQ63" i="2"/>
  <c r="AQ65" i="2"/>
  <c r="AQ67" i="2"/>
  <c r="AQ66" i="2"/>
  <c r="AQ68" i="2"/>
  <c r="AQ69" i="2"/>
  <c r="AR58" i="2"/>
  <c r="AR57" i="2"/>
  <c r="AR59" i="2"/>
  <c r="AR64" i="2"/>
  <c r="AR61" i="2"/>
  <c r="AR60" i="2"/>
  <c r="AR62" i="2"/>
  <c r="AR63" i="2"/>
  <c r="AR65" i="2"/>
  <c r="AR67" i="2"/>
  <c r="AR66" i="2"/>
  <c r="AR68" i="2"/>
  <c r="AR69" i="2"/>
  <c r="AS58" i="2"/>
  <c r="AS57" i="2"/>
  <c r="AS59" i="2"/>
  <c r="AS64" i="2"/>
  <c r="AS61" i="2"/>
  <c r="AS60" i="2"/>
  <c r="AS62" i="2"/>
  <c r="AS63" i="2"/>
  <c r="AS65" i="2"/>
  <c r="AS67" i="2"/>
  <c r="AS66" i="2"/>
  <c r="AS68" i="2"/>
  <c r="AS69" i="2"/>
  <c r="AT58" i="2"/>
  <c r="AT57" i="2"/>
  <c r="AT59" i="2"/>
  <c r="AT64" i="2"/>
  <c r="AT61" i="2"/>
  <c r="AT60" i="2"/>
  <c r="AT62" i="2"/>
  <c r="AT63" i="2"/>
  <c r="AT65" i="2"/>
  <c r="AT67" i="2"/>
  <c r="AT66" i="2"/>
  <c r="AT68" i="2"/>
  <c r="AT69" i="2"/>
  <c r="AU58" i="2"/>
  <c r="AU57" i="2"/>
  <c r="AU59" i="2"/>
  <c r="AU64" i="2"/>
  <c r="AU61" i="2"/>
  <c r="AU60" i="2"/>
  <c r="AU62" i="2"/>
  <c r="AU63" i="2"/>
  <c r="AU65" i="2"/>
  <c r="AU67" i="2"/>
  <c r="AU66" i="2"/>
  <c r="AU68" i="2"/>
  <c r="AU69" i="2"/>
  <c r="AV58" i="2"/>
  <c r="AV57" i="2"/>
  <c r="AV59" i="2"/>
  <c r="AV64" i="2"/>
  <c r="AV61" i="2"/>
  <c r="AV60" i="2"/>
  <c r="AV62" i="2"/>
  <c r="AV63" i="2"/>
  <c r="AV65" i="2"/>
  <c r="AV67" i="2"/>
  <c r="AV66" i="2"/>
  <c r="AV68" i="2"/>
  <c r="AV69" i="2"/>
  <c r="AW58" i="2"/>
  <c r="AW57" i="2"/>
  <c r="AW59" i="2"/>
  <c r="AW64" i="2"/>
  <c r="AW61" i="2"/>
  <c r="AW60" i="2"/>
  <c r="AW62" i="2"/>
  <c r="AW63" i="2"/>
  <c r="AW65" i="2"/>
  <c r="AW67" i="2"/>
  <c r="AW66" i="2"/>
  <c r="AW68" i="2"/>
  <c r="AW69" i="2"/>
  <c r="AX58" i="2"/>
  <c r="AX57" i="2"/>
  <c r="AX59" i="2"/>
  <c r="AX64" i="2"/>
  <c r="AX61" i="2"/>
  <c r="AX60" i="2"/>
  <c r="AX62" i="2"/>
  <c r="AX63" i="2"/>
  <c r="AX65" i="2"/>
  <c r="AX67" i="2"/>
  <c r="AX66" i="2"/>
  <c r="AX68" i="2"/>
  <c r="AX69" i="2"/>
  <c r="AY58" i="2"/>
  <c r="AY57" i="2"/>
  <c r="AY59" i="2"/>
  <c r="AY64" i="2"/>
  <c r="AY61" i="2"/>
  <c r="AY60" i="2"/>
  <c r="AY62" i="2"/>
  <c r="AY63" i="2"/>
  <c r="AY65" i="2"/>
  <c r="AY67" i="2"/>
  <c r="AY66" i="2"/>
  <c r="AY68" i="2"/>
  <c r="AY69" i="2"/>
  <c r="AZ58" i="2"/>
  <c r="AZ57" i="2"/>
  <c r="AZ59" i="2"/>
  <c r="AZ64" i="2"/>
  <c r="AZ61" i="2"/>
  <c r="AZ60" i="2"/>
  <c r="AZ62" i="2"/>
  <c r="AZ63" i="2"/>
  <c r="AZ65" i="2"/>
  <c r="AZ67" i="2"/>
  <c r="AZ66" i="2"/>
  <c r="AZ68" i="2"/>
  <c r="AZ69" i="2"/>
  <c r="BA58" i="2"/>
  <c r="BA57" i="2"/>
  <c r="BA59" i="2"/>
  <c r="BA64" i="2"/>
  <c r="BA61" i="2"/>
  <c r="BA60" i="2"/>
  <c r="BA62" i="2"/>
  <c r="BA63" i="2"/>
  <c r="BA65" i="2"/>
  <c r="BA67" i="2"/>
  <c r="BA66" i="2"/>
  <c r="BA68" i="2"/>
  <c r="BA69" i="2"/>
  <c r="BB58" i="2"/>
  <c r="BB57" i="2"/>
  <c r="BB59" i="2"/>
  <c r="BB64" i="2"/>
  <c r="BB61" i="2"/>
  <c r="BB60" i="2"/>
  <c r="BB62" i="2"/>
  <c r="BB63" i="2"/>
  <c r="BB65" i="2"/>
  <c r="BB67" i="2"/>
  <c r="BB66" i="2"/>
  <c r="BB68" i="2"/>
  <c r="BB69" i="2"/>
  <c r="BC58" i="2"/>
  <c r="BC57" i="2"/>
  <c r="BC59" i="2"/>
  <c r="BC64" i="2"/>
  <c r="BC61" i="2"/>
  <c r="BC60" i="2"/>
  <c r="BC62" i="2"/>
  <c r="BC63" i="2"/>
  <c r="BC65" i="2"/>
  <c r="BC67" i="2"/>
  <c r="BC66" i="2"/>
  <c r="BC68" i="2"/>
  <c r="BC69" i="2"/>
  <c r="BD58" i="2"/>
  <c r="BD57" i="2"/>
  <c r="BD59" i="2"/>
  <c r="BD64" i="2"/>
  <c r="BD61" i="2"/>
  <c r="BD60" i="2"/>
  <c r="BD62" i="2"/>
  <c r="BD63" i="2"/>
  <c r="BD65" i="2"/>
  <c r="BD67" i="2"/>
  <c r="BD66" i="2"/>
  <c r="BD68" i="2"/>
  <c r="BD69" i="2"/>
  <c r="BE64" i="2"/>
  <c r="BE61" i="2"/>
  <c r="BE60" i="2"/>
  <c r="BE62" i="2"/>
  <c r="BE63" i="2"/>
  <c r="BE65" i="2"/>
  <c r="BE67" i="2"/>
  <c r="BE66" i="2"/>
  <c r="BE68" i="2"/>
  <c r="BF64" i="2"/>
  <c r="BF61" i="2"/>
  <c r="BF60" i="2"/>
  <c r="BF62" i="2"/>
  <c r="BF63" i="2"/>
  <c r="BF65" i="2"/>
  <c r="BF67" i="2"/>
  <c r="BF66" i="2"/>
  <c r="BF68" i="2"/>
  <c r="U30" i="2"/>
  <c r="U41" i="2"/>
  <c r="BG64" i="2"/>
  <c r="U37" i="2"/>
  <c r="U5" i="2"/>
  <c r="U22" i="2"/>
  <c r="U25" i="2"/>
  <c r="U38" i="2"/>
  <c r="U43" i="2"/>
  <c r="BG61" i="2"/>
  <c r="BG60" i="2"/>
  <c r="BG62" i="2"/>
  <c r="BG63" i="2"/>
  <c r="BG65" i="2"/>
  <c r="BG67" i="2"/>
  <c r="BG66" i="2"/>
  <c r="BG68" i="2"/>
  <c r="V41" i="2"/>
  <c r="BH64" i="2"/>
  <c r="V37" i="2"/>
  <c r="V22" i="2"/>
  <c r="V25" i="2"/>
  <c r="V38" i="2"/>
  <c r="V43" i="2"/>
  <c r="BH61" i="2"/>
  <c r="BH60" i="2"/>
  <c r="BH62" i="2"/>
  <c r="BH63" i="2"/>
  <c r="BH65" i="2"/>
  <c r="BH67" i="2"/>
  <c r="BH66" i="2"/>
  <c r="BH68" i="2"/>
  <c r="W41" i="2"/>
  <c r="BI64" i="2"/>
  <c r="W37" i="2"/>
  <c r="W5" i="2"/>
  <c r="W22" i="2"/>
  <c r="W25" i="2"/>
  <c r="W38" i="2"/>
  <c r="W43" i="2"/>
  <c r="BI61" i="2"/>
  <c r="BI60" i="2"/>
  <c r="BI62" i="2"/>
  <c r="BI63" i="2"/>
  <c r="BI65" i="2"/>
  <c r="BI67" i="2"/>
  <c r="BI66" i="2"/>
  <c r="BI68" i="2"/>
  <c r="BJ64" i="2"/>
  <c r="BJ61" i="2"/>
  <c r="BJ60" i="2"/>
  <c r="BJ62" i="2"/>
  <c r="BJ63" i="2"/>
  <c r="BJ65" i="2"/>
  <c r="BJ67" i="2"/>
  <c r="BJ66" i="2"/>
  <c r="BJ68" i="2"/>
  <c r="BK64" i="2"/>
  <c r="BK61" i="2"/>
  <c r="BK60" i="2"/>
  <c r="BK62" i="2"/>
  <c r="BK63" i="2"/>
  <c r="BK65" i="2"/>
  <c r="BK67" i="2"/>
  <c r="BK66" i="2"/>
  <c r="BK68" i="2"/>
  <c r="BL64" i="2"/>
  <c r="BL61" i="2"/>
  <c r="BL60" i="2"/>
  <c r="BL62" i="2"/>
  <c r="BL63" i="2"/>
  <c r="BL65" i="2"/>
  <c r="BL67" i="2"/>
  <c r="BL66" i="2"/>
  <c r="BL68" i="2"/>
  <c r="AO58" i="2"/>
  <c r="AO57" i="2"/>
  <c r="AO59" i="2"/>
  <c r="AO64" i="2"/>
  <c r="AO61" i="2"/>
  <c r="AO60" i="2"/>
  <c r="AO62" i="2"/>
  <c r="AO63" i="2"/>
  <c r="AO65" i="2"/>
  <c r="AO67" i="2"/>
  <c r="AO66" i="2"/>
  <c r="AO68" i="2"/>
  <c r="AO69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8" i="5"/>
  <c r="B299" i="5"/>
  <c r="B300" i="5"/>
  <c r="B301" i="5"/>
  <c r="B303" i="5"/>
  <c r="B304" i="5"/>
  <c r="B305" i="5"/>
  <c r="B306" i="5"/>
  <c r="B307" i="5"/>
  <c r="B308" i="5"/>
  <c r="B309" i="5"/>
  <c r="B310" i="5"/>
  <c r="B311" i="5"/>
  <c r="B312" i="5"/>
  <c r="B313" i="5"/>
  <c r="B330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1" i="5"/>
  <c r="B332" i="5"/>
  <c r="B333" i="5"/>
  <c r="B334" i="5"/>
  <c r="B336" i="5"/>
  <c r="B337" i="5"/>
  <c r="B338" i="5"/>
  <c r="B339" i="5"/>
  <c r="B340" i="5"/>
  <c r="B341" i="5"/>
  <c r="B342" i="5"/>
  <c r="B343" i="5"/>
  <c r="B344" i="5"/>
  <c r="B345" i="5"/>
  <c r="B33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73" i="5"/>
  <c r="B369" i="5"/>
  <c r="B370" i="5"/>
  <c r="B371" i="5"/>
  <c r="B372" i="5"/>
  <c r="B374" i="5"/>
  <c r="B375" i="5"/>
  <c r="B376" i="5"/>
  <c r="B377" i="5"/>
  <c r="B378" i="5"/>
  <c r="B379" i="5"/>
  <c r="B380" i="5"/>
  <c r="B381" i="5"/>
  <c r="B384" i="5"/>
  <c r="B382" i="5"/>
  <c r="B383" i="5"/>
  <c r="B388" i="5"/>
  <c r="B403" i="5"/>
  <c r="B406" i="5"/>
  <c r="B385" i="5"/>
  <c r="B389" i="5"/>
  <c r="B390" i="5"/>
  <c r="B391" i="5"/>
  <c r="B392" i="5"/>
  <c r="B398" i="5"/>
  <c r="B399" i="5"/>
  <c r="B400" i="5"/>
  <c r="B401" i="5"/>
  <c r="B405" i="5"/>
  <c r="B386" i="5"/>
  <c r="B387" i="5"/>
  <c r="B396" i="5"/>
  <c r="B397" i="5"/>
  <c r="B404" i="5"/>
  <c r="B407" i="5"/>
  <c r="B408" i="5"/>
  <c r="B409" i="5"/>
  <c r="B393" i="5"/>
  <c r="B402" i="5"/>
  <c r="B395" i="5"/>
  <c r="B394" i="5"/>
  <c r="B34" i="5"/>
  <c r="AA87" i="4"/>
  <c r="AA88" i="4"/>
  <c r="AA91" i="4"/>
  <c r="AA89" i="4"/>
  <c r="AA90" i="4"/>
  <c r="AA243" i="4"/>
  <c r="AA246" i="4"/>
  <c r="AA244" i="4"/>
  <c r="AA245" i="4"/>
  <c r="AA92" i="4"/>
  <c r="AA247" i="4"/>
  <c r="AA16" i="4"/>
  <c r="AA17" i="4"/>
  <c r="AA18" i="4"/>
  <c r="AA19" i="4"/>
  <c r="AA4" i="4"/>
  <c r="AA20" i="4"/>
  <c r="AA93" i="4"/>
  <c r="AA21" i="4"/>
  <c r="AA94" i="4"/>
  <c r="AA95" i="4"/>
  <c r="AA96" i="4"/>
  <c r="AA97" i="4"/>
  <c r="AA98" i="4"/>
  <c r="AA99" i="4"/>
  <c r="AA282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40" i="4"/>
  <c r="AA22" i="4"/>
  <c r="AA23" i="4"/>
  <c r="AA41" i="4"/>
  <c r="AA24" i="4"/>
  <c r="AA25" i="4"/>
  <c r="AA42" i="4"/>
  <c r="AA26" i="4"/>
  <c r="AA27" i="4"/>
  <c r="AA28" i="4"/>
  <c r="AA2" i="4"/>
  <c r="AA120" i="4"/>
  <c r="AA121" i="4"/>
  <c r="AA122" i="4"/>
  <c r="AA43" i="4"/>
  <c r="AA44" i="4"/>
  <c r="AA29" i="4"/>
  <c r="AA30" i="4"/>
  <c r="AA31" i="4"/>
  <c r="AA32" i="4"/>
  <c r="AA33" i="4"/>
  <c r="AA34" i="4"/>
  <c r="AA35" i="4"/>
  <c r="AA45" i="4"/>
  <c r="AA123" i="4"/>
  <c r="AA248" i="4"/>
  <c r="AA46" i="4"/>
  <c r="AA278" i="4"/>
  <c r="AA124" i="4"/>
  <c r="AA125" i="4"/>
  <c r="AA126" i="4"/>
  <c r="AA127" i="4"/>
  <c r="AA128" i="4"/>
  <c r="AA47" i="4"/>
  <c r="AA129" i="4"/>
  <c r="AA130" i="4"/>
  <c r="AA131" i="4"/>
  <c r="AA287" i="4"/>
  <c r="AA132" i="4"/>
  <c r="AA133" i="4"/>
  <c r="AA134" i="4"/>
  <c r="AA135" i="4"/>
  <c r="AA136" i="4"/>
  <c r="AA137" i="4"/>
  <c r="AA138" i="4"/>
  <c r="AA139" i="4"/>
  <c r="AA140" i="4"/>
  <c r="AA295" i="4"/>
  <c r="AA250" i="4"/>
  <c r="AA48" i="4"/>
  <c r="AA251" i="4"/>
  <c r="AA12" i="4"/>
  <c r="AA36" i="4"/>
  <c r="AA297" i="4"/>
  <c r="AA260" i="4"/>
  <c r="AA141" i="4"/>
  <c r="AA142" i="4"/>
  <c r="AA271" i="4"/>
  <c r="AA143" i="4"/>
  <c r="AA279" i="4"/>
  <c r="AA261" i="4"/>
  <c r="AA144" i="4"/>
  <c r="AA252" i="4"/>
  <c r="AA49" i="4"/>
  <c r="AA269" i="4"/>
  <c r="AA145" i="4"/>
  <c r="AA146" i="4"/>
  <c r="AA13" i="4"/>
  <c r="AA37" i="4"/>
  <c r="AA147" i="4"/>
  <c r="AA5" i="4"/>
  <c r="AA148" i="4"/>
  <c r="AA149" i="4"/>
  <c r="AA50" i="4"/>
  <c r="AA150" i="4"/>
  <c r="AA14" i="4"/>
  <c r="AA151" i="4"/>
  <c r="AA152" i="4"/>
  <c r="AA153" i="4"/>
  <c r="AA154" i="4"/>
  <c r="AA272" i="4"/>
  <c r="AA6" i="4"/>
  <c r="AA155" i="4"/>
  <c r="AA51" i="4"/>
  <c r="AA156" i="4"/>
  <c r="AA157" i="4"/>
  <c r="AA7" i="4"/>
  <c r="AA158" i="4"/>
  <c r="AA262" i="4"/>
  <c r="AA159" i="4"/>
  <c r="AA160" i="4"/>
  <c r="AA161" i="4"/>
  <c r="AA162" i="4"/>
  <c r="AA15" i="4"/>
  <c r="AA8" i="4"/>
  <c r="AA263" i="4"/>
  <c r="AA270" i="4"/>
  <c r="AA163" i="4"/>
  <c r="AA253" i="4"/>
  <c r="AA164" i="4"/>
  <c r="AA273" i="4"/>
  <c r="AA165" i="4"/>
  <c r="AA166" i="4"/>
  <c r="AA254" i="4"/>
  <c r="AA167" i="4"/>
  <c r="AA296" i="4"/>
  <c r="AA168" i="4"/>
  <c r="AA169" i="4"/>
  <c r="AA170" i="4"/>
  <c r="AA171" i="4"/>
  <c r="AA172" i="4"/>
  <c r="AA173" i="4"/>
  <c r="AA174" i="4"/>
  <c r="AA52" i="4"/>
  <c r="AA175" i="4"/>
  <c r="AA288" i="4"/>
  <c r="AA289" i="4"/>
  <c r="AA290" i="4"/>
  <c r="AA53" i="4"/>
  <c r="AA54" i="4"/>
  <c r="AA55" i="4"/>
  <c r="AA56" i="4"/>
  <c r="AA57" i="4"/>
  <c r="AA58" i="4"/>
  <c r="AA291" i="4"/>
  <c r="AA59" i="4"/>
  <c r="AA60" i="4"/>
  <c r="AA255" i="4"/>
  <c r="AA176" i="4"/>
  <c r="AA283" i="4"/>
  <c r="AA280" i="4"/>
  <c r="AA284" i="4"/>
  <c r="AA177" i="4"/>
  <c r="AA178" i="4"/>
  <c r="AA61" i="4"/>
  <c r="AA179" i="4"/>
  <c r="AA180" i="4"/>
  <c r="AA3" i="4"/>
  <c r="AA9" i="4"/>
  <c r="AA181" i="4"/>
  <c r="AA10" i="4"/>
  <c r="AA11" i="4"/>
  <c r="AA285" i="4"/>
  <c r="AA182" i="4"/>
  <c r="AA183" i="4"/>
  <c r="AA184" i="4"/>
  <c r="AA185" i="4"/>
  <c r="AA186" i="4"/>
  <c r="AA187" i="4"/>
  <c r="AA188" i="4"/>
  <c r="AA189" i="4"/>
  <c r="AA256" i="4"/>
  <c r="AA257" i="4"/>
  <c r="AA62" i="4"/>
  <c r="AA63" i="4"/>
  <c r="AA190" i="4"/>
  <c r="AA191" i="4"/>
  <c r="AA192" i="4"/>
  <c r="AA193" i="4"/>
  <c r="AA194" i="4"/>
  <c r="AA195" i="4"/>
  <c r="AA196" i="4"/>
  <c r="AA197" i="4"/>
  <c r="AA264" i="4"/>
  <c r="AA265" i="4"/>
  <c r="AA266" i="4"/>
  <c r="AA198" i="4"/>
  <c r="AA199" i="4"/>
  <c r="AA200" i="4"/>
  <c r="AA201" i="4"/>
  <c r="AA64" i="4"/>
  <c r="AA65" i="4"/>
  <c r="AA66" i="4"/>
  <c r="AA67" i="4"/>
  <c r="AA68" i="4"/>
  <c r="AA69" i="4"/>
  <c r="AA202" i="4"/>
  <c r="AA203" i="4"/>
  <c r="AA204" i="4"/>
  <c r="AA258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20" i="4"/>
  <c r="AA221" i="4"/>
  <c r="AA222" i="4"/>
  <c r="AA223" i="4"/>
  <c r="AA224" i="4"/>
  <c r="AA286" i="4"/>
  <c r="AA225" i="4"/>
  <c r="AA71" i="4"/>
  <c r="AA274" i="4"/>
  <c r="AA70" i="4"/>
  <c r="AA275" i="4"/>
  <c r="AA226" i="4"/>
  <c r="AA276" i="4"/>
  <c r="AA281" i="4"/>
  <c r="AA267" i="4"/>
  <c r="AA268" i="4"/>
  <c r="AA259" i="4"/>
  <c r="AA292" i="4"/>
  <c r="AA228" i="4"/>
  <c r="AA229" i="4"/>
  <c r="AA230" i="4"/>
  <c r="AA231" i="4"/>
  <c r="AA217" i="4"/>
  <c r="AA293" i="4"/>
  <c r="AA74" i="4"/>
  <c r="AA75" i="4"/>
  <c r="AA76" i="4"/>
  <c r="AA77" i="4"/>
  <c r="AA78" i="4"/>
  <c r="AA79" i="4"/>
  <c r="AA80" i="4"/>
  <c r="AA81" i="4"/>
  <c r="AA82" i="4"/>
  <c r="AA218" i="4"/>
  <c r="AA219" i="4"/>
  <c r="AA83" i="4"/>
  <c r="AA84" i="4"/>
  <c r="AA277" i="4"/>
  <c r="AA232" i="4"/>
  <c r="AA227" i="4"/>
  <c r="AA233" i="4"/>
  <c r="AA234" i="4"/>
  <c r="AA235" i="4"/>
  <c r="AA236" i="4"/>
  <c r="AA237" i="4"/>
  <c r="AA238" i="4"/>
  <c r="AA239" i="4"/>
  <c r="AA294" i="4"/>
  <c r="AA85" i="4"/>
  <c r="AA38" i="4"/>
  <c r="AA240" i="4"/>
  <c r="AA241" i="4"/>
  <c r="AA242" i="4"/>
  <c r="AA39" i="4"/>
  <c r="AA300" i="4"/>
  <c r="AA301" i="4"/>
  <c r="AA299" i="4"/>
  <c r="AA298" i="4"/>
  <c r="AA302" i="4"/>
  <c r="AA307" i="4"/>
  <c r="AA309" i="4"/>
  <c r="AA310" i="4"/>
  <c r="AA311" i="4"/>
  <c r="AA303" i="4"/>
  <c r="AA313" i="4"/>
  <c r="AA312" i="4"/>
  <c r="AA304" i="4"/>
  <c r="AA305" i="4"/>
  <c r="AA306" i="4"/>
  <c r="AA330" i="4"/>
  <c r="AA331" i="4"/>
  <c r="AA332" i="4"/>
  <c r="AA314" i="4"/>
  <c r="AA315" i="4"/>
  <c r="AA316" i="4"/>
  <c r="AA317" i="4"/>
  <c r="AA318" i="4"/>
  <c r="AA319" i="4"/>
  <c r="AA320" i="4"/>
  <c r="AA321" i="4"/>
  <c r="AA342" i="4"/>
  <c r="AA343" i="4"/>
  <c r="AA341" i="4"/>
  <c r="AA344" i="4"/>
  <c r="AA345" i="4"/>
  <c r="AA333" i="4"/>
  <c r="AA334" i="4"/>
  <c r="AA335" i="4"/>
  <c r="AA336" i="4"/>
  <c r="AA340" i="4"/>
  <c r="AA346" i="4"/>
  <c r="AA322" i="4"/>
  <c r="AA323" i="4"/>
  <c r="AA324" i="4"/>
  <c r="AA325" i="4"/>
  <c r="AA326" i="4"/>
  <c r="AA338" i="4"/>
  <c r="AA327" i="4"/>
  <c r="AA328" i="4"/>
  <c r="AA329" i="4"/>
  <c r="AA337" i="4"/>
  <c r="AA339" i="4"/>
  <c r="AA347" i="4"/>
  <c r="AA367" i="4"/>
  <c r="AA362" i="4"/>
  <c r="AA368" i="4"/>
  <c r="AA366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3" i="4"/>
  <c r="AA364" i="4"/>
  <c r="AA361" i="4"/>
  <c r="AA365" i="4"/>
  <c r="AA372" i="4"/>
  <c r="AA370" i="4"/>
  <c r="AA373" i="4"/>
  <c r="AA377" i="4"/>
  <c r="AA374" i="4"/>
  <c r="AA369" i="4"/>
  <c r="AA378" i="4"/>
  <c r="AA375" i="4"/>
  <c r="AA379" i="4"/>
  <c r="AA371" i="4"/>
  <c r="AA376" i="4"/>
  <c r="AA384" i="4"/>
  <c r="AA383" i="4"/>
  <c r="AA382" i="4"/>
  <c r="AA381" i="4"/>
  <c r="AA380" i="4"/>
  <c r="AA397" i="4"/>
  <c r="AA398" i="4"/>
  <c r="AA399" i="4"/>
  <c r="AA385" i="4"/>
  <c r="AA388" i="4"/>
  <c r="AA389" i="4"/>
  <c r="AA390" i="4"/>
  <c r="AA391" i="4"/>
  <c r="AA409" i="4"/>
  <c r="AA400" i="4"/>
  <c r="AA401" i="4"/>
  <c r="AA402" i="4"/>
  <c r="AA403" i="4"/>
  <c r="AA392" i="4"/>
  <c r="AA393" i="4"/>
  <c r="AA394" i="4"/>
  <c r="AA395" i="4"/>
  <c r="AA404" i="4"/>
  <c r="AA386" i="4"/>
  <c r="AA405" i="4"/>
  <c r="AA396" i="4"/>
  <c r="AA387" i="4"/>
  <c r="AA406" i="4"/>
  <c r="AA407" i="4"/>
  <c r="AA408" i="4"/>
  <c r="AA8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20" i="3"/>
  <c r="B21" i="3"/>
  <c r="B22" i="3"/>
  <c r="B23" i="3"/>
  <c r="B24" i="3"/>
  <c r="B25" i="3"/>
  <c r="B26" i="3"/>
  <c r="B28" i="3"/>
  <c r="B30" i="3"/>
  <c r="B31" i="3"/>
  <c r="B42" i="3"/>
  <c r="B32" i="3"/>
  <c r="B33" i="3"/>
  <c r="B43" i="3"/>
  <c r="B44" i="3"/>
  <c r="B45" i="3"/>
  <c r="B34" i="3"/>
  <c r="B35" i="3"/>
  <c r="B36" i="3"/>
  <c r="B37" i="3"/>
  <c r="B38" i="3"/>
  <c r="B39" i="3"/>
  <c r="B40" i="3"/>
  <c r="B41" i="3"/>
  <c r="C6" i="3"/>
  <c r="C10" i="3"/>
  <c r="C11" i="3"/>
  <c r="C12" i="3"/>
  <c r="C13" i="3"/>
  <c r="C15" i="3"/>
  <c r="C16" i="3"/>
  <c r="C20" i="3"/>
  <c r="C21" i="3"/>
  <c r="C22" i="3"/>
  <c r="C23" i="3"/>
  <c r="C24" i="3"/>
  <c r="C25" i="3"/>
  <c r="C26" i="3"/>
  <c r="C28" i="3"/>
  <c r="C30" i="3"/>
  <c r="C31" i="3"/>
  <c r="C42" i="3"/>
  <c r="C32" i="3"/>
  <c r="C33" i="3"/>
  <c r="C43" i="3"/>
  <c r="C44" i="3"/>
  <c r="C45" i="3"/>
  <c r="C34" i="3"/>
  <c r="C35" i="3"/>
  <c r="C36" i="3"/>
  <c r="C37" i="3"/>
  <c r="C38" i="3"/>
  <c r="C39" i="3"/>
  <c r="C40" i="3"/>
  <c r="C41" i="3"/>
  <c r="C116" i="7"/>
  <c r="C117" i="7"/>
  <c r="C118" i="7"/>
  <c r="C119" i="7"/>
  <c r="C120" i="7"/>
  <c r="C121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99" i="7"/>
  <c r="C100" i="7"/>
  <c r="C44" i="7"/>
  <c r="C45" i="7"/>
  <c r="C33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3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5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4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3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5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5" i="7"/>
  <c r="AA36" i="2"/>
  <c r="AM54" i="5"/>
  <c r="AM61" i="5"/>
  <c r="AM65" i="5"/>
  <c r="AM66" i="5"/>
  <c r="AM67" i="5"/>
  <c r="AM319" i="5"/>
  <c r="AM320" i="5"/>
  <c r="AM330" i="5"/>
  <c r="AM332" i="5"/>
  <c r="AM334" i="5"/>
  <c r="AM340" i="5"/>
  <c r="AM79" i="5"/>
  <c r="AM343" i="5"/>
  <c r="AM344" i="5"/>
  <c r="AM345" i="5"/>
  <c r="AM88" i="5"/>
  <c r="AM89" i="5"/>
  <c r="AM10" i="5"/>
  <c r="AM11" i="5"/>
  <c r="AM96" i="5"/>
  <c r="AM97" i="5"/>
  <c r="AM98" i="5"/>
  <c r="AM103" i="5"/>
  <c r="AM109" i="5"/>
  <c r="AM373" i="5"/>
  <c r="AM380" i="5"/>
  <c r="AM112" i="5"/>
  <c r="AM2" i="5"/>
  <c r="AM381" i="5"/>
  <c r="AM12" i="5"/>
  <c r="AM117" i="5"/>
  <c r="AM13" i="5"/>
  <c r="AM269" i="5"/>
  <c r="AM14" i="5"/>
  <c r="AM350" i="5"/>
  <c r="AM351" i="5"/>
  <c r="AM272" i="5"/>
  <c r="AM15" i="5"/>
  <c r="AM274" i="5"/>
  <c r="AM353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7" i="5"/>
  <c r="AM388" i="5"/>
  <c r="AM389" i="5"/>
  <c r="AM390" i="5"/>
  <c r="AM391" i="5"/>
  <c r="AM392" i="5"/>
  <c r="AM393" i="5"/>
  <c r="AM395" i="5"/>
  <c r="AM396" i="5"/>
  <c r="AM397" i="5"/>
  <c r="AM398" i="5"/>
  <c r="AM399" i="5"/>
  <c r="AM400" i="5"/>
  <c r="AM401" i="5"/>
  <c r="AM402" i="5"/>
  <c r="AM240" i="5"/>
  <c r="AM404" i="5"/>
  <c r="AM405" i="5"/>
  <c r="AM407" i="5"/>
  <c r="AM408" i="5"/>
  <c r="AM409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4" i="5"/>
  <c r="AM315" i="5"/>
  <c r="AM316" i="5"/>
  <c r="AM317" i="5"/>
  <c r="AM318" i="5"/>
  <c r="AM321" i="5"/>
  <c r="AM322" i="5"/>
  <c r="AM323" i="5"/>
  <c r="AM324" i="5"/>
  <c r="AM325" i="5"/>
  <c r="AM326" i="5"/>
  <c r="AM327" i="5"/>
  <c r="AM328" i="5"/>
  <c r="AM329" i="5"/>
  <c r="AM331" i="5"/>
  <c r="AM333" i="5"/>
  <c r="AM336" i="5"/>
  <c r="AM337" i="5"/>
  <c r="AM338" i="5"/>
  <c r="AM339" i="5"/>
  <c r="AM72" i="5"/>
  <c r="AM9" i="5"/>
  <c r="AM73" i="5"/>
  <c r="AM341" i="5"/>
  <c r="AM74" i="5"/>
  <c r="AM75" i="5"/>
  <c r="AM76" i="5"/>
  <c r="AM77" i="5"/>
  <c r="AM78" i="5"/>
  <c r="AM298" i="5"/>
  <c r="AM299" i="5"/>
  <c r="AM347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2" i="5"/>
  <c r="AM87" i="5"/>
  <c r="AM90" i="5"/>
  <c r="AM91" i="5"/>
  <c r="AM300" i="5"/>
  <c r="AM301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69" i="5"/>
  <c r="AM370" i="5"/>
  <c r="AM371" i="5"/>
  <c r="AM372" i="5"/>
  <c r="AM374" i="5"/>
  <c r="AM375" i="5"/>
  <c r="AM376" i="5"/>
  <c r="AM377" i="5"/>
  <c r="AM378" i="5"/>
  <c r="AM348" i="5"/>
  <c r="AM349" i="5"/>
  <c r="AM110" i="5"/>
  <c r="AM111" i="5"/>
  <c r="AM113" i="5"/>
  <c r="AM303" i="5"/>
  <c r="AM114" i="5"/>
  <c r="AM304" i="5"/>
  <c r="AM305" i="5"/>
  <c r="AM306" i="5"/>
  <c r="AM307" i="5"/>
  <c r="AM115" i="5"/>
  <c r="AM116" i="5"/>
  <c r="AM335" i="5"/>
  <c r="AM267" i="5"/>
  <c r="AM268" i="5"/>
  <c r="AM382" i="5"/>
  <c r="AM270" i="5"/>
  <c r="AM271" i="5"/>
  <c r="AM119" i="5"/>
  <c r="AM120" i="5"/>
  <c r="AM383" i="5"/>
  <c r="AM121" i="5"/>
  <c r="AM122" i="5"/>
  <c r="AM123" i="5"/>
  <c r="AM124" i="5"/>
  <c r="AM273" i="5"/>
  <c r="AM352" i="5"/>
  <c r="AM125" i="5"/>
  <c r="AM126" i="5"/>
  <c r="AM354" i="5"/>
  <c r="AM355" i="5"/>
  <c r="AM356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6" i="5"/>
  <c r="AM357" i="5"/>
  <c r="AM358" i="5"/>
  <c r="AM359" i="5"/>
  <c r="AM360" i="5"/>
  <c r="AM361" i="5"/>
  <c r="AM362" i="5"/>
  <c r="AM363" i="5"/>
  <c r="AM364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8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09" i="5"/>
  <c r="AM310" i="5"/>
  <c r="AM231" i="5"/>
  <c r="AM365" i="5"/>
  <c r="AM296" i="5"/>
  <c r="AM232" i="5"/>
  <c r="AM29" i="5"/>
  <c r="AM30" i="5"/>
  <c r="AM31" i="5"/>
  <c r="AM32" i="5"/>
  <c r="AM33" i="5"/>
  <c r="AM233" i="5"/>
  <c r="AM34" i="5"/>
  <c r="AM311" i="5"/>
  <c r="AM379" i="5"/>
  <c r="AM234" i="5"/>
  <c r="AM235" i="5"/>
  <c r="AM236" i="5"/>
  <c r="AM237" i="5"/>
  <c r="AM238" i="5"/>
  <c r="AM239" i="5"/>
  <c r="AM385" i="5"/>
  <c r="AM386" i="5"/>
  <c r="AM394" i="5"/>
  <c r="AM403" i="5"/>
  <c r="AM406" i="5"/>
  <c r="AM241" i="5"/>
  <c r="AM242" i="5"/>
  <c r="AM243" i="5"/>
  <c r="AM244" i="5"/>
  <c r="AM245" i="5"/>
  <c r="AM246" i="5"/>
  <c r="AM247" i="5"/>
  <c r="AM384" i="5"/>
  <c r="AM248" i="5"/>
  <c r="AM366" i="5"/>
  <c r="AM367" i="5"/>
  <c r="AM368" i="5"/>
  <c r="AM35" i="5"/>
  <c r="AM312" i="5"/>
  <c r="AM313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1" i="5"/>
  <c r="AP401" i="5"/>
  <c r="AQ400" i="5"/>
  <c r="AP400" i="5"/>
  <c r="AQ385" i="5"/>
  <c r="AP385" i="5"/>
  <c r="AQ386" i="5"/>
  <c r="AP386" i="5"/>
  <c r="AQ379" i="5"/>
  <c r="AQ378" i="5"/>
  <c r="AQ377" i="5"/>
  <c r="AQ376" i="5"/>
  <c r="AQ375" i="5"/>
  <c r="AQ374" i="5"/>
  <c r="AQ372" i="5"/>
  <c r="AQ371" i="5"/>
  <c r="AQ370" i="5"/>
  <c r="AQ369" i="5"/>
  <c r="AQ364" i="5"/>
  <c r="AQ363" i="5"/>
  <c r="AQ362" i="5"/>
  <c r="AQ361" i="5"/>
  <c r="AQ360" i="5"/>
  <c r="AQ359" i="5"/>
  <c r="AQ358" i="5"/>
  <c r="AQ349" i="5"/>
  <c r="AQ347" i="5"/>
  <c r="AQ368" i="5"/>
  <c r="AQ367" i="5"/>
  <c r="AQ366" i="5"/>
  <c r="AQ365" i="5"/>
  <c r="AQ357" i="5"/>
  <c r="AQ356" i="5"/>
  <c r="AQ355" i="5"/>
  <c r="AQ354" i="5"/>
  <c r="AQ353" i="5"/>
  <c r="AQ352" i="5"/>
  <c r="AQ351" i="5"/>
  <c r="AQ350" i="5"/>
  <c r="AQ348" i="5"/>
  <c r="AQ346" i="5"/>
  <c r="AQ335" i="5"/>
  <c r="AQ345" i="5"/>
  <c r="AQ344" i="5"/>
  <c r="AQ343" i="5"/>
  <c r="AQ342" i="5"/>
  <c r="AQ341" i="5"/>
  <c r="AQ340" i="5"/>
  <c r="AQ339" i="5"/>
  <c r="AQ338" i="5"/>
  <c r="AQ337" i="5"/>
  <c r="AQ336" i="5"/>
  <c r="AQ334" i="5"/>
  <c r="AQ333" i="5"/>
  <c r="AQ332" i="5"/>
  <c r="AQ331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1" i="5"/>
  <c r="AQ300" i="5"/>
  <c r="AQ299" i="5"/>
  <c r="AQ298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89" i="5"/>
  <c r="AP389" i="5"/>
  <c r="AQ409" i="5"/>
  <c r="AP409" i="5"/>
  <c r="AQ404" i="5"/>
  <c r="AP404" i="5"/>
  <c r="AQ403" i="5"/>
  <c r="AP403" i="5"/>
  <c r="AQ402" i="5"/>
  <c r="AP402" i="5"/>
  <c r="AQ399" i="5"/>
  <c r="AP399" i="5"/>
  <c r="AQ398" i="5"/>
  <c r="AP398" i="5"/>
  <c r="AQ396" i="5"/>
  <c r="AP396" i="5"/>
  <c r="AQ395" i="5"/>
  <c r="AP395" i="5"/>
  <c r="AQ394" i="5"/>
  <c r="AP394" i="5"/>
  <c r="AQ392" i="5"/>
  <c r="AP392" i="5"/>
  <c r="AQ391" i="5"/>
  <c r="AP391" i="5"/>
  <c r="AQ388" i="5"/>
  <c r="AP388" i="5"/>
  <c r="AQ393" i="5"/>
  <c r="AP393" i="5"/>
  <c r="AQ387" i="5"/>
  <c r="AP387" i="5"/>
  <c r="AQ408" i="5"/>
  <c r="AP408" i="5"/>
  <c r="AQ407" i="5"/>
  <c r="AP407" i="5"/>
  <c r="AQ406" i="5"/>
  <c r="AP406" i="5"/>
  <c r="AQ405" i="5"/>
  <c r="AP405" i="5"/>
  <c r="AQ397" i="5"/>
  <c r="AP397" i="5"/>
  <c r="AQ390" i="5"/>
  <c r="AP390" i="5"/>
  <c r="AQ373" i="5"/>
  <c r="AQ330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57" i="2"/>
  <c r="BE58" i="2"/>
  <c r="BE59" i="2"/>
  <c r="BE69" i="2"/>
  <c r="BF57" i="2"/>
  <c r="BF58" i="2"/>
  <c r="BF59" i="2"/>
  <c r="BF69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7" i="2"/>
  <c r="BL58" i="2"/>
  <c r="BL59" i="2"/>
  <c r="BL69" i="2"/>
  <c r="BK57" i="2"/>
  <c r="BK58" i="2"/>
  <c r="BK59" i="2"/>
  <c r="BK69" i="2"/>
  <c r="BJ57" i="2"/>
  <c r="BJ58" i="2"/>
  <c r="BJ59" i="2"/>
  <c r="BJ69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57" i="2"/>
  <c r="BI58" i="2"/>
  <c r="BI59" i="2"/>
  <c r="BI69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57" i="2"/>
  <c r="BH58" i="2"/>
  <c r="BH59" i="2"/>
  <c r="BH69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57" i="2"/>
  <c r="BG58" i="2"/>
  <c r="BG59" i="2"/>
  <c r="BG69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I126" i="4"/>
  <c r="AI84" i="4"/>
  <c r="AI227" i="4"/>
  <c r="AI281" i="4"/>
  <c r="AI217" i="4"/>
  <c r="AI70" i="4"/>
  <c r="AI215" i="4"/>
  <c r="AI214" i="4"/>
  <c r="AI213" i="4"/>
  <c r="AI212" i="4"/>
  <c r="AI210" i="4"/>
  <c r="AI180" i="4"/>
  <c r="AI176" i="4"/>
  <c r="AI171" i="4"/>
  <c r="AI170" i="4"/>
  <c r="AI169" i="4"/>
  <c r="AI159" i="4"/>
  <c r="AI155" i="4"/>
  <c r="AI50" i="4"/>
  <c r="AI149" i="4"/>
  <c r="AI49" i="4"/>
  <c r="AI140" i="4"/>
  <c r="AI121" i="4"/>
  <c r="AI120" i="4"/>
  <c r="AI38" i="4"/>
  <c r="AI253" i="4"/>
  <c r="AI297" i="4"/>
  <c r="AI60" i="4"/>
  <c r="AI131" i="4"/>
  <c r="AI130" i="4"/>
  <c r="AI129" i="4"/>
  <c r="AI34" i="4"/>
  <c r="AI33" i="4"/>
  <c r="AI32" i="4"/>
  <c r="AI118" i="4"/>
  <c r="AI231" i="4"/>
  <c r="AI230" i="4"/>
  <c r="AI198" i="4"/>
  <c r="AI181" i="4"/>
  <c r="AI3" i="4"/>
  <c r="AI61" i="4"/>
  <c r="AI288" i="4"/>
  <c r="AI156" i="4"/>
  <c r="AI153" i="4"/>
  <c r="AI148" i="4"/>
  <c r="AI147" i="4"/>
  <c r="AI145" i="4"/>
  <c r="AI122" i="4"/>
  <c r="AI117" i="4"/>
  <c r="AI114" i="4"/>
  <c r="AI113" i="4"/>
  <c r="AI112" i="4"/>
  <c r="AI111" i="4"/>
  <c r="AI110" i="4"/>
  <c r="AI93" i="4"/>
  <c r="AI39" i="4"/>
  <c r="AI251" i="4"/>
  <c r="AI138" i="4"/>
  <c r="AI35" i="4"/>
  <c r="AI31" i="4"/>
  <c r="AI30" i="4"/>
  <c r="AI29" i="4"/>
  <c r="AI2" i="4"/>
  <c r="AI28" i="4"/>
  <c r="AI27" i="4"/>
  <c r="AI26" i="4"/>
  <c r="AI42" i="4"/>
  <c r="AI25" i="4"/>
  <c r="AI24" i="4"/>
  <c r="AI41" i="4"/>
  <c r="AI23" i="4"/>
  <c r="AI22" i="4"/>
  <c r="AI40" i="4"/>
  <c r="AI21" i="4"/>
  <c r="AI20" i="4"/>
  <c r="AI4" i="4"/>
  <c r="AI277" i="4"/>
  <c r="AI228" i="4"/>
  <c r="AI226" i="4"/>
  <c r="AI220" i="4"/>
  <c r="AI219" i="4"/>
  <c r="AI218" i="4"/>
  <c r="AI167" i="4"/>
  <c r="AI273" i="4"/>
  <c r="AI157" i="4"/>
  <c r="AI144" i="4"/>
  <c r="AI37" i="4"/>
  <c r="AI274" i="4"/>
  <c r="AI286" i="4"/>
  <c r="AI266" i="4"/>
  <c r="AI265" i="4"/>
  <c r="AI264" i="4"/>
  <c r="AI257" i="4"/>
  <c r="AI256" i="4"/>
  <c r="AI182" i="4"/>
  <c r="AI262" i="4"/>
  <c r="AI142" i="4"/>
  <c r="AI141" i="4"/>
  <c r="AI136" i="4"/>
  <c r="AI229" i="4"/>
  <c r="AI259" i="4"/>
  <c r="AI268" i="4"/>
  <c r="AI267" i="4"/>
  <c r="AI211" i="4"/>
  <c r="AI208" i="4"/>
  <c r="AI207" i="4"/>
  <c r="AI197" i="4"/>
  <c r="AI196" i="4"/>
  <c r="AI195" i="4"/>
  <c r="AI194" i="4"/>
  <c r="AI193" i="4"/>
  <c r="AI192" i="4"/>
  <c r="AI191" i="4"/>
  <c r="AI190" i="4"/>
  <c r="AI189" i="4"/>
  <c r="AI188" i="4"/>
  <c r="AI187" i="4"/>
  <c r="AI186" i="4"/>
  <c r="AI185" i="4"/>
  <c r="AI184" i="4"/>
  <c r="AI168" i="4"/>
  <c r="AI166" i="4"/>
  <c r="AI165" i="4"/>
  <c r="AI164" i="4"/>
  <c r="AI162" i="4"/>
  <c r="AI158" i="4"/>
  <c r="AI151" i="4"/>
  <c r="AI150" i="4"/>
  <c r="AI269" i="4"/>
  <c r="AI260" i="4"/>
  <c r="AI295" i="4"/>
  <c r="AI135" i="4"/>
  <c r="AI125" i="4"/>
  <c r="AI119" i="4"/>
  <c r="AI115" i="4"/>
  <c r="AI224" i="4"/>
  <c r="AI223" i="4"/>
  <c r="AI222" i="4"/>
  <c r="AI221" i="4"/>
  <c r="AI216" i="4"/>
  <c r="AI179" i="4"/>
  <c r="AI58" i="4"/>
  <c r="AI57" i="4"/>
  <c r="AI56" i="4"/>
  <c r="AI15" i="4"/>
  <c r="AI160" i="4"/>
  <c r="AI7" i="4"/>
  <c r="AI14" i="4"/>
  <c r="AI146" i="4"/>
  <c r="AI128" i="4"/>
  <c r="AI127" i="4"/>
  <c r="AI82" i="4"/>
  <c r="AI71" i="4"/>
  <c r="AI225" i="4"/>
  <c r="AI65" i="4"/>
  <c r="AI64" i="4"/>
  <c r="AI63" i="4"/>
  <c r="AI178" i="4"/>
  <c r="AI241" i="4"/>
  <c r="AI240" i="4"/>
  <c r="AI80" i="4"/>
  <c r="AI79" i="4"/>
  <c r="AI68" i="4"/>
  <c r="AI67" i="4"/>
  <c r="AI137" i="4"/>
  <c r="AI116" i="4"/>
  <c r="AI209" i="4"/>
  <c r="AI66" i="4"/>
  <c r="AI183" i="4"/>
  <c r="AI11" i="4"/>
  <c r="AI10" i="4"/>
  <c r="AI9" i="4"/>
  <c r="AI255" i="4"/>
  <c r="AI59" i="4"/>
  <c r="AI51" i="4"/>
  <c r="AI250" i="4"/>
  <c r="AI132" i="4"/>
  <c r="AI47" i="4"/>
  <c r="AI124" i="4"/>
  <c r="AI278" i="4"/>
  <c r="AI242" i="4"/>
  <c r="AI85" i="4"/>
  <c r="AI239" i="4"/>
  <c r="AI83" i="4"/>
  <c r="AI81" i="4"/>
  <c r="AI69" i="4"/>
  <c r="AI62" i="4"/>
  <c r="AI177" i="4"/>
  <c r="AI175" i="4"/>
  <c r="AI12" i="4"/>
  <c r="AI48" i="4"/>
  <c r="AI134" i="4"/>
  <c r="AI133" i="4"/>
  <c r="AI290" i="4"/>
  <c r="AI254" i="4"/>
  <c r="AI272" i="4"/>
  <c r="AI252" i="4"/>
  <c r="AI245" i="4"/>
  <c r="AI244" i="4"/>
  <c r="AI243" i="4"/>
  <c r="AI294" i="4"/>
  <c r="AI275" i="4"/>
  <c r="AI284" i="4"/>
  <c r="AI291" i="4"/>
  <c r="AI289" i="4"/>
  <c r="AI287" i="4"/>
  <c r="AI19" i="4"/>
  <c r="AI18" i="4"/>
  <c r="AI17" i="4"/>
  <c r="AI16" i="4"/>
  <c r="AI285" i="4"/>
  <c r="AI280" i="4"/>
  <c r="AI283" i="4"/>
  <c r="AI282" i="4"/>
  <c r="AI78" i="4"/>
  <c r="AI77" i="4"/>
  <c r="AI76" i="4"/>
  <c r="AI75" i="4"/>
  <c r="AI74" i="4"/>
  <c r="AI8" i="4"/>
  <c r="AI5" i="4"/>
  <c r="AI238" i="4"/>
  <c r="AI237" i="4"/>
  <c r="AI236" i="4"/>
  <c r="AI235" i="4"/>
  <c r="AI234" i="4"/>
  <c r="AI233" i="4"/>
  <c r="AI276" i="4"/>
  <c r="AI279" i="4"/>
  <c r="AI36" i="4"/>
  <c r="AI103" i="4"/>
  <c r="AI100" i="4"/>
  <c r="AI247" i="4"/>
  <c r="AI92" i="4"/>
  <c r="AI246" i="4"/>
  <c r="AI90" i="4"/>
  <c r="AI89" i="4"/>
  <c r="AI88" i="4"/>
  <c r="AI87" i="4"/>
  <c r="AI203" i="4"/>
  <c r="AI200" i="4"/>
  <c r="AI199" i="4"/>
  <c r="AI206" i="4"/>
  <c r="AI205" i="4"/>
  <c r="AI258" i="4"/>
  <c r="AI204" i="4"/>
  <c r="AI202" i="4"/>
  <c r="AI201" i="4"/>
  <c r="AI296" i="4"/>
  <c r="AI163" i="4"/>
  <c r="AI270" i="4"/>
  <c r="AI263" i="4"/>
  <c r="AI154" i="4"/>
  <c r="AI123" i="4"/>
  <c r="AI105" i="4"/>
  <c r="AI104" i="4"/>
  <c r="AI248" i="4"/>
  <c r="AI52" i="4"/>
  <c r="AI174" i="4"/>
  <c r="AI99" i="4"/>
  <c r="AI97" i="4"/>
  <c r="AI96" i="4"/>
  <c r="AI55" i="4"/>
  <c r="AI54" i="4"/>
  <c r="AI53" i="4"/>
  <c r="AI6" i="4"/>
  <c r="AI13" i="4"/>
  <c r="AI44" i="4"/>
  <c r="AI43" i="4"/>
  <c r="AI261" i="4"/>
  <c r="AI271" i="4"/>
  <c r="AI152" i="4"/>
  <c r="AI143" i="4"/>
  <c r="AI172" i="4"/>
  <c r="AI98" i="4"/>
  <c r="AI95" i="4"/>
  <c r="AI94" i="4"/>
  <c r="AI232" i="4"/>
  <c r="AI293" i="4"/>
  <c r="AI292" i="4"/>
  <c r="AI173" i="4"/>
  <c r="AI161" i="4"/>
  <c r="AI139" i="4"/>
  <c r="AI46" i="4"/>
  <c r="AI45" i="4"/>
  <c r="AI109" i="4"/>
  <c r="AI108" i="4"/>
  <c r="AI107" i="4"/>
  <c r="AI106" i="4"/>
  <c r="AI102" i="4"/>
  <c r="AI101" i="4"/>
  <c r="AI91" i="4"/>
  <c r="AM26" i="2"/>
  <c r="AZ399" i="5"/>
  <c r="AZ409" i="5"/>
  <c r="AZ408" i="5"/>
  <c r="AZ407" i="5"/>
  <c r="AZ406" i="5"/>
  <c r="AZ405" i="5"/>
  <c r="AZ404" i="5"/>
  <c r="AZ403" i="5"/>
  <c r="AZ402" i="5"/>
  <c r="AZ401" i="5"/>
  <c r="AZ400" i="5"/>
  <c r="AZ398" i="5"/>
  <c r="AZ397" i="5"/>
  <c r="AZ396" i="5"/>
  <c r="AZ395" i="5"/>
  <c r="AZ394" i="5"/>
  <c r="AZ393" i="5"/>
  <c r="AZ392" i="5"/>
  <c r="AZ391" i="5"/>
  <c r="AZ390" i="5"/>
  <c r="AZ389" i="5"/>
  <c r="AZ386" i="5"/>
  <c r="AZ385" i="5"/>
  <c r="AZ387" i="5"/>
  <c r="AZ388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86" i="4"/>
  <c r="J31" i="3"/>
  <c r="J23" i="3"/>
  <c r="J38" i="3"/>
  <c r="J45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1" i="5"/>
  <c r="BA247" i="5"/>
  <c r="BA60" i="5"/>
  <c r="BA254" i="5"/>
  <c r="BA242" i="5"/>
  <c r="BA269" i="5"/>
  <c r="BA240" i="5"/>
  <c r="BA221" i="5"/>
  <c r="BA138" i="5"/>
  <c r="BA183" i="5"/>
  <c r="BA8" i="5"/>
  <c r="BA123" i="5"/>
  <c r="BA387" i="5"/>
  <c r="BA118" i="5"/>
  <c r="BA209" i="5"/>
  <c r="BA245" i="5"/>
  <c r="BA243" i="5"/>
  <c r="BA241" i="5"/>
  <c r="BA393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7" i="5"/>
  <c r="BA52" i="5"/>
  <c r="BA142" i="5"/>
  <c r="BA404" i="5"/>
  <c r="BA176" i="5"/>
  <c r="BA148" i="5"/>
  <c r="BA152" i="5"/>
  <c r="BA409" i="5"/>
  <c r="BA400" i="5"/>
  <c r="BA398" i="5"/>
  <c r="BA397" i="5"/>
  <c r="BA392" i="5"/>
  <c r="BA390" i="5"/>
  <c r="BA385" i="5"/>
  <c r="BA50" i="5"/>
  <c r="BA257" i="5"/>
  <c r="BA153" i="5"/>
  <c r="BA394" i="5"/>
  <c r="BA59" i="5"/>
  <c r="BA56" i="5"/>
  <c r="BA395" i="5"/>
  <c r="BA53" i="5"/>
  <c r="BA406" i="5"/>
  <c r="BA67" i="5"/>
  <c r="BA65" i="5"/>
  <c r="BA175" i="5"/>
  <c r="BA66" i="5"/>
  <c r="BA38" i="5"/>
  <c r="BA408" i="5"/>
  <c r="BA396" i="5"/>
  <c r="BA39" i="5"/>
  <c r="BA40" i="5"/>
  <c r="BA41" i="5"/>
  <c r="BA102" i="5"/>
  <c r="BA290" i="5"/>
  <c r="BA283" i="5"/>
  <c r="BA61" i="5"/>
  <c r="BA402" i="5"/>
  <c r="BA403" i="5"/>
  <c r="BA386" i="5"/>
  <c r="BA47" i="5"/>
  <c r="BA177" i="5"/>
  <c r="BA42" i="5"/>
  <c r="BA188" i="5"/>
  <c r="BA97" i="5"/>
  <c r="BA161" i="5"/>
  <c r="BA401" i="5"/>
  <c r="BA399" i="5"/>
  <c r="BA389" i="5"/>
  <c r="BA405" i="5"/>
  <c r="BA253" i="5"/>
  <c r="BA262" i="5"/>
  <c r="BA284" i="5"/>
  <c r="Y223" i="4"/>
  <c r="Y48" i="4"/>
  <c r="Y267" i="4"/>
  <c r="Y268" i="4"/>
  <c r="X2" i="12"/>
  <c r="S2" i="12"/>
  <c r="T2" i="12"/>
  <c r="X292" i="4"/>
  <c r="X293" i="4"/>
  <c r="X139" i="4"/>
  <c r="X232" i="4"/>
  <c r="X36" i="4"/>
  <c r="X161" i="4"/>
  <c r="X108" i="4"/>
  <c r="X45" i="4"/>
  <c r="X109" i="4"/>
  <c r="X101" i="4"/>
  <c r="X106" i="4"/>
  <c r="W2" i="12"/>
  <c r="Z223" i="4"/>
  <c r="Z48" i="4"/>
  <c r="Z267" i="4"/>
  <c r="Z26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<sst xmlns="http://schemas.openxmlformats.org/spreadsheetml/2006/main" count="12688" uniqueCount="1503">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</sst>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1" fontId="0" fillId="2" borderId="0" xfId="0" applyNumberFormat="1" applyFont="1" applyFill="1" applyBorder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</cellXfs>
  <cellStyles count="80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Normal" xfId="0" builtinId="0"/>
  </cellStyles>
  <dxfs count="58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'ICL3'!$G$8:$G$41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'ICL3'!$F$8:$F$41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'ICL3'!$H$8:$H$41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28.0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454320"/>
        <c:axId val="437456880"/>
      </c:lineChart>
      <c:catAx>
        <c:axId val="43745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56880"/>
        <c:crosses val="autoZero"/>
        <c:auto val="1"/>
        <c:lblAlgn val="ctr"/>
        <c:lblOffset val="100"/>
        <c:noMultiLvlLbl val="0"/>
      </c:catAx>
      <c:valAx>
        <c:axId val="43745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19</xdr:row>
      <xdr:rowOff>69227</xdr:rowOff>
    </xdr:from>
    <xdr:to>
      <xdr:col>24</xdr:col>
      <xdr:colOff>274744</xdr:colOff>
      <xdr:row>39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42"/>
  <sheetViews>
    <sheetView tabSelected="1" zoomScale="110" zoomScaleNormal="110" zoomScalePageLayoutView="110" workbookViewId="0">
      <pane xSplit="3" ySplit="1" topLeftCell="D228" activePane="bottomRight" state="frozenSplit"/>
      <selection pane="topRight" activeCell="D1" sqref="D1"/>
      <selection pane="bottomLeft" activeCell="A2" sqref="A2"/>
      <selection pane="bottomRight" activeCell="BD251" sqref="BD251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9" bestFit="1" customWidth="1"/>
    <col min="53" max="53" width="3.1640625" style="94" customWidth="1"/>
    <col min="54" max="54" width="6.6640625" style="75" customWidth="1"/>
    <col min="55" max="55" width="5" style="3" bestFit="1" customWidth="1"/>
    <col min="56" max="56" width="8.1640625" style="75" bestFit="1" customWidth="1"/>
    <col min="57" max="57" width="5.6640625" style="3" customWidth="1"/>
    <col min="58" max="58" width="5.6640625" style="120" customWidth="1"/>
    <col min="59" max="60" width="5.6640625" style="49" customWidth="1"/>
    <col min="61" max="61" width="8.5" style="3" customWidth="1"/>
    <col min="62" max="62" width="3.1640625" style="76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3" bestFit="1" customWidth="1"/>
    <col min="74" max="74" width="4.1640625" style="76" bestFit="1" customWidth="1"/>
    <col min="75" max="85" width="4.1640625" style="73" bestFit="1" customWidth="1"/>
    <col min="86" max="86" width="4.1640625" style="76" bestFit="1" customWidth="1"/>
    <col min="87" max="97" width="4.1640625" style="73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2" customFormat="1" ht="16" customHeight="1" x14ac:dyDescent="0.2">
      <c r="A1" s="62" t="s">
        <v>1077</v>
      </c>
      <c r="B1" s="62" t="s">
        <v>31</v>
      </c>
      <c r="C1" s="62" t="s">
        <v>30</v>
      </c>
      <c r="E1" s="62" t="s">
        <v>1061</v>
      </c>
      <c r="G1" s="62" t="s">
        <v>1062</v>
      </c>
      <c r="I1" s="63" t="s">
        <v>1078</v>
      </c>
      <c r="K1" s="63" t="s">
        <v>1079</v>
      </c>
      <c r="M1" s="62" t="s">
        <v>1063</v>
      </c>
      <c r="O1" s="62" t="s">
        <v>1064</v>
      </c>
      <c r="Q1" s="62" t="s">
        <v>1080</v>
      </c>
      <c r="S1" s="62" t="s">
        <v>1081</v>
      </c>
      <c r="U1" s="62" t="s">
        <v>1065</v>
      </c>
      <c r="W1" s="62" t="s">
        <v>1066</v>
      </c>
      <c r="Y1" s="62" t="s">
        <v>1093</v>
      </c>
      <c r="AA1" s="62" t="s">
        <v>1094</v>
      </c>
      <c r="AC1" s="105" t="s">
        <v>1067</v>
      </c>
      <c r="AE1" s="62" t="s">
        <v>1068</v>
      </c>
      <c r="AG1" s="62" t="s">
        <v>1096</v>
      </c>
      <c r="AI1" s="62" t="s">
        <v>1097</v>
      </c>
      <c r="AK1" s="62" t="s">
        <v>1069</v>
      </c>
      <c r="AM1" s="62" t="s">
        <v>1070</v>
      </c>
      <c r="AO1" s="62" t="s">
        <v>1071</v>
      </c>
      <c r="AQ1" s="62" t="s">
        <v>1072</v>
      </c>
      <c r="AS1" s="62" t="s">
        <v>1073</v>
      </c>
      <c r="AU1" s="62" t="s">
        <v>1074</v>
      </c>
      <c r="AW1" s="62" t="s">
        <v>1075</v>
      </c>
      <c r="AY1" s="62" t="s">
        <v>1076</v>
      </c>
      <c r="AZ1" s="64" t="s">
        <v>99</v>
      </c>
      <c r="BA1" s="65" t="s">
        <v>1387</v>
      </c>
      <c r="BB1" s="65" t="s">
        <v>1203</v>
      </c>
      <c r="BC1" s="62" t="s">
        <v>1168</v>
      </c>
      <c r="BD1" s="65" t="s">
        <v>1100</v>
      </c>
      <c r="BE1" s="62" t="s">
        <v>1380</v>
      </c>
      <c r="BF1" s="119" t="s">
        <v>1437</v>
      </c>
      <c r="BG1" s="77" t="s">
        <v>1388</v>
      </c>
      <c r="BH1" s="77" t="s">
        <v>1389</v>
      </c>
      <c r="BI1" s="62" t="s">
        <v>1108</v>
      </c>
      <c r="BJ1" s="66" t="s">
        <v>1061</v>
      </c>
      <c r="BK1" s="67" t="s">
        <v>1078</v>
      </c>
      <c r="BL1" s="68" t="s">
        <v>1063</v>
      </c>
      <c r="BM1" s="68" t="s">
        <v>1080</v>
      </c>
      <c r="BN1" s="68" t="s">
        <v>1065</v>
      </c>
      <c r="BO1" s="68" t="s">
        <v>1093</v>
      </c>
      <c r="BP1" s="68" t="s">
        <v>1067</v>
      </c>
      <c r="BQ1" s="68" t="s">
        <v>1096</v>
      </c>
      <c r="BR1" s="68" t="s">
        <v>1069</v>
      </c>
      <c r="BS1" s="68" t="s">
        <v>1071</v>
      </c>
      <c r="BT1" s="68" t="s">
        <v>1073</v>
      </c>
      <c r="BU1" s="69" t="s">
        <v>1075</v>
      </c>
      <c r="BV1" s="66" t="s">
        <v>1061</v>
      </c>
      <c r="BW1" s="70" t="s">
        <v>1078</v>
      </c>
      <c r="BX1" s="69" t="s">
        <v>1063</v>
      </c>
      <c r="BY1" s="69" t="s">
        <v>1080</v>
      </c>
      <c r="BZ1" s="69" t="s">
        <v>1065</v>
      </c>
      <c r="CA1" s="69" t="s">
        <v>1093</v>
      </c>
      <c r="CB1" s="69" t="s">
        <v>1067</v>
      </c>
      <c r="CC1" s="69" t="s">
        <v>1096</v>
      </c>
      <c r="CD1" s="69" t="s">
        <v>1069</v>
      </c>
      <c r="CE1" s="69" t="s">
        <v>1071</v>
      </c>
      <c r="CF1" s="69" t="s">
        <v>1073</v>
      </c>
      <c r="CG1" s="69" t="s">
        <v>1075</v>
      </c>
      <c r="CH1" s="66" t="s">
        <v>1062</v>
      </c>
      <c r="CI1" s="70" t="s">
        <v>1079</v>
      </c>
      <c r="CJ1" s="69" t="s">
        <v>1064</v>
      </c>
      <c r="CK1" s="69" t="s">
        <v>1081</v>
      </c>
      <c r="CL1" s="69" t="s">
        <v>1066</v>
      </c>
      <c r="CM1" s="69" t="s">
        <v>1094</v>
      </c>
      <c r="CN1" s="69" t="s">
        <v>1068</v>
      </c>
      <c r="CO1" s="69" t="s">
        <v>1097</v>
      </c>
      <c r="CP1" s="69" t="s">
        <v>1070</v>
      </c>
      <c r="CQ1" s="69" t="s">
        <v>1072</v>
      </c>
      <c r="CR1" s="69" t="s">
        <v>1074</v>
      </c>
      <c r="CS1" s="69" t="s">
        <v>1076</v>
      </c>
      <c r="CT1" s="62" t="s">
        <v>1294</v>
      </c>
    </row>
    <row r="2" spans="1:1029" x14ac:dyDescent="0.2">
      <c r="A2" s="3" t="str">
        <f t="shared" ref="A2:A59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6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8" t="str">
        <f>VLOOKUP(B2,Classification!A:D,2,0)</f>
        <v>A</v>
      </c>
      <c r="BA2" s="95" t="str">
        <f>VLOOKUP(B2,Classification!A:D,4,0)</f>
        <v>5-Hydroxytryptamine</v>
      </c>
      <c r="BB2" s="27" t="b">
        <f t="shared" ref="BB2:BB59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9" si="2">_xlfn.AGGREGATE(9,6,CH2:CS2)-_xlfn.AGGREGATE(9,6,BV2:CG2)+12</f>
        <v>261</v>
      </c>
      <c r="BD2" s="34" t="s">
        <v>1379</v>
      </c>
      <c r="BE2" s="3" t="s">
        <v>23</v>
      </c>
      <c r="BF2" s="120" t="s">
        <v>23</v>
      </c>
      <c r="BG2" s="49" t="s">
        <v>1379</v>
      </c>
      <c r="BH2" s="49" t="s">
        <v>1384</v>
      </c>
      <c r="BI2" s="1"/>
      <c r="BJ2" s="71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1">
        <f t="shared" ref="BV2:BV28" si="3">E2</f>
        <v>45</v>
      </c>
      <c r="BW2" s="72">
        <f t="shared" ref="BW2:BW28" si="4">I2</f>
        <v>78</v>
      </c>
      <c r="BX2" s="73">
        <f t="shared" ref="BX2:BX28" si="5">M2</f>
        <v>82</v>
      </c>
      <c r="BY2" s="72">
        <f t="shared" ref="BY2:BY28" si="6">Q2</f>
        <v>114</v>
      </c>
      <c r="BZ2" s="73">
        <f t="shared" ref="BZ2:BZ28" si="7">U2</f>
        <v>118</v>
      </c>
      <c r="CA2" s="72">
        <f t="shared" ref="CA2:CA28" si="8">Y2</f>
        <v>154</v>
      </c>
      <c r="CB2" s="73">
        <f t="shared" ref="CB2:CB28" si="9">AC2</f>
        <v>162</v>
      </c>
      <c r="CC2" s="72">
        <f t="shared" ref="CC2:CC28" si="10">AG2</f>
        <v>199</v>
      </c>
      <c r="CD2" s="73">
        <f t="shared" ref="CD2:CD28" si="11">AK2</f>
        <v>205</v>
      </c>
      <c r="CE2" s="72">
        <f t="shared" ref="CE2:CE28" si="12">AO2</f>
        <v>303</v>
      </c>
      <c r="CF2" s="73">
        <f t="shared" ref="CF2:CF28" si="13">AS2</f>
        <v>347</v>
      </c>
      <c r="CG2" s="72">
        <f t="shared" ref="CG2:CG28" si="14">AW2</f>
        <v>373</v>
      </c>
      <c r="CH2" s="71">
        <f t="shared" ref="CH2:CH28" si="15">G2</f>
        <v>77</v>
      </c>
      <c r="CI2" s="72">
        <f t="shared" ref="CI2:CI28" si="16">K2</f>
        <v>81</v>
      </c>
      <c r="CJ2" s="73">
        <f t="shared" ref="CJ2:CJ28" si="17">O2</f>
        <v>113</v>
      </c>
      <c r="CK2" s="73">
        <f t="shared" ref="CK2:CK28" si="18">S2</f>
        <v>117</v>
      </c>
      <c r="CL2" s="73">
        <f t="shared" ref="CL2:CL28" si="19">W2</f>
        <v>153</v>
      </c>
      <c r="CM2" s="73">
        <f t="shared" ref="CM2:CM28" si="20">AA2</f>
        <v>161</v>
      </c>
      <c r="CN2" s="73">
        <f t="shared" ref="CN2:CN28" si="21">AE2</f>
        <v>187</v>
      </c>
      <c r="CO2" s="73">
        <f t="shared" ref="CO2:CO28" si="22">AI2</f>
        <v>201</v>
      </c>
      <c r="CP2" s="73">
        <f t="shared" ref="CP2:CP28" si="23">AM2</f>
        <v>244</v>
      </c>
      <c r="CQ2" s="73">
        <f t="shared" ref="CQ2:CQ28" si="24">AQ2</f>
        <v>339</v>
      </c>
      <c r="CR2" s="73">
        <f t="shared" ref="CR2:CR28" si="25">AU2</f>
        <v>372</v>
      </c>
      <c r="CS2" s="73">
        <f t="shared" ref="CS2:CS28" si="26">AY2</f>
        <v>384</v>
      </c>
      <c r="CT2" s="23">
        <f t="shared" ref="CT2:CT2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8" t="str">
        <f>VLOOKUP(B3,Classification!A:D,2,0)</f>
        <v>A</v>
      </c>
      <c r="BA3" s="95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20">
        <v>2.8</v>
      </c>
      <c r="BG3" s="49" t="s">
        <v>1384</v>
      </c>
      <c r="BH3" s="49" t="s">
        <v>1384</v>
      </c>
      <c r="BI3" s="1"/>
      <c r="BJ3" s="71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1">
        <f t="shared" si="3"/>
        <v>45</v>
      </c>
      <c r="BW3" s="72">
        <f t="shared" si="4"/>
        <v>78</v>
      </c>
      <c r="BX3" s="73">
        <f t="shared" si="5"/>
        <v>82</v>
      </c>
      <c r="BY3" s="72">
        <f t="shared" si="6"/>
        <v>114</v>
      </c>
      <c r="BZ3" s="73">
        <f t="shared" si="7"/>
        <v>118</v>
      </c>
      <c r="CA3" s="72">
        <f t="shared" si="8"/>
        <v>154</v>
      </c>
      <c r="CB3" s="73">
        <f t="shared" si="9"/>
        <v>162</v>
      </c>
      <c r="CC3" s="72">
        <f t="shared" si="10"/>
        <v>199</v>
      </c>
      <c r="CD3" s="73">
        <f t="shared" si="11"/>
        <v>205</v>
      </c>
      <c r="CE3" s="72">
        <f t="shared" si="12"/>
        <v>304</v>
      </c>
      <c r="CF3" s="73">
        <f t="shared" si="13"/>
        <v>347</v>
      </c>
      <c r="CG3" s="72">
        <f t="shared" si="14"/>
        <v>373</v>
      </c>
      <c r="CH3" s="71">
        <f t="shared" si="15"/>
        <v>77</v>
      </c>
      <c r="CI3" s="72">
        <f t="shared" si="16"/>
        <v>81</v>
      </c>
      <c r="CJ3" s="73">
        <f t="shared" si="17"/>
        <v>113</v>
      </c>
      <c r="CK3" s="73">
        <f t="shared" si="18"/>
        <v>117</v>
      </c>
      <c r="CL3" s="73">
        <f t="shared" si="19"/>
        <v>153</v>
      </c>
      <c r="CM3" s="73">
        <f t="shared" si="20"/>
        <v>161</v>
      </c>
      <c r="CN3" s="73">
        <f t="shared" si="21"/>
        <v>184</v>
      </c>
      <c r="CO3" s="73">
        <f t="shared" si="22"/>
        <v>201</v>
      </c>
      <c r="CP3" s="73">
        <f t="shared" si="23"/>
        <v>238</v>
      </c>
      <c r="CQ3" s="73">
        <f t="shared" si="24"/>
        <v>339</v>
      </c>
      <c r="CR3" s="73">
        <f t="shared" si="25"/>
        <v>372</v>
      </c>
      <c r="CS3" s="73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8" t="str">
        <f>VLOOKUP(B4,Classification!A:D,2,0)</f>
        <v>A</v>
      </c>
      <c r="BA4" s="95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20">
        <v>2.7</v>
      </c>
      <c r="BG4" s="49" t="s">
        <v>1384</v>
      </c>
      <c r="BH4" s="49" t="s">
        <v>1384</v>
      </c>
      <c r="BI4" s="1"/>
      <c r="BJ4" s="71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1">
        <f t="shared" si="3"/>
        <v>45</v>
      </c>
      <c r="BW4" s="72">
        <f t="shared" si="4"/>
        <v>78</v>
      </c>
      <c r="BX4" s="73">
        <f t="shared" si="5"/>
        <v>82</v>
      </c>
      <c r="BY4" s="72">
        <f t="shared" si="6"/>
        <v>114</v>
      </c>
      <c r="BZ4" s="73">
        <f t="shared" si="7"/>
        <v>118</v>
      </c>
      <c r="CA4" s="72">
        <f t="shared" si="8"/>
        <v>154</v>
      </c>
      <c r="CB4" s="73">
        <f t="shared" si="9"/>
        <v>162</v>
      </c>
      <c r="CC4" s="72">
        <f t="shared" si="10"/>
        <v>199</v>
      </c>
      <c r="CD4" s="73">
        <f t="shared" si="11"/>
        <v>205</v>
      </c>
      <c r="CE4" s="72">
        <f t="shared" si="12"/>
        <v>310</v>
      </c>
      <c r="CF4" s="73">
        <f t="shared" si="13"/>
        <v>347</v>
      </c>
      <c r="CG4" s="72">
        <f t="shared" si="14"/>
        <v>373</v>
      </c>
      <c r="CH4" s="71">
        <f t="shared" si="15"/>
        <v>77</v>
      </c>
      <c r="CI4" s="72">
        <f t="shared" si="16"/>
        <v>81</v>
      </c>
      <c r="CJ4" s="73">
        <f t="shared" si="17"/>
        <v>113</v>
      </c>
      <c r="CK4" s="73">
        <f t="shared" si="18"/>
        <v>117</v>
      </c>
      <c r="CL4" s="73">
        <f t="shared" si="19"/>
        <v>153</v>
      </c>
      <c r="CM4" s="73">
        <f t="shared" si="20"/>
        <v>161</v>
      </c>
      <c r="CN4" s="73">
        <f t="shared" si="21"/>
        <v>184</v>
      </c>
      <c r="CO4" s="73">
        <f t="shared" si="22"/>
        <v>201</v>
      </c>
      <c r="CP4" s="73">
        <f t="shared" si="23"/>
        <v>239</v>
      </c>
      <c r="CQ4" s="73">
        <f t="shared" si="24"/>
        <v>339</v>
      </c>
      <c r="CR4" s="73">
        <f t="shared" si="25"/>
        <v>371</v>
      </c>
      <c r="CS4" s="73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 t="shared" ref="A5" si="28"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10">
        <v>78</v>
      </c>
      <c r="J5" s="9" t="str">
        <f>IFERROR(MID(VLOOKUP($B5,Seqs!$A:$B,2,0),K5,1),"")</f>
        <v>H</v>
      </c>
      <c r="K5" s="110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1" t="str">
        <f>VLOOKUP(B5,Classification!A:D,2,0)</f>
        <v>A</v>
      </c>
      <c r="BA5" s="99" t="str">
        <f>VLOOKUP(B5,Classification!A:D,4,0)</f>
        <v>5-Hydroxytryptamine</v>
      </c>
      <c r="BB5" s="36" t="b">
        <f t="shared" ref="BB5" si="29"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10">
        <f t="shared" ref="BC5" si="30">_xlfn.AGGREGATE(9,6,CH5:CS5)-_xlfn.AGGREGATE(9,6,BV5:CG5)+12</f>
        <v>246</v>
      </c>
      <c r="BD5" s="11" t="s">
        <v>23</v>
      </c>
      <c r="BE5" s="9" t="s">
        <v>1439</v>
      </c>
      <c r="BF5" s="121">
        <v>3.7</v>
      </c>
      <c r="BG5" s="51" t="s">
        <v>1384</v>
      </c>
      <c r="BH5" s="51" t="s">
        <v>1384</v>
      </c>
      <c r="BJ5" s="112" t="s">
        <v>1293</v>
      </c>
      <c r="BK5" s="113" t="s">
        <v>1293</v>
      </c>
      <c r="BL5" s="113" t="s">
        <v>1293</v>
      </c>
      <c r="BM5" s="113" t="s">
        <v>1293</v>
      </c>
      <c r="BN5" s="113" t="s">
        <v>1293</v>
      </c>
      <c r="BO5" s="113" t="s">
        <v>1293</v>
      </c>
      <c r="BP5" s="113" t="s">
        <v>1293</v>
      </c>
      <c r="BQ5" s="113" t="s">
        <v>1293</v>
      </c>
      <c r="BR5" s="113" t="s">
        <v>1293</v>
      </c>
      <c r="BS5" s="113" t="s">
        <v>1293</v>
      </c>
      <c r="BT5" s="113" t="s">
        <v>1293</v>
      </c>
      <c r="BU5" s="113" t="s">
        <v>1293</v>
      </c>
      <c r="BV5" s="112">
        <f t="shared" ref="BV5" si="31">E5</f>
        <v>45</v>
      </c>
      <c r="BW5" s="114">
        <f t="shared" ref="BW5" si="32">I5</f>
        <v>78</v>
      </c>
      <c r="BX5" s="115">
        <f t="shared" ref="BX5" si="33">M5</f>
        <v>82</v>
      </c>
      <c r="BY5" s="114">
        <f t="shared" ref="BY5" si="34">Q5</f>
        <v>114</v>
      </c>
      <c r="BZ5" s="115">
        <f t="shared" ref="BZ5" si="35">U5</f>
        <v>118</v>
      </c>
      <c r="CA5" s="114">
        <f t="shared" ref="CA5" si="36">Y5</f>
        <v>154</v>
      </c>
      <c r="CB5" s="115">
        <f t="shared" ref="CB5" si="37">AC5</f>
        <v>162</v>
      </c>
      <c r="CC5" s="114">
        <f t="shared" ref="CC5" si="38">AG5</f>
        <v>199</v>
      </c>
      <c r="CD5" s="115">
        <f t="shared" ref="CD5" si="39">AK5</f>
        <v>205</v>
      </c>
      <c r="CE5" s="114">
        <f t="shared" ref="CE5" si="40">AO5</f>
        <v>308</v>
      </c>
      <c r="CF5" s="115">
        <f t="shared" ref="CF5" si="41">AS5</f>
        <v>346</v>
      </c>
      <c r="CG5" s="114">
        <f t="shared" ref="CG5" si="42">AW5</f>
        <v>373</v>
      </c>
      <c r="CH5" s="112">
        <f t="shared" ref="CH5" si="43">G5</f>
        <v>77</v>
      </c>
      <c r="CI5" s="114">
        <f t="shared" ref="CI5" si="44">K5</f>
        <v>81</v>
      </c>
      <c r="CJ5" s="115">
        <f t="shared" ref="CJ5" si="45">O5</f>
        <v>113</v>
      </c>
      <c r="CK5" s="115">
        <f t="shared" ref="CK5" si="46">S5</f>
        <v>117</v>
      </c>
      <c r="CL5" s="115">
        <f t="shared" ref="CL5" si="47">W5</f>
        <v>152</v>
      </c>
      <c r="CM5" s="115">
        <f t="shared" ref="CM5" si="48">AA5</f>
        <v>161</v>
      </c>
      <c r="CN5" s="115">
        <f t="shared" ref="CN5" si="49">AE5</f>
        <v>184</v>
      </c>
      <c r="CO5" s="115">
        <f t="shared" ref="CO5" si="50">AI5</f>
        <v>201</v>
      </c>
      <c r="CP5" s="115">
        <f t="shared" ref="CP5" si="51">AM5</f>
        <v>239</v>
      </c>
      <c r="CQ5" s="115">
        <f t="shared" ref="CQ5" si="52">AQ5</f>
        <v>337</v>
      </c>
      <c r="CR5" s="115">
        <f t="shared" ref="CR5" si="53">AU5</f>
        <v>372</v>
      </c>
      <c r="CS5" s="115">
        <f t="shared" ref="CS5" si="54">AY5</f>
        <v>384</v>
      </c>
      <c r="CT5" s="110">
        <f t="shared" ref="CT5" si="55">M5-K5</f>
        <v>1</v>
      </c>
    </row>
    <row r="6" spans="1:1029" x14ac:dyDescent="0.2">
      <c r="A6" s="3" t="str">
        <f t="shared" si="0"/>
        <v>5ht2b_human__wt</v>
      </c>
      <c r="B6" s="3" t="s">
        <v>35</v>
      </c>
      <c r="C6" s="3" t="s">
        <v>100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>P</v>
      </c>
      <c r="Y6" s="3">
        <v>160</v>
      </c>
      <c r="Z6" s="3" t="str">
        <f>IFERROR(MID(VLOOKUP($B6,Seqs!$A:$B,2,0),AA6,1),"")</f>
        <v>N</v>
      </c>
      <c r="AA6" s="3">
        <v>167</v>
      </c>
      <c r="AB6" s="3" t="str">
        <f>IFERROR(MID(VLOOKUP($B6,Seqs!$A:$B,2,0),AC6,1),"")</f>
        <v>S</v>
      </c>
      <c r="AC6" s="9">
        <v>168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P</v>
      </c>
      <c r="AM6" s="3">
        <v>255</v>
      </c>
      <c r="AN6" s="3" t="str">
        <f>IFERROR(MID(VLOOKUP($B6,Seqs!$A:$B,2,0),AO6,1),"")</f>
        <v>V</v>
      </c>
      <c r="AO6" s="3">
        <v>313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N</v>
      </c>
      <c r="AS6" s="106">
        <v>354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8" t="str">
        <f>VLOOKUP(B6,Classification!A:D,2,0)</f>
        <v>A</v>
      </c>
      <c r="BA6" s="95" t="str">
        <f>VLOOKUP(B6,Classification!A:D,4,0)</f>
        <v>5-Hydroxytryptamine</v>
      </c>
      <c r="BB6" s="27" t="b">
        <f t="shared" si="1"/>
        <v>1</v>
      </c>
      <c r="BC6" s="23">
        <f t="shared" si="2"/>
        <v>264</v>
      </c>
      <c r="BD6" s="92" t="s">
        <v>1379</v>
      </c>
      <c r="BE6" s="3" t="s">
        <v>23</v>
      </c>
      <c r="BF6" s="120" t="s">
        <v>23</v>
      </c>
      <c r="BG6" s="49" t="s">
        <v>1379</v>
      </c>
      <c r="BH6" s="49" t="s">
        <v>1384</v>
      </c>
      <c r="BI6" s="1"/>
      <c r="BJ6" s="71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1">
        <f t="shared" si="3"/>
        <v>54</v>
      </c>
      <c r="BW6" s="72">
        <f t="shared" si="4"/>
        <v>83</v>
      </c>
      <c r="BX6" s="73">
        <f t="shared" si="5"/>
        <v>87</v>
      </c>
      <c r="BY6" s="72">
        <f t="shared" si="6"/>
        <v>120</v>
      </c>
      <c r="BZ6" s="73">
        <f t="shared" si="7"/>
        <v>124</v>
      </c>
      <c r="CA6" s="72">
        <f t="shared" si="8"/>
        <v>160</v>
      </c>
      <c r="CB6" s="73">
        <f t="shared" si="9"/>
        <v>168</v>
      </c>
      <c r="CC6" s="72">
        <f t="shared" si="10"/>
        <v>207</v>
      </c>
      <c r="CD6" s="73">
        <f t="shared" si="11"/>
        <v>214</v>
      </c>
      <c r="CE6" s="72">
        <f t="shared" si="12"/>
        <v>313</v>
      </c>
      <c r="CF6" s="73">
        <f t="shared" si="13"/>
        <v>354</v>
      </c>
      <c r="CG6" s="72">
        <f t="shared" si="14"/>
        <v>384</v>
      </c>
      <c r="CH6" s="71">
        <f t="shared" si="15"/>
        <v>82</v>
      </c>
      <c r="CI6" s="72">
        <f t="shared" si="16"/>
        <v>86</v>
      </c>
      <c r="CJ6" s="73">
        <f t="shared" si="17"/>
        <v>117</v>
      </c>
      <c r="CK6" s="73">
        <f t="shared" si="18"/>
        <v>123</v>
      </c>
      <c r="CL6" s="73">
        <f t="shared" si="19"/>
        <v>159</v>
      </c>
      <c r="CM6" s="73">
        <f t="shared" si="20"/>
        <v>167</v>
      </c>
      <c r="CN6" s="73">
        <f t="shared" si="21"/>
        <v>194</v>
      </c>
      <c r="CO6" s="73">
        <f t="shared" si="22"/>
        <v>209</v>
      </c>
      <c r="CP6" s="73">
        <f t="shared" si="23"/>
        <v>255</v>
      </c>
      <c r="CQ6" s="73">
        <f t="shared" si="24"/>
        <v>350</v>
      </c>
      <c r="CR6" s="73">
        <f t="shared" si="25"/>
        <v>383</v>
      </c>
      <c r="CS6" s="73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</v>
      </c>
      <c r="B7" s="3" t="s">
        <v>35</v>
      </c>
      <c r="C7" s="3" t="s">
        <v>70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N</v>
      </c>
      <c r="AC7" s="3">
        <v>164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3">
        <v>248</v>
      </c>
      <c r="AN7" s="3" t="str">
        <f>IFERROR(MID(VLOOKUP($B7,Seqs!$A:$B,2,0),AO7,1),"")</f>
        <v>Q</v>
      </c>
      <c r="AO7" s="3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3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8" t="str">
        <f>VLOOKUP(B7,Classification!A:D,2,0)</f>
        <v>A</v>
      </c>
      <c r="BA7" s="95" t="str">
        <f>VLOOKUP(B7,Classification!A:D,4,0)</f>
        <v>5-Hydroxytryptamine</v>
      </c>
      <c r="BB7" s="27" t="b">
        <f t="shared" si="1"/>
        <v>1</v>
      </c>
      <c r="BC7" s="23">
        <f t="shared" si="2"/>
        <v>253</v>
      </c>
      <c r="BD7" s="16" t="s">
        <v>1440</v>
      </c>
      <c r="BE7" s="3" t="s">
        <v>1439</v>
      </c>
      <c r="BF7" s="120">
        <v>2.7</v>
      </c>
      <c r="BG7" s="49" t="s">
        <v>1384</v>
      </c>
      <c r="BH7" s="49" t="s">
        <v>1384</v>
      </c>
      <c r="BI7" s="1"/>
      <c r="BJ7" s="71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1">
        <f t="shared" si="3"/>
        <v>54</v>
      </c>
      <c r="BW7" s="72">
        <f t="shared" si="4"/>
        <v>83</v>
      </c>
      <c r="BX7" s="73">
        <f t="shared" si="5"/>
        <v>87</v>
      </c>
      <c r="BY7" s="72">
        <f t="shared" si="6"/>
        <v>120</v>
      </c>
      <c r="BZ7" s="73">
        <f t="shared" si="7"/>
        <v>124</v>
      </c>
      <c r="CA7" s="72" t="str">
        <f t="shared" si="8"/>
        <v>-</v>
      </c>
      <c r="CB7" s="73">
        <f t="shared" si="9"/>
        <v>164</v>
      </c>
      <c r="CC7" s="72">
        <f t="shared" si="10"/>
        <v>207</v>
      </c>
      <c r="CD7" s="73">
        <f t="shared" si="11"/>
        <v>214</v>
      </c>
      <c r="CE7" s="72">
        <f t="shared" si="12"/>
        <v>314</v>
      </c>
      <c r="CF7" s="73">
        <f t="shared" si="13"/>
        <v>354</v>
      </c>
      <c r="CG7" s="72">
        <f t="shared" si="14"/>
        <v>384</v>
      </c>
      <c r="CH7" s="71">
        <f t="shared" si="15"/>
        <v>82</v>
      </c>
      <c r="CI7" s="72">
        <f t="shared" si="16"/>
        <v>86</v>
      </c>
      <c r="CJ7" s="73">
        <f t="shared" si="17"/>
        <v>117</v>
      </c>
      <c r="CK7" s="73">
        <f t="shared" si="18"/>
        <v>123</v>
      </c>
      <c r="CL7" s="73">
        <f t="shared" si="19"/>
        <v>159</v>
      </c>
      <c r="CM7" s="73" t="str">
        <f t="shared" si="20"/>
        <v>-</v>
      </c>
      <c r="CN7" s="73">
        <f t="shared" si="21"/>
        <v>194</v>
      </c>
      <c r="CO7" s="73">
        <f t="shared" si="22"/>
        <v>209</v>
      </c>
      <c r="CP7" s="73">
        <f t="shared" si="23"/>
        <v>248</v>
      </c>
      <c r="CQ7" s="73">
        <f t="shared" si="24"/>
        <v>350</v>
      </c>
      <c r="CR7" s="73">
        <f t="shared" si="25"/>
        <v>383</v>
      </c>
      <c r="CS7" s="73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5ht2b_human_4IB4_dist</v>
      </c>
      <c r="B8" s="3" t="s">
        <v>35</v>
      </c>
      <c r="C8" s="3" t="s">
        <v>1165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Q</v>
      </c>
      <c r="AC8" s="3">
        <v>165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8" t="str">
        <f>VLOOKUP(B8,Classification!A:D,2,0)</f>
        <v>A</v>
      </c>
      <c r="BA8" s="95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56" t="s">
        <v>1379</v>
      </c>
      <c r="BE8" s="3" t="s">
        <v>1439</v>
      </c>
      <c r="BF8" s="120">
        <v>2.7</v>
      </c>
      <c r="BG8" s="49" t="s">
        <v>1384</v>
      </c>
      <c r="BH8" s="49" t="s">
        <v>1384</v>
      </c>
      <c r="BI8" s="1"/>
      <c r="BJ8" s="71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1">
        <f t="shared" si="3"/>
        <v>54</v>
      </c>
      <c r="BW8" s="72">
        <f t="shared" si="4"/>
        <v>83</v>
      </c>
      <c r="BX8" s="73">
        <f t="shared" si="5"/>
        <v>87</v>
      </c>
      <c r="BY8" s="72">
        <f t="shared" si="6"/>
        <v>120</v>
      </c>
      <c r="BZ8" s="73">
        <f t="shared" si="7"/>
        <v>124</v>
      </c>
      <c r="CA8" s="72" t="str">
        <f t="shared" si="8"/>
        <v>-</v>
      </c>
      <c r="CB8" s="73">
        <f t="shared" si="9"/>
        <v>165</v>
      </c>
      <c r="CC8" s="72">
        <f t="shared" si="10"/>
        <v>207</v>
      </c>
      <c r="CD8" s="73">
        <f t="shared" si="11"/>
        <v>214</v>
      </c>
      <c r="CE8" s="72">
        <f t="shared" si="12"/>
        <v>314</v>
      </c>
      <c r="CF8" s="73">
        <f t="shared" si="13"/>
        <v>354</v>
      </c>
      <c r="CG8" s="72">
        <f t="shared" si="14"/>
        <v>384</v>
      </c>
      <c r="CH8" s="71">
        <f t="shared" si="15"/>
        <v>82</v>
      </c>
      <c r="CI8" s="72">
        <f t="shared" si="16"/>
        <v>86</v>
      </c>
      <c r="CJ8" s="73">
        <f t="shared" si="17"/>
        <v>117</v>
      </c>
      <c r="CK8" s="73">
        <f t="shared" si="18"/>
        <v>123</v>
      </c>
      <c r="CL8" s="73">
        <f t="shared" si="19"/>
        <v>159</v>
      </c>
      <c r="CM8" s="73" t="str">
        <f t="shared" si="20"/>
        <v>-</v>
      </c>
      <c r="CN8" s="73">
        <f t="shared" si="21"/>
        <v>194</v>
      </c>
      <c r="CO8" s="73">
        <f t="shared" si="22"/>
        <v>209</v>
      </c>
      <c r="CP8" s="73">
        <f t="shared" si="23"/>
        <v>248</v>
      </c>
      <c r="CQ8" s="73">
        <f t="shared" si="24"/>
        <v>350</v>
      </c>
      <c r="CR8" s="73">
        <f t="shared" si="25"/>
        <v>383</v>
      </c>
      <c r="CS8" s="73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5ht2b_human_4NC3</v>
      </c>
      <c r="B9" s="3" t="s">
        <v>35</v>
      </c>
      <c r="C9" s="3" t="s">
        <v>1314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N</v>
      </c>
      <c r="AC9" s="3">
        <v>164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8" t="str">
        <f>VLOOKUP(B9,Classification!A:D,2,0)</f>
        <v>A</v>
      </c>
      <c r="BA9" s="95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4" t="s">
        <v>23</v>
      </c>
      <c r="BE9" s="3" t="s">
        <v>1439</v>
      </c>
      <c r="BF9" s="120">
        <v>2.8</v>
      </c>
      <c r="BG9" s="49" t="s">
        <v>1384</v>
      </c>
      <c r="BH9" s="49" t="s">
        <v>1384</v>
      </c>
      <c r="BI9" s="1"/>
      <c r="BJ9" s="71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1">
        <f t="shared" si="3"/>
        <v>54</v>
      </c>
      <c r="BW9" s="72">
        <f t="shared" si="4"/>
        <v>83</v>
      </c>
      <c r="BX9" s="73">
        <f t="shared" si="5"/>
        <v>87</v>
      </c>
      <c r="BY9" s="72">
        <f t="shared" si="6"/>
        <v>120</v>
      </c>
      <c r="BZ9" s="73">
        <f t="shared" si="7"/>
        <v>124</v>
      </c>
      <c r="CA9" s="72" t="str">
        <f t="shared" si="8"/>
        <v>-</v>
      </c>
      <c r="CB9" s="73">
        <f t="shared" si="9"/>
        <v>164</v>
      </c>
      <c r="CC9" s="72">
        <f t="shared" si="10"/>
        <v>207</v>
      </c>
      <c r="CD9" s="73">
        <f t="shared" si="11"/>
        <v>214</v>
      </c>
      <c r="CE9" s="72">
        <f t="shared" si="12"/>
        <v>314</v>
      </c>
      <c r="CF9" s="73">
        <f t="shared" si="13"/>
        <v>354</v>
      </c>
      <c r="CG9" s="72">
        <f t="shared" si="14"/>
        <v>384</v>
      </c>
      <c r="CH9" s="71">
        <f t="shared" si="15"/>
        <v>82</v>
      </c>
      <c r="CI9" s="72">
        <f t="shared" si="16"/>
        <v>86</v>
      </c>
      <c r="CJ9" s="73">
        <f t="shared" si="17"/>
        <v>117</v>
      </c>
      <c r="CK9" s="73">
        <f t="shared" si="18"/>
        <v>123</v>
      </c>
      <c r="CL9" s="73">
        <f t="shared" si="19"/>
        <v>159</v>
      </c>
      <c r="CM9" s="73" t="str">
        <f t="shared" si="20"/>
        <v>-</v>
      </c>
      <c r="CN9" s="73">
        <f t="shared" si="21"/>
        <v>194</v>
      </c>
      <c r="CO9" s="73">
        <f t="shared" si="22"/>
        <v>209</v>
      </c>
      <c r="CP9" s="73">
        <f t="shared" si="23"/>
        <v>248</v>
      </c>
      <c r="CQ9" s="73">
        <f t="shared" si="24"/>
        <v>350</v>
      </c>
      <c r="CR9" s="73">
        <f t="shared" si="25"/>
        <v>383</v>
      </c>
      <c r="CS9" s="73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" si="56">CONCATENATE(B10,"_",C10)</f>
        <v>5ht2b_human_5TUD</v>
      </c>
      <c r="B10" s="3" t="s">
        <v>35</v>
      </c>
      <c r="C10" s="3" t="s">
        <v>1438</v>
      </c>
      <c r="D10" s="3" t="str">
        <f>IFERROR(MID(VLOOKUP($B10,Seqs!$A:$B,2,0),E10,1),"")</f>
        <v>A</v>
      </c>
      <c r="E10" s="3">
        <v>57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K</v>
      </c>
      <c r="AE10" s="3">
        <v>193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L</v>
      </c>
      <c r="AU10" s="3">
        <v>382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T</v>
      </c>
      <c r="AY10" s="3">
        <v>396</v>
      </c>
      <c r="AZ10" s="78" t="str">
        <f>VLOOKUP(B10,Classification!A:D,2,0)</f>
        <v>A</v>
      </c>
      <c r="BA10" s="95" t="str">
        <f>VLOOKUP(B10,Classification!A:D,4,0)</f>
        <v>5-Hydroxytryptamine</v>
      </c>
      <c r="BB10" s="27" t="b">
        <f t="shared" ref="BB10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" si="58">_xlfn.AGGREGATE(9,6,CH10:CS10)-_xlfn.AGGREGATE(9,6,BV10:CG10)+12</f>
        <v>249</v>
      </c>
      <c r="BD10" s="4" t="s">
        <v>1382</v>
      </c>
      <c r="BE10" s="3" t="s">
        <v>1297</v>
      </c>
      <c r="BF10" s="120">
        <v>3</v>
      </c>
      <c r="BG10" s="49" t="s">
        <v>1384</v>
      </c>
      <c r="BH10" s="49" t="s">
        <v>1384</v>
      </c>
      <c r="BI10" s="1"/>
      <c r="BJ10" s="71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1">
        <f t="shared" ref="BV10" si="59">E10</f>
        <v>57</v>
      </c>
      <c r="BW10" s="72">
        <f t="shared" ref="BW10" si="60">I10</f>
        <v>83</v>
      </c>
      <c r="BX10" s="73">
        <f t="shared" ref="BX10" si="61">M10</f>
        <v>87</v>
      </c>
      <c r="BY10" s="72">
        <f t="shared" ref="BY10" si="62">Q10</f>
        <v>120</v>
      </c>
      <c r="BZ10" s="73">
        <f t="shared" ref="BZ10" si="63">U10</f>
        <v>124</v>
      </c>
      <c r="CA10" s="72" t="str">
        <f t="shared" ref="CA10" si="64">Y10</f>
        <v>-</v>
      </c>
      <c r="CB10" s="73">
        <f t="shared" ref="CB10" si="65">AC10</f>
        <v>164</v>
      </c>
      <c r="CC10" s="72">
        <f t="shared" ref="CC10" si="66">AG10</f>
        <v>207</v>
      </c>
      <c r="CD10" s="73">
        <f t="shared" ref="CD10" si="67">AK10</f>
        <v>214</v>
      </c>
      <c r="CE10" s="72">
        <f t="shared" ref="CE10" si="68">AO10</f>
        <v>314</v>
      </c>
      <c r="CF10" s="73">
        <f t="shared" ref="CF10" si="69">AS10</f>
        <v>354</v>
      </c>
      <c r="CG10" s="72">
        <f t="shared" ref="CG10" si="70">AW10</f>
        <v>384</v>
      </c>
      <c r="CH10" s="71">
        <f t="shared" ref="CH10" si="71">G10</f>
        <v>82</v>
      </c>
      <c r="CI10" s="72">
        <f t="shared" ref="CI10" si="72">K10</f>
        <v>86</v>
      </c>
      <c r="CJ10" s="73">
        <f t="shared" ref="CJ10" si="73">O10</f>
        <v>117</v>
      </c>
      <c r="CK10" s="73">
        <f t="shared" ref="CK10" si="74">S10</f>
        <v>123</v>
      </c>
      <c r="CL10" s="73">
        <f t="shared" ref="CL10" si="75">W10</f>
        <v>159</v>
      </c>
      <c r="CM10" s="73" t="str">
        <f t="shared" ref="CM10" si="76">AA10</f>
        <v>-</v>
      </c>
      <c r="CN10" s="73">
        <f t="shared" ref="CN10" si="77">AE10</f>
        <v>193</v>
      </c>
      <c r="CO10" s="73">
        <f t="shared" ref="CO10" si="78">AI10</f>
        <v>209</v>
      </c>
      <c r="CP10" s="73">
        <f t="shared" ref="CP10" si="79">AM10</f>
        <v>248</v>
      </c>
      <c r="CQ10" s="73">
        <f t="shared" ref="CQ10" si="80">AQ10</f>
        <v>350</v>
      </c>
      <c r="CR10" s="73">
        <f t="shared" ref="CR10" si="81">AU10</f>
        <v>382</v>
      </c>
      <c r="CS10" s="73">
        <f t="shared" ref="CS10" si="82">AY10</f>
        <v>396</v>
      </c>
      <c r="CT10" s="23">
        <f t="shared" ref="CT10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" si="84">CONCATENATE(B11,"_",C11)</f>
        <v>5ht2b_human_5TVN</v>
      </c>
      <c r="B11" s="3" t="s">
        <v>35</v>
      </c>
      <c r="C11" s="3" t="s">
        <v>1393</v>
      </c>
      <c r="D11" s="3" t="str">
        <f>IFERROR(MID(VLOOKUP($B11,Seqs!$A:$B,2,0),E11,1),"")</f>
        <v>L</v>
      </c>
      <c r="E11" s="3">
        <v>54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8" t="str">
        <f>VLOOKUP(B11,Classification!A:D,2,0)</f>
        <v>A</v>
      </c>
      <c r="BA11" s="95" t="str">
        <f>VLOOKUP(B11,Classification!A:D,4,0)</f>
        <v>5-Hydroxytryptamine</v>
      </c>
      <c r="BB11" s="27" t="b">
        <f t="shared" ref="BB11" si="85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" si="86">_xlfn.AGGREGATE(9,6,CH11:CS11)-_xlfn.AGGREGATE(9,6,BV11:CG11)+12</f>
        <v>250</v>
      </c>
      <c r="BD11" s="4" t="s">
        <v>23</v>
      </c>
      <c r="BE11" s="3" t="s">
        <v>1439</v>
      </c>
      <c r="BF11" s="120">
        <v>2.9</v>
      </c>
      <c r="BG11" s="49" t="s">
        <v>1384</v>
      </c>
      <c r="BH11" s="49" t="s">
        <v>1384</v>
      </c>
      <c r="BI11" s="1"/>
      <c r="BJ11" s="71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1">
        <f t="shared" ref="BV11" si="87">E11</f>
        <v>54</v>
      </c>
      <c r="BW11" s="72">
        <f t="shared" ref="BW11" si="88">I11</f>
        <v>83</v>
      </c>
      <c r="BX11" s="73">
        <f t="shared" ref="BX11" si="89">M11</f>
        <v>87</v>
      </c>
      <c r="BY11" s="72">
        <f t="shared" ref="BY11" si="90">Q11</f>
        <v>120</v>
      </c>
      <c r="BZ11" s="73">
        <f t="shared" ref="BZ11" si="91">U11</f>
        <v>124</v>
      </c>
      <c r="CA11" s="72" t="str">
        <f t="shared" ref="CA11" si="92">Y11</f>
        <v>-</v>
      </c>
      <c r="CB11" s="73">
        <f t="shared" ref="CB11" si="93">AC11</f>
        <v>168</v>
      </c>
      <c r="CC11" s="72">
        <f t="shared" ref="CC11" si="94">AG11</f>
        <v>207</v>
      </c>
      <c r="CD11" s="73">
        <f t="shared" ref="CD11" si="95">AK11</f>
        <v>214</v>
      </c>
      <c r="CE11" s="72">
        <f t="shared" ref="CE11" si="96">AO11</f>
        <v>313</v>
      </c>
      <c r="CF11" s="73">
        <f t="shared" ref="CF11" si="97">AS11</f>
        <v>354</v>
      </c>
      <c r="CG11" s="72">
        <f t="shared" ref="CG11" si="98">AW11</f>
        <v>384</v>
      </c>
      <c r="CH11" s="71">
        <f t="shared" ref="CH11" si="99">G11</f>
        <v>82</v>
      </c>
      <c r="CI11" s="72">
        <f t="shared" ref="CI11" si="100">K11</f>
        <v>86</v>
      </c>
      <c r="CJ11" s="73">
        <f t="shared" ref="CJ11" si="101">O11</f>
        <v>117</v>
      </c>
      <c r="CK11" s="73">
        <f t="shared" ref="CK11" si="102">S11</f>
        <v>123</v>
      </c>
      <c r="CL11" s="73">
        <f t="shared" ref="CL11" si="103">W11</f>
        <v>159</v>
      </c>
      <c r="CM11" s="73" t="str">
        <f t="shared" ref="CM11" si="104">AA11</f>
        <v>-</v>
      </c>
      <c r="CN11" s="73">
        <f t="shared" ref="CN11" si="105">AE11</f>
        <v>194</v>
      </c>
      <c r="CO11" s="73">
        <f t="shared" ref="CO11" si="106">AI11</f>
        <v>209</v>
      </c>
      <c r="CP11" s="73">
        <f t="shared" ref="CP11" si="107">AM11</f>
        <v>248</v>
      </c>
      <c r="CQ11" s="73">
        <f t="shared" ref="CQ11" si="108">AQ11</f>
        <v>350</v>
      </c>
      <c r="CR11" s="73">
        <f t="shared" ref="CR11" si="109">AU11</f>
        <v>383</v>
      </c>
      <c r="CS11" s="73">
        <f t="shared" ref="CS11" si="110">AY11</f>
        <v>395</v>
      </c>
      <c r="CT11" s="23">
        <f t="shared" ref="CT11" si="111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9" t="str">
        <f t="shared" ref="A12" si="112">CONCATENATE(B12,"_",C12)</f>
        <v>5ht2c_human__wt</v>
      </c>
      <c r="B12" s="9" t="s">
        <v>133</v>
      </c>
      <c r="C12" s="9" t="s">
        <v>100</v>
      </c>
      <c r="D12" s="9" t="str">
        <f>IFERROR(MID(VLOOKUP($B12,Seqs!$A:$B,2,0),E12,1),"")</f>
        <v>N</v>
      </c>
      <c r="E12" s="9">
        <v>54</v>
      </c>
      <c r="F12" s="9" t="str">
        <f>IFERROR(MID(VLOOKUP($B12,Seqs!$A:$B,2,0),G12,1),"")</f>
        <v>E</v>
      </c>
      <c r="G12" s="9">
        <v>81</v>
      </c>
      <c r="H12" s="9" t="str">
        <f>IFERROR(MID(VLOOKUP($B12,Seqs!$A:$B,2,0),I12,1),"")</f>
        <v>K</v>
      </c>
      <c r="I12" s="110">
        <v>82</v>
      </c>
      <c r="J12" s="9" t="str">
        <f>IFERROR(MID(VLOOKUP($B12,Seqs!$A:$B,2,0),K12,1),"")</f>
        <v>H</v>
      </c>
      <c r="K12" s="110">
        <v>85</v>
      </c>
      <c r="L12" s="9" t="str">
        <f>IFERROR(MID(VLOOKUP($B12,Seqs!$A:$B,2,0),M12,1),"")</f>
        <v>N</v>
      </c>
      <c r="M12" s="9">
        <v>86</v>
      </c>
      <c r="N12" s="9" t="str">
        <f>IFERROR(MID(VLOOKUP($B12,Seqs!$A:$B,2,0),O12,1),"")</f>
        <v>D</v>
      </c>
      <c r="O12" s="9">
        <v>117</v>
      </c>
      <c r="P12" s="9" t="str">
        <f>IFERROR(MID(VLOOKUP($B12,Seqs!$A:$B,2,0),Q12,1),"")</f>
        <v>V</v>
      </c>
      <c r="Q12" s="9">
        <v>119</v>
      </c>
      <c r="R12" s="9" t="str">
        <f>IFERROR(MID(VLOOKUP($B12,Seqs!$A:$B,2,0),S12,1),"")</f>
        <v>L</v>
      </c>
      <c r="S12" s="9">
        <v>122</v>
      </c>
      <c r="T12" s="9" t="str">
        <f>IFERROR(MID(VLOOKUP($B12,Seqs!$A:$B,2,0),U12,1),"")</f>
        <v>P</v>
      </c>
      <c r="U12" s="9">
        <v>123</v>
      </c>
      <c r="V12" s="9" t="str">
        <f>IFERROR(MID(VLOOKUP($B12,Seqs!$A:$B,2,0),W12,1),"")</f>
        <v>N</v>
      </c>
      <c r="W12" s="9">
        <v>158</v>
      </c>
      <c r="X12" s="9" t="str">
        <f>IFERROR(MID(VLOOKUP($B12,Seqs!$A:$B,2,0),Y12,1),"")</f>
        <v>P</v>
      </c>
      <c r="Y12" s="9">
        <v>159</v>
      </c>
      <c r="Z12" s="9" t="str">
        <f>IFERROR(MID(VLOOKUP($B12,Seqs!$A:$B,2,0),AA12,1),"")</f>
        <v>N</v>
      </c>
      <c r="AA12" s="9">
        <v>166</v>
      </c>
      <c r="AB12" s="9" t="str">
        <f>IFERROR(MID(VLOOKUP($B12,Seqs!$A:$B,2,0),AC12,1),"")</f>
        <v>S</v>
      </c>
      <c r="AC12" s="9">
        <v>167</v>
      </c>
      <c r="AD12" s="9" t="str">
        <f>IFERROR(MID(VLOOKUP($B12,Seqs!$A:$B,2,0),AE12,1),"")</f>
        <v>D</v>
      </c>
      <c r="AE12" s="9">
        <v>196</v>
      </c>
      <c r="AF12" s="9" t="str">
        <f>IFERROR(MID(VLOOKUP($B12,Seqs!$A:$B,2,0),AG12,1),"")</f>
        <v>C</v>
      </c>
      <c r="AG12" s="9">
        <v>207</v>
      </c>
      <c r="AH12" s="9" t="str">
        <f>IFERROR(MID(VLOOKUP($B12,Seqs!$A:$B,2,0),AI12,1),"")</f>
        <v>L</v>
      </c>
      <c r="AI12" s="9">
        <v>209</v>
      </c>
      <c r="AJ12" s="9" t="str">
        <f>IFERROR(MID(VLOOKUP($B12,Seqs!$A:$B,2,0),AK12,1),"")</f>
        <v>D</v>
      </c>
      <c r="AK12" s="9">
        <v>211</v>
      </c>
      <c r="AL12" s="9" t="str">
        <f>IFERROR(MID(VLOOKUP($B12,Seqs!$A:$B,2,0),AM12,1),"")</f>
        <v>H</v>
      </c>
      <c r="AM12" s="9">
        <v>250</v>
      </c>
      <c r="AN12" s="9" t="str">
        <f>IFERROR(MID(VLOOKUP($B12,Seqs!$A:$B,2,0),AO12,1),"")</f>
        <v>M</v>
      </c>
      <c r="AO12" s="9">
        <v>300</v>
      </c>
      <c r="AP12" s="9" t="str">
        <f>IFERROR(MID(VLOOKUP($B12,Seqs!$A:$B,2,0),AQ12,1),"")</f>
        <v>C</v>
      </c>
      <c r="AQ12" s="9">
        <v>337</v>
      </c>
      <c r="AR12" s="9" t="str">
        <f>IFERROR(MID(VLOOKUP($B12,Seqs!$A:$B,2,0),AS12,1),"")</f>
        <v>N</v>
      </c>
      <c r="AS12" s="9">
        <v>342</v>
      </c>
      <c r="AT12" s="9" t="str">
        <f>IFERROR(MID(VLOOKUP($B12,Seqs!$A:$B,2,0),AU12,1),"")</f>
        <v>F</v>
      </c>
      <c r="AU12" s="9">
        <v>371</v>
      </c>
      <c r="AV12" s="9" t="str">
        <f>IFERROR(MID(VLOOKUP($B12,Seqs!$A:$B,2,0),AW12,1),"")</f>
        <v>N</v>
      </c>
      <c r="AW12" s="9">
        <v>372</v>
      </c>
      <c r="AX12" s="9" t="str">
        <f>IFERROR(MID(VLOOKUP($B12,Seqs!$A:$B,2,0),AY12,1),"")</f>
        <v>C</v>
      </c>
      <c r="AY12" s="9">
        <v>385</v>
      </c>
      <c r="AZ12" s="111" t="str">
        <f>VLOOKUP(B12,Classification!A:D,2,0)</f>
        <v>A</v>
      </c>
      <c r="BA12" s="99" t="str">
        <f>VLOOKUP(B12,Classification!A:D,4,0)</f>
        <v>5-Hydroxytryptamine</v>
      </c>
      <c r="BB12" s="36" t="b">
        <f t="shared" ref="BB12" si="113">AND(E12&lt;G12,OR(G12&lt;I12,I12="-"),OR(I12&lt;K12,I12="-"),OR(K12&lt;M12,K12="-"),M12&lt;O12,OR(O12&lt;Q12,Q12="-"),OR(Q12&lt;S12,Q12="-"),OR(S12&lt;U12,S12="-"),U12&lt;W12,OR(W12&lt;Y12,Y12="-"),OR(Y12&lt;AA12,Y12="-"),OR(AA12&lt;AC12,AA12="-"),AC12&lt;AE12,OR(AE12&lt;AG12,AG12="-"),OR(AG12&lt;AI12,AG12="-"),OR(AI12&lt;AK12,AI12="-"),AK12&lt;AM12,AM12&lt;AO12,AO12&lt;AQ12,AQ12&lt;AS12,AS12&lt;AU12,OR(AU12&lt;AW12,AW12="-"),OR(AW12&lt;AY12,AW12="-"))</f>
        <v>1</v>
      </c>
      <c r="BC12" s="110">
        <f t="shared" ref="BC12" si="114">_xlfn.AGGREGATE(9,6,CH12:CS12)-_xlfn.AGGREGATE(9,6,BV12:CG12)+12</f>
        <v>267</v>
      </c>
      <c r="BD12" s="11" t="s">
        <v>23</v>
      </c>
      <c r="BE12" s="9" t="s">
        <v>23</v>
      </c>
      <c r="BF12" s="121" t="s">
        <v>23</v>
      </c>
      <c r="BG12" s="51" t="s">
        <v>1384</v>
      </c>
      <c r="BH12" s="51" t="s">
        <v>1384</v>
      </c>
      <c r="BI12" s="12"/>
      <c r="BJ12" s="112" t="s">
        <v>1293</v>
      </c>
      <c r="BK12" s="113" t="s">
        <v>1293</v>
      </c>
      <c r="BL12" s="113" t="s">
        <v>1293</v>
      </c>
      <c r="BM12" s="113" t="s">
        <v>1293</v>
      </c>
      <c r="BN12" s="113" t="s">
        <v>1293</v>
      </c>
      <c r="BO12" s="113" t="s">
        <v>1293</v>
      </c>
      <c r="BP12" s="113" t="s">
        <v>1293</v>
      </c>
      <c r="BQ12" s="113" t="s">
        <v>1293</v>
      </c>
      <c r="BR12" s="113" t="s">
        <v>1293</v>
      </c>
      <c r="BS12" s="113" t="s">
        <v>1293</v>
      </c>
      <c r="BT12" s="113" t="s">
        <v>1293</v>
      </c>
      <c r="BU12" s="113" t="s">
        <v>1293</v>
      </c>
      <c r="BV12" s="112">
        <f t="shared" ref="BV12" si="115">E12</f>
        <v>54</v>
      </c>
      <c r="BW12" s="114">
        <f t="shared" ref="BW12" si="116">I12</f>
        <v>82</v>
      </c>
      <c r="BX12" s="115">
        <f t="shared" ref="BX12" si="117">M12</f>
        <v>86</v>
      </c>
      <c r="BY12" s="114">
        <f t="shared" ref="BY12" si="118">Q12</f>
        <v>119</v>
      </c>
      <c r="BZ12" s="115">
        <f t="shared" ref="BZ12" si="119">U12</f>
        <v>123</v>
      </c>
      <c r="CA12" s="114">
        <f t="shared" ref="CA12" si="120">Y12</f>
        <v>159</v>
      </c>
      <c r="CB12" s="115">
        <f t="shared" ref="CB12" si="121">AC12</f>
        <v>167</v>
      </c>
      <c r="CC12" s="114">
        <f t="shared" ref="CC12" si="122">AG12</f>
        <v>207</v>
      </c>
      <c r="CD12" s="115">
        <f t="shared" ref="CD12" si="123">AK12</f>
        <v>211</v>
      </c>
      <c r="CE12" s="114">
        <f t="shared" ref="CE12" si="124">AO12</f>
        <v>300</v>
      </c>
      <c r="CF12" s="115">
        <f t="shared" ref="CF12" si="125">AS12</f>
        <v>342</v>
      </c>
      <c r="CG12" s="114">
        <f t="shared" ref="CG12" si="126">AW12</f>
        <v>372</v>
      </c>
      <c r="CH12" s="112">
        <f t="shared" ref="CH12" si="127">G12</f>
        <v>81</v>
      </c>
      <c r="CI12" s="114">
        <f t="shared" ref="CI12" si="128">K12</f>
        <v>85</v>
      </c>
      <c r="CJ12" s="115">
        <f t="shared" ref="CJ12" si="129">O12</f>
        <v>117</v>
      </c>
      <c r="CK12" s="115">
        <f t="shared" ref="CK12" si="130">S12</f>
        <v>122</v>
      </c>
      <c r="CL12" s="115">
        <f t="shared" ref="CL12" si="131">W12</f>
        <v>158</v>
      </c>
      <c r="CM12" s="115">
        <f t="shared" ref="CM12" si="132">AA12</f>
        <v>166</v>
      </c>
      <c r="CN12" s="115">
        <f t="shared" ref="CN12" si="133">AE12</f>
        <v>196</v>
      </c>
      <c r="CO12" s="115">
        <f t="shared" ref="CO12" si="134">AI12</f>
        <v>209</v>
      </c>
      <c r="CP12" s="115">
        <f t="shared" ref="CP12" si="135">AM12</f>
        <v>250</v>
      </c>
      <c r="CQ12" s="115">
        <f t="shared" ref="CQ12" si="136">AQ12</f>
        <v>337</v>
      </c>
      <c r="CR12" s="115">
        <f t="shared" ref="CR12" si="137">AU12</f>
        <v>371</v>
      </c>
      <c r="CS12" s="115">
        <f t="shared" ref="CS12" si="138">AY12</f>
        <v>385</v>
      </c>
      <c r="CT12" s="110">
        <f t="shared" ref="CT12" si="139">M12-K12</f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ref="A13" si="140">CONCATENATE(B13,"_",C13)</f>
        <v>5ht2c_human_6BQG</v>
      </c>
      <c r="B13" s="9" t="s">
        <v>133</v>
      </c>
      <c r="C13" s="9" t="s">
        <v>1478</v>
      </c>
      <c r="D13" s="9" t="str">
        <f>IFERROR(MID(VLOOKUP($B13,Seqs!$A:$B,2,0),E13,1),"")</f>
        <v>V</v>
      </c>
      <c r="E13" s="9">
        <v>61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10">
        <v>82</v>
      </c>
      <c r="J13" s="9" t="str">
        <f>IFERROR(MID(VLOOKUP($B13,Seqs!$A:$B,2,0),K13,1),"")</f>
        <v>H</v>
      </c>
      <c r="K13" s="110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A</v>
      </c>
      <c r="AM13" s="9">
        <v>245</v>
      </c>
      <c r="AN13" s="9" t="str">
        <f>IFERROR(MID(VLOOKUP($B13,Seqs!$A:$B,2,0),AO13,1),"")</f>
        <v>Q</v>
      </c>
      <c r="AO13" s="9">
        <v>301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1" t="str">
        <f>VLOOKUP(B13,Classification!A:D,2,0)</f>
        <v>A</v>
      </c>
      <c r="BA13" s="99" t="str">
        <f>VLOOKUP(B13,Classification!A:D,4,0)</f>
        <v>5-Hydroxytryptamine</v>
      </c>
      <c r="BB13" s="36" t="b">
        <f t="shared" ref="BB13" si="141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10">
        <f t="shared" ref="BC13" si="142">_xlfn.AGGREGATE(9,6,CH13:CS13)-_xlfn.AGGREGATE(9,6,BV13:CG13)+12</f>
        <v>247</v>
      </c>
      <c r="BD13" s="11" t="s">
        <v>1382</v>
      </c>
      <c r="BE13" s="9" t="s">
        <v>1297</v>
      </c>
      <c r="BF13" s="121">
        <v>3</v>
      </c>
      <c r="BG13" s="51" t="s">
        <v>1</v>
      </c>
      <c r="BH13" s="51" t="s">
        <v>1</v>
      </c>
      <c r="BI13" s="12"/>
      <c r="BJ13" s="112" t="s">
        <v>1293</v>
      </c>
      <c r="BK13" s="113" t="s">
        <v>1293</v>
      </c>
      <c r="BL13" s="113" t="s">
        <v>1293</v>
      </c>
      <c r="BM13" s="113" t="s">
        <v>1293</v>
      </c>
      <c r="BN13" s="113" t="s">
        <v>1293</v>
      </c>
      <c r="BO13" s="113" t="s">
        <v>1293</v>
      </c>
      <c r="BP13" s="113" t="s">
        <v>1293</v>
      </c>
      <c r="BQ13" s="113" t="s">
        <v>1293</v>
      </c>
      <c r="BR13" s="113" t="s">
        <v>1293</v>
      </c>
      <c r="BS13" s="113" t="s">
        <v>1293</v>
      </c>
      <c r="BT13" s="113" t="s">
        <v>1293</v>
      </c>
      <c r="BU13" s="113" t="s">
        <v>1293</v>
      </c>
      <c r="BV13" s="112">
        <f t="shared" ref="BV13" si="143">E13</f>
        <v>61</v>
      </c>
      <c r="BW13" s="114">
        <f t="shared" ref="BW13" si="144">I13</f>
        <v>82</v>
      </c>
      <c r="BX13" s="115">
        <f t="shared" ref="BX13" si="145">M13</f>
        <v>86</v>
      </c>
      <c r="BY13" s="114">
        <f t="shared" ref="BY13" si="146">Q13</f>
        <v>119</v>
      </c>
      <c r="BZ13" s="115">
        <f t="shared" ref="BZ13" si="147">U13</f>
        <v>123</v>
      </c>
      <c r="CA13" s="114" t="str">
        <f t="shared" ref="CA13" si="148">Y13</f>
        <v>-</v>
      </c>
      <c r="CB13" s="115">
        <f t="shared" ref="CB13" si="149">AC13</f>
        <v>167</v>
      </c>
      <c r="CC13" s="114">
        <f t="shared" ref="CC13" si="150">AG13</f>
        <v>207</v>
      </c>
      <c r="CD13" s="115">
        <f t="shared" ref="CD13" si="151">AK13</f>
        <v>211</v>
      </c>
      <c r="CE13" s="114">
        <f t="shared" ref="CE13" si="152">AO13</f>
        <v>301</v>
      </c>
      <c r="CF13" s="115">
        <f t="shared" ref="CF13" si="153">AS13</f>
        <v>342</v>
      </c>
      <c r="CG13" s="114">
        <f t="shared" ref="CG13" si="154">AW13</f>
        <v>372</v>
      </c>
      <c r="CH13" s="112">
        <f t="shared" ref="CH13" si="155">G13</f>
        <v>81</v>
      </c>
      <c r="CI13" s="114">
        <f t="shared" ref="CI13" si="156">K13</f>
        <v>85</v>
      </c>
      <c r="CJ13" s="115">
        <f t="shared" ref="CJ13" si="157">O13</f>
        <v>117</v>
      </c>
      <c r="CK13" s="115">
        <f t="shared" ref="CK13" si="158">S13</f>
        <v>122</v>
      </c>
      <c r="CL13" s="115">
        <f t="shared" ref="CL13" si="159">W13</f>
        <v>158</v>
      </c>
      <c r="CM13" s="115" t="str">
        <f t="shared" ref="CM13" si="160">AA13</f>
        <v>-</v>
      </c>
      <c r="CN13" s="115">
        <f t="shared" ref="CN13" si="161">AE13</f>
        <v>196</v>
      </c>
      <c r="CO13" s="115">
        <f t="shared" ref="CO13" si="162">AI13</f>
        <v>209</v>
      </c>
      <c r="CP13" s="115">
        <f t="shared" ref="CP13" si="163">AM13</f>
        <v>245</v>
      </c>
      <c r="CQ13" s="115">
        <f t="shared" ref="CQ13" si="164">AQ13</f>
        <v>337</v>
      </c>
      <c r="CR13" s="115">
        <f t="shared" ref="CR13" si="165">AU13</f>
        <v>371</v>
      </c>
      <c r="CS13" s="115">
        <f t="shared" ref="CS13" si="166">AY13</f>
        <v>385</v>
      </c>
      <c r="CT13" s="110">
        <f t="shared" ref="CT13" si="167">M13-K13</f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ref="A14" si="168">CONCATENATE(B14,"_",C14)</f>
        <v>5ht2c_human_6BQH</v>
      </c>
      <c r="B14" s="9" t="s">
        <v>133</v>
      </c>
      <c r="C14" s="9" t="s">
        <v>1479</v>
      </c>
      <c r="D14" s="9" t="str">
        <f>IFERROR(MID(VLOOKUP($B14,Seqs!$A:$B,2,0),E14,1),"")</f>
        <v>I</v>
      </c>
      <c r="E14" s="9">
        <v>60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10">
        <v>82</v>
      </c>
      <c r="J14" s="9" t="str">
        <f>IFERROR(MID(VLOOKUP($B14,Seqs!$A:$B,2,0),K14,1),"")</f>
        <v>H</v>
      </c>
      <c r="K14" s="110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R</v>
      </c>
      <c r="W14" s="9">
        <v>157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N</v>
      </c>
      <c r="AC14" s="9">
        <v>166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L</v>
      </c>
      <c r="AQ14" s="9">
        <v>336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N</v>
      </c>
      <c r="AY14" s="9">
        <v>386</v>
      </c>
      <c r="AZ14" s="111" t="str">
        <f>VLOOKUP(B14,Classification!A:D,2,0)</f>
        <v>A</v>
      </c>
      <c r="BA14" s="99" t="str">
        <f>VLOOKUP(B14,Classification!A:D,4,0)</f>
        <v>5-Hydroxytryptamine</v>
      </c>
      <c r="BB14" s="36" t="b">
        <f t="shared" ref="BB14" si="169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10">
        <f t="shared" ref="BC14" si="170">_xlfn.AGGREGATE(9,6,CH14:CS14)-_xlfn.AGGREGATE(9,6,BV14:CG14)+12</f>
        <v>248</v>
      </c>
      <c r="BD14" s="11" t="s">
        <v>1440</v>
      </c>
      <c r="BE14" s="9" t="s">
        <v>1439</v>
      </c>
      <c r="BF14" s="121">
        <v>2.7</v>
      </c>
      <c r="BG14" s="51" t="s">
        <v>1</v>
      </c>
      <c r="BH14" s="51" t="s">
        <v>1</v>
      </c>
      <c r="BI14" s="12"/>
      <c r="BJ14" s="112" t="s">
        <v>1293</v>
      </c>
      <c r="BK14" s="113" t="s">
        <v>1293</v>
      </c>
      <c r="BL14" s="113" t="s">
        <v>1293</v>
      </c>
      <c r="BM14" s="113" t="s">
        <v>1293</v>
      </c>
      <c r="BN14" s="113" t="s">
        <v>1293</v>
      </c>
      <c r="BO14" s="113" t="s">
        <v>1293</v>
      </c>
      <c r="BP14" s="113" t="s">
        <v>1293</v>
      </c>
      <c r="BQ14" s="113" t="s">
        <v>1293</v>
      </c>
      <c r="BR14" s="113" t="s">
        <v>1293</v>
      </c>
      <c r="BS14" s="113" t="s">
        <v>1293</v>
      </c>
      <c r="BT14" s="113" t="s">
        <v>1293</v>
      </c>
      <c r="BU14" s="113" t="s">
        <v>1293</v>
      </c>
      <c r="BV14" s="112">
        <f t="shared" ref="BV14" si="171">E14</f>
        <v>60</v>
      </c>
      <c r="BW14" s="114">
        <f t="shared" ref="BW14" si="172">I14</f>
        <v>82</v>
      </c>
      <c r="BX14" s="115">
        <f t="shared" ref="BX14" si="173">M14</f>
        <v>86</v>
      </c>
      <c r="BY14" s="114">
        <f t="shared" ref="BY14" si="174">Q14</f>
        <v>119</v>
      </c>
      <c r="BZ14" s="115">
        <f t="shared" ref="BZ14" si="175">U14</f>
        <v>123</v>
      </c>
      <c r="CA14" s="114" t="str">
        <f t="shared" ref="CA14" si="176">Y14</f>
        <v>-</v>
      </c>
      <c r="CB14" s="115">
        <f t="shared" ref="CB14" si="177">AC14</f>
        <v>166</v>
      </c>
      <c r="CC14" s="114">
        <f t="shared" ref="CC14" si="178">AG14</f>
        <v>207</v>
      </c>
      <c r="CD14" s="115">
        <f t="shared" ref="CD14" si="179">AK14</f>
        <v>211</v>
      </c>
      <c r="CE14" s="114">
        <f t="shared" ref="CE14" si="180">AO14</f>
        <v>301</v>
      </c>
      <c r="CF14" s="115">
        <f t="shared" ref="CF14" si="181">AS14</f>
        <v>342</v>
      </c>
      <c r="CG14" s="114">
        <f t="shared" ref="CG14" si="182">AW14</f>
        <v>372</v>
      </c>
      <c r="CH14" s="112">
        <f t="shared" ref="CH14" si="183">G14</f>
        <v>81</v>
      </c>
      <c r="CI14" s="114">
        <f t="shared" ref="CI14" si="184">K14</f>
        <v>85</v>
      </c>
      <c r="CJ14" s="115">
        <f t="shared" ref="CJ14" si="185">O14</f>
        <v>117</v>
      </c>
      <c r="CK14" s="115">
        <f t="shared" ref="CK14" si="186">S14</f>
        <v>122</v>
      </c>
      <c r="CL14" s="115">
        <f t="shared" ref="CL14" si="187">W14</f>
        <v>157</v>
      </c>
      <c r="CM14" s="115" t="str">
        <f t="shared" ref="CM14" si="188">AA14</f>
        <v>-</v>
      </c>
      <c r="CN14" s="115">
        <f t="shared" ref="CN14" si="189">AE14</f>
        <v>196</v>
      </c>
      <c r="CO14" s="115">
        <f t="shared" ref="CO14" si="190">AI14</f>
        <v>209</v>
      </c>
      <c r="CP14" s="115">
        <f t="shared" ref="CP14" si="191">AM14</f>
        <v>245</v>
      </c>
      <c r="CQ14" s="115">
        <f t="shared" ref="CQ14" si="192">AQ14</f>
        <v>336</v>
      </c>
      <c r="CR14" s="115">
        <f t="shared" ref="CR14" si="193">AU14</f>
        <v>371</v>
      </c>
      <c r="CS14" s="115">
        <f t="shared" ref="CS14" si="194">AY14</f>
        <v>386</v>
      </c>
      <c r="CT14" s="110">
        <f t="shared" ref="CT14" si="195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17" si="196">CONCATENATE(B15,"_",C15)</f>
        <v>aa1r_human__wt</v>
      </c>
      <c r="B15" s="3" t="s">
        <v>138</v>
      </c>
      <c r="C15" s="3" t="s">
        <v>100</v>
      </c>
      <c r="D15" s="3" t="str">
        <f>IFERROR(MID(VLOOKUP($B15,Seqs!$A:$B,2,0),E15,1),"")</f>
        <v>S</v>
      </c>
      <c r="E15" s="3">
        <v>6</v>
      </c>
      <c r="F15" s="3" t="str">
        <f>IFERROR(MID(VLOOKUP($B15,Seqs!$A:$B,2,0),G15,1),"")</f>
        <v>N</v>
      </c>
      <c r="G15" s="3">
        <v>37</v>
      </c>
      <c r="H15" s="3" t="str">
        <f>IFERROR(MID(VLOOKUP($B15,Seqs!$A:$B,2,0),I15,1),"")</f>
        <v>Q</v>
      </c>
      <c r="I15" s="23">
        <v>38</v>
      </c>
      <c r="J15" s="3" t="str">
        <f>IFERROR(MID(VLOOKUP($B15,Seqs!$A:$B,2,0),K15,1),"")</f>
        <v>R</v>
      </c>
      <c r="K15" s="23">
        <v>41</v>
      </c>
      <c r="L15" s="3" t="str">
        <f>IFERROR(MID(VLOOKUP($B15,Seqs!$A:$B,2,0),M15,1),"")</f>
        <v>D</v>
      </c>
      <c r="M15" s="3">
        <v>42</v>
      </c>
      <c r="N15" s="3" t="str">
        <f>IFERROR(MID(VLOOKUP($B15,Seqs!$A:$B,2,0),O15,1),"")</f>
        <v>G</v>
      </c>
      <c r="O15" s="3">
        <v>72</v>
      </c>
      <c r="P15" s="3" t="str">
        <f>IFERROR(MID(VLOOKUP($B15,Seqs!$A:$B,2,0),Q15,1),"")</f>
        <v>P</v>
      </c>
      <c r="Q15" s="3">
        <v>73</v>
      </c>
      <c r="R15" s="3" t="str">
        <f>IFERROR(MID(VLOOKUP($B15,Seqs!$A:$B,2,0),S15,1),"")</f>
        <v>T</v>
      </c>
      <c r="S15" s="3">
        <v>75</v>
      </c>
      <c r="T15" s="3" t="str">
        <f>IFERROR(MID(VLOOKUP($B15,Seqs!$A:$B,2,0),U15,1),"")</f>
        <v>Y</v>
      </c>
      <c r="U15" s="3">
        <v>76</v>
      </c>
      <c r="V15" s="3" t="str">
        <f>IFERROR(MID(VLOOKUP($B15,Seqs!$A:$B,2,0),W15,1),"")</f>
        <v>I</v>
      </c>
      <c r="W15" s="3">
        <v>111</v>
      </c>
      <c r="X15" s="3" t="str">
        <f>IFERROR(MID(VLOOKUP($B15,Seqs!$A:$B,2,0),Y15,1),"")</f>
        <v>P</v>
      </c>
      <c r="Y15" s="3">
        <v>112</v>
      </c>
      <c r="Z15" s="3" t="str">
        <f>IFERROR(MID(VLOOKUP($B15,Seqs!$A:$B,2,0),AA15,1),"")</f>
        <v>V</v>
      </c>
      <c r="AA15" s="3">
        <v>119</v>
      </c>
      <c r="AB15" s="3" t="str">
        <f>IFERROR(MID(VLOOKUP($B15,Seqs!$A:$B,2,0),AC15,1),"")</f>
        <v>T</v>
      </c>
      <c r="AC15" s="3">
        <v>120</v>
      </c>
      <c r="AD15" s="3" t="str">
        <f>IFERROR(MID(VLOOKUP($B15,Seqs!$A:$B,2,0),AE15,1),"")</f>
        <v>G</v>
      </c>
      <c r="AE15" s="3">
        <v>145</v>
      </c>
      <c r="AF15" s="3" t="str">
        <f>IFERROR(MID(VLOOKUP($B15,Seqs!$A:$B,2,0),AG15,1),"")</f>
        <v>C</v>
      </c>
      <c r="AG15" s="3">
        <v>169</v>
      </c>
      <c r="AH15" s="3" t="str">
        <f>IFERROR(MID(VLOOKUP($B15,Seqs!$A:$B,2,0),AI15,1),"")</f>
        <v>F</v>
      </c>
      <c r="AI15" s="3">
        <v>171</v>
      </c>
      <c r="AJ15" s="3" t="str">
        <f>IFERROR(MID(VLOOKUP($B15,Seqs!$A:$B,2,0),AK15,1),"")</f>
        <v>S</v>
      </c>
      <c r="AK15" s="3">
        <v>176</v>
      </c>
      <c r="AL15" s="3" t="str">
        <f>IFERROR(MID(VLOOKUP($B15,Seqs!$A:$B,2,0),AM15,1),"")</f>
        <v>V</v>
      </c>
      <c r="AM15" s="3">
        <v>215</v>
      </c>
      <c r="AN15" s="3" t="str">
        <f>IFERROR(MID(VLOOKUP($B15,Seqs!$A:$B,2,0),AO15,1),"")</f>
        <v>D</v>
      </c>
      <c r="AO15" s="3">
        <v>221</v>
      </c>
      <c r="AP15" s="3" t="str">
        <f>IFERROR(MID(VLOOKUP($B15,Seqs!$A:$B,2,0),AQ15,1),"")</f>
        <v>C</v>
      </c>
      <c r="AQ15" s="3">
        <v>260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P</v>
      </c>
      <c r="AY15" s="3">
        <v>314</v>
      </c>
      <c r="AZ15" s="78" t="str">
        <f>VLOOKUP(B15,Classification!A:D,2,0)</f>
        <v>A</v>
      </c>
      <c r="BA15" s="95" t="str">
        <f>VLOOKUP(B15,Classification!A:D,4,0)</f>
        <v>Adenosine</v>
      </c>
      <c r="BB15" s="27" t="b">
        <f t="shared" ref="BB15:BB17" si="197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17" si="198">_xlfn.AGGREGATE(9,6,CH15:CS15)-_xlfn.AGGREGATE(9,6,BV15:CG15)+12</f>
        <v>272</v>
      </c>
      <c r="BD15" s="4" t="s">
        <v>23</v>
      </c>
      <c r="BE15" s="3" t="s">
        <v>23</v>
      </c>
      <c r="BF15" s="120" t="s">
        <v>23</v>
      </c>
      <c r="BG15" s="49" t="s">
        <v>1384</v>
      </c>
      <c r="BH15" s="49" t="s">
        <v>1384</v>
      </c>
      <c r="BI15" s="1"/>
      <c r="BJ15" s="71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1">
        <f t="shared" ref="BV15:BV17" si="199">E15</f>
        <v>6</v>
      </c>
      <c r="BW15" s="72">
        <f t="shared" ref="BW15:BW17" si="200">I15</f>
        <v>38</v>
      </c>
      <c r="BX15" s="73">
        <f t="shared" ref="BX15:BX17" si="201">M15</f>
        <v>42</v>
      </c>
      <c r="BY15" s="72">
        <f t="shared" ref="BY15:BY17" si="202">Q15</f>
        <v>73</v>
      </c>
      <c r="BZ15" s="73">
        <f t="shared" ref="BZ15:BZ17" si="203">U15</f>
        <v>76</v>
      </c>
      <c r="CA15" s="72">
        <f t="shared" ref="CA15:CA17" si="204">Y15</f>
        <v>112</v>
      </c>
      <c r="CB15" s="73">
        <f t="shared" ref="CB15:CB17" si="205">AC15</f>
        <v>120</v>
      </c>
      <c r="CC15" s="72">
        <f t="shared" ref="CC15:CC17" si="206">AG15</f>
        <v>169</v>
      </c>
      <c r="CD15" s="73">
        <f t="shared" ref="CD15:CD17" si="207">AK15</f>
        <v>176</v>
      </c>
      <c r="CE15" s="72">
        <f t="shared" ref="CE15:CE17" si="208">AO15</f>
        <v>221</v>
      </c>
      <c r="CF15" s="73">
        <f t="shared" ref="CF15:CF17" si="209">AS15</f>
        <v>266</v>
      </c>
      <c r="CG15" s="72">
        <f t="shared" ref="CG15:CG17" si="210">AW15</f>
        <v>292</v>
      </c>
      <c r="CH15" s="71">
        <f t="shared" ref="CH15:CH17" si="211">G15</f>
        <v>37</v>
      </c>
      <c r="CI15" s="72">
        <f t="shared" ref="CI15:CI17" si="212">K15</f>
        <v>41</v>
      </c>
      <c r="CJ15" s="73">
        <f t="shared" ref="CJ15:CJ17" si="213">O15</f>
        <v>72</v>
      </c>
      <c r="CK15" s="73">
        <f t="shared" ref="CK15:CK17" si="214">S15</f>
        <v>75</v>
      </c>
      <c r="CL15" s="73">
        <f t="shared" ref="CL15:CL17" si="215">W15</f>
        <v>111</v>
      </c>
      <c r="CM15" s="73">
        <f t="shared" ref="CM15:CM17" si="216">AA15</f>
        <v>119</v>
      </c>
      <c r="CN15" s="73">
        <f t="shared" ref="CN15:CN17" si="217">AE15</f>
        <v>145</v>
      </c>
      <c r="CO15" s="73">
        <f t="shared" ref="CO15:CO17" si="218">AI15</f>
        <v>171</v>
      </c>
      <c r="CP15" s="73">
        <f t="shared" ref="CP15:CP17" si="219">AM15</f>
        <v>215</v>
      </c>
      <c r="CQ15" s="73">
        <f t="shared" ref="CQ15:CQ17" si="220">AQ15</f>
        <v>260</v>
      </c>
      <c r="CR15" s="73">
        <f t="shared" ref="CR15:CR17" si="221">AU15</f>
        <v>291</v>
      </c>
      <c r="CS15" s="73">
        <f t="shared" ref="CS15:CS17" si="222">AY15</f>
        <v>314</v>
      </c>
      <c r="CT15" s="23">
        <f t="shared" ref="CT15:CT17" si="223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ref="A16" si="224">CONCATENATE(B16,"_",C16)</f>
        <v>aa1r_human_5N2S</v>
      </c>
      <c r="B16" s="3" t="s">
        <v>138</v>
      </c>
      <c r="C16" s="3" t="s">
        <v>1442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V</v>
      </c>
      <c r="G16" s="3">
        <v>36</v>
      </c>
      <c r="H16" s="3" t="str">
        <f>IFERROR(MID(VLOOKUP($B16,Seqs!$A:$B,2,0),I16,1),"")</f>
        <v/>
      </c>
      <c r="I16" s="23" t="s">
        <v>23</v>
      </c>
      <c r="J16" s="3" t="str">
        <f>IFERROR(MID(VLOOKUP($B16,Seqs!$A:$B,2,0),K16,1),"")</f>
        <v/>
      </c>
      <c r="K16" s="23" t="s">
        <v>23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L</v>
      </c>
      <c r="AM16" s="3">
        <v>211</v>
      </c>
      <c r="AN16" s="3" t="str">
        <f>IFERROR(MID(VLOOKUP($B16,Seqs!$A:$B,2,0),AO16,1),"")</f>
        <v>Q</v>
      </c>
      <c r="AO16" s="3">
        <v>223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F</v>
      </c>
      <c r="AU16" s="3">
        <v>295</v>
      </c>
      <c r="AV16" s="3" t="str">
        <f>IFERROR(MID(VLOOKUP($B16,Seqs!$A:$B,2,0),AW16,1),"")</f>
        <v/>
      </c>
      <c r="AW16" s="3" t="s">
        <v>23</v>
      </c>
      <c r="AX16" s="3" t="str">
        <f>IFERROR(MID(VLOOKUP($B16,Seqs!$A:$B,2,0),AY16,1),"")</f>
        <v/>
      </c>
      <c r="AY16" s="3" t="s">
        <v>23</v>
      </c>
      <c r="AZ16" s="78" t="str">
        <f>VLOOKUP(B16,Classification!A:D,2,0)</f>
        <v>A</v>
      </c>
      <c r="BA16" s="95" t="str">
        <f>VLOOKUP(B16,Classification!A:D,4,0)</f>
        <v>Adenosine</v>
      </c>
      <c r="BB16" s="27" t="b">
        <f t="shared" si="197"/>
        <v>1</v>
      </c>
      <c r="BC16" s="23">
        <f t="shared" ref="BC16" si="225">_xlfn.AGGREGATE(9,6,CH16:CS16)-_xlfn.AGGREGATE(9,6,BV16:CG16)+12</f>
        <v>244</v>
      </c>
      <c r="BD16" s="5" t="s">
        <v>23</v>
      </c>
      <c r="BE16" s="3" t="s">
        <v>1381</v>
      </c>
      <c r="BF16" s="120">
        <v>3.3</v>
      </c>
      <c r="BG16" s="49" t="s">
        <v>1</v>
      </c>
      <c r="BH16" s="49" t="s">
        <v>1</v>
      </c>
      <c r="BI16" s="1"/>
      <c r="BJ16" s="71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1">
        <f t="shared" ref="BV16" si="226">E16</f>
        <v>6</v>
      </c>
      <c r="BW16" s="72" t="str">
        <f t="shared" ref="BW16" si="227">I16</f>
        <v>-</v>
      </c>
      <c r="BX16" s="73">
        <f t="shared" ref="BX16" si="228">M16</f>
        <v>42</v>
      </c>
      <c r="BY16" s="72">
        <f t="shared" ref="BY16" si="229">Q16</f>
        <v>73</v>
      </c>
      <c r="BZ16" s="73">
        <f t="shared" ref="BZ16" si="230">U16</f>
        <v>76</v>
      </c>
      <c r="CA16" s="72">
        <f t="shared" ref="CA16" si="231">Y16</f>
        <v>112</v>
      </c>
      <c r="CB16" s="73">
        <f t="shared" ref="CB16" si="232">AC16</f>
        <v>120</v>
      </c>
      <c r="CC16" s="72">
        <f t="shared" ref="CC16" si="233">AG16</f>
        <v>169</v>
      </c>
      <c r="CD16" s="73">
        <f t="shared" ref="CD16" si="234">AK16</f>
        <v>176</v>
      </c>
      <c r="CE16" s="72">
        <f t="shared" ref="CE16" si="235">AO16</f>
        <v>223</v>
      </c>
      <c r="CF16" s="73">
        <f t="shared" ref="CF16" si="236">AS16</f>
        <v>266</v>
      </c>
      <c r="CG16" s="72" t="str">
        <f t="shared" ref="CG16" si="237">AW16</f>
        <v>-</v>
      </c>
      <c r="CH16" s="71">
        <f t="shared" ref="CH16" si="238">G16</f>
        <v>36</v>
      </c>
      <c r="CI16" s="72" t="str">
        <f t="shared" ref="CI16" si="239">K16</f>
        <v>-</v>
      </c>
      <c r="CJ16" s="73">
        <f t="shared" ref="CJ16" si="240">O16</f>
        <v>72</v>
      </c>
      <c r="CK16" s="73">
        <f t="shared" ref="CK16" si="241">S16</f>
        <v>75</v>
      </c>
      <c r="CL16" s="73">
        <f t="shared" ref="CL16" si="242">W16</f>
        <v>111</v>
      </c>
      <c r="CM16" s="73">
        <f t="shared" ref="CM16" si="243">AA16</f>
        <v>119</v>
      </c>
      <c r="CN16" s="73">
        <f t="shared" ref="CN16" si="244">AE16</f>
        <v>145</v>
      </c>
      <c r="CO16" s="73">
        <f t="shared" ref="CO16" si="245">AI16</f>
        <v>171</v>
      </c>
      <c r="CP16" s="73">
        <f t="shared" ref="CP16" si="246">AM16</f>
        <v>211</v>
      </c>
      <c r="CQ16" s="73">
        <f t="shared" ref="CQ16" si="247">AQ16</f>
        <v>260</v>
      </c>
      <c r="CR16" s="73">
        <f t="shared" ref="CR16" si="248">AU16</f>
        <v>295</v>
      </c>
      <c r="CS16" s="73" t="str">
        <f t="shared" ref="CS16" si="249">AY16</f>
        <v>-</v>
      </c>
      <c r="CT16" s="23" t="e">
        <f t="shared" ref="CT16" si="250">M16-K16</f>
        <v>#VALUE!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196"/>
        <v>aa1r_human_5UEN</v>
      </c>
      <c r="B17" s="3" t="s">
        <v>138</v>
      </c>
      <c r="C17" s="3" t="s">
        <v>1396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N</v>
      </c>
      <c r="G17" s="3">
        <v>37</v>
      </c>
      <c r="H17" s="3" t="str">
        <f>IFERROR(MID(VLOOKUP($B17,Seqs!$A:$B,2,0),I17,1),"")</f>
        <v>Q</v>
      </c>
      <c r="I17" s="23">
        <v>38</v>
      </c>
      <c r="J17" s="3" t="str">
        <f>IFERROR(MID(VLOOKUP($B17,Seqs!$A:$B,2,0),K17,1),"")</f>
        <v>R</v>
      </c>
      <c r="K17" s="23">
        <v>41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G</v>
      </c>
      <c r="AO17" s="3">
        <v>220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F</v>
      </c>
      <c r="AY17" s="3">
        <v>307</v>
      </c>
      <c r="AZ17" s="78" t="str">
        <f>VLOOKUP(B17,Classification!A:D,2,0)</f>
        <v>A</v>
      </c>
      <c r="BA17" s="95" t="str">
        <f>VLOOKUP(B17,Classification!A:D,4,0)</f>
        <v>Adenosine</v>
      </c>
      <c r="BB17" s="27" t="b">
        <f t="shared" si="197"/>
        <v>1</v>
      </c>
      <c r="BC17" s="23">
        <f t="shared" si="198"/>
        <v>262</v>
      </c>
      <c r="BD17" s="4" t="s">
        <v>1383</v>
      </c>
      <c r="BE17" s="3" t="s">
        <v>1381</v>
      </c>
      <c r="BF17" s="120">
        <v>3.2</v>
      </c>
      <c r="BG17" s="49" t="s">
        <v>1384</v>
      </c>
      <c r="BH17" s="49" t="s">
        <v>1384</v>
      </c>
      <c r="BI17" s="1"/>
      <c r="BJ17" s="71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1">
        <f t="shared" si="199"/>
        <v>6</v>
      </c>
      <c r="BW17" s="72">
        <f t="shared" si="200"/>
        <v>38</v>
      </c>
      <c r="BX17" s="73">
        <f t="shared" si="201"/>
        <v>42</v>
      </c>
      <c r="BY17" s="72">
        <f t="shared" si="202"/>
        <v>73</v>
      </c>
      <c r="BZ17" s="73">
        <f t="shared" si="203"/>
        <v>76</v>
      </c>
      <c r="CA17" s="72">
        <f t="shared" si="204"/>
        <v>112</v>
      </c>
      <c r="CB17" s="73">
        <f t="shared" si="205"/>
        <v>120</v>
      </c>
      <c r="CC17" s="72">
        <f t="shared" si="206"/>
        <v>169</v>
      </c>
      <c r="CD17" s="73">
        <f t="shared" si="207"/>
        <v>176</v>
      </c>
      <c r="CE17" s="72">
        <f t="shared" si="208"/>
        <v>220</v>
      </c>
      <c r="CF17" s="73">
        <f t="shared" si="209"/>
        <v>266</v>
      </c>
      <c r="CG17" s="72">
        <f t="shared" si="210"/>
        <v>292</v>
      </c>
      <c r="CH17" s="71">
        <f t="shared" si="211"/>
        <v>37</v>
      </c>
      <c r="CI17" s="72">
        <f t="shared" si="212"/>
        <v>41</v>
      </c>
      <c r="CJ17" s="73">
        <f t="shared" si="213"/>
        <v>72</v>
      </c>
      <c r="CK17" s="73">
        <f t="shared" si="214"/>
        <v>75</v>
      </c>
      <c r="CL17" s="73">
        <f t="shared" si="215"/>
        <v>111</v>
      </c>
      <c r="CM17" s="73">
        <f t="shared" si="216"/>
        <v>119</v>
      </c>
      <c r="CN17" s="73">
        <f t="shared" si="217"/>
        <v>145</v>
      </c>
      <c r="CO17" s="73">
        <f t="shared" si="218"/>
        <v>171</v>
      </c>
      <c r="CP17" s="73">
        <f t="shared" si="219"/>
        <v>211</v>
      </c>
      <c r="CQ17" s="73">
        <f t="shared" si="220"/>
        <v>260</v>
      </c>
      <c r="CR17" s="73">
        <f t="shared" si="221"/>
        <v>291</v>
      </c>
      <c r="CS17" s="73">
        <f t="shared" si="222"/>
        <v>307</v>
      </c>
      <c r="CT17" s="23">
        <f t="shared" si="223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aa2ar_human__wt</v>
      </c>
      <c r="B18" s="3" t="s">
        <v>139</v>
      </c>
      <c r="C18" s="3" t="s">
        <v>100</v>
      </c>
      <c r="D18" s="3" t="str">
        <f>IFERROR(MID(VLOOKUP($B18,Seqs!$A:$B,2,0),E18,1),"")</f>
        <v>M</v>
      </c>
      <c r="E18" s="3">
        <v>1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314</v>
      </c>
      <c r="AZ18" s="78" t="str">
        <f>VLOOKUP(B18,Classification!A:D,2,0)</f>
        <v>A</v>
      </c>
      <c r="BA18" s="95" t="str">
        <f>VLOOKUP(B18,Classification!A:D,4,0)</f>
        <v>Adenosine</v>
      </c>
      <c r="BB18" s="27" t="b">
        <f t="shared" si="1"/>
        <v>1</v>
      </c>
      <c r="BC18" s="23">
        <f t="shared" ref="BC18:BC28" si="251">_xlfn.AGGREGATE(9,6,CH18:CS18)-_xlfn.AGGREGATE(9,6,BV18:CG18)+12</f>
        <v>276</v>
      </c>
      <c r="BD18" s="34" t="s">
        <v>1379</v>
      </c>
      <c r="BE18" s="3" t="s">
        <v>23</v>
      </c>
      <c r="BF18" s="120" t="s">
        <v>23</v>
      </c>
      <c r="BG18" s="49" t="s">
        <v>1379</v>
      </c>
      <c r="BH18" s="49" t="s">
        <v>1384</v>
      </c>
      <c r="BI18" s="1"/>
      <c r="BJ18" s="71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1">
        <f t="shared" si="3"/>
        <v>1</v>
      </c>
      <c r="BW18" s="72">
        <f t="shared" si="4"/>
        <v>35</v>
      </c>
      <c r="BX18" s="73">
        <f t="shared" si="5"/>
        <v>39</v>
      </c>
      <c r="BY18" s="72">
        <f t="shared" si="6"/>
        <v>70</v>
      </c>
      <c r="BZ18" s="73">
        <f t="shared" si="7"/>
        <v>73</v>
      </c>
      <c r="CA18" s="72">
        <f t="shared" si="8"/>
        <v>109</v>
      </c>
      <c r="CB18" s="73">
        <f t="shared" si="9"/>
        <v>117</v>
      </c>
      <c r="CC18" s="72">
        <f t="shared" si="10"/>
        <v>166</v>
      </c>
      <c r="CD18" s="73">
        <f t="shared" si="11"/>
        <v>173</v>
      </c>
      <c r="CE18" s="72">
        <f t="shared" si="12"/>
        <v>219</v>
      </c>
      <c r="CF18" s="73">
        <f t="shared" si="13"/>
        <v>266</v>
      </c>
      <c r="CG18" s="72">
        <f t="shared" si="14"/>
        <v>292</v>
      </c>
      <c r="CH18" s="71">
        <f t="shared" si="15"/>
        <v>34</v>
      </c>
      <c r="CI18" s="72">
        <f t="shared" si="16"/>
        <v>38</v>
      </c>
      <c r="CJ18" s="73">
        <f t="shared" si="17"/>
        <v>69</v>
      </c>
      <c r="CK18" s="73">
        <f t="shared" si="18"/>
        <v>72</v>
      </c>
      <c r="CL18" s="73">
        <f t="shared" si="19"/>
        <v>108</v>
      </c>
      <c r="CM18" s="73">
        <f t="shared" si="20"/>
        <v>116</v>
      </c>
      <c r="CN18" s="73">
        <f t="shared" si="21"/>
        <v>142</v>
      </c>
      <c r="CO18" s="73">
        <f t="shared" si="22"/>
        <v>168</v>
      </c>
      <c r="CP18" s="73">
        <f t="shared" si="23"/>
        <v>213</v>
      </c>
      <c r="CQ18" s="73">
        <f t="shared" si="24"/>
        <v>259</v>
      </c>
      <c r="CR18" s="73">
        <f t="shared" si="25"/>
        <v>291</v>
      </c>
      <c r="CS18" s="73">
        <f t="shared" si="26"/>
        <v>314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0"/>
        <v>aa2ar_human_2YDO</v>
      </c>
      <c r="B19" s="3" t="s">
        <v>139</v>
      </c>
      <c r="C19" s="3" t="s">
        <v>1029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Q</v>
      </c>
      <c r="AM19" s="3">
        <v>210</v>
      </c>
      <c r="AN19" s="3" t="str">
        <f>IFERROR(MID(VLOOKUP($B19,Seqs!$A:$B,2,0),AO19,1),"")</f>
        <v>L</v>
      </c>
      <c r="AO19" s="3">
        <v>225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A</v>
      </c>
      <c r="AY19" s="3">
        <v>317</v>
      </c>
      <c r="AZ19" s="78" t="str">
        <f>VLOOKUP(B19,Classification!A:D,2,0)</f>
        <v>A</v>
      </c>
      <c r="BA19" s="95" t="str">
        <f>VLOOKUP(B19,Classification!A:D,4,0)</f>
        <v>Adenosine</v>
      </c>
      <c r="BB19" s="27" t="b">
        <f t="shared" si="1"/>
        <v>1</v>
      </c>
      <c r="BC19" s="23">
        <f t="shared" si="251"/>
        <v>264</v>
      </c>
      <c r="BD19" s="4" t="s">
        <v>23</v>
      </c>
      <c r="BE19" s="3" t="s">
        <v>1439</v>
      </c>
      <c r="BF19" s="120">
        <v>3</v>
      </c>
      <c r="BG19" s="49" t="s">
        <v>1384</v>
      </c>
      <c r="BH19" s="49" t="s">
        <v>1384</v>
      </c>
      <c r="BI19" s="1"/>
      <c r="BJ19" s="71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1">
        <f t="shared" si="3"/>
        <v>7</v>
      </c>
      <c r="BW19" s="72">
        <f t="shared" si="4"/>
        <v>35</v>
      </c>
      <c r="BX19" s="73">
        <f t="shared" si="5"/>
        <v>39</v>
      </c>
      <c r="BY19" s="72">
        <f t="shared" si="6"/>
        <v>70</v>
      </c>
      <c r="BZ19" s="73">
        <f t="shared" si="7"/>
        <v>73</v>
      </c>
      <c r="CA19" s="72">
        <f t="shared" si="8"/>
        <v>109</v>
      </c>
      <c r="CB19" s="73">
        <f t="shared" si="9"/>
        <v>117</v>
      </c>
      <c r="CC19" s="72">
        <f t="shared" si="10"/>
        <v>166</v>
      </c>
      <c r="CD19" s="73">
        <f t="shared" si="11"/>
        <v>173</v>
      </c>
      <c r="CE19" s="72">
        <f t="shared" si="12"/>
        <v>225</v>
      </c>
      <c r="CF19" s="73">
        <f t="shared" si="13"/>
        <v>266</v>
      </c>
      <c r="CG19" s="72">
        <f t="shared" si="14"/>
        <v>292</v>
      </c>
      <c r="CH19" s="71">
        <f t="shared" si="15"/>
        <v>34</v>
      </c>
      <c r="CI19" s="72">
        <f t="shared" si="16"/>
        <v>38</v>
      </c>
      <c r="CJ19" s="73">
        <f t="shared" si="17"/>
        <v>69</v>
      </c>
      <c r="CK19" s="73">
        <f t="shared" si="18"/>
        <v>72</v>
      </c>
      <c r="CL19" s="73">
        <f t="shared" si="19"/>
        <v>108</v>
      </c>
      <c r="CM19" s="73">
        <f t="shared" si="20"/>
        <v>116</v>
      </c>
      <c r="CN19" s="73">
        <f t="shared" si="21"/>
        <v>142</v>
      </c>
      <c r="CO19" s="73">
        <f t="shared" si="22"/>
        <v>168</v>
      </c>
      <c r="CP19" s="73">
        <f t="shared" si="23"/>
        <v>210</v>
      </c>
      <c r="CQ19" s="73">
        <f t="shared" si="24"/>
        <v>259</v>
      </c>
      <c r="CR19" s="73">
        <f t="shared" si="25"/>
        <v>291</v>
      </c>
      <c r="CS19" s="73">
        <f t="shared" si="26"/>
        <v>317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0"/>
        <v>aa2ar_human_2YDV</v>
      </c>
      <c r="B20" s="3" t="s">
        <v>139</v>
      </c>
      <c r="C20" s="3" t="s">
        <v>80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T</v>
      </c>
      <c r="AO20" s="3">
        <v>224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AZ20" s="78" t="str">
        <f>VLOOKUP(B20,Classification!A:D,2,0)</f>
        <v>A</v>
      </c>
      <c r="BA20" s="95" t="str">
        <f>VLOOKUP(B20,Classification!A:D,4,0)</f>
        <v>Adenosine</v>
      </c>
      <c r="BB20" s="27" t="b">
        <f t="shared" si="1"/>
        <v>1</v>
      </c>
      <c r="BC20" s="23">
        <f t="shared" si="251"/>
        <v>265</v>
      </c>
      <c r="BD20" s="4" t="s">
        <v>23</v>
      </c>
      <c r="BE20" s="3" t="s">
        <v>1439</v>
      </c>
      <c r="BF20" s="120">
        <v>2.6</v>
      </c>
      <c r="BG20" s="49" t="s">
        <v>1384</v>
      </c>
      <c r="BH20" s="49" t="s">
        <v>1384</v>
      </c>
      <c r="BI20" s="1"/>
      <c r="BJ20" s="71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1">
        <f t="shared" si="3"/>
        <v>7</v>
      </c>
      <c r="BW20" s="72">
        <f t="shared" si="4"/>
        <v>35</v>
      </c>
      <c r="BX20" s="73">
        <f t="shared" si="5"/>
        <v>39</v>
      </c>
      <c r="BY20" s="72">
        <f t="shared" si="6"/>
        <v>70</v>
      </c>
      <c r="BZ20" s="73">
        <f t="shared" si="7"/>
        <v>73</v>
      </c>
      <c r="CA20" s="72">
        <f t="shared" si="8"/>
        <v>109</v>
      </c>
      <c r="CB20" s="73">
        <f t="shared" si="9"/>
        <v>117</v>
      </c>
      <c r="CC20" s="72">
        <f t="shared" si="10"/>
        <v>166</v>
      </c>
      <c r="CD20" s="73">
        <f t="shared" si="11"/>
        <v>173</v>
      </c>
      <c r="CE20" s="72">
        <f t="shared" si="12"/>
        <v>224</v>
      </c>
      <c r="CF20" s="73">
        <f t="shared" si="13"/>
        <v>266</v>
      </c>
      <c r="CG20" s="72">
        <f t="shared" si="14"/>
        <v>292</v>
      </c>
      <c r="CH20" s="71">
        <f t="shared" si="15"/>
        <v>34</v>
      </c>
      <c r="CI20" s="72">
        <f t="shared" si="16"/>
        <v>38</v>
      </c>
      <c r="CJ20" s="73">
        <f t="shared" si="17"/>
        <v>69</v>
      </c>
      <c r="CK20" s="73">
        <f t="shared" si="18"/>
        <v>72</v>
      </c>
      <c r="CL20" s="73">
        <f t="shared" si="19"/>
        <v>108</v>
      </c>
      <c r="CM20" s="73">
        <f t="shared" si="20"/>
        <v>116</v>
      </c>
      <c r="CN20" s="73">
        <f t="shared" si="21"/>
        <v>142</v>
      </c>
      <c r="CO20" s="73">
        <f t="shared" si="22"/>
        <v>168</v>
      </c>
      <c r="CP20" s="73">
        <f t="shared" si="23"/>
        <v>210</v>
      </c>
      <c r="CQ20" s="73">
        <f t="shared" si="24"/>
        <v>259</v>
      </c>
      <c r="CR20" s="73">
        <f t="shared" si="25"/>
        <v>291</v>
      </c>
      <c r="CS20" s="73">
        <f t="shared" si="26"/>
        <v>317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aa2ar_human_3QAK</v>
      </c>
      <c r="B21" s="3" t="s">
        <v>139</v>
      </c>
      <c r="C21" s="3" t="s">
        <v>1034</v>
      </c>
      <c r="D21" s="3" t="str">
        <f>IFERROR(MID(VLOOKUP($B21,Seqs!$A:$B,2,0),E21,1),"")</f>
        <v>G</v>
      </c>
      <c r="E21" s="3">
        <v>5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A</v>
      </c>
      <c r="AM21" s="3">
        <v>204</v>
      </c>
      <c r="AN21" s="3" t="str">
        <f>IFERROR(MID(VLOOKUP($B21,Seqs!$A:$B,2,0),AO21,1),"")</f>
        <v>Q</v>
      </c>
      <c r="AO21" s="3">
        <v>226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L</v>
      </c>
      <c r="AY21" s="3">
        <v>308</v>
      </c>
      <c r="AZ21" s="78" t="str">
        <f>VLOOKUP(B21,Classification!A:D,2,0)</f>
        <v>A</v>
      </c>
      <c r="BA21" s="95" t="str">
        <f>VLOOKUP(B21,Classification!A:D,4,0)</f>
        <v>Adenosine</v>
      </c>
      <c r="BB21" s="27" t="b">
        <f t="shared" si="1"/>
        <v>1</v>
      </c>
      <c r="BC21" s="23">
        <f t="shared" si="251"/>
        <v>250</v>
      </c>
      <c r="BD21" s="4" t="s">
        <v>23</v>
      </c>
      <c r="BE21" s="3" t="s">
        <v>1439</v>
      </c>
      <c r="BF21" s="120">
        <v>2.71</v>
      </c>
      <c r="BG21" s="49" t="s">
        <v>1384</v>
      </c>
      <c r="BH21" s="49" t="s">
        <v>1384</v>
      </c>
      <c r="BI21" s="1"/>
      <c r="BJ21" s="71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1">
        <f t="shared" si="3"/>
        <v>5</v>
      </c>
      <c r="BW21" s="72">
        <f t="shared" si="4"/>
        <v>35</v>
      </c>
      <c r="BX21" s="73">
        <f t="shared" si="5"/>
        <v>39</v>
      </c>
      <c r="BY21" s="72">
        <f t="shared" si="6"/>
        <v>70</v>
      </c>
      <c r="BZ21" s="73">
        <f t="shared" si="7"/>
        <v>73</v>
      </c>
      <c r="CA21" s="72">
        <f t="shared" si="8"/>
        <v>109</v>
      </c>
      <c r="CB21" s="73">
        <f t="shared" si="9"/>
        <v>117</v>
      </c>
      <c r="CC21" s="72">
        <f t="shared" si="10"/>
        <v>166</v>
      </c>
      <c r="CD21" s="73">
        <f t="shared" si="11"/>
        <v>173</v>
      </c>
      <c r="CE21" s="72">
        <f t="shared" si="12"/>
        <v>226</v>
      </c>
      <c r="CF21" s="73">
        <f t="shared" si="13"/>
        <v>266</v>
      </c>
      <c r="CG21" s="72">
        <f t="shared" si="14"/>
        <v>292</v>
      </c>
      <c r="CH21" s="71">
        <f t="shared" si="15"/>
        <v>34</v>
      </c>
      <c r="CI21" s="72">
        <f t="shared" si="16"/>
        <v>38</v>
      </c>
      <c r="CJ21" s="73">
        <f t="shared" si="17"/>
        <v>69</v>
      </c>
      <c r="CK21" s="73">
        <f t="shared" si="18"/>
        <v>72</v>
      </c>
      <c r="CL21" s="73">
        <f t="shared" si="19"/>
        <v>108</v>
      </c>
      <c r="CM21" s="73">
        <f t="shared" si="20"/>
        <v>116</v>
      </c>
      <c r="CN21" s="73">
        <f t="shared" si="21"/>
        <v>142</v>
      </c>
      <c r="CO21" s="73">
        <f t="shared" si="22"/>
        <v>168</v>
      </c>
      <c r="CP21" s="73">
        <f t="shared" si="23"/>
        <v>204</v>
      </c>
      <c r="CQ21" s="73">
        <f t="shared" si="24"/>
        <v>259</v>
      </c>
      <c r="CR21" s="73">
        <f t="shared" si="25"/>
        <v>291</v>
      </c>
      <c r="CS21" s="73">
        <f t="shared" si="26"/>
        <v>308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aa2ar_human_3REY</v>
      </c>
      <c r="B22" s="3" t="s">
        <v>139</v>
      </c>
      <c r="C22" s="3" t="s">
        <v>83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S</v>
      </c>
      <c r="AY22" s="3">
        <v>305</v>
      </c>
      <c r="AZ22" s="78" t="str">
        <f>VLOOKUP(B22,Classification!A:D,2,0)</f>
        <v>A</v>
      </c>
      <c r="BA22" s="95" t="str">
        <f>VLOOKUP(B22,Classification!A:D,4,0)</f>
        <v>Adenosine</v>
      </c>
      <c r="BB22" s="27" t="b">
        <f t="shared" si="1"/>
        <v>1</v>
      </c>
      <c r="BC22" s="23">
        <f t="shared" si="251"/>
        <v>258</v>
      </c>
      <c r="BD22" s="4" t="s">
        <v>23</v>
      </c>
      <c r="BE22" s="3" t="s">
        <v>1439</v>
      </c>
      <c r="BF22" s="120">
        <v>3.31</v>
      </c>
      <c r="BG22" s="49" t="s">
        <v>1384</v>
      </c>
      <c r="BH22" s="49" t="s">
        <v>1384</v>
      </c>
      <c r="BI22" s="1"/>
      <c r="BJ22" s="71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1">
        <f t="shared" si="3"/>
        <v>7</v>
      </c>
      <c r="BW22" s="72">
        <f t="shared" si="4"/>
        <v>35</v>
      </c>
      <c r="BX22" s="73">
        <f t="shared" si="5"/>
        <v>39</v>
      </c>
      <c r="BY22" s="72">
        <f t="shared" si="6"/>
        <v>70</v>
      </c>
      <c r="BZ22" s="73">
        <f t="shared" si="7"/>
        <v>73</v>
      </c>
      <c r="CA22" s="72">
        <f t="shared" si="8"/>
        <v>109</v>
      </c>
      <c r="CB22" s="73">
        <f t="shared" si="9"/>
        <v>117</v>
      </c>
      <c r="CC22" s="72">
        <f t="shared" si="10"/>
        <v>166</v>
      </c>
      <c r="CD22" s="73">
        <f t="shared" si="11"/>
        <v>173</v>
      </c>
      <c r="CE22" s="72">
        <f t="shared" si="12"/>
        <v>219</v>
      </c>
      <c r="CF22" s="73">
        <f t="shared" si="13"/>
        <v>266</v>
      </c>
      <c r="CG22" s="72">
        <f t="shared" si="14"/>
        <v>292</v>
      </c>
      <c r="CH22" s="71">
        <f t="shared" si="15"/>
        <v>34</v>
      </c>
      <c r="CI22" s="72">
        <f t="shared" si="16"/>
        <v>38</v>
      </c>
      <c r="CJ22" s="73">
        <f t="shared" si="17"/>
        <v>69</v>
      </c>
      <c r="CK22" s="73">
        <f t="shared" si="18"/>
        <v>72</v>
      </c>
      <c r="CL22" s="73">
        <f t="shared" si="19"/>
        <v>108</v>
      </c>
      <c r="CM22" s="73">
        <f t="shared" si="20"/>
        <v>116</v>
      </c>
      <c r="CN22" s="73">
        <f t="shared" si="21"/>
        <v>142</v>
      </c>
      <c r="CO22" s="73">
        <f t="shared" si="22"/>
        <v>168</v>
      </c>
      <c r="CP22" s="73">
        <f t="shared" si="23"/>
        <v>210</v>
      </c>
      <c r="CQ22" s="73">
        <f t="shared" si="24"/>
        <v>259</v>
      </c>
      <c r="CR22" s="73">
        <f t="shared" si="25"/>
        <v>291</v>
      </c>
      <c r="CS22" s="73">
        <f t="shared" si="26"/>
        <v>305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aa2ar_human_3RFM</v>
      </c>
      <c r="B23" s="3" t="s">
        <v>139</v>
      </c>
      <c r="C23" s="3" t="s">
        <v>1035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S</v>
      </c>
      <c r="AM23" s="3">
        <v>213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8" t="str">
        <f>VLOOKUP(B23,Classification!A:D,2,0)</f>
        <v>A</v>
      </c>
      <c r="BA23" s="95" t="str">
        <f>VLOOKUP(B23,Classification!A:D,4,0)</f>
        <v>Adenosine</v>
      </c>
      <c r="BB23" s="27" t="b">
        <f t="shared" si="1"/>
        <v>1</v>
      </c>
      <c r="BC23" s="23">
        <f t="shared" si="251"/>
        <v>261</v>
      </c>
      <c r="BD23" s="4" t="s">
        <v>23</v>
      </c>
      <c r="BE23" s="3" t="s">
        <v>1381</v>
      </c>
      <c r="BF23" s="120">
        <v>3.6</v>
      </c>
      <c r="BG23" s="49" t="s">
        <v>1384</v>
      </c>
      <c r="BH23" s="49" t="s">
        <v>1384</v>
      </c>
      <c r="BI23" s="1"/>
      <c r="BJ23" s="71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1">
        <f t="shared" si="3"/>
        <v>7</v>
      </c>
      <c r="BW23" s="72">
        <f t="shared" si="4"/>
        <v>35</v>
      </c>
      <c r="BX23" s="73">
        <f t="shared" si="5"/>
        <v>39</v>
      </c>
      <c r="BY23" s="72">
        <f t="shared" si="6"/>
        <v>70</v>
      </c>
      <c r="BZ23" s="73">
        <f t="shared" si="7"/>
        <v>73</v>
      </c>
      <c r="CA23" s="72">
        <f t="shared" si="8"/>
        <v>109</v>
      </c>
      <c r="CB23" s="73">
        <f t="shared" si="9"/>
        <v>117</v>
      </c>
      <c r="CC23" s="72">
        <f t="shared" si="10"/>
        <v>166</v>
      </c>
      <c r="CD23" s="73">
        <f t="shared" si="11"/>
        <v>173</v>
      </c>
      <c r="CE23" s="72">
        <f t="shared" si="12"/>
        <v>219</v>
      </c>
      <c r="CF23" s="73">
        <f t="shared" si="13"/>
        <v>266</v>
      </c>
      <c r="CG23" s="72">
        <f t="shared" si="14"/>
        <v>292</v>
      </c>
      <c r="CH23" s="71">
        <f t="shared" si="15"/>
        <v>34</v>
      </c>
      <c r="CI23" s="72">
        <f t="shared" si="16"/>
        <v>38</v>
      </c>
      <c r="CJ23" s="73">
        <f t="shared" si="17"/>
        <v>69</v>
      </c>
      <c r="CK23" s="73">
        <f t="shared" si="18"/>
        <v>72</v>
      </c>
      <c r="CL23" s="73">
        <f t="shared" si="19"/>
        <v>108</v>
      </c>
      <c r="CM23" s="73">
        <f t="shared" si="20"/>
        <v>116</v>
      </c>
      <c r="CN23" s="73">
        <f t="shared" si="21"/>
        <v>142</v>
      </c>
      <c r="CO23" s="73">
        <f t="shared" si="22"/>
        <v>168</v>
      </c>
      <c r="CP23" s="73">
        <f t="shared" si="23"/>
        <v>213</v>
      </c>
      <c r="CQ23" s="73">
        <f t="shared" si="24"/>
        <v>259</v>
      </c>
      <c r="CR23" s="73">
        <f t="shared" si="25"/>
        <v>291</v>
      </c>
      <c r="CS23" s="73">
        <f t="shared" si="26"/>
        <v>305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aa2ar_human_3UZA</v>
      </c>
      <c r="B24" s="3" t="s">
        <v>139</v>
      </c>
      <c r="C24" s="3" t="s">
        <v>1036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8" t="str">
        <f>VLOOKUP(B24,Classification!A:D,2,0)</f>
        <v>A</v>
      </c>
      <c r="BA24" s="95" t="str">
        <f>VLOOKUP(B24,Classification!A:D,4,0)</f>
        <v>Adenosine</v>
      </c>
      <c r="BB24" s="27" t="b">
        <f t="shared" si="1"/>
        <v>1</v>
      </c>
      <c r="BC24" s="23">
        <f t="shared" si="251"/>
        <v>261</v>
      </c>
      <c r="BD24" s="4" t="s">
        <v>23</v>
      </c>
      <c r="BE24" s="3" t="s">
        <v>1381</v>
      </c>
      <c r="BF24" s="120">
        <v>3.27</v>
      </c>
      <c r="BG24" s="49" t="s">
        <v>1384</v>
      </c>
      <c r="BH24" s="49" t="s">
        <v>1384</v>
      </c>
      <c r="BI24" s="1"/>
      <c r="BJ24" s="71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1">
        <f t="shared" si="3"/>
        <v>7</v>
      </c>
      <c r="BW24" s="72">
        <f t="shared" si="4"/>
        <v>35</v>
      </c>
      <c r="BX24" s="73">
        <f t="shared" si="5"/>
        <v>39</v>
      </c>
      <c r="BY24" s="72">
        <f t="shared" si="6"/>
        <v>70</v>
      </c>
      <c r="BZ24" s="73">
        <f t="shared" si="7"/>
        <v>73</v>
      </c>
      <c r="CA24" s="72">
        <f t="shared" si="8"/>
        <v>109</v>
      </c>
      <c r="CB24" s="73">
        <f t="shared" si="9"/>
        <v>117</v>
      </c>
      <c r="CC24" s="72">
        <f t="shared" si="10"/>
        <v>166</v>
      </c>
      <c r="CD24" s="73">
        <f t="shared" si="11"/>
        <v>173</v>
      </c>
      <c r="CE24" s="72">
        <f t="shared" si="12"/>
        <v>219</v>
      </c>
      <c r="CF24" s="73">
        <f t="shared" si="13"/>
        <v>266</v>
      </c>
      <c r="CG24" s="72">
        <f t="shared" si="14"/>
        <v>292</v>
      </c>
      <c r="CH24" s="71">
        <f t="shared" si="15"/>
        <v>34</v>
      </c>
      <c r="CI24" s="72">
        <f t="shared" si="16"/>
        <v>38</v>
      </c>
      <c r="CJ24" s="73">
        <f t="shared" si="17"/>
        <v>69</v>
      </c>
      <c r="CK24" s="73">
        <f t="shared" si="18"/>
        <v>72</v>
      </c>
      <c r="CL24" s="73">
        <f t="shared" si="19"/>
        <v>108</v>
      </c>
      <c r="CM24" s="73">
        <f t="shared" si="20"/>
        <v>116</v>
      </c>
      <c r="CN24" s="73">
        <f t="shared" si="21"/>
        <v>142</v>
      </c>
      <c r="CO24" s="73">
        <f t="shared" si="22"/>
        <v>168</v>
      </c>
      <c r="CP24" s="73">
        <f t="shared" si="23"/>
        <v>213</v>
      </c>
      <c r="CQ24" s="73">
        <f t="shared" si="24"/>
        <v>259</v>
      </c>
      <c r="CR24" s="73">
        <f t="shared" si="25"/>
        <v>291</v>
      </c>
      <c r="CS24" s="73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s="6" customFormat="1" x14ac:dyDescent="0.2">
      <c r="A25" s="3" t="str">
        <f t="shared" si="0"/>
        <v>aa2ar_human_3UZC</v>
      </c>
      <c r="B25" s="3" t="s">
        <v>139</v>
      </c>
      <c r="C25" s="3" t="s">
        <v>1037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8" t="str">
        <f>VLOOKUP(B25,Classification!A:D,2,0)</f>
        <v>A</v>
      </c>
      <c r="BA25" s="95" t="str">
        <f>VLOOKUP(B25,Classification!A:D,4,0)</f>
        <v>Adenosine</v>
      </c>
      <c r="BB25" s="27" t="b">
        <f t="shared" si="1"/>
        <v>1</v>
      </c>
      <c r="BC25" s="23">
        <f t="shared" si="251"/>
        <v>261</v>
      </c>
      <c r="BD25" s="4" t="s">
        <v>23</v>
      </c>
      <c r="BE25" s="3" t="s">
        <v>1381</v>
      </c>
      <c r="BF25" s="120">
        <v>3.34</v>
      </c>
      <c r="BG25" s="49" t="s">
        <v>1384</v>
      </c>
      <c r="BH25" s="49" t="s">
        <v>1384</v>
      </c>
      <c r="BI25" s="1"/>
      <c r="BJ25" s="71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1">
        <f t="shared" si="3"/>
        <v>7</v>
      </c>
      <c r="BW25" s="72">
        <f t="shared" si="4"/>
        <v>35</v>
      </c>
      <c r="BX25" s="73">
        <f t="shared" si="5"/>
        <v>39</v>
      </c>
      <c r="BY25" s="72">
        <f t="shared" si="6"/>
        <v>70</v>
      </c>
      <c r="BZ25" s="73">
        <f t="shared" si="7"/>
        <v>73</v>
      </c>
      <c r="CA25" s="72">
        <f t="shared" si="8"/>
        <v>109</v>
      </c>
      <c r="CB25" s="73">
        <f t="shared" si="9"/>
        <v>117</v>
      </c>
      <c r="CC25" s="72">
        <f t="shared" si="10"/>
        <v>166</v>
      </c>
      <c r="CD25" s="73">
        <f t="shared" si="11"/>
        <v>173</v>
      </c>
      <c r="CE25" s="72">
        <f t="shared" si="12"/>
        <v>219</v>
      </c>
      <c r="CF25" s="73">
        <f t="shared" si="13"/>
        <v>266</v>
      </c>
      <c r="CG25" s="72">
        <f t="shared" si="14"/>
        <v>292</v>
      </c>
      <c r="CH25" s="71">
        <f t="shared" si="15"/>
        <v>34</v>
      </c>
      <c r="CI25" s="72">
        <f t="shared" si="16"/>
        <v>38</v>
      </c>
      <c r="CJ25" s="73">
        <f t="shared" si="17"/>
        <v>69</v>
      </c>
      <c r="CK25" s="73">
        <f t="shared" si="18"/>
        <v>72</v>
      </c>
      <c r="CL25" s="73">
        <f t="shared" si="19"/>
        <v>108</v>
      </c>
      <c r="CM25" s="73">
        <f t="shared" si="20"/>
        <v>116</v>
      </c>
      <c r="CN25" s="73">
        <f t="shared" si="21"/>
        <v>142</v>
      </c>
      <c r="CO25" s="73">
        <f t="shared" si="22"/>
        <v>168</v>
      </c>
      <c r="CP25" s="73">
        <f t="shared" si="23"/>
        <v>213</v>
      </c>
      <c r="CQ25" s="73">
        <f t="shared" si="24"/>
        <v>259</v>
      </c>
      <c r="CR25" s="73">
        <f t="shared" si="25"/>
        <v>291</v>
      </c>
      <c r="CS25" s="73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</row>
    <row r="26" spans="1:1030" s="6" customFormat="1" x14ac:dyDescent="0.2">
      <c r="A26" s="3" t="str">
        <f t="shared" si="0"/>
        <v>aa2ar_human_3VG9</v>
      </c>
      <c r="B26" s="3" t="s">
        <v>139</v>
      </c>
      <c r="C26" s="3" t="s">
        <v>1104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214</v>
      </c>
      <c r="AN26" s="3" t="str">
        <f>IFERROR(MID(VLOOKUP($B26,Seqs!$A:$B,2,0),AO26,1),"")</f>
        <v>A</v>
      </c>
      <c r="AO26" s="3">
        <v>221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Q</v>
      </c>
      <c r="AY26" s="3">
        <v>311</v>
      </c>
      <c r="AZ26" s="78" t="str">
        <f>VLOOKUP(B26,Classification!A:D,2,0)</f>
        <v>A</v>
      </c>
      <c r="BA26" s="95" t="str">
        <f>VLOOKUP(B26,Classification!A:D,4,0)</f>
        <v>Adenosine</v>
      </c>
      <c r="BB26" s="27" t="b">
        <f t="shared" si="1"/>
        <v>1</v>
      </c>
      <c r="BC26" s="23">
        <f t="shared" si="251"/>
        <v>267</v>
      </c>
      <c r="BD26" s="4" t="s">
        <v>1383</v>
      </c>
      <c r="BE26" s="3" t="s">
        <v>1381</v>
      </c>
      <c r="BF26" s="120">
        <v>2.7</v>
      </c>
      <c r="BG26" s="49" t="s">
        <v>1384</v>
      </c>
      <c r="BH26" s="49" t="s">
        <v>1384</v>
      </c>
      <c r="BI26" s="1"/>
      <c r="BJ26" s="71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1">
        <f t="shared" si="3"/>
        <v>6</v>
      </c>
      <c r="BW26" s="72">
        <f t="shared" si="4"/>
        <v>35</v>
      </c>
      <c r="BX26" s="73">
        <f t="shared" si="5"/>
        <v>39</v>
      </c>
      <c r="BY26" s="72">
        <f t="shared" si="6"/>
        <v>70</v>
      </c>
      <c r="BZ26" s="73">
        <f t="shared" si="7"/>
        <v>73</v>
      </c>
      <c r="CA26" s="72">
        <f t="shared" si="8"/>
        <v>109</v>
      </c>
      <c r="CB26" s="73">
        <f t="shared" si="9"/>
        <v>117</v>
      </c>
      <c r="CC26" s="72">
        <f t="shared" si="10"/>
        <v>166</v>
      </c>
      <c r="CD26" s="73">
        <f t="shared" si="11"/>
        <v>173</v>
      </c>
      <c r="CE26" s="72">
        <f t="shared" si="12"/>
        <v>221</v>
      </c>
      <c r="CF26" s="73">
        <f t="shared" si="13"/>
        <v>266</v>
      </c>
      <c r="CG26" s="72">
        <f t="shared" si="14"/>
        <v>292</v>
      </c>
      <c r="CH26" s="71">
        <f t="shared" si="15"/>
        <v>34</v>
      </c>
      <c r="CI26" s="72">
        <f t="shared" si="16"/>
        <v>38</v>
      </c>
      <c r="CJ26" s="73">
        <f t="shared" si="17"/>
        <v>69</v>
      </c>
      <c r="CK26" s="73">
        <f t="shared" si="18"/>
        <v>72</v>
      </c>
      <c r="CL26" s="73">
        <f t="shared" si="19"/>
        <v>108</v>
      </c>
      <c r="CM26" s="73">
        <f t="shared" si="20"/>
        <v>116</v>
      </c>
      <c r="CN26" s="73">
        <f t="shared" si="21"/>
        <v>142</v>
      </c>
      <c r="CO26" s="73">
        <f t="shared" si="22"/>
        <v>168</v>
      </c>
      <c r="CP26" s="73">
        <f t="shared" si="23"/>
        <v>214</v>
      </c>
      <c r="CQ26" s="73">
        <f t="shared" si="24"/>
        <v>259</v>
      </c>
      <c r="CR26" s="73">
        <f t="shared" si="25"/>
        <v>291</v>
      </c>
      <c r="CS26" s="73">
        <f t="shared" si="26"/>
        <v>311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</row>
    <row r="27" spans="1:1030" x14ac:dyDescent="0.2">
      <c r="A27" s="3" t="str">
        <f t="shared" si="0"/>
        <v>aa2ar_human_4EIY</v>
      </c>
      <c r="B27" s="3" t="s">
        <v>139</v>
      </c>
      <c r="C27" s="3" t="s">
        <v>81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207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V</v>
      </c>
      <c r="AY27" s="3">
        <v>307</v>
      </c>
      <c r="AZ27" s="78" t="str">
        <f>VLOOKUP(B27,Classification!A:D,2,0)</f>
        <v>A</v>
      </c>
      <c r="BA27" s="95" t="str">
        <f>VLOOKUP(B27,Classification!A:D,4,0)</f>
        <v>Adenosine</v>
      </c>
      <c r="BB27" s="27" t="b">
        <f t="shared" si="1"/>
        <v>1</v>
      </c>
      <c r="BC27" s="23">
        <f t="shared" si="251"/>
        <v>262</v>
      </c>
      <c r="BD27" s="4" t="s">
        <v>23</v>
      </c>
      <c r="BE27" s="3" t="s">
        <v>1381</v>
      </c>
      <c r="BF27" s="120">
        <v>1.8</v>
      </c>
      <c r="BG27" s="49" t="s">
        <v>1384</v>
      </c>
      <c r="BH27" s="49" t="s">
        <v>1384</v>
      </c>
      <c r="BI27" s="1"/>
      <c r="BJ27" s="71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1">
        <f t="shared" si="3"/>
        <v>2</v>
      </c>
      <c r="BW27" s="72">
        <f t="shared" si="4"/>
        <v>35</v>
      </c>
      <c r="BX27" s="73">
        <f t="shared" si="5"/>
        <v>39</v>
      </c>
      <c r="BY27" s="72">
        <f t="shared" si="6"/>
        <v>70</v>
      </c>
      <c r="BZ27" s="73">
        <f t="shared" si="7"/>
        <v>73</v>
      </c>
      <c r="CA27" s="72">
        <f t="shared" si="8"/>
        <v>109</v>
      </c>
      <c r="CB27" s="73">
        <f t="shared" si="9"/>
        <v>117</v>
      </c>
      <c r="CC27" s="72">
        <f t="shared" si="10"/>
        <v>166</v>
      </c>
      <c r="CD27" s="73">
        <f t="shared" si="11"/>
        <v>173</v>
      </c>
      <c r="CE27" s="72">
        <f t="shared" si="12"/>
        <v>219</v>
      </c>
      <c r="CF27" s="73">
        <f t="shared" si="13"/>
        <v>266</v>
      </c>
      <c r="CG27" s="72">
        <f t="shared" si="14"/>
        <v>292</v>
      </c>
      <c r="CH27" s="71">
        <f t="shared" si="15"/>
        <v>34</v>
      </c>
      <c r="CI27" s="72">
        <f t="shared" si="16"/>
        <v>38</v>
      </c>
      <c r="CJ27" s="73">
        <f t="shared" si="17"/>
        <v>69</v>
      </c>
      <c r="CK27" s="73">
        <f t="shared" si="18"/>
        <v>72</v>
      </c>
      <c r="CL27" s="73">
        <f t="shared" si="19"/>
        <v>108</v>
      </c>
      <c r="CM27" s="73">
        <f t="shared" si="20"/>
        <v>116</v>
      </c>
      <c r="CN27" s="73">
        <f t="shared" si="21"/>
        <v>142</v>
      </c>
      <c r="CO27" s="73">
        <f t="shared" si="22"/>
        <v>168</v>
      </c>
      <c r="CP27" s="73">
        <f t="shared" si="23"/>
        <v>207</v>
      </c>
      <c r="CQ27" s="73">
        <f t="shared" si="24"/>
        <v>259</v>
      </c>
      <c r="CR27" s="73">
        <f t="shared" si="25"/>
        <v>291</v>
      </c>
      <c r="CS27" s="73">
        <f t="shared" si="26"/>
        <v>307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aa2ar_human_4UHR</v>
      </c>
      <c r="B28" s="3" t="s">
        <v>139</v>
      </c>
      <c r="C28" s="3" t="s">
        <v>1055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8" t="str">
        <f>VLOOKUP(B28,Classification!A:D,2,0)</f>
        <v>A</v>
      </c>
      <c r="BA28" s="95" t="str">
        <f>VLOOKUP(B28,Classification!A:D,4,0)</f>
        <v>Adenosine</v>
      </c>
      <c r="BB28" s="27" t="b">
        <f t="shared" si="1"/>
        <v>1</v>
      </c>
      <c r="BC28" s="23">
        <f t="shared" si="251"/>
        <v>268</v>
      </c>
      <c r="BD28" s="2" t="s">
        <v>1440</v>
      </c>
      <c r="BE28" s="3" t="s">
        <v>1439</v>
      </c>
      <c r="BF28" s="120">
        <v>2.6</v>
      </c>
      <c r="BG28" s="49" t="s">
        <v>1384</v>
      </c>
      <c r="BH28" s="49" t="s">
        <v>1384</v>
      </c>
      <c r="BI28" s="1"/>
      <c r="BJ28" s="71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1">
        <f t="shared" si="3"/>
        <v>6</v>
      </c>
      <c r="BW28" s="72">
        <f t="shared" si="4"/>
        <v>35</v>
      </c>
      <c r="BX28" s="73">
        <f t="shared" si="5"/>
        <v>39</v>
      </c>
      <c r="BY28" s="72">
        <f t="shared" si="6"/>
        <v>70</v>
      </c>
      <c r="BZ28" s="73">
        <f t="shared" si="7"/>
        <v>73</v>
      </c>
      <c r="CA28" s="72">
        <f t="shared" si="8"/>
        <v>109</v>
      </c>
      <c r="CB28" s="73">
        <f t="shared" si="9"/>
        <v>117</v>
      </c>
      <c r="CC28" s="72">
        <f t="shared" si="10"/>
        <v>166</v>
      </c>
      <c r="CD28" s="73">
        <f t="shared" si="11"/>
        <v>173</v>
      </c>
      <c r="CE28" s="72">
        <f t="shared" si="12"/>
        <v>219</v>
      </c>
      <c r="CF28" s="73">
        <f t="shared" si="13"/>
        <v>266</v>
      </c>
      <c r="CG28" s="72">
        <f t="shared" si="14"/>
        <v>292</v>
      </c>
      <c r="CH28" s="71">
        <f t="shared" si="15"/>
        <v>34</v>
      </c>
      <c r="CI28" s="72">
        <f t="shared" si="16"/>
        <v>38</v>
      </c>
      <c r="CJ28" s="73">
        <f t="shared" si="17"/>
        <v>69</v>
      </c>
      <c r="CK28" s="73">
        <f t="shared" si="18"/>
        <v>72</v>
      </c>
      <c r="CL28" s="73">
        <f t="shared" si="19"/>
        <v>108</v>
      </c>
      <c r="CM28" s="73">
        <f t="shared" si="20"/>
        <v>116</v>
      </c>
      <c r="CN28" s="73">
        <f t="shared" si="21"/>
        <v>142</v>
      </c>
      <c r="CO28" s="73">
        <f t="shared" si="22"/>
        <v>168</v>
      </c>
      <c r="CP28" s="73">
        <f t="shared" si="23"/>
        <v>213</v>
      </c>
      <c r="CQ28" s="73">
        <f t="shared" si="24"/>
        <v>259</v>
      </c>
      <c r="CR28" s="73">
        <f t="shared" si="25"/>
        <v>291</v>
      </c>
      <c r="CS28" s="73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aa2ar_human_5G53</v>
      </c>
      <c r="B29" s="3" t="s">
        <v>139</v>
      </c>
      <c r="C29" s="3" t="s">
        <v>1298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8" t="str">
        <f>VLOOKUP(B29,Classification!A:D,2,0)</f>
        <v>A</v>
      </c>
      <c r="BA29" s="95" t="str">
        <f>VLOOKUP(B29,Classification!A:D,4,0)</f>
        <v>Adenosine</v>
      </c>
      <c r="BB29" s="27" t="b">
        <f t="shared" si="1"/>
        <v>1</v>
      </c>
      <c r="BC29" s="23">
        <f t="shared" ref="BC29:BC78" si="252">_xlfn.AGGREGATE(9,6,CH29:CS29)-_xlfn.AGGREGATE(9,6,BV29:CG29)+12</f>
        <v>251</v>
      </c>
      <c r="BD29" s="4" t="s">
        <v>1382</v>
      </c>
      <c r="BE29" s="3" t="s">
        <v>1297</v>
      </c>
      <c r="BF29" s="120">
        <v>3.4</v>
      </c>
      <c r="BG29" s="49" t="s">
        <v>1287</v>
      </c>
      <c r="BH29" s="49" t="s">
        <v>1287</v>
      </c>
      <c r="BI29" s="1"/>
      <c r="BJ29" s="71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1">
        <f t="shared" ref="BV29:BV78" si="253">E29</f>
        <v>6</v>
      </c>
      <c r="BW29" s="72">
        <f t="shared" ref="BW29:BW78" si="254">I29</f>
        <v>35</v>
      </c>
      <c r="BX29" s="73">
        <f t="shared" ref="BX29:BX78" si="255">M29</f>
        <v>39</v>
      </c>
      <c r="BY29" s="72">
        <f t="shared" ref="BY29:BY78" si="256">Q29</f>
        <v>70</v>
      </c>
      <c r="BZ29" s="73">
        <f t="shared" ref="BZ29:BZ78" si="257">U29</f>
        <v>73</v>
      </c>
      <c r="CA29" s="72">
        <f t="shared" ref="CA29:CA78" si="258">Y29</f>
        <v>109</v>
      </c>
      <c r="CB29" s="73">
        <f t="shared" ref="CB29:CB78" si="259">AC29</f>
        <v>117</v>
      </c>
      <c r="CC29" s="72">
        <f t="shared" ref="CC29:CC78" si="260">AG29</f>
        <v>166</v>
      </c>
      <c r="CD29" s="73">
        <f t="shared" ref="CD29:CD78" si="261">AK29</f>
        <v>173</v>
      </c>
      <c r="CE29" s="72">
        <f t="shared" ref="CE29:CE78" si="262">AO29</f>
        <v>224</v>
      </c>
      <c r="CF29" s="73">
        <f t="shared" ref="CF29:CF78" si="263">AS29</f>
        <v>266</v>
      </c>
      <c r="CG29" s="72">
        <f t="shared" ref="CG29:CG78" si="264">AW29</f>
        <v>292</v>
      </c>
      <c r="CH29" s="71">
        <f t="shared" ref="CH29:CH78" si="265">G29</f>
        <v>34</v>
      </c>
      <c r="CI29" s="72">
        <f t="shared" ref="CI29:CI78" si="266">K29</f>
        <v>38</v>
      </c>
      <c r="CJ29" s="73">
        <f t="shared" ref="CJ29:CJ78" si="267">O29</f>
        <v>69</v>
      </c>
      <c r="CK29" s="73">
        <f t="shared" ref="CK29:CK78" si="268">S29</f>
        <v>72</v>
      </c>
      <c r="CL29" s="73">
        <f t="shared" ref="CL29:CL78" si="269">W29</f>
        <v>108</v>
      </c>
      <c r="CM29" s="73">
        <f t="shared" ref="CM29:CM78" si="270">AA29</f>
        <v>116</v>
      </c>
      <c r="CN29" s="73">
        <f t="shared" ref="CN29:CN78" si="271">AE29</f>
        <v>142</v>
      </c>
      <c r="CO29" s="73">
        <f t="shared" ref="CO29:CO78" si="272">AI29</f>
        <v>168</v>
      </c>
      <c r="CP29" s="73">
        <f t="shared" ref="CP29:CP78" si="273">AM29</f>
        <v>207</v>
      </c>
      <c r="CQ29" s="73">
        <f t="shared" ref="CQ29:CQ78" si="274">AQ29</f>
        <v>259</v>
      </c>
      <c r="CR29" s="73">
        <f t="shared" ref="CR29:CR78" si="275">AU29</f>
        <v>291</v>
      </c>
      <c r="CS29" s="73">
        <f t="shared" ref="CS29:CS78" si="276">AY29</f>
        <v>305</v>
      </c>
      <c r="CT29" s="23">
        <f t="shared" ref="CT29:CT78" si="277">M29-K29</f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aa2ar_human_5IU4</v>
      </c>
      <c r="B30" s="3" t="s">
        <v>139</v>
      </c>
      <c r="C30" s="3" t="s">
        <v>1351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8" t="str">
        <f>VLOOKUP(B30,Classification!A:D,2,0)</f>
        <v>A</v>
      </c>
      <c r="BA30" s="95" t="str">
        <f>VLOOKUP(B30,Classification!A:D,4,0)</f>
        <v>Adenosine</v>
      </c>
      <c r="BB30" s="27" t="b">
        <f t="shared" si="1"/>
        <v>1</v>
      </c>
      <c r="BC30" s="23">
        <f t="shared" si="252"/>
        <v>261</v>
      </c>
      <c r="BD30" s="4" t="s">
        <v>23</v>
      </c>
      <c r="BE30" s="3" t="s">
        <v>1381</v>
      </c>
      <c r="BF30" s="120">
        <v>1.72</v>
      </c>
      <c r="BG30" s="49" t="s">
        <v>1384</v>
      </c>
      <c r="BH30" s="49" t="s">
        <v>1384</v>
      </c>
      <c r="BI30" s="1"/>
      <c r="BJ30" s="71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1">
        <f t="shared" si="253"/>
        <v>2</v>
      </c>
      <c r="BW30" s="72">
        <f t="shared" si="254"/>
        <v>35</v>
      </c>
      <c r="BX30" s="73">
        <f t="shared" si="255"/>
        <v>39</v>
      </c>
      <c r="BY30" s="72">
        <f t="shared" si="256"/>
        <v>70</v>
      </c>
      <c r="BZ30" s="73">
        <f t="shared" si="257"/>
        <v>73</v>
      </c>
      <c r="CA30" s="72">
        <f t="shared" si="258"/>
        <v>109</v>
      </c>
      <c r="CB30" s="73">
        <f t="shared" si="259"/>
        <v>117</v>
      </c>
      <c r="CC30" s="72">
        <f t="shared" si="260"/>
        <v>166</v>
      </c>
      <c r="CD30" s="73">
        <f t="shared" si="261"/>
        <v>173</v>
      </c>
      <c r="CE30" s="72">
        <f t="shared" si="262"/>
        <v>219</v>
      </c>
      <c r="CF30" s="73">
        <f t="shared" si="263"/>
        <v>266</v>
      </c>
      <c r="CG30" s="72">
        <f t="shared" si="264"/>
        <v>292</v>
      </c>
      <c r="CH30" s="71">
        <f t="shared" si="265"/>
        <v>34</v>
      </c>
      <c r="CI30" s="72">
        <f t="shared" si="266"/>
        <v>38</v>
      </c>
      <c r="CJ30" s="73">
        <f t="shared" si="267"/>
        <v>69</v>
      </c>
      <c r="CK30" s="73">
        <f t="shared" si="268"/>
        <v>72</v>
      </c>
      <c r="CL30" s="73">
        <f t="shared" si="269"/>
        <v>108</v>
      </c>
      <c r="CM30" s="73">
        <f t="shared" si="270"/>
        <v>116</v>
      </c>
      <c r="CN30" s="73">
        <f t="shared" si="271"/>
        <v>142</v>
      </c>
      <c r="CO30" s="73">
        <f t="shared" si="272"/>
        <v>168</v>
      </c>
      <c r="CP30" s="73">
        <f t="shared" si="273"/>
        <v>208</v>
      </c>
      <c r="CQ30" s="73">
        <f t="shared" si="274"/>
        <v>259</v>
      </c>
      <c r="CR30" s="73">
        <f t="shared" si="275"/>
        <v>291</v>
      </c>
      <c r="CS30" s="73">
        <f t="shared" si="276"/>
        <v>305</v>
      </c>
      <c r="CT30" s="23">
        <f t="shared" si="27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aa2ar_human_5IU7</v>
      </c>
      <c r="B31" s="3" t="s">
        <v>139</v>
      </c>
      <c r="C31" s="3" t="s">
        <v>1352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8" t="str">
        <f>VLOOKUP(B31,Classification!A:D,2,0)</f>
        <v>A</v>
      </c>
      <c r="BA31" s="95" t="str">
        <f>VLOOKUP(B31,Classification!A:D,4,0)</f>
        <v>Adenosine</v>
      </c>
      <c r="BB31" s="27" t="b">
        <f t="shared" si="1"/>
        <v>1</v>
      </c>
      <c r="BC31" s="23">
        <f t="shared" si="252"/>
        <v>263</v>
      </c>
      <c r="BD31" s="4" t="s">
        <v>23</v>
      </c>
      <c r="BE31" s="3" t="s">
        <v>1381</v>
      </c>
      <c r="BF31" s="120">
        <v>1.9</v>
      </c>
      <c r="BG31" s="49" t="s">
        <v>1384</v>
      </c>
      <c r="BH31" s="49" t="s">
        <v>1384</v>
      </c>
      <c r="BI31" s="1"/>
      <c r="BJ31" s="71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1">
        <f t="shared" si="253"/>
        <v>2</v>
      </c>
      <c r="BW31" s="72">
        <f t="shared" si="254"/>
        <v>35</v>
      </c>
      <c r="BX31" s="73">
        <f t="shared" si="255"/>
        <v>39</v>
      </c>
      <c r="BY31" s="72">
        <f t="shared" si="256"/>
        <v>70</v>
      </c>
      <c r="BZ31" s="73">
        <f t="shared" si="257"/>
        <v>73</v>
      </c>
      <c r="CA31" s="72">
        <f t="shared" si="258"/>
        <v>109</v>
      </c>
      <c r="CB31" s="73">
        <f t="shared" si="259"/>
        <v>117</v>
      </c>
      <c r="CC31" s="72">
        <f t="shared" si="260"/>
        <v>166</v>
      </c>
      <c r="CD31" s="73">
        <f t="shared" si="261"/>
        <v>173</v>
      </c>
      <c r="CE31" s="72">
        <f t="shared" si="262"/>
        <v>219</v>
      </c>
      <c r="CF31" s="73">
        <f t="shared" si="263"/>
        <v>266</v>
      </c>
      <c r="CG31" s="72">
        <f t="shared" si="264"/>
        <v>292</v>
      </c>
      <c r="CH31" s="71">
        <f t="shared" si="265"/>
        <v>34</v>
      </c>
      <c r="CI31" s="72">
        <f t="shared" si="266"/>
        <v>38</v>
      </c>
      <c r="CJ31" s="73">
        <f t="shared" si="267"/>
        <v>69</v>
      </c>
      <c r="CK31" s="73">
        <f t="shared" si="268"/>
        <v>72</v>
      </c>
      <c r="CL31" s="73">
        <f t="shared" si="269"/>
        <v>108</v>
      </c>
      <c r="CM31" s="73">
        <f t="shared" si="270"/>
        <v>116</v>
      </c>
      <c r="CN31" s="73">
        <f t="shared" si="271"/>
        <v>142</v>
      </c>
      <c r="CO31" s="73">
        <f t="shared" si="272"/>
        <v>168</v>
      </c>
      <c r="CP31" s="73">
        <f t="shared" si="273"/>
        <v>208</v>
      </c>
      <c r="CQ31" s="73">
        <f t="shared" si="274"/>
        <v>259</v>
      </c>
      <c r="CR31" s="73">
        <f t="shared" si="275"/>
        <v>291</v>
      </c>
      <c r="CS31" s="73">
        <f t="shared" si="276"/>
        <v>307</v>
      </c>
      <c r="CT31" s="23">
        <f t="shared" si="27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aa2ar_human_5IU8</v>
      </c>
      <c r="B32" s="3" t="s">
        <v>139</v>
      </c>
      <c r="C32" s="3" t="s">
        <v>1353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8" t="str">
        <f>VLOOKUP(B32,Classification!A:D,2,0)</f>
        <v>A</v>
      </c>
      <c r="BA32" s="95" t="str">
        <f>VLOOKUP(B32,Classification!A:D,4,0)</f>
        <v>Adenosine</v>
      </c>
      <c r="BB32" s="27" t="b">
        <f t="shared" si="1"/>
        <v>1</v>
      </c>
      <c r="BC32" s="23">
        <f t="shared" si="252"/>
        <v>261</v>
      </c>
      <c r="BD32" s="4" t="s">
        <v>23</v>
      </c>
      <c r="BE32" s="3" t="s">
        <v>1381</v>
      </c>
      <c r="BF32" s="120">
        <v>2</v>
      </c>
      <c r="BG32" s="49" t="s">
        <v>1384</v>
      </c>
      <c r="BH32" s="49" t="s">
        <v>1384</v>
      </c>
      <c r="BI32" s="1"/>
      <c r="BJ32" s="71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1">
        <f t="shared" si="253"/>
        <v>2</v>
      </c>
      <c r="BW32" s="72">
        <f t="shared" si="254"/>
        <v>35</v>
      </c>
      <c r="BX32" s="73">
        <f t="shared" si="255"/>
        <v>39</v>
      </c>
      <c r="BY32" s="72">
        <f t="shared" si="256"/>
        <v>70</v>
      </c>
      <c r="BZ32" s="73">
        <f t="shared" si="257"/>
        <v>73</v>
      </c>
      <c r="CA32" s="72">
        <f t="shared" si="258"/>
        <v>109</v>
      </c>
      <c r="CB32" s="73">
        <f t="shared" si="259"/>
        <v>117</v>
      </c>
      <c r="CC32" s="72">
        <f t="shared" si="260"/>
        <v>166</v>
      </c>
      <c r="CD32" s="73">
        <f t="shared" si="261"/>
        <v>173</v>
      </c>
      <c r="CE32" s="72">
        <f t="shared" si="262"/>
        <v>219</v>
      </c>
      <c r="CF32" s="73">
        <f t="shared" si="263"/>
        <v>266</v>
      </c>
      <c r="CG32" s="72">
        <f t="shared" si="264"/>
        <v>292</v>
      </c>
      <c r="CH32" s="71">
        <f t="shared" si="265"/>
        <v>34</v>
      </c>
      <c r="CI32" s="72">
        <f t="shared" si="266"/>
        <v>38</v>
      </c>
      <c r="CJ32" s="73">
        <f t="shared" si="267"/>
        <v>69</v>
      </c>
      <c r="CK32" s="73">
        <f t="shared" si="268"/>
        <v>72</v>
      </c>
      <c r="CL32" s="73">
        <f t="shared" si="269"/>
        <v>108</v>
      </c>
      <c r="CM32" s="73">
        <f t="shared" si="270"/>
        <v>116</v>
      </c>
      <c r="CN32" s="73">
        <f t="shared" si="271"/>
        <v>142</v>
      </c>
      <c r="CO32" s="73">
        <f t="shared" si="272"/>
        <v>168</v>
      </c>
      <c r="CP32" s="73">
        <f t="shared" si="273"/>
        <v>208</v>
      </c>
      <c r="CQ32" s="73">
        <f t="shared" si="274"/>
        <v>259</v>
      </c>
      <c r="CR32" s="73">
        <f t="shared" si="275"/>
        <v>291</v>
      </c>
      <c r="CS32" s="73">
        <f t="shared" si="276"/>
        <v>305</v>
      </c>
      <c r="CT32" s="23">
        <f t="shared" si="27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aa2ar_human_5IUA</v>
      </c>
      <c r="B33" s="3" t="s">
        <v>139</v>
      </c>
      <c r="C33" s="3" t="s">
        <v>1354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H</v>
      </c>
      <c r="AY33" s="3">
        <v>306</v>
      </c>
      <c r="AZ33" s="78" t="str">
        <f>VLOOKUP(B33,Classification!A:D,2,0)</f>
        <v>A</v>
      </c>
      <c r="BA33" s="95" t="str">
        <f>VLOOKUP(B33,Classification!A:D,4,0)</f>
        <v>Adenosine</v>
      </c>
      <c r="BB33" s="27" t="b">
        <f t="shared" si="1"/>
        <v>1</v>
      </c>
      <c r="BC33" s="23">
        <f t="shared" si="252"/>
        <v>262</v>
      </c>
      <c r="BD33" s="4" t="s">
        <v>23</v>
      </c>
      <c r="BE33" s="3" t="s">
        <v>1381</v>
      </c>
      <c r="BF33" s="120">
        <v>2.2000000000000002</v>
      </c>
      <c r="BG33" s="49" t="s">
        <v>1384</v>
      </c>
      <c r="BH33" s="49" t="s">
        <v>1384</v>
      </c>
      <c r="BI33" s="1"/>
      <c r="BJ33" s="71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1">
        <f t="shared" si="253"/>
        <v>2</v>
      </c>
      <c r="BW33" s="72">
        <f t="shared" si="254"/>
        <v>35</v>
      </c>
      <c r="BX33" s="73">
        <f t="shared" si="255"/>
        <v>39</v>
      </c>
      <c r="BY33" s="72">
        <f t="shared" si="256"/>
        <v>70</v>
      </c>
      <c r="BZ33" s="73">
        <f t="shared" si="257"/>
        <v>73</v>
      </c>
      <c r="CA33" s="72">
        <f t="shared" si="258"/>
        <v>109</v>
      </c>
      <c r="CB33" s="73">
        <f t="shared" si="259"/>
        <v>117</v>
      </c>
      <c r="CC33" s="72">
        <f t="shared" si="260"/>
        <v>166</v>
      </c>
      <c r="CD33" s="73">
        <f t="shared" si="261"/>
        <v>173</v>
      </c>
      <c r="CE33" s="72">
        <f t="shared" si="262"/>
        <v>219</v>
      </c>
      <c r="CF33" s="73">
        <f t="shared" si="263"/>
        <v>266</v>
      </c>
      <c r="CG33" s="72">
        <f t="shared" si="264"/>
        <v>292</v>
      </c>
      <c r="CH33" s="71">
        <f t="shared" si="265"/>
        <v>34</v>
      </c>
      <c r="CI33" s="72">
        <f t="shared" si="266"/>
        <v>38</v>
      </c>
      <c r="CJ33" s="73">
        <f t="shared" si="267"/>
        <v>69</v>
      </c>
      <c r="CK33" s="73">
        <f t="shared" si="268"/>
        <v>72</v>
      </c>
      <c r="CL33" s="73">
        <f t="shared" si="269"/>
        <v>108</v>
      </c>
      <c r="CM33" s="73">
        <f t="shared" si="270"/>
        <v>116</v>
      </c>
      <c r="CN33" s="73">
        <f t="shared" si="271"/>
        <v>142</v>
      </c>
      <c r="CO33" s="73">
        <f t="shared" si="272"/>
        <v>168</v>
      </c>
      <c r="CP33" s="73">
        <f t="shared" si="273"/>
        <v>208</v>
      </c>
      <c r="CQ33" s="73">
        <f t="shared" si="274"/>
        <v>259</v>
      </c>
      <c r="CR33" s="73">
        <f t="shared" si="275"/>
        <v>291</v>
      </c>
      <c r="CS33" s="73">
        <f t="shared" si="276"/>
        <v>306</v>
      </c>
      <c r="CT33" s="23">
        <f t="shared" si="27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aa2ar_human_5IUB</v>
      </c>
      <c r="B34" s="3" t="s">
        <v>139</v>
      </c>
      <c r="C34" s="3" t="s">
        <v>1355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8" t="str">
        <f>VLOOKUP(B34,Classification!A:D,2,0)</f>
        <v>A</v>
      </c>
      <c r="BA34" s="95" t="str">
        <f>VLOOKUP(B34,Classification!A:D,4,0)</f>
        <v>Adenosine</v>
      </c>
      <c r="BB34" s="27" t="b">
        <f t="shared" si="1"/>
        <v>1</v>
      </c>
      <c r="BC34" s="23">
        <f t="shared" si="252"/>
        <v>261</v>
      </c>
      <c r="BD34" s="4" t="s">
        <v>23</v>
      </c>
      <c r="BE34" s="3" t="s">
        <v>1381</v>
      </c>
      <c r="BF34" s="120">
        <v>2.1</v>
      </c>
      <c r="BG34" s="49" t="s">
        <v>1384</v>
      </c>
      <c r="BH34" s="49" t="s">
        <v>1384</v>
      </c>
      <c r="BI34" s="1"/>
      <c r="BJ34" s="71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1">
        <f t="shared" si="253"/>
        <v>2</v>
      </c>
      <c r="BW34" s="72">
        <f t="shared" si="254"/>
        <v>35</v>
      </c>
      <c r="BX34" s="73">
        <f t="shared" si="255"/>
        <v>39</v>
      </c>
      <c r="BY34" s="72">
        <f t="shared" si="256"/>
        <v>70</v>
      </c>
      <c r="BZ34" s="73">
        <f t="shared" si="257"/>
        <v>73</v>
      </c>
      <c r="CA34" s="72">
        <f t="shared" si="258"/>
        <v>109</v>
      </c>
      <c r="CB34" s="73">
        <f t="shared" si="259"/>
        <v>117</v>
      </c>
      <c r="CC34" s="72">
        <f t="shared" si="260"/>
        <v>166</v>
      </c>
      <c r="CD34" s="73">
        <f t="shared" si="261"/>
        <v>173</v>
      </c>
      <c r="CE34" s="72">
        <f t="shared" si="262"/>
        <v>219</v>
      </c>
      <c r="CF34" s="73">
        <f t="shared" si="263"/>
        <v>266</v>
      </c>
      <c r="CG34" s="72">
        <f t="shared" si="264"/>
        <v>292</v>
      </c>
      <c r="CH34" s="71">
        <f t="shared" si="265"/>
        <v>34</v>
      </c>
      <c r="CI34" s="72">
        <f t="shared" si="266"/>
        <v>38</v>
      </c>
      <c r="CJ34" s="73">
        <f t="shared" si="267"/>
        <v>69</v>
      </c>
      <c r="CK34" s="73">
        <f t="shared" si="268"/>
        <v>72</v>
      </c>
      <c r="CL34" s="73">
        <f t="shared" si="269"/>
        <v>108</v>
      </c>
      <c r="CM34" s="73">
        <f t="shared" si="270"/>
        <v>116</v>
      </c>
      <c r="CN34" s="73">
        <f t="shared" si="271"/>
        <v>142</v>
      </c>
      <c r="CO34" s="73">
        <f t="shared" si="272"/>
        <v>168</v>
      </c>
      <c r="CP34" s="73">
        <f t="shared" si="273"/>
        <v>208</v>
      </c>
      <c r="CQ34" s="73">
        <f t="shared" si="274"/>
        <v>259</v>
      </c>
      <c r="CR34" s="73">
        <f t="shared" si="275"/>
        <v>291</v>
      </c>
      <c r="CS34" s="73">
        <f t="shared" si="276"/>
        <v>305</v>
      </c>
      <c r="CT34" s="23">
        <f t="shared" si="27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aa2ar_human_5K2A</v>
      </c>
      <c r="B35" s="3" t="s">
        <v>139</v>
      </c>
      <c r="C35" s="3" t="s">
        <v>1345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V</v>
      </c>
      <c r="AY35" s="3">
        <v>307</v>
      </c>
      <c r="AZ35" s="78" t="str">
        <f>VLOOKUP(B35,Classification!A:D,2,0)</f>
        <v>A</v>
      </c>
      <c r="BA35" s="95" t="str">
        <f>VLOOKUP(B35,Classification!A:D,4,0)</f>
        <v>Adenosine</v>
      </c>
      <c r="BB35" s="27" t="b">
        <f t="shared" si="1"/>
        <v>1</v>
      </c>
      <c r="BC35" s="23">
        <f t="shared" si="252"/>
        <v>263</v>
      </c>
      <c r="BD35" s="1" t="s">
        <v>23</v>
      </c>
      <c r="BE35" s="3" t="s">
        <v>1381</v>
      </c>
      <c r="BF35" s="120">
        <v>2.5</v>
      </c>
      <c r="BG35" s="49" t="s">
        <v>1384</v>
      </c>
      <c r="BH35" s="49" t="s">
        <v>1384</v>
      </c>
      <c r="BI35" s="1"/>
      <c r="BJ35" s="71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1">
        <f t="shared" si="253"/>
        <v>2</v>
      </c>
      <c r="BW35" s="72">
        <f t="shared" si="254"/>
        <v>35</v>
      </c>
      <c r="BX35" s="73">
        <f t="shared" si="255"/>
        <v>39</v>
      </c>
      <c r="BY35" s="72">
        <f t="shared" si="256"/>
        <v>70</v>
      </c>
      <c r="BZ35" s="73">
        <f t="shared" si="257"/>
        <v>73</v>
      </c>
      <c r="CA35" s="72">
        <f t="shared" si="258"/>
        <v>109</v>
      </c>
      <c r="CB35" s="73">
        <f t="shared" si="259"/>
        <v>117</v>
      </c>
      <c r="CC35" s="72">
        <f t="shared" si="260"/>
        <v>166</v>
      </c>
      <c r="CD35" s="73">
        <f t="shared" si="261"/>
        <v>173</v>
      </c>
      <c r="CE35" s="72">
        <f t="shared" si="262"/>
        <v>219</v>
      </c>
      <c r="CF35" s="73">
        <f t="shared" si="263"/>
        <v>266</v>
      </c>
      <c r="CG35" s="72">
        <f t="shared" si="264"/>
        <v>292</v>
      </c>
      <c r="CH35" s="71">
        <f t="shared" si="265"/>
        <v>34</v>
      </c>
      <c r="CI35" s="72">
        <f t="shared" si="266"/>
        <v>38</v>
      </c>
      <c r="CJ35" s="73">
        <f t="shared" si="267"/>
        <v>69</v>
      </c>
      <c r="CK35" s="73">
        <f t="shared" si="268"/>
        <v>72</v>
      </c>
      <c r="CL35" s="73">
        <f t="shared" si="269"/>
        <v>108</v>
      </c>
      <c r="CM35" s="73">
        <f t="shared" si="270"/>
        <v>116</v>
      </c>
      <c r="CN35" s="73">
        <f t="shared" si="271"/>
        <v>142</v>
      </c>
      <c r="CO35" s="73">
        <f t="shared" si="272"/>
        <v>168</v>
      </c>
      <c r="CP35" s="73">
        <f t="shared" si="273"/>
        <v>208</v>
      </c>
      <c r="CQ35" s="73">
        <f t="shared" si="274"/>
        <v>259</v>
      </c>
      <c r="CR35" s="73">
        <f t="shared" si="275"/>
        <v>291</v>
      </c>
      <c r="CS35" s="73">
        <f t="shared" si="276"/>
        <v>307</v>
      </c>
      <c r="CT35" s="23">
        <f t="shared" si="27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aa2ar_human_5K2B</v>
      </c>
      <c r="B36" s="3" t="s">
        <v>139</v>
      </c>
      <c r="C36" s="3" t="s">
        <v>1346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8" t="str">
        <f>VLOOKUP(B36,Classification!A:D,2,0)</f>
        <v>A</v>
      </c>
      <c r="BA36" s="95" t="str">
        <f>VLOOKUP(B36,Classification!A:D,4,0)</f>
        <v>Adenosine</v>
      </c>
      <c r="BB36" s="27" t="b">
        <f t="shared" si="1"/>
        <v>1</v>
      </c>
      <c r="BC36" s="23">
        <f t="shared" si="252"/>
        <v>263</v>
      </c>
      <c r="BD36" s="4" t="s">
        <v>23</v>
      </c>
      <c r="BE36" s="3" t="s">
        <v>1381</v>
      </c>
      <c r="BF36" s="120">
        <v>2.5</v>
      </c>
      <c r="BG36" s="49" t="s">
        <v>1384</v>
      </c>
      <c r="BH36" s="49" t="s">
        <v>1384</v>
      </c>
      <c r="BI36" s="1"/>
      <c r="BJ36" s="71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1">
        <f t="shared" si="253"/>
        <v>2</v>
      </c>
      <c r="BW36" s="72">
        <f t="shared" si="254"/>
        <v>35</v>
      </c>
      <c r="BX36" s="73">
        <f t="shared" si="255"/>
        <v>39</v>
      </c>
      <c r="BY36" s="72">
        <f t="shared" si="256"/>
        <v>70</v>
      </c>
      <c r="BZ36" s="73">
        <f t="shared" si="257"/>
        <v>73</v>
      </c>
      <c r="CA36" s="72">
        <f t="shared" si="258"/>
        <v>109</v>
      </c>
      <c r="CB36" s="73">
        <f t="shared" si="259"/>
        <v>117</v>
      </c>
      <c r="CC36" s="72">
        <f t="shared" si="260"/>
        <v>166</v>
      </c>
      <c r="CD36" s="73">
        <f t="shared" si="261"/>
        <v>173</v>
      </c>
      <c r="CE36" s="72">
        <f t="shared" si="262"/>
        <v>219</v>
      </c>
      <c r="CF36" s="73">
        <f t="shared" si="263"/>
        <v>266</v>
      </c>
      <c r="CG36" s="72">
        <f t="shared" si="264"/>
        <v>292</v>
      </c>
      <c r="CH36" s="71">
        <f t="shared" si="265"/>
        <v>34</v>
      </c>
      <c r="CI36" s="72">
        <f t="shared" si="266"/>
        <v>38</v>
      </c>
      <c r="CJ36" s="73">
        <f t="shared" si="267"/>
        <v>69</v>
      </c>
      <c r="CK36" s="73">
        <f t="shared" si="268"/>
        <v>72</v>
      </c>
      <c r="CL36" s="73">
        <f t="shared" si="269"/>
        <v>108</v>
      </c>
      <c r="CM36" s="73">
        <f t="shared" si="270"/>
        <v>116</v>
      </c>
      <c r="CN36" s="73">
        <f t="shared" si="271"/>
        <v>142</v>
      </c>
      <c r="CO36" s="73">
        <f t="shared" si="272"/>
        <v>168</v>
      </c>
      <c r="CP36" s="73">
        <f t="shared" si="273"/>
        <v>208</v>
      </c>
      <c r="CQ36" s="73">
        <f t="shared" si="274"/>
        <v>259</v>
      </c>
      <c r="CR36" s="73">
        <f t="shared" si="275"/>
        <v>291</v>
      </c>
      <c r="CS36" s="73">
        <f t="shared" si="276"/>
        <v>307</v>
      </c>
      <c r="CT36" s="23">
        <f t="shared" si="27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aa2ar_human_5K2C</v>
      </c>
      <c r="B37" s="3" t="s">
        <v>139</v>
      </c>
      <c r="C37" s="3" t="s">
        <v>1347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8" t="str">
        <f>VLOOKUP(B37,Classification!A:D,2,0)</f>
        <v>A</v>
      </c>
      <c r="BA37" s="95" t="str">
        <f>VLOOKUP(B37,Classification!A:D,4,0)</f>
        <v>Adenosine</v>
      </c>
      <c r="BB37" s="27" t="b">
        <f t="shared" si="1"/>
        <v>1</v>
      </c>
      <c r="BC37" s="23">
        <f t="shared" si="252"/>
        <v>263</v>
      </c>
      <c r="BD37" s="4" t="s">
        <v>23</v>
      </c>
      <c r="BE37" s="3" t="s">
        <v>1381</v>
      </c>
      <c r="BF37" s="120">
        <v>1.9</v>
      </c>
      <c r="BG37" s="49" t="s">
        <v>1384</v>
      </c>
      <c r="BH37" s="49" t="s">
        <v>1384</v>
      </c>
      <c r="BI37" s="1"/>
      <c r="BJ37" s="71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1">
        <f t="shared" si="253"/>
        <v>2</v>
      </c>
      <c r="BW37" s="72">
        <f t="shared" si="254"/>
        <v>35</v>
      </c>
      <c r="BX37" s="73">
        <f t="shared" si="255"/>
        <v>39</v>
      </c>
      <c r="BY37" s="72">
        <f t="shared" si="256"/>
        <v>70</v>
      </c>
      <c r="BZ37" s="73">
        <f t="shared" si="257"/>
        <v>73</v>
      </c>
      <c r="CA37" s="72">
        <f t="shared" si="258"/>
        <v>109</v>
      </c>
      <c r="CB37" s="73">
        <f t="shared" si="259"/>
        <v>117</v>
      </c>
      <c r="CC37" s="72">
        <f t="shared" si="260"/>
        <v>166</v>
      </c>
      <c r="CD37" s="73">
        <f t="shared" si="261"/>
        <v>173</v>
      </c>
      <c r="CE37" s="72">
        <f t="shared" si="262"/>
        <v>219</v>
      </c>
      <c r="CF37" s="73">
        <f t="shared" si="263"/>
        <v>266</v>
      </c>
      <c r="CG37" s="72">
        <f t="shared" si="264"/>
        <v>292</v>
      </c>
      <c r="CH37" s="71">
        <f t="shared" si="265"/>
        <v>34</v>
      </c>
      <c r="CI37" s="72">
        <f t="shared" si="266"/>
        <v>38</v>
      </c>
      <c r="CJ37" s="73">
        <f t="shared" si="267"/>
        <v>69</v>
      </c>
      <c r="CK37" s="73">
        <f t="shared" si="268"/>
        <v>72</v>
      </c>
      <c r="CL37" s="73">
        <f t="shared" si="269"/>
        <v>108</v>
      </c>
      <c r="CM37" s="73">
        <f t="shared" si="270"/>
        <v>116</v>
      </c>
      <c r="CN37" s="73">
        <f t="shared" si="271"/>
        <v>142</v>
      </c>
      <c r="CO37" s="73">
        <f t="shared" si="272"/>
        <v>168</v>
      </c>
      <c r="CP37" s="73">
        <f t="shared" si="273"/>
        <v>208</v>
      </c>
      <c r="CQ37" s="73">
        <f t="shared" si="274"/>
        <v>259</v>
      </c>
      <c r="CR37" s="73">
        <f t="shared" si="275"/>
        <v>291</v>
      </c>
      <c r="CS37" s="73">
        <f t="shared" si="276"/>
        <v>307</v>
      </c>
      <c r="CT37" s="23">
        <f t="shared" si="27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aa2ar_human_5K2D</v>
      </c>
      <c r="B38" s="3" t="s">
        <v>139</v>
      </c>
      <c r="C38" s="3" t="s">
        <v>1348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8" t="str">
        <f>VLOOKUP(B38,Classification!A:D,2,0)</f>
        <v>A</v>
      </c>
      <c r="BA38" s="95" t="str">
        <f>VLOOKUP(B38,Classification!A:D,4,0)</f>
        <v>Adenosine</v>
      </c>
      <c r="BB38" s="27" t="b">
        <f t="shared" si="1"/>
        <v>1</v>
      </c>
      <c r="BC38" s="23">
        <f t="shared" si="252"/>
        <v>263</v>
      </c>
      <c r="BD38" s="5" t="s">
        <v>23</v>
      </c>
      <c r="BE38" s="3" t="s">
        <v>1381</v>
      </c>
      <c r="BF38" s="120">
        <v>1.9</v>
      </c>
      <c r="BG38" s="49" t="s">
        <v>1384</v>
      </c>
      <c r="BH38" s="49" t="s">
        <v>1384</v>
      </c>
      <c r="BI38" s="1"/>
      <c r="BJ38" s="71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1">
        <f t="shared" si="253"/>
        <v>2</v>
      </c>
      <c r="BW38" s="72">
        <f t="shared" si="254"/>
        <v>35</v>
      </c>
      <c r="BX38" s="73">
        <f t="shared" si="255"/>
        <v>39</v>
      </c>
      <c r="BY38" s="72">
        <f t="shared" si="256"/>
        <v>70</v>
      </c>
      <c r="BZ38" s="73">
        <f t="shared" si="257"/>
        <v>73</v>
      </c>
      <c r="CA38" s="72">
        <f t="shared" si="258"/>
        <v>109</v>
      </c>
      <c r="CB38" s="73">
        <f t="shared" si="259"/>
        <v>117</v>
      </c>
      <c r="CC38" s="72">
        <f t="shared" si="260"/>
        <v>166</v>
      </c>
      <c r="CD38" s="73">
        <f t="shared" si="261"/>
        <v>173</v>
      </c>
      <c r="CE38" s="72">
        <f t="shared" si="262"/>
        <v>219</v>
      </c>
      <c r="CF38" s="73">
        <f t="shared" si="263"/>
        <v>266</v>
      </c>
      <c r="CG38" s="72">
        <f t="shared" si="264"/>
        <v>292</v>
      </c>
      <c r="CH38" s="71">
        <f t="shared" si="265"/>
        <v>34</v>
      </c>
      <c r="CI38" s="72">
        <f t="shared" si="266"/>
        <v>38</v>
      </c>
      <c r="CJ38" s="73">
        <f t="shared" si="267"/>
        <v>69</v>
      </c>
      <c r="CK38" s="73">
        <f t="shared" si="268"/>
        <v>72</v>
      </c>
      <c r="CL38" s="73">
        <f t="shared" si="269"/>
        <v>108</v>
      </c>
      <c r="CM38" s="73">
        <f t="shared" si="270"/>
        <v>116</v>
      </c>
      <c r="CN38" s="73">
        <f t="shared" si="271"/>
        <v>142</v>
      </c>
      <c r="CO38" s="73">
        <f t="shared" si="272"/>
        <v>168</v>
      </c>
      <c r="CP38" s="73">
        <f t="shared" si="273"/>
        <v>208</v>
      </c>
      <c r="CQ38" s="73">
        <f t="shared" si="274"/>
        <v>259</v>
      </c>
      <c r="CR38" s="73">
        <f t="shared" si="275"/>
        <v>291</v>
      </c>
      <c r="CS38" s="73">
        <f t="shared" si="276"/>
        <v>307</v>
      </c>
      <c r="CT38" s="23">
        <f t="shared" si="27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" si="278">CONCATENATE(B39,"_",C39)</f>
        <v>aa2ar_human_5MZJ</v>
      </c>
      <c r="B39" s="3" t="s">
        <v>139</v>
      </c>
      <c r="C39" s="3" t="s">
        <v>1446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3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8" t="str">
        <f>VLOOKUP(B39,Classification!A:D,2,0)</f>
        <v>A</v>
      </c>
      <c r="BA39" s="95" t="str">
        <f>VLOOKUP(B39,Classification!A:D,4,0)</f>
        <v>Adenosine</v>
      </c>
      <c r="BB39" s="27" t="b">
        <f t="shared" ref="BB39" si="279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ref="BC39" si="280">_xlfn.AGGREGATE(9,6,CH39:CS39)-_xlfn.AGGREGATE(9,6,BV39:CG39)+12</f>
        <v>261</v>
      </c>
      <c r="BD39" s="5" t="s">
        <v>23</v>
      </c>
      <c r="BE39" s="3" t="s">
        <v>1381</v>
      </c>
      <c r="BF39" s="120">
        <v>2</v>
      </c>
      <c r="BG39" s="49" t="s">
        <v>1</v>
      </c>
      <c r="BH39" s="49" t="s">
        <v>1</v>
      </c>
      <c r="BI39" s="1"/>
      <c r="BJ39" s="71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1">
        <f t="shared" ref="BV39" si="281">E39</f>
        <v>2</v>
      </c>
      <c r="BW39" s="72">
        <f t="shared" ref="BW39" si="282">I39</f>
        <v>35</v>
      </c>
      <c r="BX39" s="73">
        <f t="shared" ref="BX39" si="283">M39</f>
        <v>39</v>
      </c>
      <c r="BY39" s="72">
        <f t="shared" ref="BY39" si="284">Q39</f>
        <v>70</v>
      </c>
      <c r="BZ39" s="73">
        <f t="shared" ref="BZ39" si="285">U39</f>
        <v>73</v>
      </c>
      <c r="CA39" s="72">
        <f t="shared" ref="CA39" si="286">Y39</f>
        <v>109</v>
      </c>
      <c r="CB39" s="73">
        <f t="shared" ref="CB39" si="287">AC39</f>
        <v>117</v>
      </c>
      <c r="CC39" s="72">
        <f t="shared" ref="CC39" si="288">AG39</f>
        <v>166</v>
      </c>
      <c r="CD39" s="73">
        <f t="shared" ref="CD39" si="289">AK39</f>
        <v>173</v>
      </c>
      <c r="CE39" s="72">
        <f t="shared" ref="CE39" si="290">AO39</f>
        <v>219</v>
      </c>
      <c r="CF39" s="73">
        <f t="shared" ref="CF39" si="291">AS39</f>
        <v>266</v>
      </c>
      <c r="CG39" s="72">
        <f t="shared" ref="CG39" si="292">AW39</f>
        <v>292</v>
      </c>
      <c r="CH39" s="71">
        <f t="shared" ref="CH39" si="293">G39</f>
        <v>34</v>
      </c>
      <c r="CI39" s="72">
        <f t="shared" ref="CI39" si="294">K39</f>
        <v>38</v>
      </c>
      <c r="CJ39" s="73">
        <f t="shared" ref="CJ39" si="295">O39</f>
        <v>69</v>
      </c>
      <c r="CK39" s="73">
        <f t="shared" ref="CK39" si="296">S39</f>
        <v>72</v>
      </c>
      <c r="CL39" s="73">
        <f t="shared" ref="CL39" si="297">W39</f>
        <v>108</v>
      </c>
      <c r="CM39" s="73">
        <f t="shared" ref="CM39" si="298">AA39</f>
        <v>116</v>
      </c>
      <c r="CN39" s="73">
        <f t="shared" ref="CN39" si="299">AE39</f>
        <v>142</v>
      </c>
      <c r="CO39" s="73">
        <f t="shared" ref="CO39" si="300">AI39</f>
        <v>168</v>
      </c>
      <c r="CP39" s="73">
        <f t="shared" ref="CP39" si="301">AM39</f>
        <v>208</v>
      </c>
      <c r="CQ39" s="73">
        <f t="shared" ref="CQ39" si="302">AQ39</f>
        <v>259</v>
      </c>
      <c r="CR39" s="73">
        <f t="shared" ref="CR39" si="303">AU39</f>
        <v>291</v>
      </c>
      <c r="CS39" s="73">
        <f t="shared" ref="CS39" si="304">AY39</f>
        <v>305</v>
      </c>
      <c r="CT39" s="23">
        <f t="shared" ref="CT39" si="305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ref="A40" si="306">CONCATENATE(B40,"_",C40)</f>
        <v>aa2ar_human_5MZP</v>
      </c>
      <c r="B40" s="3" t="s">
        <v>139</v>
      </c>
      <c r="C40" s="3" t="s">
        <v>1447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3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8" t="str">
        <f>VLOOKUP(B40,Classification!A:D,2,0)</f>
        <v>A</v>
      </c>
      <c r="BA40" s="95" t="str">
        <f>VLOOKUP(B40,Classification!A:D,4,0)</f>
        <v>Adenosine</v>
      </c>
      <c r="BB40" s="27" t="b">
        <f t="shared" ref="BB40" si="307">AND(E40&lt;G40,OR(G40&lt;I40,I40="-"),OR(I40&lt;K40,I40="-"),OR(K40&lt;M40,K40="-"),M40&lt;O40,OR(O40&lt;Q40,Q40="-"),OR(Q40&lt;S40,Q40="-"),OR(S40&lt;U40,S40="-"),U40&lt;W40,OR(W40&lt;Y40,Y40="-"),OR(Y40&lt;AA40,Y40="-"),OR(AA40&lt;AC40,AA40="-"),AC40&lt;AE40,OR(AE40&lt;AG40,AG40="-"),OR(AG40&lt;AI40,AG40="-"),OR(AI40&lt;AK40,AI40="-"),AK40&lt;AM40,AM40&lt;AO40,AO40&lt;AQ40,AQ40&lt;AS40,AS40&lt;AU40,OR(AU40&lt;AW40,AW40="-"),OR(AW40&lt;AY40,AW40="-"))</f>
        <v>1</v>
      </c>
      <c r="BC40" s="23">
        <f t="shared" ref="BC40" si="308">_xlfn.AGGREGATE(9,6,CH40:CS40)-_xlfn.AGGREGATE(9,6,BV40:CG40)+12</f>
        <v>261</v>
      </c>
      <c r="BD40" s="5" t="s">
        <v>23</v>
      </c>
      <c r="BE40" s="3" t="s">
        <v>1381</v>
      </c>
      <c r="BF40" s="120">
        <v>3</v>
      </c>
      <c r="BG40" s="49" t="s">
        <v>1</v>
      </c>
      <c r="BH40" s="49" t="s">
        <v>1</v>
      </c>
      <c r="BI40" s="1"/>
      <c r="BJ40" s="71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1">
        <f t="shared" ref="BV40" si="309">E40</f>
        <v>2</v>
      </c>
      <c r="BW40" s="72">
        <f t="shared" ref="BW40" si="310">I40</f>
        <v>35</v>
      </c>
      <c r="BX40" s="73">
        <f t="shared" ref="BX40" si="311">M40</f>
        <v>39</v>
      </c>
      <c r="BY40" s="72">
        <f t="shared" ref="BY40" si="312">Q40</f>
        <v>70</v>
      </c>
      <c r="BZ40" s="73">
        <f t="shared" ref="BZ40" si="313">U40</f>
        <v>73</v>
      </c>
      <c r="CA40" s="72">
        <f t="shared" ref="CA40" si="314">Y40</f>
        <v>109</v>
      </c>
      <c r="CB40" s="73">
        <f t="shared" ref="CB40" si="315">AC40</f>
        <v>117</v>
      </c>
      <c r="CC40" s="72">
        <f t="shared" ref="CC40" si="316">AG40</f>
        <v>166</v>
      </c>
      <c r="CD40" s="73">
        <f t="shared" ref="CD40" si="317">AK40</f>
        <v>173</v>
      </c>
      <c r="CE40" s="72">
        <f t="shared" ref="CE40" si="318">AO40</f>
        <v>219</v>
      </c>
      <c r="CF40" s="73">
        <f t="shared" ref="CF40" si="319">AS40</f>
        <v>266</v>
      </c>
      <c r="CG40" s="72">
        <f t="shared" ref="CG40" si="320">AW40</f>
        <v>292</v>
      </c>
      <c r="CH40" s="71">
        <f t="shared" ref="CH40" si="321">G40</f>
        <v>34</v>
      </c>
      <c r="CI40" s="72">
        <f t="shared" ref="CI40" si="322">K40</f>
        <v>38</v>
      </c>
      <c r="CJ40" s="73">
        <f t="shared" ref="CJ40" si="323">O40</f>
        <v>69</v>
      </c>
      <c r="CK40" s="73">
        <f t="shared" ref="CK40" si="324">S40</f>
        <v>72</v>
      </c>
      <c r="CL40" s="73">
        <f t="shared" ref="CL40" si="325">W40</f>
        <v>108</v>
      </c>
      <c r="CM40" s="73">
        <f t="shared" ref="CM40" si="326">AA40</f>
        <v>116</v>
      </c>
      <c r="CN40" s="73">
        <f t="shared" ref="CN40" si="327">AE40</f>
        <v>142</v>
      </c>
      <c r="CO40" s="73">
        <f t="shared" ref="CO40" si="328">AI40</f>
        <v>168</v>
      </c>
      <c r="CP40" s="73">
        <f t="shared" ref="CP40" si="329">AM40</f>
        <v>208</v>
      </c>
      <c r="CQ40" s="73">
        <f t="shared" ref="CQ40" si="330">AQ40</f>
        <v>259</v>
      </c>
      <c r="CR40" s="73">
        <f t="shared" ref="CR40" si="331">AU40</f>
        <v>291</v>
      </c>
      <c r="CS40" s="73">
        <f t="shared" ref="CS40" si="332">AY40</f>
        <v>305</v>
      </c>
      <c r="CT40" s="23">
        <f t="shared" ref="CT40" si="333">M40-K40</f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" si="334">CONCATENATE(B41,"_",C41)</f>
        <v>aa2ar_human_5N2R</v>
      </c>
      <c r="B41" s="3" t="s">
        <v>139</v>
      </c>
      <c r="C41" s="3" t="s">
        <v>1441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8" t="str">
        <f>VLOOKUP(B41,Classification!A:D,2,0)</f>
        <v>A</v>
      </c>
      <c r="BA41" s="95" t="str">
        <f>VLOOKUP(B41,Classification!A:D,4,0)</f>
        <v>Adenosine</v>
      </c>
      <c r="BB41" s="27" t="b">
        <f t="shared" ref="BB41" si="335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" si="336">_xlfn.AGGREGATE(9,6,CH41:CS41)-_xlfn.AGGREGATE(9,6,BV41:CG41)+12</f>
        <v>261</v>
      </c>
      <c r="BD41" s="5" t="s">
        <v>23</v>
      </c>
      <c r="BE41" s="3" t="s">
        <v>1381</v>
      </c>
      <c r="BF41" s="120">
        <v>2.9</v>
      </c>
      <c r="BG41" s="49" t="s">
        <v>1</v>
      </c>
      <c r="BH41" s="49" t="s">
        <v>1</v>
      </c>
      <c r="BI41" s="1"/>
      <c r="BJ41" s="71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1">
        <f t="shared" ref="BV41" si="337">E41</f>
        <v>2</v>
      </c>
      <c r="BW41" s="72">
        <f t="shared" ref="BW41" si="338">I41</f>
        <v>35</v>
      </c>
      <c r="BX41" s="73">
        <f t="shared" ref="BX41" si="339">M41</f>
        <v>39</v>
      </c>
      <c r="BY41" s="72">
        <f t="shared" ref="BY41" si="340">Q41</f>
        <v>70</v>
      </c>
      <c r="BZ41" s="73">
        <f t="shared" ref="BZ41" si="341">U41</f>
        <v>73</v>
      </c>
      <c r="CA41" s="72">
        <f t="shared" ref="CA41" si="342">Y41</f>
        <v>109</v>
      </c>
      <c r="CB41" s="73">
        <f t="shared" ref="CB41" si="343">AC41</f>
        <v>117</v>
      </c>
      <c r="CC41" s="72">
        <f t="shared" ref="CC41" si="344">AG41</f>
        <v>166</v>
      </c>
      <c r="CD41" s="73">
        <f t="shared" ref="CD41" si="345">AK41</f>
        <v>173</v>
      </c>
      <c r="CE41" s="72">
        <f t="shared" ref="CE41" si="346">AO41</f>
        <v>219</v>
      </c>
      <c r="CF41" s="73">
        <f t="shared" ref="CF41" si="347">AS41</f>
        <v>266</v>
      </c>
      <c r="CG41" s="72">
        <f t="shared" ref="CG41" si="348">AW41</f>
        <v>292</v>
      </c>
      <c r="CH41" s="71">
        <f t="shared" ref="CH41" si="349">G41</f>
        <v>34</v>
      </c>
      <c r="CI41" s="72">
        <f t="shared" ref="CI41" si="350">K41</f>
        <v>38</v>
      </c>
      <c r="CJ41" s="73">
        <f t="shared" ref="CJ41" si="351">O41</f>
        <v>69</v>
      </c>
      <c r="CK41" s="73">
        <f t="shared" ref="CK41" si="352">S41</f>
        <v>72</v>
      </c>
      <c r="CL41" s="73">
        <f t="shared" ref="CL41" si="353">W41</f>
        <v>108</v>
      </c>
      <c r="CM41" s="73">
        <f t="shared" ref="CM41" si="354">AA41</f>
        <v>116</v>
      </c>
      <c r="CN41" s="73">
        <f t="shared" ref="CN41" si="355">AE41</f>
        <v>142</v>
      </c>
      <c r="CO41" s="73">
        <f t="shared" ref="CO41" si="356">AI41</f>
        <v>168</v>
      </c>
      <c r="CP41" s="73">
        <f t="shared" ref="CP41" si="357">AM41</f>
        <v>208</v>
      </c>
      <c r="CQ41" s="73">
        <f t="shared" ref="CQ41" si="358">AQ41</f>
        <v>259</v>
      </c>
      <c r="CR41" s="73">
        <f t="shared" ref="CR41" si="359">AU41</f>
        <v>291</v>
      </c>
      <c r="CS41" s="73">
        <f t="shared" ref="CS41" si="360">AY41</f>
        <v>305</v>
      </c>
      <c r="CT41" s="23">
        <f t="shared" ref="CT41" si="361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ref="A42" si="362">CONCATENATE(B42,"_",C42)</f>
        <v>aa2ar_human_5UIG</v>
      </c>
      <c r="B42" s="3" t="s">
        <v>139</v>
      </c>
      <c r="C42" s="3" t="s">
        <v>1394</v>
      </c>
      <c r="D42" s="3" t="str">
        <f>IFERROR(MID(VLOOKUP($B42,Seqs!$A:$B,2,0),E42,1),"")</f>
        <v>M</v>
      </c>
      <c r="E42" s="3">
        <v>4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Q</v>
      </c>
      <c r="AY42" s="3">
        <v>297</v>
      </c>
      <c r="AZ42" s="78" t="str">
        <f>VLOOKUP(B42,Classification!A:D,2,0)</f>
        <v>A</v>
      </c>
      <c r="BA42" s="95" t="str">
        <f>VLOOKUP(B42,Classification!A:D,4,0)</f>
        <v>Adenosine</v>
      </c>
      <c r="BB42" s="27" t="b">
        <f t="shared" ref="BB42" si="363">AND(E42&lt;G42,OR(G42&lt;I42,I42="-"),OR(I42&lt;K42,I42="-"),OR(K42&lt;M42,K42="-"),M42&lt;O42,OR(O42&lt;Q42,Q42="-"),OR(Q42&lt;S42,Q42="-"),OR(S42&lt;U42,S42="-"),U42&lt;W42,OR(W42&lt;Y42,Y42="-"),OR(Y42&lt;AA42,Y42="-"),OR(AA42&lt;AC42,AA42="-"),AC42&lt;AE42,OR(AE42&lt;AG42,AG42="-"),OR(AG42&lt;AI42,AG42="-"),OR(AI42&lt;AK42,AI42="-"),AK42&lt;AM42,AM42&lt;AO42,AO42&lt;AQ42,AQ42&lt;AS42,AS42&lt;AU42,OR(AU42&lt;AW42,AW42="-"),OR(AW42&lt;AY42,AW42="-"))</f>
        <v>1</v>
      </c>
      <c r="BC42" s="23">
        <f t="shared" ref="BC42" si="364">_xlfn.AGGREGATE(9,6,CH42:CS42)-_xlfn.AGGREGATE(9,6,BV42:CG42)+12</f>
        <v>251</v>
      </c>
      <c r="BD42" s="5" t="s">
        <v>23</v>
      </c>
      <c r="BE42" s="3" t="s">
        <v>1381</v>
      </c>
      <c r="BF42" s="120">
        <v>3.5</v>
      </c>
      <c r="BG42" s="49" t="s">
        <v>1384</v>
      </c>
      <c r="BH42" s="49" t="s">
        <v>1384</v>
      </c>
      <c r="BI42" s="1"/>
      <c r="BJ42" s="71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1">
        <f t="shared" ref="BV42" si="365">E42</f>
        <v>4</v>
      </c>
      <c r="BW42" s="72">
        <f t="shared" ref="BW42" si="366">I42</f>
        <v>35</v>
      </c>
      <c r="BX42" s="73">
        <f t="shared" ref="BX42" si="367">M42</f>
        <v>39</v>
      </c>
      <c r="BY42" s="72">
        <f t="shared" ref="BY42" si="368">Q42</f>
        <v>70</v>
      </c>
      <c r="BZ42" s="73">
        <f t="shared" ref="BZ42" si="369">U42</f>
        <v>73</v>
      </c>
      <c r="CA42" s="72">
        <f t="shared" ref="CA42" si="370">Y42</f>
        <v>109</v>
      </c>
      <c r="CB42" s="73">
        <f t="shared" ref="CB42" si="371">AC42</f>
        <v>117</v>
      </c>
      <c r="CC42" s="72">
        <f t="shared" ref="CC42" si="372">AG42</f>
        <v>166</v>
      </c>
      <c r="CD42" s="73">
        <f t="shared" ref="CD42" si="373">AK42</f>
        <v>173</v>
      </c>
      <c r="CE42" s="72">
        <f t="shared" ref="CE42" si="374">AO42</f>
        <v>219</v>
      </c>
      <c r="CF42" s="73">
        <f t="shared" ref="CF42" si="375">AS42</f>
        <v>266</v>
      </c>
      <c r="CG42" s="72">
        <f t="shared" ref="CG42" si="376">AW42</f>
        <v>292</v>
      </c>
      <c r="CH42" s="71">
        <f t="shared" ref="CH42" si="377">G42</f>
        <v>34</v>
      </c>
      <c r="CI42" s="72">
        <f t="shared" ref="CI42" si="378">K42</f>
        <v>38</v>
      </c>
      <c r="CJ42" s="73">
        <f t="shared" ref="CJ42" si="379">O42</f>
        <v>69</v>
      </c>
      <c r="CK42" s="73">
        <f t="shared" ref="CK42" si="380">S42</f>
        <v>72</v>
      </c>
      <c r="CL42" s="73">
        <f t="shared" ref="CL42" si="381">W42</f>
        <v>108</v>
      </c>
      <c r="CM42" s="73">
        <f t="shared" ref="CM42" si="382">AA42</f>
        <v>116</v>
      </c>
      <c r="CN42" s="73">
        <f t="shared" ref="CN42" si="383">AE42</f>
        <v>142</v>
      </c>
      <c r="CO42" s="73">
        <f t="shared" ref="CO42" si="384">AI42</f>
        <v>168</v>
      </c>
      <c r="CP42" s="73">
        <f t="shared" ref="CP42" si="385">AM42</f>
        <v>208</v>
      </c>
      <c r="CQ42" s="73">
        <f t="shared" ref="CQ42" si="386">AQ42</f>
        <v>259</v>
      </c>
      <c r="CR42" s="73">
        <f t="shared" ref="CR42" si="387">AU42</f>
        <v>291</v>
      </c>
      <c r="CS42" s="73">
        <f t="shared" ref="CS42" si="388">AY42</f>
        <v>297</v>
      </c>
      <c r="CT42" s="23">
        <f t="shared" ref="CT42" si="389">M42-K42</f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ref="A43" si="390">CONCATENATE(B43,"_",C43)</f>
        <v>aa2ar_human_5UVI</v>
      </c>
      <c r="B43" s="3" t="s">
        <v>139</v>
      </c>
      <c r="C43" s="3" t="s">
        <v>1421</v>
      </c>
      <c r="D43" s="3" t="str">
        <f>IFERROR(MID(VLOOKUP($B43,Seqs!$A:$B,2,0),E43,1),"")</f>
        <v>M</v>
      </c>
      <c r="E43" s="3">
        <v>1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8" t="str">
        <f>VLOOKUP(B43,Classification!A:D,2,0)</f>
        <v>A</v>
      </c>
      <c r="BA43" s="95" t="str">
        <f>VLOOKUP(B43,Classification!A:D,4,0)</f>
        <v>Adenosine</v>
      </c>
      <c r="BB43" s="27" t="b">
        <f t="shared" ref="BB43" si="391">AND(E43&lt;G43,OR(G43&lt;I43,I43="-"),OR(I43&lt;K43,I43="-"),OR(K43&lt;M43,K43="-"),M43&lt;O43,OR(O43&lt;Q43,Q43="-"),OR(Q43&lt;S43,Q43="-"),OR(S43&lt;U43,S43="-"),U43&lt;W43,OR(W43&lt;Y43,Y43="-"),OR(Y43&lt;AA43,Y43="-"),OR(AA43&lt;AC43,AA43="-"),AC43&lt;AE43,OR(AE43&lt;AG43,AG43="-"),OR(AG43&lt;AI43,AG43="-"),OR(AI43&lt;AK43,AI43="-"),AK43&lt;AM43,AM43&lt;AO43,AO43&lt;AQ43,AQ43&lt;AS43,AS43&lt;AU43,OR(AU43&lt;AW43,AW43="-"),OR(AW43&lt;AY43,AW43="-"))</f>
        <v>1</v>
      </c>
      <c r="BC43" s="23">
        <f t="shared" ref="BC43" si="392">_xlfn.AGGREGATE(9,6,CH43:CS43)-_xlfn.AGGREGATE(9,6,BV43:CG43)+12</f>
        <v>263</v>
      </c>
      <c r="BD43" s="5" t="s">
        <v>23</v>
      </c>
      <c r="BE43" s="3" t="s">
        <v>1381</v>
      </c>
      <c r="BF43" s="120">
        <v>3.2</v>
      </c>
      <c r="BG43" s="49" t="s">
        <v>1</v>
      </c>
      <c r="BH43" s="49" t="s">
        <v>1</v>
      </c>
      <c r="BI43" s="1"/>
      <c r="BJ43" s="71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1">
        <f t="shared" ref="BV43" si="393">E43</f>
        <v>1</v>
      </c>
      <c r="BW43" s="72">
        <f t="shared" ref="BW43" si="394">I43</f>
        <v>35</v>
      </c>
      <c r="BX43" s="73">
        <f t="shared" ref="BX43" si="395">M43</f>
        <v>39</v>
      </c>
      <c r="BY43" s="72">
        <f t="shared" ref="BY43" si="396">Q43</f>
        <v>70</v>
      </c>
      <c r="BZ43" s="73">
        <f t="shared" ref="BZ43" si="397">U43</f>
        <v>73</v>
      </c>
      <c r="CA43" s="72">
        <f t="shared" ref="CA43" si="398">Y43</f>
        <v>109</v>
      </c>
      <c r="CB43" s="73">
        <f t="shared" ref="CB43" si="399">AC43</f>
        <v>117</v>
      </c>
      <c r="CC43" s="72">
        <f t="shared" ref="CC43" si="400">AG43</f>
        <v>166</v>
      </c>
      <c r="CD43" s="73">
        <f t="shared" ref="CD43" si="401">AK43</f>
        <v>173</v>
      </c>
      <c r="CE43" s="72">
        <f t="shared" ref="CE43" si="402">AO43</f>
        <v>219</v>
      </c>
      <c r="CF43" s="73">
        <f t="shared" ref="CF43" si="403">AS43</f>
        <v>266</v>
      </c>
      <c r="CG43" s="72">
        <f t="shared" ref="CG43" si="404">AW43</f>
        <v>292</v>
      </c>
      <c r="CH43" s="71">
        <f t="shared" ref="CH43" si="405">G43</f>
        <v>34</v>
      </c>
      <c r="CI43" s="72">
        <f t="shared" ref="CI43" si="406">K43</f>
        <v>38</v>
      </c>
      <c r="CJ43" s="73">
        <f t="shared" ref="CJ43" si="407">O43</f>
        <v>69</v>
      </c>
      <c r="CK43" s="73">
        <f t="shared" ref="CK43" si="408">S43</f>
        <v>72</v>
      </c>
      <c r="CL43" s="73">
        <f t="shared" ref="CL43" si="409">W43</f>
        <v>108</v>
      </c>
      <c r="CM43" s="73">
        <f t="shared" ref="CM43" si="410">AA43</f>
        <v>116</v>
      </c>
      <c r="CN43" s="73">
        <f t="shared" ref="CN43" si="411">AE43</f>
        <v>142</v>
      </c>
      <c r="CO43" s="73">
        <f t="shared" ref="CO43" si="412">AI43</f>
        <v>168</v>
      </c>
      <c r="CP43" s="73">
        <f t="shared" ref="CP43" si="413">AM43</f>
        <v>208</v>
      </c>
      <c r="CQ43" s="73">
        <f t="shared" ref="CQ43" si="414">AQ43</f>
        <v>259</v>
      </c>
      <c r="CR43" s="73">
        <f t="shared" ref="CR43" si="415">AU43</f>
        <v>291</v>
      </c>
      <c r="CS43" s="73">
        <f t="shared" ref="CS43" si="416">AY43</f>
        <v>306</v>
      </c>
      <c r="CT43" s="23">
        <f t="shared" ref="CT43" si="417">M43-K43</f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ref="A44" si="418">CONCATENATE(B44,"_",C44)</f>
        <v>aa2ar_human_5JTB</v>
      </c>
      <c r="B44" s="3" t="s">
        <v>139</v>
      </c>
      <c r="C44" s="3" t="s">
        <v>1422</v>
      </c>
      <c r="D44" s="3" t="str">
        <f>IFERROR(MID(VLOOKUP($B44,Seqs!$A:$B,2,0),E44,1),"")</f>
        <v>M</v>
      </c>
      <c r="E44" s="3">
        <v>1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8" t="str">
        <f>VLOOKUP(B44,Classification!A:D,2,0)</f>
        <v>A</v>
      </c>
      <c r="BA44" s="95" t="str">
        <f>VLOOKUP(B44,Classification!A:D,4,0)</f>
        <v>Adenosine</v>
      </c>
      <c r="BB44" s="27" t="b">
        <f t="shared" ref="BB44" si="419">AND(E44&lt;G44,OR(G44&lt;I44,I44="-"),OR(I44&lt;K44,I44="-"),OR(K44&lt;M44,K44="-"),M44&lt;O44,OR(O44&lt;Q44,Q44="-"),OR(Q44&lt;S44,Q44="-"),OR(S44&lt;U44,S44="-"),U44&lt;W44,OR(W44&lt;Y44,Y44="-"),OR(Y44&lt;AA44,Y44="-"),OR(AA44&lt;AC44,AA44="-"),AC44&lt;AE44,OR(AE44&lt;AG44,AG44="-"),OR(AG44&lt;AI44,AG44="-"),OR(AI44&lt;AK44,AI44="-"),AK44&lt;AM44,AM44&lt;AO44,AO44&lt;AQ44,AQ44&lt;AS44,AS44&lt;AU44,OR(AU44&lt;AW44,AW44="-"),OR(AW44&lt;AY44,AW44="-"))</f>
        <v>1</v>
      </c>
      <c r="BC44" s="23">
        <f t="shared" ref="BC44" si="420">_xlfn.AGGREGATE(9,6,CH44:CS44)-_xlfn.AGGREGATE(9,6,BV44:CG44)+12</f>
        <v>264</v>
      </c>
      <c r="BD44" s="5" t="s">
        <v>23</v>
      </c>
      <c r="BE44" s="3" t="s">
        <v>1381</v>
      </c>
      <c r="BF44" s="120">
        <v>2.8</v>
      </c>
      <c r="BG44" s="49" t="s">
        <v>1</v>
      </c>
      <c r="BH44" s="49" t="s">
        <v>1</v>
      </c>
      <c r="BI44" s="1"/>
      <c r="BJ44" s="71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1">
        <f t="shared" ref="BV44" si="421">E44</f>
        <v>1</v>
      </c>
      <c r="BW44" s="72">
        <f t="shared" ref="BW44" si="422">I44</f>
        <v>35</v>
      </c>
      <c r="BX44" s="73">
        <f t="shared" ref="BX44" si="423">M44</f>
        <v>39</v>
      </c>
      <c r="BY44" s="72">
        <f t="shared" ref="BY44" si="424">Q44</f>
        <v>70</v>
      </c>
      <c r="BZ44" s="73">
        <f t="shared" ref="BZ44" si="425">U44</f>
        <v>73</v>
      </c>
      <c r="CA44" s="72">
        <f t="shared" ref="CA44" si="426">Y44</f>
        <v>109</v>
      </c>
      <c r="CB44" s="73">
        <f t="shared" ref="CB44" si="427">AC44</f>
        <v>117</v>
      </c>
      <c r="CC44" s="72">
        <f t="shared" ref="CC44" si="428">AG44</f>
        <v>166</v>
      </c>
      <c r="CD44" s="73">
        <f t="shared" ref="CD44" si="429">AK44</f>
        <v>173</v>
      </c>
      <c r="CE44" s="72">
        <f t="shared" ref="CE44" si="430">AO44</f>
        <v>219</v>
      </c>
      <c r="CF44" s="73">
        <f t="shared" ref="CF44" si="431">AS44</f>
        <v>266</v>
      </c>
      <c r="CG44" s="72">
        <f t="shared" ref="CG44" si="432">AW44</f>
        <v>292</v>
      </c>
      <c r="CH44" s="71">
        <f t="shared" ref="CH44" si="433">G44</f>
        <v>34</v>
      </c>
      <c r="CI44" s="72">
        <f t="shared" ref="CI44" si="434">K44</f>
        <v>38</v>
      </c>
      <c r="CJ44" s="73">
        <f t="shared" ref="CJ44" si="435">O44</f>
        <v>69</v>
      </c>
      <c r="CK44" s="73">
        <f t="shared" ref="CK44" si="436">S44</f>
        <v>72</v>
      </c>
      <c r="CL44" s="73">
        <f t="shared" ref="CL44" si="437">W44</f>
        <v>108</v>
      </c>
      <c r="CM44" s="73">
        <f t="shared" ref="CM44" si="438">AA44</f>
        <v>116</v>
      </c>
      <c r="CN44" s="73">
        <f t="shared" ref="CN44" si="439">AE44</f>
        <v>142</v>
      </c>
      <c r="CO44" s="73">
        <f t="shared" ref="CO44" si="440">AI44</f>
        <v>168</v>
      </c>
      <c r="CP44" s="73">
        <f t="shared" ref="CP44" si="441">AM44</f>
        <v>208</v>
      </c>
      <c r="CQ44" s="73">
        <f t="shared" ref="CQ44" si="442">AQ44</f>
        <v>259</v>
      </c>
      <c r="CR44" s="73">
        <f t="shared" ref="CR44" si="443">AU44</f>
        <v>291</v>
      </c>
      <c r="CS44" s="73">
        <f t="shared" ref="CS44" si="444">AY44</f>
        <v>307</v>
      </c>
      <c r="CT44" s="23">
        <f t="shared" ref="CT44" si="445">M44-K44</f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s="12" customFormat="1" x14ac:dyDescent="0.2">
      <c r="A45" s="9" t="str">
        <f t="shared" ref="A45" si="446">CONCATENATE(B45,"_",C45)</f>
        <v>aa2ar_human_5NM2</v>
      </c>
      <c r="B45" s="9" t="s">
        <v>139</v>
      </c>
      <c r="C45" s="9" t="s">
        <v>1455</v>
      </c>
      <c r="D45" s="9" t="str">
        <f>IFERROR(MID(VLOOKUP($B45,Seqs!$A:$B,2,0),E45,1),"")</f>
        <v>M</v>
      </c>
      <c r="E45" s="9">
        <v>1</v>
      </c>
      <c r="F45" s="9" t="str">
        <f>IFERROR(MID(VLOOKUP($B45,Seqs!$A:$B,2,0),G45,1),"")</f>
        <v>N</v>
      </c>
      <c r="G45" s="9">
        <v>34</v>
      </c>
      <c r="H45" s="9" t="str">
        <f>IFERROR(MID(VLOOKUP($B45,Seqs!$A:$B,2,0),I45,1),"")</f>
        <v>S</v>
      </c>
      <c r="I45" s="110">
        <v>35</v>
      </c>
      <c r="J45" s="9" t="str">
        <f>IFERROR(MID(VLOOKUP($B45,Seqs!$A:$B,2,0),K45,1),"")</f>
        <v>Q</v>
      </c>
      <c r="K45" s="110">
        <v>38</v>
      </c>
      <c r="L45" s="9" t="str">
        <f>IFERROR(MID(VLOOKUP($B45,Seqs!$A:$B,2,0),M45,1),"")</f>
        <v>N</v>
      </c>
      <c r="M45" s="9">
        <v>39</v>
      </c>
      <c r="N45" s="9" t="str">
        <f>IFERROR(MID(VLOOKUP($B45,Seqs!$A:$B,2,0),O45,1),"")</f>
        <v>G</v>
      </c>
      <c r="O45" s="9">
        <v>69</v>
      </c>
      <c r="P45" s="9" t="str">
        <f>IFERROR(MID(VLOOKUP($B45,Seqs!$A:$B,2,0),Q45,1),"")</f>
        <v>F</v>
      </c>
      <c r="Q45" s="9">
        <v>70</v>
      </c>
      <c r="R45" s="9" t="str">
        <f>IFERROR(MID(VLOOKUP($B45,Seqs!$A:$B,2,0),S45,1),"")</f>
        <v>A</v>
      </c>
      <c r="S45" s="9">
        <v>72</v>
      </c>
      <c r="T45" s="9" t="str">
        <f>IFERROR(MID(VLOOKUP($B45,Seqs!$A:$B,2,0),U45,1),"")</f>
        <v>A</v>
      </c>
      <c r="U45" s="9">
        <v>73</v>
      </c>
      <c r="V45" s="9" t="str">
        <f>IFERROR(MID(VLOOKUP($B45,Seqs!$A:$B,2,0),W45,1),"")</f>
        <v>I</v>
      </c>
      <c r="W45" s="9">
        <v>108</v>
      </c>
      <c r="X45" s="9" t="str">
        <f>IFERROR(MID(VLOOKUP($B45,Seqs!$A:$B,2,0),Y45,1),"")</f>
        <v>P</v>
      </c>
      <c r="Y45" s="9">
        <v>109</v>
      </c>
      <c r="Z45" s="9" t="str">
        <f>IFERROR(MID(VLOOKUP($B45,Seqs!$A:$B,2,0),AA45,1),"")</f>
        <v>V</v>
      </c>
      <c r="AA45" s="9">
        <v>116</v>
      </c>
      <c r="AB45" s="9" t="str">
        <f>IFERROR(MID(VLOOKUP($B45,Seqs!$A:$B,2,0),AC45,1),"")</f>
        <v>T</v>
      </c>
      <c r="AC45" s="9">
        <v>117</v>
      </c>
      <c r="AD45" s="9" t="str">
        <f>IFERROR(MID(VLOOKUP($B45,Seqs!$A:$B,2,0),AE45,1),"")</f>
        <v>G</v>
      </c>
      <c r="AE45" s="9">
        <v>142</v>
      </c>
      <c r="AF45" s="9" t="str">
        <f>IFERROR(MID(VLOOKUP($B45,Seqs!$A:$B,2,0),AG45,1),"")</f>
        <v>C</v>
      </c>
      <c r="AG45" s="9">
        <v>166</v>
      </c>
      <c r="AH45" s="9" t="str">
        <f>IFERROR(MID(VLOOKUP($B45,Seqs!$A:$B,2,0),AI45,1),"")</f>
        <v>F</v>
      </c>
      <c r="AI45" s="9">
        <v>168</v>
      </c>
      <c r="AJ45" s="9" t="str">
        <f>IFERROR(MID(VLOOKUP($B45,Seqs!$A:$B,2,0),AK45,1),"")</f>
        <v>P</v>
      </c>
      <c r="AK45" s="9">
        <v>173</v>
      </c>
      <c r="AL45" s="9" t="str">
        <f>IFERROR(MID(VLOOKUP($B45,Seqs!$A:$B,2,0),AM45,1),"")</f>
        <v>L</v>
      </c>
      <c r="AM45" s="9">
        <v>208</v>
      </c>
      <c r="AN45" s="9" t="str">
        <f>IFERROR(MID(VLOOKUP($B45,Seqs!$A:$B,2,0),AO45,1),"")</f>
        <v>E</v>
      </c>
      <c r="AO45" s="9">
        <v>219</v>
      </c>
      <c r="AP45" s="9" t="str">
        <f>IFERROR(MID(VLOOKUP($B45,Seqs!$A:$B,2,0),AQ45,1),"")</f>
        <v>C</v>
      </c>
      <c r="AQ45" s="9">
        <v>259</v>
      </c>
      <c r="AR45" s="9" t="str">
        <f>IFERROR(MID(VLOOKUP($B45,Seqs!$A:$B,2,0),AS45,1),"")</f>
        <v>P</v>
      </c>
      <c r="AS45" s="9">
        <v>266</v>
      </c>
      <c r="AT45" s="9" t="str">
        <f>IFERROR(MID(VLOOKUP($B45,Seqs!$A:$B,2,0),AU45,1),"")</f>
        <v>R</v>
      </c>
      <c r="AU45" s="9">
        <v>291</v>
      </c>
      <c r="AV45" s="9" t="str">
        <f>IFERROR(MID(VLOOKUP($B45,Seqs!$A:$B,2,0),AW45,1),"")</f>
        <v>I</v>
      </c>
      <c r="AW45" s="9">
        <v>292</v>
      </c>
      <c r="AX45" s="9" t="str">
        <f>IFERROR(MID(VLOOKUP($B45,Seqs!$A:$B,2,0),AY45,1),"")</f>
        <v>S</v>
      </c>
      <c r="AY45" s="9">
        <v>305</v>
      </c>
      <c r="AZ45" s="111" t="str">
        <f>VLOOKUP(B45,Classification!A:D,2,0)</f>
        <v>A</v>
      </c>
      <c r="BA45" s="99" t="str">
        <f>VLOOKUP(B45,Classification!A:D,4,0)</f>
        <v>Adenosine</v>
      </c>
      <c r="BB45" s="36" t="b">
        <f t="shared" ref="BB45" si="447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110">
        <f t="shared" ref="BC45" si="448">_xlfn.AGGREGATE(9,6,CH45:CS45)-_xlfn.AGGREGATE(9,6,BV45:CG45)+12</f>
        <v>262</v>
      </c>
      <c r="BD45" s="13" t="s">
        <v>23</v>
      </c>
      <c r="BE45" s="9" t="s">
        <v>1381</v>
      </c>
      <c r="BF45" s="121">
        <v>1.95</v>
      </c>
      <c r="BG45" s="51" t="s">
        <v>1</v>
      </c>
      <c r="BH45" s="51" t="s">
        <v>1</v>
      </c>
      <c r="BJ45" s="112" t="s">
        <v>1293</v>
      </c>
      <c r="BK45" s="113" t="s">
        <v>1293</v>
      </c>
      <c r="BL45" s="113" t="s">
        <v>1293</v>
      </c>
      <c r="BM45" s="113" t="s">
        <v>1293</v>
      </c>
      <c r="BN45" s="113" t="s">
        <v>1293</v>
      </c>
      <c r="BO45" s="113" t="s">
        <v>1293</v>
      </c>
      <c r="BP45" s="113" t="s">
        <v>1293</v>
      </c>
      <c r="BQ45" s="113" t="s">
        <v>1293</v>
      </c>
      <c r="BR45" s="113" t="s">
        <v>1293</v>
      </c>
      <c r="BS45" s="113" t="s">
        <v>1293</v>
      </c>
      <c r="BT45" s="113" t="s">
        <v>1293</v>
      </c>
      <c r="BU45" s="113" t="s">
        <v>1293</v>
      </c>
      <c r="BV45" s="112">
        <f t="shared" ref="BV45" si="449">E45</f>
        <v>1</v>
      </c>
      <c r="BW45" s="114">
        <f t="shared" ref="BW45" si="450">I45</f>
        <v>35</v>
      </c>
      <c r="BX45" s="115">
        <f t="shared" ref="BX45" si="451">M45</f>
        <v>39</v>
      </c>
      <c r="BY45" s="114">
        <f t="shared" ref="BY45" si="452">Q45</f>
        <v>70</v>
      </c>
      <c r="BZ45" s="115">
        <f t="shared" ref="BZ45" si="453">U45</f>
        <v>73</v>
      </c>
      <c r="CA45" s="114">
        <f t="shared" ref="CA45" si="454">Y45</f>
        <v>109</v>
      </c>
      <c r="CB45" s="115">
        <f t="shared" ref="CB45" si="455">AC45</f>
        <v>117</v>
      </c>
      <c r="CC45" s="114">
        <f t="shared" ref="CC45" si="456">AG45</f>
        <v>166</v>
      </c>
      <c r="CD45" s="115">
        <f t="shared" ref="CD45" si="457">AK45</f>
        <v>173</v>
      </c>
      <c r="CE45" s="114">
        <f t="shared" ref="CE45" si="458">AO45</f>
        <v>219</v>
      </c>
      <c r="CF45" s="115">
        <f t="shared" ref="CF45" si="459">AS45</f>
        <v>266</v>
      </c>
      <c r="CG45" s="114">
        <f t="shared" ref="CG45" si="460">AW45</f>
        <v>292</v>
      </c>
      <c r="CH45" s="112">
        <f t="shared" ref="CH45" si="461">G45</f>
        <v>34</v>
      </c>
      <c r="CI45" s="114">
        <f t="shared" ref="CI45" si="462">K45</f>
        <v>38</v>
      </c>
      <c r="CJ45" s="115">
        <f t="shared" ref="CJ45" si="463">O45</f>
        <v>69</v>
      </c>
      <c r="CK45" s="115">
        <f t="shared" ref="CK45" si="464">S45</f>
        <v>72</v>
      </c>
      <c r="CL45" s="115">
        <f t="shared" ref="CL45" si="465">W45</f>
        <v>108</v>
      </c>
      <c r="CM45" s="115">
        <f t="shared" ref="CM45" si="466">AA45</f>
        <v>116</v>
      </c>
      <c r="CN45" s="115">
        <f t="shared" ref="CN45" si="467">AE45</f>
        <v>142</v>
      </c>
      <c r="CO45" s="115">
        <f t="shared" ref="CO45" si="468">AI45</f>
        <v>168</v>
      </c>
      <c r="CP45" s="115">
        <f t="shared" ref="CP45" si="469">AM45</f>
        <v>208</v>
      </c>
      <c r="CQ45" s="115">
        <f t="shared" ref="CQ45" si="470">AQ45</f>
        <v>259</v>
      </c>
      <c r="CR45" s="115">
        <f t="shared" ref="CR45" si="471">AU45</f>
        <v>291</v>
      </c>
      <c r="CS45" s="115">
        <f t="shared" ref="CS45" si="472">AY45</f>
        <v>305</v>
      </c>
      <c r="CT45" s="110">
        <f t="shared" ref="CT45" si="473">M45-K45</f>
        <v>1</v>
      </c>
    </row>
    <row r="46" spans="1:1029" s="12" customFormat="1" x14ac:dyDescent="0.2">
      <c r="A46" s="9" t="str">
        <f t="shared" ref="A46" si="474">CONCATENATE(B46,"_",C46)</f>
        <v>aa2ar_human_5VRA</v>
      </c>
      <c r="B46" s="9" t="s">
        <v>139</v>
      </c>
      <c r="C46" s="9" t="s">
        <v>1461</v>
      </c>
      <c r="D46" s="9" t="str">
        <f>IFERROR(MID(VLOOKUP($B46,Seqs!$A:$B,2,0),E46,1),"")</f>
        <v>M</v>
      </c>
      <c r="E46" s="9">
        <v>1</v>
      </c>
      <c r="F46" s="9" t="str">
        <f>IFERROR(MID(VLOOKUP($B46,Seqs!$A:$B,2,0),G46,1),"")</f>
        <v>N</v>
      </c>
      <c r="G46" s="9">
        <v>34</v>
      </c>
      <c r="H46" s="9" t="str">
        <f>IFERROR(MID(VLOOKUP($B46,Seqs!$A:$B,2,0),I46,1),"")</f>
        <v>S</v>
      </c>
      <c r="I46" s="110">
        <v>35</v>
      </c>
      <c r="J46" s="9" t="str">
        <f>IFERROR(MID(VLOOKUP($B46,Seqs!$A:$B,2,0),K46,1),"")</f>
        <v>Q</v>
      </c>
      <c r="K46" s="110">
        <v>38</v>
      </c>
      <c r="L46" s="9" t="str">
        <f>IFERROR(MID(VLOOKUP($B46,Seqs!$A:$B,2,0),M46,1),"")</f>
        <v>N</v>
      </c>
      <c r="M46" s="9">
        <v>39</v>
      </c>
      <c r="N46" s="9" t="str">
        <f>IFERROR(MID(VLOOKUP($B46,Seqs!$A:$B,2,0),O46,1),"")</f>
        <v>G</v>
      </c>
      <c r="O46" s="9">
        <v>69</v>
      </c>
      <c r="P46" s="9" t="str">
        <f>IFERROR(MID(VLOOKUP($B46,Seqs!$A:$B,2,0),Q46,1),"")</f>
        <v>F</v>
      </c>
      <c r="Q46" s="9">
        <v>70</v>
      </c>
      <c r="R46" s="9" t="str">
        <f>IFERROR(MID(VLOOKUP($B46,Seqs!$A:$B,2,0),S46,1),"")</f>
        <v>A</v>
      </c>
      <c r="S46" s="9">
        <v>72</v>
      </c>
      <c r="T46" s="9" t="str">
        <f>IFERROR(MID(VLOOKUP($B46,Seqs!$A:$B,2,0),U46,1),"")</f>
        <v>A</v>
      </c>
      <c r="U46" s="9">
        <v>73</v>
      </c>
      <c r="V46" s="9" t="str">
        <f>IFERROR(MID(VLOOKUP($B46,Seqs!$A:$B,2,0),W46,1),"")</f>
        <v>I</v>
      </c>
      <c r="W46" s="9">
        <v>108</v>
      </c>
      <c r="X46" s="9" t="str">
        <f>IFERROR(MID(VLOOKUP($B46,Seqs!$A:$B,2,0),Y46,1),"")</f>
        <v>P</v>
      </c>
      <c r="Y46" s="9">
        <v>109</v>
      </c>
      <c r="Z46" s="9" t="str">
        <f>IFERROR(MID(VLOOKUP($B46,Seqs!$A:$B,2,0),AA46,1),"")</f>
        <v>V</v>
      </c>
      <c r="AA46" s="9">
        <v>116</v>
      </c>
      <c r="AB46" s="9" t="str">
        <f>IFERROR(MID(VLOOKUP($B46,Seqs!$A:$B,2,0),AC46,1),"")</f>
        <v>T</v>
      </c>
      <c r="AC46" s="9">
        <v>117</v>
      </c>
      <c r="AD46" s="9" t="str">
        <f>IFERROR(MID(VLOOKUP($B46,Seqs!$A:$B,2,0),AE46,1),"")</f>
        <v>G</v>
      </c>
      <c r="AE46" s="9">
        <v>142</v>
      </c>
      <c r="AF46" s="9" t="str">
        <f>IFERROR(MID(VLOOKUP($B46,Seqs!$A:$B,2,0),AG46,1),"")</f>
        <v>C</v>
      </c>
      <c r="AG46" s="9">
        <v>166</v>
      </c>
      <c r="AH46" s="9" t="str">
        <f>IFERROR(MID(VLOOKUP($B46,Seqs!$A:$B,2,0),AI46,1),"")</f>
        <v>F</v>
      </c>
      <c r="AI46" s="9">
        <v>168</v>
      </c>
      <c r="AJ46" s="9" t="str">
        <f>IFERROR(MID(VLOOKUP($B46,Seqs!$A:$B,2,0),AK46,1),"")</f>
        <v>P</v>
      </c>
      <c r="AK46" s="9">
        <v>173</v>
      </c>
      <c r="AL46" s="9" t="str">
        <f>IFERROR(MID(VLOOKUP($B46,Seqs!$A:$B,2,0),AM46,1),"")</f>
        <v>L</v>
      </c>
      <c r="AM46" s="9">
        <v>208</v>
      </c>
      <c r="AN46" s="9" t="str">
        <f>IFERROR(MID(VLOOKUP($B46,Seqs!$A:$B,2,0),AO46,1),"")</f>
        <v>E</v>
      </c>
      <c r="AO46" s="9">
        <v>219</v>
      </c>
      <c r="AP46" s="9" t="str">
        <f>IFERROR(MID(VLOOKUP($B46,Seqs!$A:$B,2,0),AQ46,1),"")</f>
        <v>C</v>
      </c>
      <c r="AQ46" s="9">
        <v>259</v>
      </c>
      <c r="AR46" s="9" t="str">
        <f>IFERROR(MID(VLOOKUP($B46,Seqs!$A:$B,2,0),AS46,1),"")</f>
        <v>P</v>
      </c>
      <c r="AS46" s="9">
        <v>266</v>
      </c>
      <c r="AT46" s="9" t="str">
        <f>IFERROR(MID(VLOOKUP($B46,Seqs!$A:$B,2,0),AU46,1),"")</f>
        <v>R</v>
      </c>
      <c r="AU46" s="9">
        <v>291</v>
      </c>
      <c r="AV46" s="9" t="str">
        <f>IFERROR(MID(VLOOKUP($B46,Seqs!$A:$B,2,0),AW46,1),"")</f>
        <v>I</v>
      </c>
      <c r="AW46" s="9">
        <v>292</v>
      </c>
      <c r="AX46" s="9" t="str">
        <f>IFERROR(MID(VLOOKUP($B46,Seqs!$A:$B,2,0),AY46,1),"")</f>
        <v>H</v>
      </c>
      <c r="AY46" s="9">
        <v>306</v>
      </c>
      <c r="AZ46" s="111" t="str">
        <f>VLOOKUP(B46,Classification!A:D,2,0)</f>
        <v>A</v>
      </c>
      <c r="BA46" s="99" t="str">
        <f>VLOOKUP(B46,Classification!A:D,4,0)</f>
        <v>Adenosine</v>
      </c>
      <c r="BB46" s="36" t="b">
        <f t="shared" ref="BB46" si="475">AND(E46&lt;G46,OR(G46&lt;I46,I46="-"),OR(I46&lt;K46,I46="-"),OR(K46&lt;M46,K46="-"),M46&lt;O46,OR(O46&lt;Q46,Q46="-"),OR(Q46&lt;S46,Q46="-"),OR(S46&lt;U46,S46="-"),U46&lt;W46,OR(W46&lt;Y46,Y46="-"),OR(Y46&lt;AA46,Y46="-"),OR(AA46&lt;AC46,AA46="-"),AC46&lt;AE46,OR(AE46&lt;AG46,AG46="-"),OR(AG46&lt;AI46,AG46="-"),OR(AI46&lt;AK46,AI46="-"),AK46&lt;AM46,AM46&lt;AO46,AO46&lt;AQ46,AQ46&lt;AS46,AS46&lt;AU46,OR(AU46&lt;AW46,AW46="-"),OR(AW46&lt;AY46,AW46="-"))</f>
        <v>1</v>
      </c>
      <c r="BC46" s="110">
        <f t="shared" ref="BC46" si="476">_xlfn.AGGREGATE(9,6,CH46:CS46)-_xlfn.AGGREGATE(9,6,BV46:CG46)+12</f>
        <v>263</v>
      </c>
      <c r="BD46" s="13" t="s">
        <v>23</v>
      </c>
      <c r="BE46" s="9" t="s">
        <v>1381</v>
      </c>
      <c r="BF46" s="121">
        <v>2.35</v>
      </c>
      <c r="BG46" s="51" t="s">
        <v>1</v>
      </c>
      <c r="BH46" s="51" t="s">
        <v>1</v>
      </c>
      <c r="BJ46" s="112" t="s">
        <v>1293</v>
      </c>
      <c r="BK46" s="113" t="s">
        <v>1293</v>
      </c>
      <c r="BL46" s="113" t="s">
        <v>1293</v>
      </c>
      <c r="BM46" s="113" t="s">
        <v>1293</v>
      </c>
      <c r="BN46" s="113" t="s">
        <v>1293</v>
      </c>
      <c r="BO46" s="113" t="s">
        <v>1293</v>
      </c>
      <c r="BP46" s="113" t="s">
        <v>1293</v>
      </c>
      <c r="BQ46" s="113" t="s">
        <v>1293</v>
      </c>
      <c r="BR46" s="113" t="s">
        <v>1293</v>
      </c>
      <c r="BS46" s="113" t="s">
        <v>1293</v>
      </c>
      <c r="BT46" s="113" t="s">
        <v>1293</v>
      </c>
      <c r="BU46" s="113" t="s">
        <v>1293</v>
      </c>
      <c r="BV46" s="112">
        <f t="shared" ref="BV46" si="477">E46</f>
        <v>1</v>
      </c>
      <c r="BW46" s="114">
        <f t="shared" ref="BW46" si="478">I46</f>
        <v>35</v>
      </c>
      <c r="BX46" s="115">
        <f t="shared" ref="BX46" si="479">M46</f>
        <v>39</v>
      </c>
      <c r="BY46" s="114">
        <f t="shared" ref="BY46" si="480">Q46</f>
        <v>70</v>
      </c>
      <c r="BZ46" s="115">
        <f t="shared" ref="BZ46" si="481">U46</f>
        <v>73</v>
      </c>
      <c r="CA46" s="114">
        <f t="shared" ref="CA46" si="482">Y46</f>
        <v>109</v>
      </c>
      <c r="CB46" s="115">
        <f t="shared" ref="CB46" si="483">AC46</f>
        <v>117</v>
      </c>
      <c r="CC46" s="114">
        <f t="shared" ref="CC46" si="484">AG46</f>
        <v>166</v>
      </c>
      <c r="CD46" s="115">
        <f t="shared" ref="CD46" si="485">AK46</f>
        <v>173</v>
      </c>
      <c r="CE46" s="114">
        <f t="shared" ref="CE46" si="486">AO46</f>
        <v>219</v>
      </c>
      <c r="CF46" s="115">
        <f t="shared" ref="CF46" si="487">AS46</f>
        <v>266</v>
      </c>
      <c r="CG46" s="114">
        <f t="shared" ref="CG46" si="488">AW46</f>
        <v>292</v>
      </c>
      <c r="CH46" s="112">
        <f t="shared" ref="CH46" si="489">G46</f>
        <v>34</v>
      </c>
      <c r="CI46" s="114">
        <f t="shared" ref="CI46" si="490">K46</f>
        <v>38</v>
      </c>
      <c r="CJ46" s="115">
        <f t="shared" ref="CJ46" si="491">O46</f>
        <v>69</v>
      </c>
      <c r="CK46" s="115">
        <f t="shared" ref="CK46" si="492">S46</f>
        <v>72</v>
      </c>
      <c r="CL46" s="115">
        <f t="shared" ref="CL46" si="493">W46</f>
        <v>108</v>
      </c>
      <c r="CM46" s="115">
        <f t="shared" ref="CM46" si="494">AA46</f>
        <v>116</v>
      </c>
      <c r="CN46" s="115">
        <f t="shared" ref="CN46" si="495">AE46</f>
        <v>142</v>
      </c>
      <c r="CO46" s="115">
        <f t="shared" ref="CO46" si="496">AI46</f>
        <v>168</v>
      </c>
      <c r="CP46" s="115">
        <f t="shared" ref="CP46" si="497">AM46</f>
        <v>208</v>
      </c>
      <c r="CQ46" s="115">
        <f t="shared" ref="CQ46" si="498">AQ46</f>
        <v>259</v>
      </c>
      <c r="CR46" s="115">
        <f t="shared" ref="CR46" si="499">AU46</f>
        <v>291</v>
      </c>
      <c r="CS46" s="115">
        <f t="shared" ref="CS46" si="500">AY46</f>
        <v>306</v>
      </c>
      <c r="CT46" s="110">
        <f t="shared" ref="CT46" si="501">M46-K46</f>
        <v>1</v>
      </c>
    </row>
    <row r="47" spans="1:1029" s="12" customFormat="1" x14ac:dyDescent="0.2">
      <c r="A47" s="9" t="str">
        <f t="shared" ref="A47" si="502">CONCATENATE(B47,"_",C47)</f>
        <v>aa2ar_human_5OLG</v>
      </c>
      <c r="B47" s="9" t="s">
        <v>139</v>
      </c>
      <c r="C47" s="9" t="s">
        <v>1467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10">
        <v>35</v>
      </c>
      <c r="J47" s="9" t="str">
        <f>IFERROR(MID(VLOOKUP($B47,Seqs!$A:$B,2,0),K47,1),"")</f>
        <v>Q</v>
      </c>
      <c r="K47" s="110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1" t="str">
        <f>VLOOKUP(B47,Classification!A:D,2,0)</f>
        <v>A</v>
      </c>
      <c r="BA47" s="99" t="str">
        <f>VLOOKUP(B47,Classification!A:D,4,0)</f>
        <v>Adenosine</v>
      </c>
      <c r="BB47" s="36" t="b">
        <f t="shared" ref="BB47" si="503">AND(E47&lt;G47,OR(G47&lt;I47,I47="-"),OR(I47&lt;K47,I47="-"),OR(K47&lt;M47,K47="-"),M47&lt;O47,OR(O47&lt;Q47,Q47="-"),OR(Q47&lt;S47,Q47="-"),OR(S47&lt;U47,S47="-"),U47&lt;W47,OR(W47&lt;Y47,Y47="-"),OR(Y47&lt;AA47,Y47="-"),OR(AA47&lt;AC47,AA47="-"),AC47&lt;AE47,OR(AE47&lt;AG47,AG47="-"),OR(AG47&lt;AI47,AG47="-"),OR(AI47&lt;AK47,AI47="-"),AK47&lt;AM47,AM47&lt;AO47,AO47&lt;AQ47,AQ47&lt;AS47,AS47&lt;AU47,OR(AU47&lt;AW47,AW47="-"),OR(AW47&lt;AY47,AW47="-"))</f>
        <v>1</v>
      </c>
      <c r="BC47" s="110">
        <f t="shared" ref="BC47" si="504">_xlfn.AGGREGATE(9,6,CH47:CS47)-_xlfn.AGGREGATE(9,6,BV47:CG47)+12</f>
        <v>262</v>
      </c>
      <c r="BD47" s="13" t="s">
        <v>23</v>
      </c>
      <c r="BE47" s="9" t="s">
        <v>1381</v>
      </c>
      <c r="BF47" s="121">
        <v>1.87</v>
      </c>
      <c r="BG47" s="51" t="s">
        <v>1</v>
      </c>
      <c r="BH47" s="51" t="s">
        <v>1</v>
      </c>
      <c r="BJ47" s="112" t="s">
        <v>1293</v>
      </c>
      <c r="BK47" s="113" t="s">
        <v>1293</v>
      </c>
      <c r="BL47" s="113" t="s">
        <v>1293</v>
      </c>
      <c r="BM47" s="113" t="s">
        <v>1293</v>
      </c>
      <c r="BN47" s="113" t="s">
        <v>1293</v>
      </c>
      <c r="BO47" s="113" t="s">
        <v>1293</v>
      </c>
      <c r="BP47" s="113" t="s">
        <v>1293</v>
      </c>
      <c r="BQ47" s="113" t="s">
        <v>1293</v>
      </c>
      <c r="BR47" s="113" t="s">
        <v>1293</v>
      </c>
      <c r="BS47" s="113" t="s">
        <v>1293</v>
      </c>
      <c r="BT47" s="113" t="s">
        <v>1293</v>
      </c>
      <c r="BU47" s="113" t="s">
        <v>1293</v>
      </c>
      <c r="BV47" s="112">
        <f t="shared" ref="BV47" si="505">E47</f>
        <v>1</v>
      </c>
      <c r="BW47" s="114">
        <f t="shared" ref="BW47" si="506">I47</f>
        <v>35</v>
      </c>
      <c r="BX47" s="115">
        <f t="shared" ref="BX47" si="507">M47</f>
        <v>39</v>
      </c>
      <c r="BY47" s="114">
        <f t="shared" ref="BY47" si="508">Q47</f>
        <v>70</v>
      </c>
      <c r="BZ47" s="115">
        <f t="shared" ref="BZ47" si="509">U47</f>
        <v>73</v>
      </c>
      <c r="CA47" s="114">
        <f t="shared" ref="CA47" si="510">Y47</f>
        <v>109</v>
      </c>
      <c r="CB47" s="115">
        <f t="shared" ref="CB47" si="511">AC47</f>
        <v>117</v>
      </c>
      <c r="CC47" s="114">
        <f t="shared" ref="CC47" si="512">AG47</f>
        <v>166</v>
      </c>
      <c r="CD47" s="115">
        <f t="shared" ref="CD47" si="513">AK47</f>
        <v>173</v>
      </c>
      <c r="CE47" s="114">
        <f t="shared" ref="CE47" si="514">AO47</f>
        <v>219</v>
      </c>
      <c r="CF47" s="115">
        <f t="shared" ref="CF47" si="515">AS47</f>
        <v>266</v>
      </c>
      <c r="CG47" s="114">
        <f t="shared" ref="CG47" si="516">AW47</f>
        <v>292</v>
      </c>
      <c r="CH47" s="112">
        <f t="shared" ref="CH47" si="517">G47</f>
        <v>34</v>
      </c>
      <c r="CI47" s="114">
        <f t="shared" ref="CI47" si="518">K47</f>
        <v>38</v>
      </c>
      <c r="CJ47" s="115">
        <f t="shared" ref="CJ47" si="519">O47</f>
        <v>69</v>
      </c>
      <c r="CK47" s="115">
        <f t="shared" ref="CK47" si="520">S47</f>
        <v>72</v>
      </c>
      <c r="CL47" s="115">
        <f t="shared" ref="CL47" si="521">W47</f>
        <v>108</v>
      </c>
      <c r="CM47" s="115">
        <f t="shared" ref="CM47" si="522">AA47</f>
        <v>116</v>
      </c>
      <c r="CN47" s="115">
        <f t="shared" ref="CN47" si="523">AE47</f>
        <v>142</v>
      </c>
      <c r="CO47" s="115">
        <f t="shared" ref="CO47" si="524">AI47</f>
        <v>168</v>
      </c>
      <c r="CP47" s="115">
        <f t="shared" ref="CP47" si="525">AM47</f>
        <v>208</v>
      </c>
      <c r="CQ47" s="115">
        <f t="shared" ref="CQ47" si="526">AQ47</f>
        <v>259</v>
      </c>
      <c r="CR47" s="115">
        <f t="shared" ref="CR47" si="527">AU47</f>
        <v>291</v>
      </c>
      <c r="CS47" s="115">
        <f t="shared" ref="CS47" si="528">AY47</f>
        <v>305</v>
      </c>
      <c r="CT47" s="110">
        <f t="shared" ref="CT47" si="529">M47-K47</f>
        <v>1</v>
      </c>
    </row>
    <row r="48" spans="1:1029" s="12" customFormat="1" x14ac:dyDescent="0.2">
      <c r="A48" s="9" t="str">
        <f t="shared" ref="A48" si="530">CONCATENATE(B48,"_",C48)</f>
        <v>aa2ar_human_5OLH</v>
      </c>
      <c r="B48" s="9" t="s">
        <v>139</v>
      </c>
      <c r="C48" s="9" t="s">
        <v>1468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10">
        <v>35</v>
      </c>
      <c r="J48" s="9" t="str">
        <f>IFERROR(MID(VLOOKUP($B48,Seqs!$A:$B,2,0),K48,1),"")</f>
        <v>Q</v>
      </c>
      <c r="K48" s="110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S</v>
      </c>
      <c r="AY48" s="9">
        <v>305</v>
      </c>
      <c r="AZ48" s="111" t="str">
        <f>VLOOKUP(B48,Classification!A:D,2,0)</f>
        <v>A</v>
      </c>
      <c r="BA48" s="99" t="str">
        <f>VLOOKUP(B48,Classification!A:D,4,0)</f>
        <v>Adenosine</v>
      </c>
      <c r="BB48" s="36" t="b">
        <f t="shared" ref="BB48" si="531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110">
        <f t="shared" ref="BC48" si="532">_xlfn.AGGREGATE(9,6,CH48:CS48)-_xlfn.AGGREGATE(9,6,BV48:CG48)+12</f>
        <v>262</v>
      </c>
      <c r="BD48" s="13" t="s">
        <v>23</v>
      </c>
      <c r="BE48" s="9" t="s">
        <v>1381</v>
      </c>
      <c r="BF48" s="121">
        <v>2.6</v>
      </c>
      <c r="BG48" s="51" t="s">
        <v>1</v>
      </c>
      <c r="BH48" s="51" t="s">
        <v>1</v>
      </c>
      <c r="BJ48" s="112" t="s">
        <v>1293</v>
      </c>
      <c r="BK48" s="113" t="s">
        <v>1293</v>
      </c>
      <c r="BL48" s="113" t="s">
        <v>1293</v>
      </c>
      <c r="BM48" s="113" t="s">
        <v>1293</v>
      </c>
      <c r="BN48" s="113" t="s">
        <v>1293</v>
      </c>
      <c r="BO48" s="113" t="s">
        <v>1293</v>
      </c>
      <c r="BP48" s="113" t="s">
        <v>1293</v>
      </c>
      <c r="BQ48" s="113" t="s">
        <v>1293</v>
      </c>
      <c r="BR48" s="113" t="s">
        <v>1293</v>
      </c>
      <c r="BS48" s="113" t="s">
        <v>1293</v>
      </c>
      <c r="BT48" s="113" t="s">
        <v>1293</v>
      </c>
      <c r="BU48" s="113" t="s">
        <v>1293</v>
      </c>
      <c r="BV48" s="112">
        <f t="shared" ref="BV48" si="533">E48</f>
        <v>1</v>
      </c>
      <c r="BW48" s="114">
        <f t="shared" ref="BW48" si="534">I48</f>
        <v>35</v>
      </c>
      <c r="BX48" s="115">
        <f t="shared" ref="BX48" si="535">M48</f>
        <v>39</v>
      </c>
      <c r="BY48" s="114">
        <f t="shared" ref="BY48" si="536">Q48</f>
        <v>70</v>
      </c>
      <c r="BZ48" s="115">
        <f t="shared" ref="BZ48" si="537">U48</f>
        <v>73</v>
      </c>
      <c r="CA48" s="114">
        <f t="shared" ref="CA48" si="538">Y48</f>
        <v>109</v>
      </c>
      <c r="CB48" s="115">
        <f t="shared" ref="CB48" si="539">AC48</f>
        <v>117</v>
      </c>
      <c r="CC48" s="114">
        <f t="shared" ref="CC48" si="540">AG48</f>
        <v>166</v>
      </c>
      <c r="CD48" s="115">
        <f t="shared" ref="CD48" si="541">AK48</f>
        <v>173</v>
      </c>
      <c r="CE48" s="114">
        <f t="shared" ref="CE48" si="542">AO48</f>
        <v>219</v>
      </c>
      <c r="CF48" s="115">
        <f t="shared" ref="CF48" si="543">AS48</f>
        <v>266</v>
      </c>
      <c r="CG48" s="114">
        <f t="shared" ref="CG48" si="544">AW48</f>
        <v>292</v>
      </c>
      <c r="CH48" s="112">
        <f t="shared" ref="CH48" si="545">G48</f>
        <v>34</v>
      </c>
      <c r="CI48" s="114">
        <f t="shared" ref="CI48" si="546">K48</f>
        <v>38</v>
      </c>
      <c r="CJ48" s="115">
        <f t="shared" ref="CJ48" si="547">O48</f>
        <v>69</v>
      </c>
      <c r="CK48" s="115">
        <f t="shared" ref="CK48" si="548">S48</f>
        <v>72</v>
      </c>
      <c r="CL48" s="115">
        <f t="shared" ref="CL48" si="549">W48</f>
        <v>108</v>
      </c>
      <c r="CM48" s="115">
        <f t="shared" ref="CM48" si="550">AA48</f>
        <v>116</v>
      </c>
      <c r="CN48" s="115">
        <f t="shared" ref="CN48" si="551">AE48</f>
        <v>142</v>
      </c>
      <c r="CO48" s="115">
        <f t="shared" ref="CO48" si="552">AI48</f>
        <v>168</v>
      </c>
      <c r="CP48" s="115">
        <f t="shared" ref="CP48" si="553">AM48</f>
        <v>208</v>
      </c>
      <c r="CQ48" s="115">
        <f t="shared" ref="CQ48" si="554">AQ48</f>
        <v>259</v>
      </c>
      <c r="CR48" s="115">
        <f t="shared" ref="CR48" si="555">AU48</f>
        <v>291</v>
      </c>
      <c r="CS48" s="115">
        <f t="shared" ref="CS48" si="556">AY48</f>
        <v>305</v>
      </c>
      <c r="CT48" s="110">
        <f t="shared" ref="CT48" si="557">M48-K48</f>
        <v>1</v>
      </c>
    </row>
    <row r="49" spans="1:1029" s="12" customFormat="1" x14ac:dyDescent="0.2">
      <c r="A49" s="9" t="str">
        <f t="shared" ref="A49" si="558">CONCATENATE(B49,"_",C49)</f>
        <v>aa2ar_human_5OLO</v>
      </c>
      <c r="B49" s="9" t="s">
        <v>139</v>
      </c>
      <c r="C49" s="9" t="s">
        <v>1469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10">
        <v>35</v>
      </c>
      <c r="J49" s="9" t="str">
        <f>IFERROR(MID(VLOOKUP($B49,Seqs!$A:$B,2,0),K49,1),"")</f>
        <v>Q</v>
      </c>
      <c r="K49" s="110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1" t="str">
        <f>VLOOKUP(B49,Classification!A:D,2,0)</f>
        <v>A</v>
      </c>
      <c r="BA49" s="99" t="str">
        <f>VLOOKUP(B49,Classification!A:D,4,0)</f>
        <v>Adenosine</v>
      </c>
      <c r="BB49" s="36" t="b">
        <f t="shared" ref="BB49" si="559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110">
        <f t="shared" ref="BC49" si="560">_xlfn.AGGREGATE(9,6,CH49:CS49)-_xlfn.AGGREGATE(9,6,BV49:CG49)+12</f>
        <v>262</v>
      </c>
      <c r="BD49" s="13" t="s">
        <v>23</v>
      </c>
      <c r="BE49" s="9" t="s">
        <v>1381</v>
      </c>
      <c r="BF49" s="121">
        <v>3.1</v>
      </c>
      <c r="BG49" s="51" t="s">
        <v>1</v>
      </c>
      <c r="BH49" s="51" t="s">
        <v>1</v>
      </c>
      <c r="BJ49" s="112" t="s">
        <v>1293</v>
      </c>
      <c r="BK49" s="113" t="s">
        <v>1293</v>
      </c>
      <c r="BL49" s="113" t="s">
        <v>1293</v>
      </c>
      <c r="BM49" s="113" t="s">
        <v>1293</v>
      </c>
      <c r="BN49" s="113" t="s">
        <v>1293</v>
      </c>
      <c r="BO49" s="113" t="s">
        <v>1293</v>
      </c>
      <c r="BP49" s="113" t="s">
        <v>1293</v>
      </c>
      <c r="BQ49" s="113" t="s">
        <v>1293</v>
      </c>
      <c r="BR49" s="113" t="s">
        <v>1293</v>
      </c>
      <c r="BS49" s="113" t="s">
        <v>1293</v>
      </c>
      <c r="BT49" s="113" t="s">
        <v>1293</v>
      </c>
      <c r="BU49" s="113" t="s">
        <v>1293</v>
      </c>
      <c r="BV49" s="112">
        <f t="shared" ref="BV49" si="561">E49</f>
        <v>1</v>
      </c>
      <c r="BW49" s="114">
        <f t="shared" ref="BW49" si="562">I49</f>
        <v>35</v>
      </c>
      <c r="BX49" s="115">
        <f t="shared" ref="BX49" si="563">M49</f>
        <v>39</v>
      </c>
      <c r="BY49" s="114">
        <f t="shared" ref="BY49" si="564">Q49</f>
        <v>70</v>
      </c>
      <c r="BZ49" s="115">
        <f t="shared" ref="BZ49" si="565">U49</f>
        <v>73</v>
      </c>
      <c r="CA49" s="114">
        <f t="shared" ref="CA49" si="566">Y49</f>
        <v>109</v>
      </c>
      <c r="CB49" s="115">
        <f t="shared" ref="CB49" si="567">AC49</f>
        <v>117</v>
      </c>
      <c r="CC49" s="114">
        <f t="shared" ref="CC49" si="568">AG49</f>
        <v>166</v>
      </c>
      <c r="CD49" s="115">
        <f t="shared" ref="CD49" si="569">AK49</f>
        <v>173</v>
      </c>
      <c r="CE49" s="114">
        <f t="shared" ref="CE49" si="570">AO49</f>
        <v>219</v>
      </c>
      <c r="CF49" s="115">
        <f t="shared" ref="CF49" si="571">AS49</f>
        <v>266</v>
      </c>
      <c r="CG49" s="114">
        <f t="shared" ref="CG49" si="572">AW49</f>
        <v>292</v>
      </c>
      <c r="CH49" s="112">
        <f t="shared" ref="CH49" si="573">G49</f>
        <v>34</v>
      </c>
      <c r="CI49" s="114">
        <f t="shared" ref="CI49" si="574">K49</f>
        <v>38</v>
      </c>
      <c r="CJ49" s="115">
        <f t="shared" ref="CJ49" si="575">O49</f>
        <v>69</v>
      </c>
      <c r="CK49" s="115">
        <f t="shared" ref="CK49" si="576">S49</f>
        <v>72</v>
      </c>
      <c r="CL49" s="115">
        <f t="shared" ref="CL49" si="577">W49</f>
        <v>108</v>
      </c>
      <c r="CM49" s="115">
        <f t="shared" ref="CM49" si="578">AA49</f>
        <v>116</v>
      </c>
      <c r="CN49" s="115">
        <f t="shared" ref="CN49" si="579">AE49</f>
        <v>142</v>
      </c>
      <c r="CO49" s="115">
        <f t="shared" ref="CO49" si="580">AI49</f>
        <v>168</v>
      </c>
      <c r="CP49" s="115">
        <f t="shared" ref="CP49" si="581">AM49</f>
        <v>208</v>
      </c>
      <c r="CQ49" s="115">
        <f t="shared" ref="CQ49" si="582">AQ49</f>
        <v>259</v>
      </c>
      <c r="CR49" s="115">
        <f t="shared" ref="CR49" si="583">AU49</f>
        <v>291</v>
      </c>
      <c r="CS49" s="115">
        <f t="shared" ref="CS49" si="584">AY49</f>
        <v>305</v>
      </c>
      <c r="CT49" s="110">
        <f t="shared" ref="CT49" si="585">M49-K49</f>
        <v>1</v>
      </c>
    </row>
    <row r="50" spans="1:1029" s="12" customFormat="1" x14ac:dyDescent="0.2">
      <c r="A50" s="9" t="str">
        <f t="shared" ref="A50" si="586">CONCATENATE(B50,"_",C50)</f>
        <v>aa2ar_human_5OLV</v>
      </c>
      <c r="B50" s="9" t="s">
        <v>139</v>
      </c>
      <c r="C50" s="9" t="s">
        <v>1470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10">
        <v>35</v>
      </c>
      <c r="J50" s="9" t="str">
        <f>IFERROR(MID(VLOOKUP($B50,Seqs!$A:$B,2,0),K50,1),"")</f>
        <v>Q</v>
      </c>
      <c r="K50" s="110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1" t="str">
        <f>VLOOKUP(B50,Classification!A:D,2,0)</f>
        <v>A</v>
      </c>
      <c r="BA50" s="99" t="str">
        <f>VLOOKUP(B50,Classification!A:D,4,0)</f>
        <v>Adenosine</v>
      </c>
      <c r="BB50" s="36" t="b">
        <f t="shared" ref="BB50" si="587">AND(E50&lt;G50,OR(G50&lt;I50,I50="-"),OR(I50&lt;K50,I50="-"),OR(K50&lt;M50,K50="-"),M50&lt;O50,OR(O50&lt;Q50,Q50="-"),OR(Q50&lt;S50,Q50="-"),OR(S50&lt;U50,S50="-"),U50&lt;W50,OR(W50&lt;Y50,Y50="-"),OR(Y50&lt;AA50,Y50="-"),OR(AA50&lt;AC50,AA50="-"),AC50&lt;AE50,OR(AE50&lt;AG50,AG50="-"),OR(AG50&lt;AI50,AG50="-"),OR(AI50&lt;AK50,AI50="-"),AK50&lt;AM50,AM50&lt;AO50,AO50&lt;AQ50,AQ50&lt;AS50,AS50&lt;AU50,OR(AU50&lt;AW50,AW50="-"),OR(AW50&lt;AY50,AW50="-"))</f>
        <v>1</v>
      </c>
      <c r="BC50" s="110">
        <f t="shared" ref="BC50" si="588">_xlfn.AGGREGATE(9,6,CH50:CS50)-_xlfn.AGGREGATE(9,6,BV50:CG50)+12</f>
        <v>262</v>
      </c>
      <c r="BD50" s="13" t="s">
        <v>23</v>
      </c>
      <c r="BE50" s="9" t="s">
        <v>1381</v>
      </c>
      <c r="BF50" s="121">
        <v>2</v>
      </c>
      <c r="BG50" s="51" t="s">
        <v>1</v>
      </c>
      <c r="BH50" s="51" t="s">
        <v>1</v>
      </c>
      <c r="BJ50" s="112" t="s">
        <v>1293</v>
      </c>
      <c r="BK50" s="113" t="s">
        <v>1293</v>
      </c>
      <c r="BL50" s="113" t="s">
        <v>1293</v>
      </c>
      <c r="BM50" s="113" t="s">
        <v>1293</v>
      </c>
      <c r="BN50" s="113" t="s">
        <v>1293</v>
      </c>
      <c r="BO50" s="113" t="s">
        <v>1293</v>
      </c>
      <c r="BP50" s="113" t="s">
        <v>1293</v>
      </c>
      <c r="BQ50" s="113" t="s">
        <v>1293</v>
      </c>
      <c r="BR50" s="113" t="s">
        <v>1293</v>
      </c>
      <c r="BS50" s="113" t="s">
        <v>1293</v>
      </c>
      <c r="BT50" s="113" t="s">
        <v>1293</v>
      </c>
      <c r="BU50" s="113" t="s">
        <v>1293</v>
      </c>
      <c r="BV50" s="112">
        <f t="shared" ref="BV50" si="589">E50</f>
        <v>1</v>
      </c>
      <c r="BW50" s="114">
        <f t="shared" ref="BW50" si="590">I50</f>
        <v>35</v>
      </c>
      <c r="BX50" s="115">
        <f t="shared" ref="BX50" si="591">M50</f>
        <v>39</v>
      </c>
      <c r="BY50" s="114">
        <f t="shared" ref="BY50" si="592">Q50</f>
        <v>70</v>
      </c>
      <c r="BZ50" s="115">
        <f t="shared" ref="BZ50" si="593">U50</f>
        <v>73</v>
      </c>
      <c r="CA50" s="114">
        <f t="shared" ref="CA50" si="594">Y50</f>
        <v>109</v>
      </c>
      <c r="CB50" s="115">
        <f t="shared" ref="CB50" si="595">AC50</f>
        <v>117</v>
      </c>
      <c r="CC50" s="114">
        <f t="shared" ref="CC50" si="596">AG50</f>
        <v>166</v>
      </c>
      <c r="CD50" s="115">
        <f t="shared" ref="CD50" si="597">AK50</f>
        <v>173</v>
      </c>
      <c r="CE50" s="114">
        <f t="shared" ref="CE50" si="598">AO50</f>
        <v>219</v>
      </c>
      <c r="CF50" s="115">
        <f t="shared" ref="CF50" si="599">AS50</f>
        <v>266</v>
      </c>
      <c r="CG50" s="114">
        <f t="shared" ref="CG50" si="600">AW50</f>
        <v>292</v>
      </c>
      <c r="CH50" s="112">
        <f t="shared" ref="CH50" si="601">G50</f>
        <v>34</v>
      </c>
      <c r="CI50" s="114">
        <f t="shared" ref="CI50" si="602">K50</f>
        <v>38</v>
      </c>
      <c r="CJ50" s="115">
        <f t="shared" ref="CJ50" si="603">O50</f>
        <v>69</v>
      </c>
      <c r="CK50" s="115">
        <f t="shared" ref="CK50" si="604">S50</f>
        <v>72</v>
      </c>
      <c r="CL50" s="115">
        <f t="shared" ref="CL50" si="605">W50</f>
        <v>108</v>
      </c>
      <c r="CM50" s="115">
        <f t="shared" ref="CM50" si="606">AA50</f>
        <v>116</v>
      </c>
      <c r="CN50" s="115">
        <f t="shared" ref="CN50" si="607">AE50</f>
        <v>142</v>
      </c>
      <c r="CO50" s="115">
        <f t="shared" ref="CO50" si="608">AI50</f>
        <v>168</v>
      </c>
      <c r="CP50" s="115">
        <f t="shared" ref="CP50" si="609">AM50</f>
        <v>208</v>
      </c>
      <c r="CQ50" s="115">
        <f t="shared" ref="CQ50" si="610">AQ50</f>
        <v>259</v>
      </c>
      <c r="CR50" s="115">
        <f t="shared" ref="CR50" si="611">AU50</f>
        <v>291</v>
      </c>
      <c r="CS50" s="115">
        <f t="shared" ref="CS50" si="612">AY50</f>
        <v>305</v>
      </c>
      <c r="CT50" s="110">
        <f t="shared" ref="CT50" si="613">M50-K50</f>
        <v>1</v>
      </c>
    </row>
    <row r="51" spans="1:1029" s="12" customFormat="1" x14ac:dyDescent="0.2">
      <c r="A51" s="9" t="str">
        <f t="shared" ref="A51" si="614">CONCATENATE(B51,"_",C51)</f>
        <v>aa2ar_human_5OLZ</v>
      </c>
      <c r="B51" s="9" t="s">
        <v>139</v>
      </c>
      <c r="C51" s="9" t="s">
        <v>1471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10">
        <v>35</v>
      </c>
      <c r="J51" s="9" t="str">
        <f>IFERROR(MID(VLOOKUP($B51,Seqs!$A:$B,2,0),K51,1),"")</f>
        <v>Q</v>
      </c>
      <c r="K51" s="110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1" t="str">
        <f>VLOOKUP(B51,Classification!A:D,2,0)</f>
        <v>A</v>
      </c>
      <c r="BA51" s="99" t="str">
        <f>VLOOKUP(B51,Classification!A:D,4,0)</f>
        <v>Adenosine</v>
      </c>
      <c r="BB51" s="36" t="b">
        <f t="shared" ref="BB51" si="615">AND(E51&lt;G51,OR(G51&lt;I51,I51="-"),OR(I51&lt;K51,I51="-"),OR(K51&lt;M51,K51="-"),M51&lt;O51,OR(O51&lt;Q51,Q51="-"),OR(Q51&lt;S51,Q51="-"),OR(S51&lt;U51,S51="-"),U51&lt;W51,OR(W51&lt;Y51,Y51="-"),OR(Y51&lt;AA51,Y51="-"),OR(AA51&lt;AC51,AA51="-"),AC51&lt;AE51,OR(AE51&lt;AG51,AG51="-"),OR(AG51&lt;AI51,AG51="-"),OR(AI51&lt;AK51,AI51="-"),AK51&lt;AM51,AM51&lt;AO51,AO51&lt;AQ51,AQ51&lt;AS51,AS51&lt;AU51,OR(AU51&lt;AW51,AW51="-"),OR(AW51&lt;AY51,AW51="-"))</f>
        <v>1</v>
      </c>
      <c r="BC51" s="110">
        <f t="shared" ref="BC51" si="616">_xlfn.AGGREGATE(9,6,CH51:CS51)-_xlfn.AGGREGATE(9,6,BV51:CG51)+12</f>
        <v>262</v>
      </c>
      <c r="BD51" s="13" t="s">
        <v>23</v>
      </c>
      <c r="BE51" s="9" t="s">
        <v>1381</v>
      </c>
      <c r="BF51" s="121">
        <v>1.9</v>
      </c>
      <c r="BG51" s="51" t="s">
        <v>1</v>
      </c>
      <c r="BH51" s="51" t="s">
        <v>1</v>
      </c>
      <c r="BJ51" s="112" t="s">
        <v>1293</v>
      </c>
      <c r="BK51" s="113" t="s">
        <v>1293</v>
      </c>
      <c r="BL51" s="113" t="s">
        <v>1293</v>
      </c>
      <c r="BM51" s="113" t="s">
        <v>1293</v>
      </c>
      <c r="BN51" s="113" t="s">
        <v>1293</v>
      </c>
      <c r="BO51" s="113" t="s">
        <v>1293</v>
      </c>
      <c r="BP51" s="113" t="s">
        <v>1293</v>
      </c>
      <c r="BQ51" s="113" t="s">
        <v>1293</v>
      </c>
      <c r="BR51" s="113" t="s">
        <v>1293</v>
      </c>
      <c r="BS51" s="113" t="s">
        <v>1293</v>
      </c>
      <c r="BT51" s="113" t="s">
        <v>1293</v>
      </c>
      <c r="BU51" s="113" t="s">
        <v>1293</v>
      </c>
      <c r="BV51" s="112">
        <f t="shared" ref="BV51" si="617">E51</f>
        <v>1</v>
      </c>
      <c r="BW51" s="114">
        <f t="shared" ref="BW51" si="618">I51</f>
        <v>35</v>
      </c>
      <c r="BX51" s="115">
        <f t="shared" ref="BX51" si="619">M51</f>
        <v>39</v>
      </c>
      <c r="BY51" s="114">
        <f t="shared" ref="BY51" si="620">Q51</f>
        <v>70</v>
      </c>
      <c r="BZ51" s="115">
        <f t="shared" ref="BZ51" si="621">U51</f>
        <v>73</v>
      </c>
      <c r="CA51" s="114">
        <f t="shared" ref="CA51" si="622">Y51</f>
        <v>109</v>
      </c>
      <c r="CB51" s="115">
        <f t="shared" ref="CB51" si="623">AC51</f>
        <v>117</v>
      </c>
      <c r="CC51" s="114">
        <f t="shared" ref="CC51" si="624">AG51</f>
        <v>166</v>
      </c>
      <c r="CD51" s="115">
        <f t="shared" ref="CD51" si="625">AK51</f>
        <v>173</v>
      </c>
      <c r="CE51" s="114">
        <f t="shared" ref="CE51" si="626">AO51</f>
        <v>219</v>
      </c>
      <c r="CF51" s="115">
        <f t="shared" ref="CF51" si="627">AS51</f>
        <v>266</v>
      </c>
      <c r="CG51" s="114">
        <f t="shared" ref="CG51" si="628">AW51</f>
        <v>292</v>
      </c>
      <c r="CH51" s="112">
        <f t="shared" ref="CH51" si="629">G51</f>
        <v>34</v>
      </c>
      <c r="CI51" s="114">
        <f t="shared" ref="CI51" si="630">K51</f>
        <v>38</v>
      </c>
      <c r="CJ51" s="115">
        <f t="shared" ref="CJ51" si="631">O51</f>
        <v>69</v>
      </c>
      <c r="CK51" s="115">
        <f t="shared" ref="CK51" si="632">S51</f>
        <v>72</v>
      </c>
      <c r="CL51" s="115">
        <f t="shared" ref="CL51" si="633">W51</f>
        <v>108</v>
      </c>
      <c r="CM51" s="115">
        <f t="shared" ref="CM51" si="634">AA51</f>
        <v>116</v>
      </c>
      <c r="CN51" s="115">
        <f t="shared" ref="CN51" si="635">AE51</f>
        <v>142</v>
      </c>
      <c r="CO51" s="115">
        <f t="shared" ref="CO51" si="636">AI51</f>
        <v>168</v>
      </c>
      <c r="CP51" s="115">
        <f t="shared" ref="CP51" si="637">AM51</f>
        <v>208</v>
      </c>
      <c r="CQ51" s="115">
        <f t="shared" ref="CQ51" si="638">AQ51</f>
        <v>259</v>
      </c>
      <c r="CR51" s="115">
        <f t="shared" ref="CR51" si="639">AU51</f>
        <v>291</v>
      </c>
      <c r="CS51" s="115">
        <f t="shared" ref="CS51" si="640">AY51</f>
        <v>305</v>
      </c>
      <c r="CT51" s="110">
        <f t="shared" ref="CT51" si="641">M51-K51</f>
        <v>1</v>
      </c>
    </row>
    <row r="52" spans="1:1029" s="12" customFormat="1" x14ac:dyDescent="0.2">
      <c r="A52" s="9" t="str">
        <f t="shared" ref="A52" si="642">CONCATENATE(B52,"_",C52)</f>
        <v>aa2ar_human_5OM1</v>
      </c>
      <c r="B52" s="9" t="s">
        <v>139</v>
      </c>
      <c r="C52" s="9" t="s">
        <v>1472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10">
        <v>35</v>
      </c>
      <c r="J52" s="9" t="str">
        <f>IFERROR(MID(VLOOKUP($B52,Seqs!$A:$B,2,0),K52,1),"")</f>
        <v>Q</v>
      </c>
      <c r="K52" s="110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1" t="str">
        <f>VLOOKUP(B52,Classification!A:D,2,0)</f>
        <v>A</v>
      </c>
      <c r="BA52" s="99" t="str">
        <f>VLOOKUP(B52,Classification!A:D,4,0)</f>
        <v>Adenosine</v>
      </c>
      <c r="BB52" s="36" t="b">
        <f t="shared" ref="BB52" si="643">AND(E52&lt;G52,OR(G52&lt;I52,I52="-"),OR(I52&lt;K52,I52="-"),OR(K52&lt;M52,K52="-"),M52&lt;O52,OR(O52&lt;Q52,Q52="-"),OR(Q52&lt;S52,Q52="-"),OR(S52&lt;U52,S52="-"),U52&lt;W52,OR(W52&lt;Y52,Y52="-"),OR(Y52&lt;AA52,Y52="-"),OR(AA52&lt;AC52,AA52="-"),AC52&lt;AE52,OR(AE52&lt;AG52,AG52="-"),OR(AG52&lt;AI52,AG52="-"),OR(AI52&lt;AK52,AI52="-"),AK52&lt;AM52,AM52&lt;AO52,AO52&lt;AQ52,AQ52&lt;AS52,AS52&lt;AU52,OR(AU52&lt;AW52,AW52="-"),OR(AW52&lt;AY52,AW52="-"))</f>
        <v>1</v>
      </c>
      <c r="BC52" s="110">
        <f t="shared" ref="BC52" si="644">_xlfn.AGGREGATE(9,6,CH52:CS52)-_xlfn.AGGREGATE(9,6,BV52:CG52)+12</f>
        <v>262</v>
      </c>
      <c r="BD52" s="13" t="s">
        <v>23</v>
      </c>
      <c r="BE52" s="9" t="s">
        <v>1381</v>
      </c>
      <c r="BF52" s="121">
        <v>2.1</v>
      </c>
      <c r="BG52" s="51" t="s">
        <v>1</v>
      </c>
      <c r="BH52" s="51" t="s">
        <v>1</v>
      </c>
      <c r="BJ52" s="112" t="s">
        <v>1293</v>
      </c>
      <c r="BK52" s="113" t="s">
        <v>1293</v>
      </c>
      <c r="BL52" s="113" t="s">
        <v>1293</v>
      </c>
      <c r="BM52" s="113" t="s">
        <v>1293</v>
      </c>
      <c r="BN52" s="113" t="s">
        <v>1293</v>
      </c>
      <c r="BO52" s="113" t="s">
        <v>1293</v>
      </c>
      <c r="BP52" s="113" t="s">
        <v>1293</v>
      </c>
      <c r="BQ52" s="113" t="s">
        <v>1293</v>
      </c>
      <c r="BR52" s="113" t="s">
        <v>1293</v>
      </c>
      <c r="BS52" s="113" t="s">
        <v>1293</v>
      </c>
      <c r="BT52" s="113" t="s">
        <v>1293</v>
      </c>
      <c r="BU52" s="113" t="s">
        <v>1293</v>
      </c>
      <c r="BV52" s="112">
        <f t="shared" ref="BV52" si="645">E52</f>
        <v>1</v>
      </c>
      <c r="BW52" s="114">
        <f t="shared" ref="BW52" si="646">I52</f>
        <v>35</v>
      </c>
      <c r="BX52" s="115">
        <f t="shared" ref="BX52" si="647">M52</f>
        <v>39</v>
      </c>
      <c r="BY52" s="114">
        <f t="shared" ref="BY52" si="648">Q52</f>
        <v>70</v>
      </c>
      <c r="BZ52" s="115">
        <f t="shared" ref="BZ52" si="649">U52</f>
        <v>73</v>
      </c>
      <c r="CA52" s="114">
        <f t="shared" ref="CA52" si="650">Y52</f>
        <v>109</v>
      </c>
      <c r="CB52" s="115">
        <f t="shared" ref="CB52" si="651">AC52</f>
        <v>117</v>
      </c>
      <c r="CC52" s="114">
        <f t="shared" ref="CC52" si="652">AG52</f>
        <v>166</v>
      </c>
      <c r="CD52" s="115">
        <f t="shared" ref="CD52" si="653">AK52</f>
        <v>173</v>
      </c>
      <c r="CE52" s="114">
        <f t="shared" ref="CE52" si="654">AO52</f>
        <v>219</v>
      </c>
      <c r="CF52" s="115">
        <f t="shared" ref="CF52" si="655">AS52</f>
        <v>266</v>
      </c>
      <c r="CG52" s="114">
        <f t="shared" ref="CG52" si="656">AW52</f>
        <v>292</v>
      </c>
      <c r="CH52" s="112">
        <f t="shared" ref="CH52" si="657">G52</f>
        <v>34</v>
      </c>
      <c r="CI52" s="114">
        <f t="shared" ref="CI52" si="658">K52</f>
        <v>38</v>
      </c>
      <c r="CJ52" s="115">
        <f t="shared" ref="CJ52" si="659">O52</f>
        <v>69</v>
      </c>
      <c r="CK52" s="115">
        <f t="shared" ref="CK52" si="660">S52</f>
        <v>72</v>
      </c>
      <c r="CL52" s="115">
        <f t="shared" ref="CL52" si="661">W52</f>
        <v>108</v>
      </c>
      <c r="CM52" s="115">
        <f t="shared" ref="CM52" si="662">AA52</f>
        <v>116</v>
      </c>
      <c r="CN52" s="115">
        <f t="shared" ref="CN52" si="663">AE52</f>
        <v>142</v>
      </c>
      <c r="CO52" s="115">
        <f t="shared" ref="CO52" si="664">AI52</f>
        <v>168</v>
      </c>
      <c r="CP52" s="115">
        <f t="shared" ref="CP52" si="665">AM52</f>
        <v>208</v>
      </c>
      <c r="CQ52" s="115">
        <f t="shared" ref="CQ52" si="666">AQ52</f>
        <v>259</v>
      </c>
      <c r="CR52" s="115">
        <f t="shared" ref="CR52" si="667">AU52</f>
        <v>291</v>
      </c>
      <c r="CS52" s="115">
        <f t="shared" ref="CS52" si="668">AY52</f>
        <v>305</v>
      </c>
      <c r="CT52" s="110">
        <f t="shared" ref="CT52" si="669">M52-K52</f>
        <v>1</v>
      </c>
    </row>
    <row r="53" spans="1:1029" s="12" customFormat="1" x14ac:dyDescent="0.2">
      <c r="A53" s="9" t="str">
        <f t="shared" ref="A53" si="670">CONCATENATE(B53,"_",C53)</f>
        <v>aa2ar_human_5OM4</v>
      </c>
      <c r="B53" s="9" t="s">
        <v>139</v>
      </c>
      <c r="C53" s="9" t="s">
        <v>1473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10">
        <v>35</v>
      </c>
      <c r="J53" s="9" t="str">
        <f>IFERROR(MID(VLOOKUP($B53,Seqs!$A:$B,2,0),K53,1),"")</f>
        <v>Q</v>
      </c>
      <c r="K53" s="110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V</v>
      </c>
      <c r="AY53" s="9">
        <v>307</v>
      </c>
      <c r="AZ53" s="111" t="str">
        <f>VLOOKUP(B53,Classification!A:D,2,0)</f>
        <v>A</v>
      </c>
      <c r="BA53" s="99" t="str">
        <f>VLOOKUP(B53,Classification!A:D,4,0)</f>
        <v>Adenosine</v>
      </c>
      <c r="BB53" s="36" t="b">
        <f t="shared" ref="BB53" si="671">AND(E53&lt;G53,OR(G53&lt;I53,I53="-"),OR(I53&lt;K53,I53="-"),OR(K53&lt;M53,K53="-"),M53&lt;O53,OR(O53&lt;Q53,Q53="-"),OR(Q53&lt;S53,Q53="-"),OR(S53&lt;U53,S53="-"),U53&lt;W53,OR(W53&lt;Y53,Y53="-"),OR(Y53&lt;AA53,Y53="-"),OR(AA53&lt;AC53,AA53="-"),AC53&lt;AE53,OR(AE53&lt;AG53,AG53="-"),OR(AG53&lt;AI53,AG53="-"),OR(AI53&lt;AK53,AI53="-"),AK53&lt;AM53,AM53&lt;AO53,AO53&lt;AQ53,AQ53&lt;AS53,AS53&lt;AU53,OR(AU53&lt;AW53,AW53="-"),OR(AW53&lt;AY53,AW53="-"))</f>
        <v>1</v>
      </c>
      <c r="BC53" s="110">
        <f t="shared" ref="BC53" si="672">_xlfn.AGGREGATE(9,6,CH53:CS53)-_xlfn.AGGREGATE(9,6,BV53:CG53)+12</f>
        <v>264</v>
      </c>
      <c r="BD53" s="13" t="s">
        <v>23</v>
      </c>
      <c r="BE53" s="9" t="s">
        <v>1381</v>
      </c>
      <c r="BF53" s="121">
        <v>2</v>
      </c>
      <c r="BG53" s="51" t="s">
        <v>1</v>
      </c>
      <c r="BH53" s="51" t="s">
        <v>1</v>
      </c>
      <c r="BJ53" s="112" t="s">
        <v>1293</v>
      </c>
      <c r="BK53" s="113" t="s">
        <v>1293</v>
      </c>
      <c r="BL53" s="113" t="s">
        <v>1293</v>
      </c>
      <c r="BM53" s="113" t="s">
        <v>1293</v>
      </c>
      <c r="BN53" s="113" t="s">
        <v>1293</v>
      </c>
      <c r="BO53" s="113" t="s">
        <v>1293</v>
      </c>
      <c r="BP53" s="113" t="s">
        <v>1293</v>
      </c>
      <c r="BQ53" s="113" t="s">
        <v>1293</v>
      </c>
      <c r="BR53" s="113" t="s">
        <v>1293</v>
      </c>
      <c r="BS53" s="113" t="s">
        <v>1293</v>
      </c>
      <c r="BT53" s="113" t="s">
        <v>1293</v>
      </c>
      <c r="BU53" s="113" t="s">
        <v>1293</v>
      </c>
      <c r="BV53" s="112">
        <f t="shared" ref="BV53" si="673">E53</f>
        <v>1</v>
      </c>
      <c r="BW53" s="114">
        <f t="shared" ref="BW53" si="674">I53</f>
        <v>35</v>
      </c>
      <c r="BX53" s="115">
        <f t="shared" ref="BX53" si="675">M53</f>
        <v>39</v>
      </c>
      <c r="BY53" s="114">
        <f t="shared" ref="BY53" si="676">Q53</f>
        <v>70</v>
      </c>
      <c r="BZ53" s="115">
        <f t="shared" ref="BZ53" si="677">U53</f>
        <v>73</v>
      </c>
      <c r="CA53" s="114">
        <f t="shared" ref="CA53" si="678">Y53</f>
        <v>109</v>
      </c>
      <c r="CB53" s="115">
        <f t="shared" ref="CB53" si="679">AC53</f>
        <v>117</v>
      </c>
      <c r="CC53" s="114">
        <f t="shared" ref="CC53" si="680">AG53</f>
        <v>166</v>
      </c>
      <c r="CD53" s="115">
        <f t="shared" ref="CD53" si="681">AK53</f>
        <v>173</v>
      </c>
      <c r="CE53" s="114">
        <f t="shared" ref="CE53" si="682">AO53</f>
        <v>219</v>
      </c>
      <c r="CF53" s="115">
        <f t="shared" ref="CF53" si="683">AS53</f>
        <v>266</v>
      </c>
      <c r="CG53" s="114">
        <f t="shared" ref="CG53" si="684">AW53</f>
        <v>292</v>
      </c>
      <c r="CH53" s="112">
        <f t="shared" ref="CH53" si="685">G53</f>
        <v>34</v>
      </c>
      <c r="CI53" s="114">
        <f t="shared" ref="CI53" si="686">K53</f>
        <v>38</v>
      </c>
      <c r="CJ53" s="115">
        <f t="shared" ref="CJ53" si="687">O53</f>
        <v>69</v>
      </c>
      <c r="CK53" s="115">
        <f t="shared" ref="CK53" si="688">S53</f>
        <v>72</v>
      </c>
      <c r="CL53" s="115">
        <f t="shared" ref="CL53" si="689">W53</f>
        <v>108</v>
      </c>
      <c r="CM53" s="115">
        <f t="shared" ref="CM53" si="690">AA53</f>
        <v>116</v>
      </c>
      <c r="CN53" s="115">
        <f t="shared" ref="CN53" si="691">AE53</f>
        <v>142</v>
      </c>
      <c r="CO53" s="115">
        <f t="shared" ref="CO53" si="692">AI53</f>
        <v>168</v>
      </c>
      <c r="CP53" s="115">
        <f t="shared" ref="CP53" si="693">AM53</f>
        <v>208</v>
      </c>
      <c r="CQ53" s="115">
        <f t="shared" ref="CQ53" si="694">AQ53</f>
        <v>259</v>
      </c>
      <c r="CR53" s="115">
        <f t="shared" ref="CR53" si="695">AU53</f>
        <v>291</v>
      </c>
      <c r="CS53" s="115">
        <f t="shared" ref="CS53" si="696">AY53</f>
        <v>307</v>
      </c>
      <c r="CT53" s="110">
        <f t="shared" ref="CT53" si="697">M53-K53</f>
        <v>1</v>
      </c>
    </row>
    <row r="54" spans="1:1029" s="12" customFormat="1" x14ac:dyDescent="0.2">
      <c r="A54" s="9" t="str">
        <f t="shared" ref="A54" si="698">CONCATENATE(B54,"_",C54)</f>
        <v>aa2ar_human_6AQF</v>
      </c>
      <c r="B54" s="9" t="s">
        <v>139</v>
      </c>
      <c r="C54" s="9" t="s">
        <v>1474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10">
        <v>35</v>
      </c>
      <c r="J54" s="9" t="str">
        <f>IFERROR(MID(VLOOKUP($B54,Seqs!$A:$B,2,0),K54,1),"")</f>
        <v>Q</v>
      </c>
      <c r="K54" s="110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H</v>
      </c>
      <c r="AY54" s="9">
        <v>306</v>
      </c>
      <c r="AZ54" s="111" t="str">
        <f>VLOOKUP(B54,Classification!A:D,2,0)</f>
        <v>A</v>
      </c>
      <c r="BA54" s="99" t="str">
        <f>VLOOKUP(B54,Classification!A:D,4,0)</f>
        <v>Adenosine</v>
      </c>
      <c r="BB54" s="36" t="b">
        <f t="shared" ref="BB54" si="699">AND(E54&lt;G54,OR(G54&lt;I54,I54="-"),OR(I54&lt;K54,I54="-"),OR(K54&lt;M54,K54="-"),M54&lt;O54,OR(O54&lt;Q54,Q54="-"),OR(Q54&lt;S54,Q54="-"),OR(S54&lt;U54,S54="-"),U54&lt;W54,OR(W54&lt;Y54,Y54="-"),OR(Y54&lt;AA54,Y54="-"),OR(AA54&lt;AC54,AA54="-"),AC54&lt;AE54,OR(AE54&lt;AG54,AG54="-"),OR(AG54&lt;AI54,AG54="-"),OR(AI54&lt;AK54,AI54="-"),AK54&lt;AM54,AM54&lt;AO54,AO54&lt;AQ54,AQ54&lt;AS54,AS54&lt;AU54,OR(AU54&lt;AW54,AW54="-"),OR(AW54&lt;AY54,AW54="-"))</f>
        <v>1</v>
      </c>
      <c r="BC54" s="110">
        <f t="shared" ref="BC54" si="700">_xlfn.AGGREGATE(9,6,CH54:CS54)-_xlfn.AGGREGATE(9,6,BV54:CG54)+12</f>
        <v>263</v>
      </c>
      <c r="BD54" s="13" t="s">
        <v>23</v>
      </c>
      <c r="BE54" s="9" t="s">
        <v>1381</v>
      </c>
      <c r="BF54" s="121">
        <v>2.5099999999999998</v>
      </c>
      <c r="BG54" s="51" t="s">
        <v>1</v>
      </c>
      <c r="BH54" s="51" t="s">
        <v>1</v>
      </c>
      <c r="BJ54" s="112" t="s">
        <v>1293</v>
      </c>
      <c r="BK54" s="113" t="s">
        <v>1293</v>
      </c>
      <c r="BL54" s="113" t="s">
        <v>1293</v>
      </c>
      <c r="BM54" s="113" t="s">
        <v>1293</v>
      </c>
      <c r="BN54" s="113" t="s">
        <v>1293</v>
      </c>
      <c r="BO54" s="113" t="s">
        <v>1293</v>
      </c>
      <c r="BP54" s="113" t="s">
        <v>1293</v>
      </c>
      <c r="BQ54" s="113" t="s">
        <v>1293</v>
      </c>
      <c r="BR54" s="113" t="s">
        <v>1293</v>
      </c>
      <c r="BS54" s="113" t="s">
        <v>1293</v>
      </c>
      <c r="BT54" s="113" t="s">
        <v>1293</v>
      </c>
      <c r="BU54" s="113" t="s">
        <v>1293</v>
      </c>
      <c r="BV54" s="112">
        <f t="shared" ref="BV54" si="701">E54</f>
        <v>1</v>
      </c>
      <c r="BW54" s="114">
        <f t="shared" ref="BW54" si="702">I54</f>
        <v>35</v>
      </c>
      <c r="BX54" s="115">
        <f t="shared" ref="BX54" si="703">M54</f>
        <v>39</v>
      </c>
      <c r="BY54" s="114">
        <f t="shared" ref="BY54" si="704">Q54</f>
        <v>70</v>
      </c>
      <c r="BZ54" s="115">
        <f t="shared" ref="BZ54" si="705">U54</f>
        <v>73</v>
      </c>
      <c r="CA54" s="114">
        <f t="shared" ref="CA54" si="706">Y54</f>
        <v>109</v>
      </c>
      <c r="CB54" s="115">
        <f t="shared" ref="CB54" si="707">AC54</f>
        <v>117</v>
      </c>
      <c r="CC54" s="114">
        <f t="shared" ref="CC54" si="708">AG54</f>
        <v>166</v>
      </c>
      <c r="CD54" s="115">
        <f t="shared" ref="CD54" si="709">AK54</f>
        <v>173</v>
      </c>
      <c r="CE54" s="114">
        <f t="shared" ref="CE54" si="710">AO54</f>
        <v>219</v>
      </c>
      <c r="CF54" s="115">
        <f t="shared" ref="CF54" si="711">AS54</f>
        <v>266</v>
      </c>
      <c r="CG54" s="114">
        <f t="shared" ref="CG54" si="712">AW54</f>
        <v>292</v>
      </c>
      <c r="CH54" s="112">
        <f t="shared" ref="CH54" si="713">G54</f>
        <v>34</v>
      </c>
      <c r="CI54" s="114">
        <f t="shared" ref="CI54" si="714">K54</f>
        <v>38</v>
      </c>
      <c r="CJ54" s="115">
        <f t="shared" ref="CJ54" si="715">O54</f>
        <v>69</v>
      </c>
      <c r="CK54" s="115">
        <f t="shared" ref="CK54" si="716">S54</f>
        <v>72</v>
      </c>
      <c r="CL54" s="115">
        <f t="shared" ref="CL54" si="717">W54</f>
        <v>108</v>
      </c>
      <c r="CM54" s="115">
        <f t="shared" ref="CM54" si="718">AA54</f>
        <v>116</v>
      </c>
      <c r="CN54" s="115">
        <f t="shared" ref="CN54" si="719">AE54</f>
        <v>142</v>
      </c>
      <c r="CO54" s="115">
        <f t="shared" ref="CO54" si="720">AI54</f>
        <v>168</v>
      </c>
      <c r="CP54" s="115">
        <f t="shared" ref="CP54" si="721">AM54</f>
        <v>208</v>
      </c>
      <c r="CQ54" s="115">
        <f t="shared" ref="CQ54" si="722">AQ54</f>
        <v>259</v>
      </c>
      <c r="CR54" s="115">
        <f t="shared" ref="CR54" si="723">AU54</f>
        <v>291</v>
      </c>
      <c r="CS54" s="115">
        <f t="shared" ref="CS54" si="724">AY54</f>
        <v>306</v>
      </c>
      <c r="CT54" s="110">
        <f t="shared" ref="CT54" si="725">M54-K54</f>
        <v>1</v>
      </c>
    </row>
    <row r="55" spans="1:1029" s="12" customFormat="1" x14ac:dyDescent="0.2">
      <c r="A55" s="9" t="str">
        <f t="shared" ref="A55" si="726">CONCATENATE(B55,"_",C55)</f>
        <v>aa2ar_human_5WF5</v>
      </c>
      <c r="B55" s="9" t="s">
        <v>139</v>
      </c>
      <c r="C55" s="9" t="s">
        <v>1483</v>
      </c>
      <c r="D55" s="9" t="str">
        <f>IFERROR(MID(VLOOKUP($B55,Seqs!$A:$B,2,0),E55,1),"")</f>
        <v>M</v>
      </c>
      <c r="E55" s="9">
        <v>4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10">
        <v>35</v>
      </c>
      <c r="J55" s="9" t="str">
        <f>IFERROR(MID(VLOOKUP($B55,Seqs!$A:$B,2,0),K55,1),"")</f>
        <v>Q</v>
      </c>
      <c r="K55" s="110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A</v>
      </c>
      <c r="O55" s="9">
        <v>63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R</v>
      </c>
      <c r="AM55" s="9">
        <v>205</v>
      </c>
      <c r="AN55" s="9" t="str">
        <f>IFERROR(MID(VLOOKUP($B55,Seqs!$A:$B,2,0),AO55,1),"")</f>
        <v>L</v>
      </c>
      <c r="AO55" s="9">
        <v>225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1" t="str">
        <f>VLOOKUP(B55,Classification!A:D,2,0)</f>
        <v>A</v>
      </c>
      <c r="BA55" s="99" t="str">
        <f>VLOOKUP(B55,Classification!A:D,4,0)</f>
        <v>Adenosine</v>
      </c>
      <c r="BB55" s="36" t="b">
        <f t="shared" ref="BB55" si="727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10">
        <f t="shared" ref="BC55" si="728">_xlfn.AGGREGATE(9,6,CH55:CS55)-_xlfn.AGGREGATE(9,6,BV55:CG55)+12</f>
        <v>246</v>
      </c>
      <c r="BD55" s="13" t="s">
        <v>23</v>
      </c>
      <c r="BE55" s="9" t="s">
        <v>1484</v>
      </c>
      <c r="BF55" s="121">
        <v>2.6</v>
      </c>
      <c r="BG55" s="51" t="s">
        <v>1</v>
      </c>
      <c r="BH55" s="51" t="s">
        <v>1</v>
      </c>
      <c r="BJ55" s="112" t="s">
        <v>1293</v>
      </c>
      <c r="BK55" s="113" t="s">
        <v>1293</v>
      </c>
      <c r="BL55" s="113" t="s">
        <v>1293</v>
      </c>
      <c r="BM55" s="113" t="s">
        <v>1293</v>
      </c>
      <c r="BN55" s="113" t="s">
        <v>1293</v>
      </c>
      <c r="BO55" s="113" t="s">
        <v>1293</v>
      </c>
      <c r="BP55" s="113" t="s">
        <v>1293</v>
      </c>
      <c r="BQ55" s="113" t="s">
        <v>1293</v>
      </c>
      <c r="BR55" s="113" t="s">
        <v>1293</v>
      </c>
      <c r="BS55" s="113" t="s">
        <v>1293</v>
      </c>
      <c r="BT55" s="113" t="s">
        <v>1293</v>
      </c>
      <c r="BU55" s="113" t="s">
        <v>1293</v>
      </c>
      <c r="BV55" s="112">
        <f t="shared" ref="BV55" si="729">E55</f>
        <v>4</v>
      </c>
      <c r="BW55" s="114">
        <f t="shared" ref="BW55" si="730">I55</f>
        <v>35</v>
      </c>
      <c r="BX55" s="115">
        <f t="shared" ref="BX55" si="731">M55</f>
        <v>39</v>
      </c>
      <c r="BY55" s="114">
        <f t="shared" ref="BY55" si="732">Q55</f>
        <v>70</v>
      </c>
      <c r="BZ55" s="115">
        <f t="shared" ref="BZ55" si="733">U55</f>
        <v>73</v>
      </c>
      <c r="CA55" s="114">
        <f t="shared" ref="CA55" si="734">Y55</f>
        <v>109</v>
      </c>
      <c r="CB55" s="115">
        <f t="shared" ref="CB55" si="735">AC55</f>
        <v>117</v>
      </c>
      <c r="CC55" s="114">
        <f t="shared" ref="CC55" si="736">AG55</f>
        <v>166</v>
      </c>
      <c r="CD55" s="115">
        <f t="shared" ref="CD55" si="737">AK55</f>
        <v>173</v>
      </c>
      <c r="CE55" s="114">
        <f t="shared" ref="CE55" si="738">AO55</f>
        <v>225</v>
      </c>
      <c r="CF55" s="115">
        <f t="shared" ref="CF55" si="739">AS55</f>
        <v>266</v>
      </c>
      <c r="CG55" s="114">
        <f t="shared" ref="CG55" si="740">AW55</f>
        <v>292</v>
      </c>
      <c r="CH55" s="112">
        <f t="shared" ref="CH55" si="741">G55</f>
        <v>34</v>
      </c>
      <c r="CI55" s="114">
        <f t="shared" ref="CI55" si="742">K55</f>
        <v>38</v>
      </c>
      <c r="CJ55" s="115">
        <f t="shared" ref="CJ55" si="743">O55</f>
        <v>63</v>
      </c>
      <c r="CK55" s="115">
        <f t="shared" ref="CK55" si="744">S55</f>
        <v>72</v>
      </c>
      <c r="CL55" s="115">
        <f t="shared" ref="CL55" si="745">W55</f>
        <v>108</v>
      </c>
      <c r="CM55" s="115">
        <f t="shared" ref="CM55" si="746">AA55</f>
        <v>116</v>
      </c>
      <c r="CN55" s="115">
        <f t="shared" ref="CN55" si="747">AE55</f>
        <v>142</v>
      </c>
      <c r="CO55" s="115">
        <f t="shared" ref="CO55" si="748">AI55</f>
        <v>168</v>
      </c>
      <c r="CP55" s="115">
        <f t="shared" ref="CP55" si="749">AM55</f>
        <v>205</v>
      </c>
      <c r="CQ55" s="115">
        <f t="shared" ref="CQ55" si="750">AQ55</f>
        <v>259</v>
      </c>
      <c r="CR55" s="115">
        <f t="shared" ref="CR55" si="751">AU55</f>
        <v>291</v>
      </c>
      <c r="CS55" s="115">
        <f t="shared" ref="CS55" si="752">AY55</f>
        <v>307</v>
      </c>
      <c r="CT55" s="110">
        <f t="shared" ref="CT55" si="753">M55-K55</f>
        <v>1</v>
      </c>
    </row>
    <row r="56" spans="1:1029" s="12" customFormat="1" x14ac:dyDescent="0.2">
      <c r="A56" s="9" t="str">
        <f t="shared" ref="A56" si="754">CONCATENATE(B56,"_",C56)</f>
        <v>aa2ar_human_5WF6</v>
      </c>
      <c r="B56" s="9" t="s">
        <v>139</v>
      </c>
      <c r="C56" s="9" t="s">
        <v>1485</v>
      </c>
      <c r="D56" s="9" t="str">
        <f>IFERROR(MID(VLOOKUP($B56,Seqs!$A:$B,2,0),E56,1),"")</f>
        <v>M</v>
      </c>
      <c r="E56" s="9">
        <v>4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10">
        <v>35</v>
      </c>
      <c r="J56" s="9" t="str">
        <f>IFERROR(MID(VLOOKUP($B56,Seqs!$A:$B,2,0),K56,1),"")</f>
        <v>Q</v>
      </c>
      <c r="K56" s="110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A</v>
      </c>
      <c r="O56" s="9">
        <v>63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R</v>
      </c>
      <c r="AM56" s="9">
        <v>205</v>
      </c>
      <c r="AN56" s="9" t="str">
        <f>IFERROR(MID(VLOOKUP($B56,Seqs!$A:$B,2,0),AO56,1),"")</f>
        <v>L</v>
      </c>
      <c r="AO56" s="9">
        <v>225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V</v>
      </c>
      <c r="AY56" s="9">
        <v>307</v>
      </c>
      <c r="AZ56" s="111" t="str">
        <f>VLOOKUP(B56,Classification!A:D,2,0)</f>
        <v>A</v>
      </c>
      <c r="BA56" s="99" t="str">
        <f>VLOOKUP(B56,Classification!A:D,4,0)</f>
        <v>Adenosine</v>
      </c>
      <c r="BB56" s="36" t="b">
        <f t="shared" ref="BB56" si="755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10">
        <f t="shared" ref="BC56" si="756">_xlfn.AGGREGATE(9,6,CH56:CS56)-_xlfn.AGGREGATE(9,6,BV56:CG56)+12</f>
        <v>246</v>
      </c>
      <c r="BD56" s="13" t="s">
        <v>23</v>
      </c>
      <c r="BE56" s="9" t="s">
        <v>1484</v>
      </c>
      <c r="BF56" s="121">
        <v>2.9</v>
      </c>
      <c r="BG56" s="51" t="s">
        <v>1</v>
      </c>
      <c r="BH56" s="51" t="s">
        <v>1</v>
      </c>
      <c r="BJ56" s="112" t="s">
        <v>1293</v>
      </c>
      <c r="BK56" s="113" t="s">
        <v>1293</v>
      </c>
      <c r="BL56" s="113" t="s">
        <v>1293</v>
      </c>
      <c r="BM56" s="113" t="s">
        <v>1293</v>
      </c>
      <c r="BN56" s="113" t="s">
        <v>1293</v>
      </c>
      <c r="BO56" s="113" t="s">
        <v>1293</v>
      </c>
      <c r="BP56" s="113" t="s">
        <v>1293</v>
      </c>
      <c r="BQ56" s="113" t="s">
        <v>1293</v>
      </c>
      <c r="BR56" s="113" t="s">
        <v>1293</v>
      </c>
      <c r="BS56" s="113" t="s">
        <v>1293</v>
      </c>
      <c r="BT56" s="113" t="s">
        <v>1293</v>
      </c>
      <c r="BU56" s="113" t="s">
        <v>1293</v>
      </c>
      <c r="BV56" s="112">
        <f t="shared" ref="BV56" si="757">E56</f>
        <v>4</v>
      </c>
      <c r="BW56" s="114">
        <f t="shared" ref="BW56" si="758">I56</f>
        <v>35</v>
      </c>
      <c r="BX56" s="115">
        <f t="shared" ref="BX56" si="759">M56</f>
        <v>39</v>
      </c>
      <c r="BY56" s="114">
        <f t="shared" ref="BY56" si="760">Q56</f>
        <v>70</v>
      </c>
      <c r="BZ56" s="115">
        <f t="shared" ref="BZ56" si="761">U56</f>
        <v>73</v>
      </c>
      <c r="CA56" s="114">
        <f t="shared" ref="CA56" si="762">Y56</f>
        <v>109</v>
      </c>
      <c r="CB56" s="115">
        <f t="shared" ref="CB56" si="763">AC56</f>
        <v>117</v>
      </c>
      <c r="CC56" s="114">
        <f t="shared" ref="CC56" si="764">AG56</f>
        <v>166</v>
      </c>
      <c r="CD56" s="115">
        <f t="shared" ref="CD56" si="765">AK56</f>
        <v>173</v>
      </c>
      <c r="CE56" s="114">
        <f t="shared" ref="CE56" si="766">AO56</f>
        <v>225</v>
      </c>
      <c r="CF56" s="115">
        <f t="shared" ref="CF56" si="767">AS56</f>
        <v>266</v>
      </c>
      <c r="CG56" s="114">
        <f t="shared" ref="CG56" si="768">AW56</f>
        <v>292</v>
      </c>
      <c r="CH56" s="112">
        <f t="shared" ref="CH56" si="769">G56</f>
        <v>34</v>
      </c>
      <c r="CI56" s="114">
        <f t="shared" ref="CI56" si="770">K56</f>
        <v>38</v>
      </c>
      <c r="CJ56" s="115">
        <f t="shared" ref="CJ56" si="771">O56</f>
        <v>63</v>
      </c>
      <c r="CK56" s="115">
        <f t="shared" ref="CK56" si="772">S56</f>
        <v>72</v>
      </c>
      <c r="CL56" s="115">
        <f t="shared" ref="CL56" si="773">W56</f>
        <v>108</v>
      </c>
      <c r="CM56" s="115">
        <f t="shared" ref="CM56" si="774">AA56</f>
        <v>116</v>
      </c>
      <c r="CN56" s="115">
        <f t="shared" ref="CN56" si="775">AE56</f>
        <v>142</v>
      </c>
      <c r="CO56" s="115">
        <f t="shared" ref="CO56" si="776">AI56</f>
        <v>168</v>
      </c>
      <c r="CP56" s="115">
        <f t="shared" ref="CP56" si="777">AM56</f>
        <v>205</v>
      </c>
      <c r="CQ56" s="115">
        <f t="shared" ref="CQ56" si="778">AQ56</f>
        <v>259</v>
      </c>
      <c r="CR56" s="115">
        <f t="shared" ref="CR56" si="779">AU56</f>
        <v>291</v>
      </c>
      <c r="CS56" s="115">
        <f t="shared" ref="CS56" si="780">AY56</f>
        <v>307</v>
      </c>
      <c r="CT56" s="110">
        <f t="shared" ref="CT56" si="781">M56-K56</f>
        <v>1</v>
      </c>
    </row>
    <row r="57" spans="1:1029" x14ac:dyDescent="0.2">
      <c r="A57" s="3" t="str">
        <f t="shared" si="0"/>
        <v>acm1_human__wt</v>
      </c>
      <c r="B57" s="3" t="s">
        <v>146</v>
      </c>
      <c r="C57" s="3" t="s">
        <v>100</v>
      </c>
      <c r="D57" s="3" t="str">
        <f>IFERROR(MID(VLOOKUP($B57,Seqs!$A:$B,2,0),E57,1),"")</f>
        <v>P</v>
      </c>
      <c r="E57" s="3">
        <v>22</v>
      </c>
      <c r="F57" s="3" t="str">
        <f>IFERROR(MID(VLOOKUP($B57,Seqs!$A:$B,2,0),G57,1),"")</f>
        <v>N</v>
      </c>
      <c r="G57" s="3">
        <v>53</v>
      </c>
      <c r="H57" s="3" t="str">
        <f>IFERROR(MID(VLOOKUP($B57,Seqs!$A:$B,2,0),I57,1),"")</f>
        <v>T</v>
      </c>
      <c r="I57" s="23">
        <v>54</v>
      </c>
      <c r="J57" s="3" t="str">
        <f>IFERROR(MID(VLOOKUP($B57,Seqs!$A:$B,2,0),K57,1),"")</f>
        <v>K</v>
      </c>
      <c r="K57" s="23">
        <v>57</v>
      </c>
      <c r="L57" s="3" t="str">
        <f>IFERROR(MID(VLOOKUP($B57,Seqs!$A:$B,2,0),M57,1),"")</f>
        <v>T</v>
      </c>
      <c r="M57" s="3">
        <v>58</v>
      </c>
      <c r="N57" s="3" t="str">
        <f>IFERROR(MID(VLOOKUP($B57,Seqs!$A:$B,2,0),O57,1),"")</f>
        <v>M</v>
      </c>
      <c r="O57" s="3">
        <v>88</v>
      </c>
      <c r="P57" s="3" t="str">
        <f>IFERROR(MID(VLOOKUP($B57,Seqs!$A:$B,2,0),Q57,1),"")</f>
        <v>H</v>
      </c>
      <c r="Q57" s="3">
        <v>90</v>
      </c>
      <c r="R57" s="3" t="str">
        <f>IFERROR(MID(VLOOKUP($B57,Seqs!$A:$B,2,0),S57,1),"")</f>
        <v>L</v>
      </c>
      <c r="S57" s="3">
        <v>93</v>
      </c>
      <c r="T57" s="3" t="str">
        <f>IFERROR(MID(VLOOKUP($B57,Seqs!$A:$B,2,0),U57,1),"")</f>
        <v>G</v>
      </c>
      <c r="U57" s="3">
        <v>94</v>
      </c>
      <c r="V57" s="3" t="str">
        <f>IFERROR(MID(VLOOKUP($B57,Seqs!$A:$B,2,0),W57,1),"")</f>
        <v>R</v>
      </c>
      <c r="W57" s="3">
        <v>129</v>
      </c>
      <c r="X57" s="3" t="str">
        <f>IFERROR(MID(VLOOKUP($B57,Seqs!$A:$B,2,0),Y57,1),"")</f>
        <v>P</v>
      </c>
      <c r="Y57" s="3">
        <v>130</v>
      </c>
      <c r="Z57" s="3" t="str">
        <f>IFERROR(MID(VLOOKUP($B57,Seqs!$A:$B,2,0),AA57,1),"")</f>
        <v>R</v>
      </c>
      <c r="AA57" s="3">
        <v>137</v>
      </c>
      <c r="AB57" s="3" t="str">
        <f>IFERROR(MID(VLOOKUP($B57,Seqs!$A:$B,2,0),AC57,1),"")</f>
        <v>T</v>
      </c>
      <c r="AC57" s="9">
        <v>138</v>
      </c>
      <c r="AD57" s="3" t="str">
        <f>IFERROR(MID(VLOOKUP($B57,Seqs!$A:$B,2,0),AE57,1),"")</f>
        <v>G</v>
      </c>
      <c r="AE57" s="3">
        <v>169</v>
      </c>
      <c r="AF57" s="3" t="str">
        <f>IFERROR(MID(VLOOKUP($B57,Seqs!$A:$B,2,0),AG57,1),"")</f>
        <v>C</v>
      </c>
      <c r="AG57" s="3">
        <v>178</v>
      </c>
      <c r="AH57" s="3" t="str">
        <f>IFERROR(MID(VLOOKUP($B57,Seqs!$A:$B,2,0),AI57,1),"")</f>
        <v>I</v>
      </c>
      <c r="AI57" s="3">
        <v>180</v>
      </c>
      <c r="AJ57" s="3" t="str">
        <f>IFERROR(MID(VLOOKUP($B57,Seqs!$A:$B,2,0),AK57,1),"")</f>
        <v>Q</v>
      </c>
      <c r="AK57" s="3">
        <v>185</v>
      </c>
      <c r="AL57" s="3" t="str">
        <f>IFERROR(MID(VLOOKUP($B57,Seqs!$A:$B,2,0),AM57,1),"")</f>
        <v>L</v>
      </c>
      <c r="AM57" s="3">
        <v>225</v>
      </c>
      <c r="AN57" s="3" t="str">
        <f>IFERROR(MID(VLOOKUP($B57,Seqs!$A:$B,2,0),AO57,1),"")</f>
        <v>T</v>
      </c>
      <c r="AO57" s="3">
        <v>354</v>
      </c>
      <c r="AP57" s="3" t="str">
        <f>IFERROR(MID(VLOOKUP($B57,Seqs!$A:$B,2,0),AQ57,1),"")</f>
        <v>C</v>
      </c>
      <c r="AQ57" s="3">
        <v>391</v>
      </c>
      <c r="AR57" s="3" t="str">
        <f>IFERROR(MID(VLOOKUP($B57,Seqs!$A:$B,2,0),AS57,1),"")</f>
        <v>P</v>
      </c>
      <c r="AS57" s="3">
        <v>396</v>
      </c>
      <c r="AT57" s="3" t="str">
        <f>IFERROR(MID(VLOOKUP($B57,Seqs!$A:$B,2,0),AU57,1),"")</f>
        <v>C</v>
      </c>
      <c r="AU57" s="3">
        <v>421</v>
      </c>
      <c r="AV57" s="3" t="str">
        <f>IFERROR(MID(VLOOKUP($B57,Seqs!$A:$B,2,0),AW57,1),"")</f>
        <v>N</v>
      </c>
      <c r="AW57" s="3">
        <v>422</v>
      </c>
      <c r="AX57" s="3" t="str">
        <f>IFERROR(MID(VLOOKUP($B57,Seqs!$A:$B,2,0),AY57,1),"")</f>
        <v>L</v>
      </c>
      <c r="AY57" s="3">
        <v>434</v>
      </c>
      <c r="AZ57" s="78" t="str">
        <f>VLOOKUP(B57,Classification!A:D,2,0)</f>
        <v>A</v>
      </c>
      <c r="BA57" s="95" t="str">
        <f>VLOOKUP(B57,Classification!A:D,4,0)</f>
        <v>Acetylcholine(muscarinic)</v>
      </c>
      <c r="BB57" s="27" t="b">
        <f t="shared" si="1"/>
        <v>1</v>
      </c>
      <c r="BC57" s="23">
        <f t="shared" si="252"/>
        <v>268</v>
      </c>
      <c r="BD57" s="56" t="s">
        <v>1379</v>
      </c>
      <c r="BE57" s="3" t="s">
        <v>23</v>
      </c>
      <c r="BF57" s="120" t="s">
        <v>23</v>
      </c>
      <c r="BG57" s="49" t="s">
        <v>1379</v>
      </c>
      <c r="BH57" s="49" t="s">
        <v>1384</v>
      </c>
      <c r="BI57" s="1"/>
      <c r="BJ57" s="71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1">
        <f t="shared" si="253"/>
        <v>22</v>
      </c>
      <c r="BW57" s="72">
        <f t="shared" si="254"/>
        <v>54</v>
      </c>
      <c r="BX57" s="73">
        <f t="shared" si="255"/>
        <v>58</v>
      </c>
      <c r="BY57" s="72">
        <f t="shared" si="256"/>
        <v>90</v>
      </c>
      <c r="BZ57" s="73">
        <f t="shared" si="257"/>
        <v>94</v>
      </c>
      <c r="CA57" s="72">
        <f t="shared" si="258"/>
        <v>130</v>
      </c>
      <c r="CB57" s="73">
        <f t="shared" si="259"/>
        <v>138</v>
      </c>
      <c r="CC57" s="72">
        <f t="shared" si="260"/>
        <v>178</v>
      </c>
      <c r="CD57" s="73">
        <f t="shared" si="261"/>
        <v>185</v>
      </c>
      <c r="CE57" s="72">
        <f t="shared" si="262"/>
        <v>354</v>
      </c>
      <c r="CF57" s="73">
        <f t="shared" si="263"/>
        <v>396</v>
      </c>
      <c r="CG57" s="72">
        <f t="shared" si="264"/>
        <v>422</v>
      </c>
      <c r="CH57" s="71">
        <f t="shared" si="265"/>
        <v>53</v>
      </c>
      <c r="CI57" s="72">
        <f t="shared" si="266"/>
        <v>57</v>
      </c>
      <c r="CJ57" s="73">
        <f t="shared" si="267"/>
        <v>88</v>
      </c>
      <c r="CK57" s="73">
        <f t="shared" si="268"/>
        <v>93</v>
      </c>
      <c r="CL57" s="73">
        <f t="shared" si="269"/>
        <v>129</v>
      </c>
      <c r="CM57" s="73">
        <f t="shared" si="270"/>
        <v>137</v>
      </c>
      <c r="CN57" s="73">
        <f t="shared" si="271"/>
        <v>169</v>
      </c>
      <c r="CO57" s="73">
        <f t="shared" si="272"/>
        <v>180</v>
      </c>
      <c r="CP57" s="73">
        <f t="shared" si="273"/>
        <v>225</v>
      </c>
      <c r="CQ57" s="73">
        <f t="shared" si="274"/>
        <v>391</v>
      </c>
      <c r="CR57" s="73">
        <f t="shared" si="275"/>
        <v>421</v>
      </c>
      <c r="CS57" s="73">
        <f t="shared" si="276"/>
        <v>434</v>
      </c>
      <c r="CT57" s="23">
        <f t="shared" si="277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0"/>
        <v>acm1_human_5CXV</v>
      </c>
      <c r="B58" s="3" t="s">
        <v>146</v>
      </c>
      <c r="C58" s="3" t="s">
        <v>62</v>
      </c>
      <c r="D58" s="3" t="str">
        <f>IFERROR(MID(VLOOKUP($B58,Seqs!$A:$B,2,0),E58,1),"")</f>
        <v>P</v>
      </c>
      <c r="E58" s="3">
        <v>22</v>
      </c>
      <c r="F58" s="3" t="str">
        <f>IFERROR(MID(VLOOKUP($B58,Seqs!$A:$B,2,0),G58,1),"")</f>
        <v>N</v>
      </c>
      <c r="G58" s="3">
        <v>53</v>
      </c>
      <c r="H58" s="3" t="str">
        <f>IFERROR(MID(VLOOKUP($B58,Seqs!$A:$B,2,0),I58,1),"")</f>
        <v>T</v>
      </c>
      <c r="I58" s="23">
        <v>54</v>
      </c>
      <c r="J58" s="3" t="str">
        <f>IFERROR(MID(VLOOKUP($B58,Seqs!$A:$B,2,0),K58,1),"")</f>
        <v>K</v>
      </c>
      <c r="K58" s="23">
        <v>57</v>
      </c>
      <c r="L58" s="3" t="str">
        <f>IFERROR(MID(VLOOKUP($B58,Seqs!$A:$B,2,0),M58,1),"")</f>
        <v>T</v>
      </c>
      <c r="M58" s="3">
        <v>58</v>
      </c>
      <c r="N58" s="3" t="str">
        <f>IFERROR(MID(VLOOKUP($B58,Seqs!$A:$B,2,0),O58,1),"")</f>
        <v>M</v>
      </c>
      <c r="O58" s="3">
        <v>88</v>
      </c>
      <c r="P58" s="3" t="str">
        <f>IFERROR(MID(VLOOKUP($B58,Seqs!$A:$B,2,0),Q58,1),"")</f>
        <v>H</v>
      </c>
      <c r="Q58" s="3">
        <v>90</v>
      </c>
      <c r="R58" s="3" t="str">
        <f>IFERROR(MID(VLOOKUP($B58,Seqs!$A:$B,2,0),S58,1),"")</f>
        <v>L</v>
      </c>
      <c r="S58" s="3">
        <v>93</v>
      </c>
      <c r="T58" s="3" t="str">
        <f>IFERROR(MID(VLOOKUP($B58,Seqs!$A:$B,2,0),U58,1),"")</f>
        <v>G</v>
      </c>
      <c r="U58" s="3">
        <v>94</v>
      </c>
      <c r="V58" s="3" t="str">
        <f>IFERROR(MID(VLOOKUP($B58,Seqs!$A:$B,2,0),W58,1),"")</f>
        <v>R</v>
      </c>
      <c r="W58" s="3">
        <v>129</v>
      </c>
      <c r="X58" s="3" t="str">
        <f>IFERROR(MID(VLOOKUP($B58,Seqs!$A:$B,2,0),Y58,1),"")</f>
        <v>P</v>
      </c>
      <c r="Y58" s="3">
        <v>130</v>
      </c>
      <c r="Z58" s="3" t="str">
        <f>IFERROR(MID(VLOOKUP($B58,Seqs!$A:$B,2,0),AA58,1),"")</f>
        <v>R</v>
      </c>
      <c r="AA58" s="3">
        <v>137</v>
      </c>
      <c r="AB58" s="3" t="str">
        <f>IFERROR(MID(VLOOKUP($B58,Seqs!$A:$B,2,0),AC58,1),"")</f>
        <v>T</v>
      </c>
      <c r="AC58" s="9">
        <v>138</v>
      </c>
      <c r="AD58" s="3" t="str">
        <f>IFERROR(MID(VLOOKUP($B58,Seqs!$A:$B,2,0),AE58,1),"")</f>
        <v>G</v>
      </c>
      <c r="AE58" s="3">
        <v>169</v>
      </c>
      <c r="AF58" s="3" t="str">
        <f>IFERROR(MID(VLOOKUP($B58,Seqs!$A:$B,2,0),AG58,1),"")</f>
        <v>C</v>
      </c>
      <c r="AG58" s="3">
        <v>178</v>
      </c>
      <c r="AH58" s="3" t="str">
        <f>IFERROR(MID(VLOOKUP($B58,Seqs!$A:$B,2,0),AI58,1),"")</f>
        <v>I</v>
      </c>
      <c r="AI58" s="3">
        <v>180</v>
      </c>
      <c r="AJ58" s="3" t="str">
        <f>IFERROR(MID(VLOOKUP($B58,Seqs!$A:$B,2,0),AK58,1),"")</f>
        <v>Q</v>
      </c>
      <c r="AK58" s="3">
        <v>185</v>
      </c>
      <c r="AL58" s="3" t="str">
        <f>IFERROR(MID(VLOOKUP($B58,Seqs!$A:$B,2,0),AM58,1),"")</f>
        <v>R</v>
      </c>
      <c r="AM58" s="3">
        <v>213</v>
      </c>
      <c r="AN58" s="3" t="str">
        <f>IFERROR(MID(VLOOKUP($B58,Seqs!$A:$B,2,0),AO58,1),"")</f>
        <v>L</v>
      </c>
      <c r="AO58" s="3">
        <v>357</v>
      </c>
      <c r="AP58" s="3" t="str">
        <f>IFERROR(MID(VLOOKUP($B58,Seqs!$A:$B,2,0),AQ58,1),"")</f>
        <v>C</v>
      </c>
      <c r="AQ58" s="3">
        <v>391</v>
      </c>
      <c r="AR58" s="3" t="str">
        <f>IFERROR(MID(VLOOKUP($B58,Seqs!$A:$B,2,0),AS58,1),"")</f>
        <v>P</v>
      </c>
      <c r="AS58" s="3">
        <v>396</v>
      </c>
      <c r="AT58" s="3" t="str">
        <f>IFERROR(MID(VLOOKUP($B58,Seqs!$A:$B,2,0),AU58,1),"")</f>
        <v>C</v>
      </c>
      <c r="AU58" s="3">
        <v>421</v>
      </c>
      <c r="AV58" s="3" t="str">
        <f>IFERROR(MID(VLOOKUP($B58,Seqs!$A:$B,2,0),AW58,1),"")</f>
        <v>N</v>
      </c>
      <c r="AW58" s="3">
        <v>422</v>
      </c>
      <c r="AX58" s="3" t="str">
        <f>IFERROR(MID(VLOOKUP($B58,Seqs!$A:$B,2,0),AY58,1),"")</f>
        <v>L</v>
      </c>
      <c r="AY58" s="3">
        <v>434</v>
      </c>
      <c r="AZ58" s="78" t="str">
        <f>VLOOKUP(B58,Classification!A:D,2,0)</f>
        <v>A</v>
      </c>
      <c r="BA58" s="95" t="str">
        <f>VLOOKUP(B58,Classification!A:D,4,0)</f>
        <v>Acetylcholine(muscarinic)</v>
      </c>
      <c r="BB58" s="27" t="b">
        <f t="shared" si="1"/>
        <v>1</v>
      </c>
      <c r="BC58" s="23">
        <f t="shared" si="252"/>
        <v>253</v>
      </c>
      <c r="BD58" s="16" t="s">
        <v>1383</v>
      </c>
      <c r="BE58" s="3" t="s">
        <v>1381</v>
      </c>
      <c r="BF58" s="120">
        <v>2.7</v>
      </c>
      <c r="BG58" s="49" t="s">
        <v>1384</v>
      </c>
      <c r="BH58" s="49" t="s">
        <v>1384</v>
      </c>
      <c r="BI58" s="1"/>
      <c r="BJ58" s="71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1">
        <f t="shared" si="253"/>
        <v>22</v>
      </c>
      <c r="BW58" s="72">
        <f t="shared" si="254"/>
        <v>54</v>
      </c>
      <c r="BX58" s="73">
        <f t="shared" si="255"/>
        <v>58</v>
      </c>
      <c r="BY58" s="72">
        <f t="shared" si="256"/>
        <v>90</v>
      </c>
      <c r="BZ58" s="73">
        <f t="shared" si="257"/>
        <v>94</v>
      </c>
      <c r="CA58" s="72">
        <f t="shared" si="258"/>
        <v>130</v>
      </c>
      <c r="CB58" s="73">
        <f t="shared" si="259"/>
        <v>138</v>
      </c>
      <c r="CC58" s="72">
        <f t="shared" si="260"/>
        <v>178</v>
      </c>
      <c r="CD58" s="73">
        <f t="shared" si="261"/>
        <v>185</v>
      </c>
      <c r="CE58" s="72">
        <f t="shared" si="262"/>
        <v>357</v>
      </c>
      <c r="CF58" s="73">
        <f t="shared" si="263"/>
        <v>396</v>
      </c>
      <c r="CG58" s="72">
        <f t="shared" si="264"/>
        <v>422</v>
      </c>
      <c r="CH58" s="71">
        <f t="shared" si="265"/>
        <v>53</v>
      </c>
      <c r="CI58" s="72">
        <f t="shared" si="266"/>
        <v>57</v>
      </c>
      <c r="CJ58" s="73">
        <f t="shared" si="267"/>
        <v>88</v>
      </c>
      <c r="CK58" s="73">
        <f t="shared" si="268"/>
        <v>93</v>
      </c>
      <c r="CL58" s="73">
        <f t="shared" si="269"/>
        <v>129</v>
      </c>
      <c r="CM58" s="73">
        <f t="shared" si="270"/>
        <v>137</v>
      </c>
      <c r="CN58" s="73">
        <f t="shared" si="271"/>
        <v>169</v>
      </c>
      <c r="CO58" s="73">
        <f t="shared" si="272"/>
        <v>180</v>
      </c>
      <c r="CP58" s="73">
        <f t="shared" si="273"/>
        <v>213</v>
      </c>
      <c r="CQ58" s="73">
        <f t="shared" si="274"/>
        <v>391</v>
      </c>
      <c r="CR58" s="73">
        <f t="shared" si="275"/>
        <v>421</v>
      </c>
      <c r="CS58" s="73">
        <f t="shared" si="276"/>
        <v>434</v>
      </c>
      <c r="CT58" s="23">
        <f t="shared" si="277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0"/>
        <v>acm2_human__wt</v>
      </c>
      <c r="B59" s="3" t="s">
        <v>147</v>
      </c>
      <c r="C59" s="3" t="s">
        <v>100</v>
      </c>
      <c r="D59" s="3" t="str">
        <f>IFERROR(MID(VLOOKUP($B59,Seqs!$A:$B,2,0),E59,1),"")</f>
        <v>K</v>
      </c>
      <c r="E59" s="3">
        <v>19</v>
      </c>
      <c r="F59" s="3" t="str">
        <f>IFERROR(MID(VLOOKUP($B59,Seqs!$A:$B,2,0),G59,1),"")</f>
        <v>N</v>
      </c>
      <c r="G59" s="3">
        <v>51</v>
      </c>
      <c r="H59" s="3" t="str">
        <f>IFERROR(MID(VLOOKUP($B59,Seqs!$A:$B,2,0),I59,1),"")</f>
        <v>R</v>
      </c>
      <c r="I59" s="23">
        <v>52</v>
      </c>
      <c r="J59" s="3" t="str">
        <f>IFERROR(MID(VLOOKUP($B59,Seqs!$A:$B,2,0),K59,1),"")</f>
        <v>Q</v>
      </c>
      <c r="K59" s="23">
        <v>55</v>
      </c>
      <c r="L59" s="3" t="str">
        <f>IFERROR(MID(VLOOKUP($B59,Seqs!$A:$B,2,0),M59,1),"")</f>
        <v>T</v>
      </c>
      <c r="M59" s="3">
        <v>56</v>
      </c>
      <c r="N59" s="3" t="str">
        <f>IFERROR(MID(VLOOKUP($B59,Seqs!$A:$B,2,0),O59,1),"")</f>
        <v>I</v>
      </c>
      <c r="O59" s="3">
        <v>86</v>
      </c>
      <c r="P59" s="3" t="str">
        <f>IFERROR(MID(VLOOKUP($B59,Seqs!$A:$B,2,0),Q59,1),"")</f>
        <v>Y</v>
      </c>
      <c r="Q59" s="3">
        <v>88</v>
      </c>
      <c r="R59" s="3" t="str">
        <f>IFERROR(MID(VLOOKUP($B59,Seqs!$A:$B,2,0),S59,1),"")</f>
        <v>L</v>
      </c>
      <c r="S59" s="3">
        <v>91</v>
      </c>
      <c r="T59" s="3" t="str">
        <f>IFERROR(MID(VLOOKUP($B59,Seqs!$A:$B,2,0),U59,1),"")</f>
        <v>G</v>
      </c>
      <c r="U59" s="3">
        <v>92</v>
      </c>
      <c r="V59" s="3" t="str">
        <f>IFERROR(MID(VLOOKUP($B59,Seqs!$A:$B,2,0),W59,1),"")</f>
        <v>K</v>
      </c>
      <c r="W59" s="3">
        <v>127</v>
      </c>
      <c r="X59" s="3" t="str">
        <f>IFERROR(MID(VLOOKUP($B59,Seqs!$A:$B,2,0),Y59,1),"")</f>
        <v>P</v>
      </c>
      <c r="Y59" s="3">
        <v>128</v>
      </c>
      <c r="Z59" s="3" t="str">
        <f>IFERROR(MID(VLOOKUP($B59,Seqs!$A:$B,2,0),AA59,1),"")</f>
        <v>R</v>
      </c>
      <c r="AA59" s="3">
        <v>135</v>
      </c>
      <c r="AB59" s="3" t="str">
        <f>IFERROR(MID(VLOOKUP($B59,Seqs!$A:$B,2,0),AC59,1),"")</f>
        <v>T</v>
      </c>
      <c r="AC59" s="9">
        <v>136</v>
      </c>
      <c r="AD59" s="3" t="str">
        <f>IFERROR(MID(VLOOKUP($B59,Seqs!$A:$B,2,0),AE59,1),"")</f>
        <v>G</v>
      </c>
      <c r="AE59" s="3">
        <v>167</v>
      </c>
      <c r="AF59" s="3" t="str">
        <f>IFERROR(MID(VLOOKUP($B59,Seqs!$A:$B,2,0),AG59,1),"")</f>
        <v>C</v>
      </c>
      <c r="AG59" s="3">
        <v>176</v>
      </c>
      <c r="AH59" s="3" t="str">
        <f>IFERROR(MID(VLOOKUP($B59,Seqs!$A:$B,2,0),AI59,1),"")</f>
        <v>I</v>
      </c>
      <c r="AI59" s="3">
        <v>178</v>
      </c>
      <c r="AJ59" s="3" t="str">
        <f>IFERROR(MID(VLOOKUP($B59,Seqs!$A:$B,2,0),AK59,1),"")</f>
        <v>N</v>
      </c>
      <c r="AK59" s="3">
        <v>183</v>
      </c>
      <c r="AL59" s="3" t="str">
        <f>IFERROR(MID(VLOOKUP($B59,Seqs!$A:$B,2,0),AM59,1),"")</f>
        <v>E</v>
      </c>
      <c r="AM59" s="3">
        <v>223</v>
      </c>
      <c r="AN59" s="3" t="str">
        <f>IFERROR(MID(VLOOKUP($B59,Seqs!$A:$B,2,0),AO59,1),"")</f>
        <v>K</v>
      </c>
      <c r="AO59" s="3">
        <v>376</v>
      </c>
      <c r="AP59" s="3" t="str">
        <f>IFERROR(MID(VLOOKUP($B59,Seqs!$A:$B,2,0),AQ59,1),"")</f>
        <v>C</v>
      </c>
      <c r="AQ59" s="3">
        <v>413</v>
      </c>
      <c r="AR59" s="3" t="str">
        <f>IFERROR(MID(VLOOKUP($B59,Seqs!$A:$B,2,0),AS59,1),"")</f>
        <v>P</v>
      </c>
      <c r="AS59" s="3">
        <v>418</v>
      </c>
      <c r="AT59" s="3" t="str">
        <f>IFERROR(MID(VLOOKUP($B59,Seqs!$A:$B,2,0),AU59,1),"")</f>
        <v>C</v>
      </c>
      <c r="AU59" s="3">
        <v>443</v>
      </c>
      <c r="AV59" s="3" t="str">
        <f>IFERROR(MID(VLOOKUP($B59,Seqs!$A:$B,2,0),AW59,1),"")</f>
        <v>N</v>
      </c>
      <c r="AW59" s="3">
        <v>444</v>
      </c>
      <c r="AX59" s="3" t="str">
        <f>IFERROR(MID(VLOOKUP($B59,Seqs!$A:$B,2,0),AY59,1),"")</f>
        <v>M</v>
      </c>
      <c r="AY59" s="3">
        <v>456</v>
      </c>
      <c r="AZ59" s="78" t="str">
        <f>VLOOKUP(B59,Classification!A:D,2,0)</f>
        <v>A</v>
      </c>
      <c r="BA59" s="95" t="str">
        <f>VLOOKUP(B59,Classification!A:D,4,0)</f>
        <v>Acetylcholine(muscarinic)</v>
      </c>
      <c r="BB59" s="27" t="b">
        <f t="shared" si="1"/>
        <v>1</v>
      </c>
      <c r="BC59" s="23">
        <f t="shared" si="252"/>
        <v>269</v>
      </c>
      <c r="BD59" s="56" t="s">
        <v>1379</v>
      </c>
      <c r="BE59" s="3" t="s">
        <v>23</v>
      </c>
      <c r="BF59" s="120" t="s">
        <v>23</v>
      </c>
      <c r="BG59" s="49" t="s">
        <v>1379</v>
      </c>
      <c r="BH59" s="49" t="s">
        <v>1384</v>
      </c>
      <c r="BI59" s="1"/>
      <c r="BJ59" s="71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1">
        <f t="shared" si="253"/>
        <v>19</v>
      </c>
      <c r="BW59" s="72">
        <f t="shared" si="254"/>
        <v>52</v>
      </c>
      <c r="BX59" s="73">
        <f t="shared" si="255"/>
        <v>56</v>
      </c>
      <c r="BY59" s="72">
        <f t="shared" si="256"/>
        <v>88</v>
      </c>
      <c r="BZ59" s="73">
        <f t="shared" si="257"/>
        <v>92</v>
      </c>
      <c r="CA59" s="72">
        <f t="shared" si="258"/>
        <v>128</v>
      </c>
      <c r="CB59" s="73">
        <f t="shared" si="259"/>
        <v>136</v>
      </c>
      <c r="CC59" s="72">
        <f t="shared" si="260"/>
        <v>176</v>
      </c>
      <c r="CD59" s="73">
        <f t="shared" si="261"/>
        <v>183</v>
      </c>
      <c r="CE59" s="72">
        <f t="shared" si="262"/>
        <v>376</v>
      </c>
      <c r="CF59" s="73">
        <f t="shared" si="263"/>
        <v>418</v>
      </c>
      <c r="CG59" s="72">
        <f t="shared" si="264"/>
        <v>444</v>
      </c>
      <c r="CH59" s="71">
        <f t="shared" si="265"/>
        <v>51</v>
      </c>
      <c r="CI59" s="72">
        <f t="shared" si="266"/>
        <v>55</v>
      </c>
      <c r="CJ59" s="73">
        <f t="shared" si="267"/>
        <v>86</v>
      </c>
      <c r="CK59" s="73">
        <f t="shared" si="268"/>
        <v>91</v>
      </c>
      <c r="CL59" s="73">
        <f t="shared" si="269"/>
        <v>127</v>
      </c>
      <c r="CM59" s="73">
        <f t="shared" si="270"/>
        <v>135</v>
      </c>
      <c r="CN59" s="73">
        <f t="shared" si="271"/>
        <v>167</v>
      </c>
      <c r="CO59" s="73">
        <f t="shared" si="272"/>
        <v>178</v>
      </c>
      <c r="CP59" s="73">
        <f t="shared" si="273"/>
        <v>223</v>
      </c>
      <c r="CQ59" s="73">
        <f t="shared" si="274"/>
        <v>413</v>
      </c>
      <c r="CR59" s="73">
        <f t="shared" si="275"/>
        <v>443</v>
      </c>
      <c r="CS59" s="73">
        <f t="shared" si="276"/>
        <v>456</v>
      </c>
      <c r="CT59" s="23">
        <f t="shared" si="277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ref="A60:A91" si="782">CONCATENATE(B60,"_",C60)</f>
        <v>acm2_human_3UON</v>
      </c>
      <c r="B60" s="3" t="s">
        <v>147</v>
      </c>
      <c r="C60" s="3" t="s">
        <v>79</v>
      </c>
      <c r="D60" s="3" t="str">
        <f>IFERROR(MID(VLOOKUP($B60,Seqs!$A:$B,2,0),E60,1),"")</f>
        <v>V</v>
      </c>
      <c r="E60" s="3">
        <v>23</v>
      </c>
      <c r="F60" s="3" t="str">
        <f>IFERROR(MID(VLOOKUP($B60,Seqs!$A:$B,2,0),G60,1),"")</f>
        <v>N</v>
      </c>
      <c r="G60" s="3">
        <v>51</v>
      </c>
      <c r="H60" s="3" t="str">
        <f>IFERROR(MID(VLOOKUP($B60,Seqs!$A:$B,2,0),I60,1),"")</f>
        <v>R</v>
      </c>
      <c r="I60" s="23">
        <v>52</v>
      </c>
      <c r="J60" s="3" t="str">
        <f>IFERROR(MID(VLOOKUP($B60,Seqs!$A:$B,2,0),K60,1),"")</f>
        <v>Q</v>
      </c>
      <c r="K60" s="23">
        <v>55</v>
      </c>
      <c r="L60" s="3" t="str">
        <f>IFERROR(MID(VLOOKUP($B60,Seqs!$A:$B,2,0),M60,1),"")</f>
        <v>T</v>
      </c>
      <c r="M60" s="3">
        <v>56</v>
      </c>
      <c r="N60" s="3" t="str">
        <f>IFERROR(MID(VLOOKUP($B60,Seqs!$A:$B,2,0),O60,1),"")</f>
        <v>I</v>
      </c>
      <c r="O60" s="3">
        <v>86</v>
      </c>
      <c r="P60" s="3" t="str">
        <f>IFERROR(MID(VLOOKUP($B60,Seqs!$A:$B,2,0),Q60,1),"")</f>
        <v>Y</v>
      </c>
      <c r="Q60" s="3">
        <v>88</v>
      </c>
      <c r="R60" s="3" t="str">
        <f>IFERROR(MID(VLOOKUP($B60,Seqs!$A:$B,2,0),S60,1),"")</f>
        <v>L</v>
      </c>
      <c r="S60" s="3">
        <v>91</v>
      </c>
      <c r="T60" s="3" t="str">
        <f>IFERROR(MID(VLOOKUP($B60,Seqs!$A:$B,2,0),U60,1),"")</f>
        <v>G</v>
      </c>
      <c r="U60" s="3">
        <v>92</v>
      </c>
      <c r="V60" s="3" t="str">
        <f>IFERROR(MID(VLOOKUP($B60,Seqs!$A:$B,2,0),W60,1),"")</f>
        <v>K</v>
      </c>
      <c r="W60" s="3">
        <v>127</v>
      </c>
      <c r="X60" s="3" t="str">
        <f>IFERROR(MID(VLOOKUP($B60,Seqs!$A:$B,2,0),Y60,1),"")</f>
        <v>P</v>
      </c>
      <c r="Y60" s="3">
        <v>128</v>
      </c>
      <c r="Z60" s="3" t="str">
        <f>IFERROR(MID(VLOOKUP($B60,Seqs!$A:$B,2,0),AA60,1),"")</f>
        <v>R</v>
      </c>
      <c r="AA60" s="3">
        <v>135</v>
      </c>
      <c r="AB60" s="3" t="str">
        <f>IFERROR(MID(VLOOKUP($B60,Seqs!$A:$B,2,0),AC60,1),"")</f>
        <v>T</v>
      </c>
      <c r="AC60" s="9">
        <v>136</v>
      </c>
      <c r="AD60" s="3" t="str">
        <f>IFERROR(MID(VLOOKUP($B60,Seqs!$A:$B,2,0),AE60,1),"")</f>
        <v>G</v>
      </c>
      <c r="AE60" s="3">
        <v>167</v>
      </c>
      <c r="AF60" s="3" t="str">
        <f>IFERROR(MID(VLOOKUP($B60,Seqs!$A:$B,2,0),AG60,1),"")</f>
        <v>C</v>
      </c>
      <c r="AG60" s="3">
        <v>176</v>
      </c>
      <c r="AH60" s="3" t="str">
        <f>IFERROR(MID(VLOOKUP($B60,Seqs!$A:$B,2,0),AI60,1),"")</f>
        <v>I</v>
      </c>
      <c r="AI60" s="3">
        <v>178</v>
      </c>
      <c r="AJ60" s="3" t="str">
        <f>IFERROR(MID(VLOOKUP($B60,Seqs!$A:$B,2,0),AK60,1),"")</f>
        <v>N</v>
      </c>
      <c r="AK60" s="3">
        <v>183</v>
      </c>
      <c r="AL60" s="3" t="str">
        <f>IFERROR(MID(VLOOKUP($B60,Seqs!$A:$B,2,0),AM60,1),"")</f>
        <v>S</v>
      </c>
      <c r="AM60" s="3">
        <v>213</v>
      </c>
      <c r="AN60" s="3" t="str">
        <f>IFERROR(MID(VLOOKUP($B60,Seqs!$A:$B,2,0),AO60,1),"")</f>
        <v>K</v>
      </c>
      <c r="AO60" s="3">
        <v>384</v>
      </c>
      <c r="AP60" s="3" t="str">
        <f>IFERROR(MID(VLOOKUP($B60,Seqs!$A:$B,2,0),AQ60,1),"")</f>
        <v>C</v>
      </c>
      <c r="AQ60" s="3">
        <v>413</v>
      </c>
      <c r="AR60" s="3" t="str">
        <f>IFERROR(MID(VLOOKUP($B60,Seqs!$A:$B,2,0),AS60,1),"")</f>
        <v>P</v>
      </c>
      <c r="AS60" s="3">
        <v>418</v>
      </c>
      <c r="AT60" s="3" t="str">
        <f>IFERROR(MID(VLOOKUP($B60,Seqs!$A:$B,2,0),AU60,1),"")</f>
        <v>C</v>
      </c>
      <c r="AU60" s="3">
        <v>443</v>
      </c>
      <c r="AV60" s="3" t="str">
        <f>IFERROR(MID(VLOOKUP($B60,Seqs!$A:$B,2,0),AW60,1),"")</f>
        <v>N</v>
      </c>
      <c r="AW60" s="3">
        <v>444</v>
      </c>
      <c r="AX60" s="3" t="str">
        <f>IFERROR(MID(VLOOKUP($B60,Seqs!$A:$B,2,0),AY60,1),"")</f>
        <v>M</v>
      </c>
      <c r="AY60" s="3">
        <v>456</v>
      </c>
      <c r="AZ60" s="78" t="str">
        <f>VLOOKUP(B60,Classification!A:D,2,0)</f>
        <v>A</v>
      </c>
      <c r="BA60" s="95" t="str">
        <f>VLOOKUP(B60,Classification!A:D,4,0)</f>
        <v>Acetylcholine(muscarinic)</v>
      </c>
      <c r="BB60" s="27" t="b">
        <f t="shared" ref="BB60:BB91" si="783">AND(E60&lt;G60,OR(G60&lt;I60,I60="-"),OR(I60&lt;K60,I60="-"),OR(K60&lt;M60,K60="-"),M60&lt;O60,OR(O60&lt;Q60,Q60="-"),OR(Q60&lt;S60,Q60="-"),OR(S60&lt;U60,S60="-"),U60&lt;W60,OR(W60&lt;Y60,Y60="-"),OR(Y60&lt;AA60,Y60="-"),OR(AA60&lt;AC60,AA60="-"),AC60&lt;AE60,OR(AE60&lt;AG60,AG60="-"),OR(AG60&lt;AI60,AG60="-"),OR(AI60&lt;AK60,AI60="-"),AK60&lt;AM60,AM60&lt;AO60,AO60&lt;AQ60,AQ60&lt;AS60,AS60&lt;AU60,OR(AU60&lt;AW60,AW60="-"),OR(AW60&lt;AY60,AW60="-"))</f>
        <v>1</v>
      </c>
      <c r="BC60" s="23">
        <f t="shared" si="252"/>
        <v>247</v>
      </c>
      <c r="BD60" s="16" t="s">
        <v>1383</v>
      </c>
      <c r="BE60" s="3" t="s">
        <v>1381</v>
      </c>
      <c r="BF60" s="120">
        <v>3</v>
      </c>
      <c r="BG60" s="49" t="s">
        <v>1384</v>
      </c>
      <c r="BH60" s="49" t="s">
        <v>1384</v>
      </c>
      <c r="BI60" s="1"/>
      <c r="BJ60" s="71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1">
        <f t="shared" si="253"/>
        <v>23</v>
      </c>
      <c r="BW60" s="72">
        <f t="shared" si="254"/>
        <v>52</v>
      </c>
      <c r="BX60" s="73">
        <f t="shared" si="255"/>
        <v>56</v>
      </c>
      <c r="BY60" s="72">
        <f t="shared" si="256"/>
        <v>88</v>
      </c>
      <c r="BZ60" s="73">
        <f t="shared" si="257"/>
        <v>92</v>
      </c>
      <c r="CA60" s="72">
        <f t="shared" si="258"/>
        <v>128</v>
      </c>
      <c r="CB60" s="73">
        <f t="shared" si="259"/>
        <v>136</v>
      </c>
      <c r="CC60" s="72">
        <f t="shared" si="260"/>
        <v>176</v>
      </c>
      <c r="CD60" s="73">
        <f t="shared" si="261"/>
        <v>183</v>
      </c>
      <c r="CE60" s="72">
        <f t="shared" si="262"/>
        <v>384</v>
      </c>
      <c r="CF60" s="73">
        <f t="shared" si="263"/>
        <v>418</v>
      </c>
      <c r="CG60" s="72">
        <f t="shared" si="264"/>
        <v>444</v>
      </c>
      <c r="CH60" s="71">
        <f t="shared" si="265"/>
        <v>51</v>
      </c>
      <c r="CI60" s="72">
        <f t="shared" si="266"/>
        <v>55</v>
      </c>
      <c r="CJ60" s="73">
        <f t="shared" si="267"/>
        <v>86</v>
      </c>
      <c r="CK60" s="73">
        <f t="shared" si="268"/>
        <v>91</v>
      </c>
      <c r="CL60" s="73">
        <f t="shared" si="269"/>
        <v>127</v>
      </c>
      <c r="CM60" s="73">
        <f t="shared" si="270"/>
        <v>135</v>
      </c>
      <c r="CN60" s="73">
        <f t="shared" si="271"/>
        <v>167</v>
      </c>
      <c r="CO60" s="73">
        <f t="shared" si="272"/>
        <v>178</v>
      </c>
      <c r="CP60" s="73">
        <f t="shared" si="273"/>
        <v>213</v>
      </c>
      <c r="CQ60" s="73">
        <f t="shared" si="274"/>
        <v>413</v>
      </c>
      <c r="CR60" s="73">
        <f t="shared" si="275"/>
        <v>443</v>
      </c>
      <c r="CS60" s="73">
        <f t="shared" si="276"/>
        <v>456</v>
      </c>
      <c r="CT60" s="23">
        <f t="shared" si="277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782"/>
        <v>acm2_human_4MQS</v>
      </c>
      <c r="B61" s="3" t="s">
        <v>147</v>
      </c>
      <c r="C61" s="3" t="s">
        <v>68</v>
      </c>
      <c r="D61" s="3" t="str">
        <f>IFERROR(MID(VLOOKUP($B61,Seqs!$A:$B,2,0),E61,1),"")</f>
        <v>K</v>
      </c>
      <c r="E61" s="3">
        <v>19</v>
      </c>
      <c r="F61" s="3" t="str">
        <f>IFERROR(MID(VLOOKUP($B61,Seqs!$A:$B,2,0),G61,1),"")</f>
        <v>N</v>
      </c>
      <c r="G61" s="3">
        <v>51</v>
      </c>
      <c r="H61" s="3" t="str">
        <f>IFERROR(MID(VLOOKUP($B61,Seqs!$A:$B,2,0),I61,1),"")</f>
        <v>R</v>
      </c>
      <c r="I61" s="23">
        <v>52</v>
      </c>
      <c r="J61" s="3" t="str">
        <f>IFERROR(MID(VLOOKUP($B61,Seqs!$A:$B,2,0),K61,1),"")</f>
        <v>Q</v>
      </c>
      <c r="K61" s="23">
        <v>55</v>
      </c>
      <c r="L61" s="3" t="str">
        <f>IFERROR(MID(VLOOKUP($B61,Seqs!$A:$B,2,0),M61,1),"")</f>
        <v>T</v>
      </c>
      <c r="M61" s="3">
        <v>56</v>
      </c>
      <c r="N61" s="3" t="str">
        <f>IFERROR(MID(VLOOKUP($B61,Seqs!$A:$B,2,0),O61,1),"")</f>
        <v>I</v>
      </c>
      <c r="O61" s="3">
        <v>86</v>
      </c>
      <c r="P61" s="3" t="str">
        <f>IFERROR(MID(VLOOKUP($B61,Seqs!$A:$B,2,0),Q61,1),"")</f>
        <v>Y</v>
      </c>
      <c r="Q61" s="3">
        <v>88</v>
      </c>
      <c r="R61" s="3" t="str">
        <f>IFERROR(MID(VLOOKUP($B61,Seqs!$A:$B,2,0),S61,1),"")</f>
        <v>L</v>
      </c>
      <c r="S61" s="3">
        <v>91</v>
      </c>
      <c r="T61" s="3" t="str">
        <f>IFERROR(MID(VLOOKUP($B61,Seqs!$A:$B,2,0),U61,1),"")</f>
        <v>G</v>
      </c>
      <c r="U61" s="3">
        <v>92</v>
      </c>
      <c r="V61" s="3" t="str">
        <f>IFERROR(MID(VLOOKUP($B61,Seqs!$A:$B,2,0),W61,1),"")</f>
        <v>K</v>
      </c>
      <c r="W61" s="3">
        <v>127</v>
      </c>
      <c r="X61" s="3" t="str">
        <f>IFERROR(MID(VLOOKUP($B61,Seqs!$A:$B,2,0),Y61,1),"")</f>
        <v>P</v>
      </c>
      <c r="Y61" s="3">
        <v>128</v>
      </c>
      <c r="Z61" s="3" t="str">
        <f>IFERROR(MID(VLOOKUP($B61,Seqs!$A:$B,2,0),AA61,1),"")</f>
        <v>R</v>
      </c>
      <c r="AA61" s="3">
        <v>135</v>
      </c>
      <c r="AB61" s="3" t="str">
        <f>IFERROR(MID(VLOOKUP($B61,Seqs!$A:$B,2,0),AC61,1),"")</f>
        <v>T</v>
      </c>
      <c r="AC61" s="9">
        <v>136</v>
      </c>
      <c r="AD61" s="3" t="str">
        <f>IFERROR(MID(VLOOKUP($B61,Seqs!$A:$B,2,0),AE61,1),"")</f>
        <v>G</v>
      </c>
      <c r="AE61" s="3">
        <v>167</v>
      </c>
      <c r="AF61" s="3" t="str">
        <f>IFERROR(MID(VLOOKUP($B61,Seqs!$A:$B,2,0),AG61,1),"")</f>
        <v>C</v>
      </c>
      <c r="AG61" s="3">
        <v>176</v>
      </c>
      <c r="AH61" s="3" t="str">
        <f>IFERROR(MID(VLOOKUP($B61,Seqs!$A:$B,2,0),AI61,1),"")</f>
        <v>I</v>
      </c>
      <c r="AI61" s="3">
        <v>178</v>
      </c>
      <c r="AJ61" s="3" t="str">
        <f>IFERROR(MID(VLOOKUP($B61,Seqs!$A:$B,2,0),AK61,1),"")</f>
        <v>N</v>
      </c>
      <c r="AK61" s="3">
        <v>183</v>
      </c>
      <c r="AL61" s="3" t="str">
        <f>IFERROR(MID(VLOOKUP($B61,Seqs!$A:$B,2,0),AM61,1),"")</f>
        <v>K</v>
      </c>
      <c r="AM61" s="3">
        <v>214</v>
      </c>
      <c r="AN61" s="3" t="str">
        <f>IFERROR(MID(VLOOKUP($B61,Seqs!$A:$B,2,0),AO61,1),"")</f>
        <v>S</v>
      </c>
      <c r="AO61" s="3">
        <v>380</v>
      </c>
      <c r="AP61" s="3" t="str">
        <f>IFERROR(MID(VLOOKUP($B61,Seqs!$A:$B,2,0),AQ61,1),"")</f>
        <v>C</v>
      </c>
      <c r="AQ61" s="3">
        <v>413</v>
      </c>
      <c r="AR61" s="3" t="str">
        <f>IFERROR(MID(VLOOKUP($B61,Seqs!$A:$B,2,0),AS61,1),"")</f>
        <v>P</v>
      </c>
      <c r="AS61" s="3">
        <v>418</v>
      </c>
      <c r="AT61" s="3" t="str">
        <f>IFERROR(MID(VLOOKUP($B61,Seqs!$A:$B,2,0),AU61,1),"")</f>
        <v>C</v>
      </c>
      <c r="AU61" s="3">
        <v>443</v>
      </c>
      <c r="AV61" s="3" t="str">
        <f>IFERROR(MID(VLOOKUP($B61,Seqs!$A:$B,2,0),AW61,1),"")</f>
        <v>N</v>
      </c>
      <c r="AW61" s="3">
        <v>444</v>
      </c>
      <c r="AX61" s="3" t="str">
        <f>IFERROR(MID(VLOOKUP($B61,Seqs!$A:$B,2,0),AY61,1),"")</f>
        <v>M</v>
      </c>
      <c r="AY61" s="3">
        <v>456</v>
      </c>
      <c r="AZ61" s="78" t="str">
        <f>VLOOKUP(B61,Classification!A:D,2,0)</f>
        <v>A</v>
      </c>
      <c r="BA61" s="95" t="str">
        <f>VLOOKUP(B61,Classification!A:D,4,0)</f>
        <v>Acetylcholine(muscarinic)</v>
      </c>
      <c r="BB61" s="27" t="b">
        <f t="shared" si="783"/>
        <v>1</v>
      </c>
      <c r="BC61" s="23">
        <f t="shared" si="252"/>
        <v>256</v>
      </c>
      <c r="BD61" s="4" t="s">
        <v>23</v>
      </c>
      <c r="BE61" s="3" t="s">
        <v>1297</v>
      </c>
      <c r="BF61" s="120">
        <v>3.5</v>
      </c>
      <c r="BG61" s="49" t="s">
        <v>1384</v>
      </c>
      <c r="BH61" s="49" t="s">
        <v>1384</v>
      </c>
      <c r="BI61" s="1"/>
      <c r="BJ61" s="71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1">
        <f t="shared" si="253"/>
        <v>19</v>
      </c>
      <c r="BW61" s="72">
        <f t="shared" si="254"/>
        <v>52</v>
      </c>
      <c r="BX61" s="73">
        <f t="shared" si="255"/>
        <v>56</v>
      </c>
      <c r="BY61" s="72">
        <f t="shared" si="256"/>
        <v>88</v>
      </c>
      <c r="BZ61" s="73">
        <f t="shared" si="257"/>
        <v>92</v>
      </c>
      <c r="CA61" s="72">
        <f t="shared" si="258"/>
        <v>128</v>
      </c>
      <c r="CB61" s="73">
        <f t="shared" si="259"/>
        <v>136</v>
      </c>
      <c r="CC61" s="72">
        <f t="shared" si="260"/>
        <v>176</v>
      </c>
      <c r="CD61" s="73">
        <f t="shared" si="261"/>
        <v>183</v>
      </c>
      <c r="CE61" s="72">
        <f t="shared" si="262"/>
        <v>380</v>
      </c>
      <c r="CF61" s="73">
        <f t="shared" si="263"/>
        <v>418</v>
      </c>
      <c r="CG61" s="72">
        <f t="shared" si="264"/>
        <v>444</v>
      </c>
      <c r="CH61" s="71">
        <f t="shared" si="265"/>
        <v>51</v>
      </c>
      <c r="CI61" s="72">
        <f t="shared" si="266"/>
        <v>55</v>
      </c>
      <c r="CJ61" s="73">
        <f t="shared" si="267"/>
        <v>86</v>
      </c>
      <c r="CK61" s="73">
        <f t="shared" si="268"/>
        <v>91</v>
      </c>
      <c r="CL61" s="73">
        <f t="shared" si="269"/>
        <v>127</v>
      </c>
      <c r="CM61" s="73">
        <f t="shared" si="270"/>
        <v>135</v>
      </c>
      <c r="CN61" s="73">
        <f t="shared" si="271"/>
        <v>167</v>
      </c>
      <c r="CO61" s="73">
        <f t="shared" si="272"/>
        <v>178</v>
      </c>
      <c r="CP61" s="73">
        <f t="shared" si="273"/>
        <v>214</v>
      </c>
      <c r="CQ61" s="73">
        <f t="shared" si="274"/>
        <v>413</v>
      </c>
      <c r="CR61" s="73">
        <f t="shared" si="275"/>
        <v>443</v>
      </c>
      <c r="CS61" s="73">
        <f t="shared" si="276"/>
        <v>456</v>
      </c>
      <c r="CT61" s="23">
        <f t="shared" si="277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782"/>
        <v>acm2_human_4MQT</v>
      </c>
      <c r="B62" s="3" t="s">
        <v>147</v>
      </c>
      <c r="C62" s="3" t="s">
        <v>1047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S</v>
      </c>
      <c r="AM62" s="3">
        <v>215</v>
      </c>
      <c r="AN62" s="3" t="str">
        <f>IFERROR(MID(VLOOKUP($B62,Seqs!$A:$B,2,0),AO62,1),"")</f>
        <v>P</v>
      </c>
      <c r="AO62" s="3">
        <v>379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C</v>
      </c>
      <c r="AY62" s="3">
        <v>457</v>
      </c>
      <c r="AZ62" s="78" t="str">
        <f>VLOOKUP(B62,Classification!A:D,2,0)</f>
        <v>A</v>
      </c>
      <c r="BA62" s="95" t="str">
        <f>VLOOKUP(B62,Classification!A:D,4,0)</f>
        <v>Acetylcholine(muscarinic)</v>
      </c>
      <c r="BB62" s="27" t="b">
        <f t="shared" si="783"/>
        <v>1</v>
      </c>
      <c r="BC62" s="23">
        <f t="shared" si="252"/>
        <v>259</v>
      </c>
      <c r="BD62" s="4" t="s">
        <v>1382</v>
      </c>
      <c r="BE62" s="3" t="s">
        <v>1297</v>
      </c>
      <c r="BF62" s="120">
        <v>3.7</v>
      </c>
      <c r="BG62" s="49" t="s">
        <v>1384</v>
      </c>
      <c r="BH62" s="49" t="s">
        <v>1384</v>
      </c>
      <c r="BI62" s="1"/>
      <c r="BJ62" s="71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1">
        <f t="shared" si="253"/>
        <v>19</v>
      </c>
      <c r="BW62" s="72">
        <f t="shared" si="254"/>
        <v>52</v>
      </c>
      <c r="BX62" s="73">
        <f t="shared" si="255"/>
        <v>56</v>
      </c>
      <c r="BY62" s="72">
        <f t="shared" si="256"/>
        <v>88</v>
      </c>
      <c r="BZ62" s="73">
        <f t="shared" si="257"/>
        <v>92</v>
      </c>
      <c r="CA62" s="72">
        <f t="shared" si="258"/>
        <v>128</v>
      </c>
      <c r="CB62" s="73">
        <f t="shared" si="259"/>
        <v>136</v>
      </c>
      <c r="CC62" s="72">
        <f t="shared" si="260"/>
        <v>176</v>
      </c>
      <c r="CD62" s="73">
        <f t="shared" si="261"/>
        <v>183</v>
      </c>
      <c r="CE62" s="72">
        <f t="shared" si="262"/>
        <v>379</v>
      </c>
      <c r="CF62" s="73">
        <f t="shared" si="263"/>
        <v>418</v>
      </c>
      <c r="CG62" s="72">
        <f t="shared" si="264"/>
        <v>444</v>
      </c>
      <c r="CH62" s="71">
        <f t="shared" si="265"/>
        <v>51</v>
      </c>
      <c r="CI62" s="72">
        <f t="shared" si="266"/>
        <v>55</v>
      </c>
      <c r="CJ62" s="73">
        <f t="shared" si="267"/>
        <v>86</v>
      </c>
      <c r="CK62" s="73">
        <f t="shared" si="268"/>
        <v>91</v>
      </c>
      <c r="CL62" s="73">
        <f t="shared" si="269"/>
        <v>127</v>
      </c>
      <c r="CM62" s="73">
        <f t="shared" si="270"/>
        <v>135</v>
      </c>
      <c r="CN62" s="73">
        <f t="shared" si="271"/>
        <v>167</v>
      </c>
      <c r="CO62" s="73">
        <f t="shared" si="272"/>
        <v>178</v>
      </c>
      <c r="CP62" s="73">
        <f t="shared" si="273"/>
        <v>215</v>
      </c>
      <c r="CQ62" s="73">
        <f t="shared" si="274"/>
        <v>413</v>
      </c>
      <c r="CR62" s="73">
        <f t="shared" si="275"/>
        <v>443</v>
      </c>
      <c r="CS62" s="73">
        <f t="shared" si="276"/>
        <v>457</v>
      </c>
      <c r="CT62" s="23">
        <f t="shared" si="277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782"/>
        <v>acm3_rat__wt</v>
      </c>
      <c r="B63" s="3" t="s">
        <v>910</v>
      </c>
      <c r="C63" s="3" t="s">
        <v>100</v>
      </c>
      <c r="D63" s="3" t="str">
        <f>IFERROR(MID(VLOOKUP($B63,Seqs!$A:$B,2,0),E63,1),"")</f>
        <v>I</v>
      </c>
      <c r="E63" s="3">
        <v>64</v>
      </c>
      <c r="F63" s="3" t="str">
        <f>IFERROR(MID(VLOOKUP($B63,Seqs!$A:$B,2,0),G63,1),"")</f>
        <v>N</v>
      </c>
      <c r="G63" s="3">
        <v>95</v>
      </c>
      <c r="H63" s="3" t="str">
        <f>IFERROR(MID(VLOOKUP($B63,Seqs!$A:$B,2,0),I63,1),"")</f>
        <v>K</v>
      </c>
      <c r="I63" s="23">
        <v>96</v>
      </c>
      <c r="J63" s="3" t="str">
        <f>IFERROR(MID(VLOOKUP($B63,Seqs!$A:$B,2,0),K63,1),"")</f>
        <v>K</v>
      </c>
      <c r="K63" s="23">
        <v>99</v>
      </c>
      <c r="L63" s="3" t="str">
        <f>IFERROR(MID(VLOOKUP($B63,Seqs!$A:$B,2,0),M63,1),"")</f>
        <v>T</v>
      </c>
      <c r="M63" s="3">
        <v>100</v>
      </c>
      <c r="N63" s="3" t="str">
        <f>IFERROR(MID(VLOOKUP($B63,Seqs!$A:$B,2,0),O63,1),"")</f>
        <v>M</v>
      </c>
      <c r="O63" s="3">
        <v>130</v>
      </c>
      <c r="P63" s="3" t="str">
        <f>IFERROR(MID(VLOOKUP($B63,Seqs!$A:$B,2,0),Q63,1),"")</f>
        <v>R</v>
      </c>
      <c r="Q63" s="3">
        <v>132</v>
      </c>
      <c r="R63" s="3" t="str">
        <f>IFERROR(MID(VLOOKUP($B63,Seqs!$A:$B,2,0),S63,1),"")</f>
        <v>L</v>
      </c>
      <c r="S63" s="3">
        <v>135</v>
      </c>
      <c r="T63" s="3" t="str">
        <f>IFERROR(MID(VLOOKUP($B63,Seqs!$A:$B,2,0),U63,1),"")</f>
        <v>G</v>
      </c>
      <c r="U63" s="3">
        <v>136</v>
      </c>
      <c r="V63" s="3" t="str">
        <f>IFERROR(MID(VLOOKUP($B63,Seqs!$A:$B,2,0),W63,1),"")</f>
        <v>R</v>
      </c>
      <c r="W63" s="3">
        <v>171</v>
      </c>
      <c r="X63" s="3" t="str">
        <f>IFERROR(MID(VLOOKUP($B63,Seqs!$A:$B,2,0),Y63,1),"")</f>
        <v>P</v>
      </c>
      <c r="Y63" s="3">
        <v>172</v>
      </c>
      <c r="Z63" s="3" t="str">
        <f>IFERROR(MID(VLOOKUP($B63,Seqs!$A:$B,2,0),AA63,1),"")</f>
        <v>R</v>
      </c>
      <c r="AA63" s="3">
        <v>179</v>
      </c>
      <c r="AB63" s="3" t="str">
        <f>IFERROR(MID(VLOOKUP($B63,Seqs!$A:$B,2,0),AC63,1),"")</f>
        <v>T</v>
      </c>
      <c r="AC63" s="9">
        <v>180</v>
      </c>
      <c r="AD63" s="3" t="str">
        <f>IFERROR(MID(VLOOKUP($B63,Seqs!$A:$B,2,0),AE63,1),"")</f>
        <v>G</v>
      </c>
      <c r="AE63" s="3">
        <v>211</v>
      </c>
      <c r="AF63" s="3" t="str">
        <f>IFERROR(MID(VLOOKUP($B63,Seqs!$A:$B,2,0),AG63,1),"")</f>
        <v>C</v>
      </c>
      <c r="AG63" s="3">
        <v>220</v>
      </c>
      <c r="AH63" s="3" t="str">
        <f>IFERROR(MID(VLOOKUP($B63,Seqs!$A:$B,2,0),AI63,1),"")</f>
        <v>I</v>
      </c>
      <c r="AI63" s="3">
        <v>222</v>
      </c>
      <c r="AJ63" s="3" t="str">
        <f>IFERROR(MID(VLOOKUP($B63,Seqs!$A:$B,2,0),AK63,1),"")</f>
        <v>E</v>
      </c>
      <c r="AK63" s="3">
        <v>227</v>
      </c>
      <c r="AL63" s="3" t="str">
        <f>IFERROR(MID(VLOOKUP($B63,Seqs!$A:$B,2,0),AM63,1),"")</f>
        <v>L</v>
      </c>
      <c r="AM63" s="3">
        <v>267</v>
      </c>
      <c r="AN63" s="3" t="str">
        <f>IFERROR(MID(VLOOKUP($B63,Seqs!$A:$B,2,0),AO63,1),"")</f>
        <v>R</v>
      </c>
      <c r="AO63" s="3">
        <v>479</v>
      </c>
      <c r="AP63" s="3" t="str">
        <f>IFERROR(MID(VLOOKUP($B63,Seqs!$A:$B,2,0),AQ63,1),"")</f>
        <v>C</v>
      </c>
      <c r="AQ63" s="3">
        <v>516</v>
      </c>
      <c r="AR63" s="3" t="str">
        <f>IFERROR(MID(VLOOKUP($B63,Seqs!$A:$B,2,0),AS63,1),"")</f>
        <v>P</v>
      </c>
      <c r="AS63" s="3">
        <v>521</v>
      </c>
      <c r="AT63" s="3" t="str">
        <f>IFERROR(MID(VLOOKUP($B63,Seqs!$A:$B,2,0),AU63,1),"")</f>
        <v>C</v>
      </c>
      <c r="AU63" s="3">
        <v>546</v>
      </c>
      <c r="AV63" s="3" t="str">
        <f>IFERROR(MID(VLOOKUP($B63,Seqs!$A:$B,2,0),AW63,1),"")</f>
        <v>N</v>
      </c>
      <c r="AW63" s="3">
        <v>547</v>
      </c>
      <c r="AX63" s="3" t="str">
        <f>IFERROR(MID(VLOOKUP($B63,Seqs!$A:$B,2,0),AY63,1),"")</f>
        <v>L</v>
      </c>
      <c r="AY63" s="3">
        <v>558</v>
      </c>
      <c r="AZ63" s="78" t="str">
        <f>VLOOKUP(B63,Classification!A:D,2,0)</f>
        <v>A</v>
      </c>
      <c r="BA63" s="95" t="str">
        <f>VLOOKUP(B63,Classification!A:D,4,0)</f>
        <v>Acetylcholine(muscarinic)</v>
      </c>
      <c r="BB63" s="27" t="b">
        <f t="shared" si="783"/>
        <v>1</v>
      </c>
      <c r="BC63" s="23">
        <f t="shared" si="252"/>
        <v>267</v>
      </c>
      <c r="BD63" s="56" t="s">
        <v>1379</v>
      </c>
      <c r="BE63" s="3" t="s">
        <v>23</v>
      </c>
      <c r="BF63" s="120" t="s">
        <v>23</v>
      </c>
      <c r="BG63" s="49" t="s">
        <v>1379</v>
      </c>
      <c r="BH63" s="49" t="s">
        <v>1384</v>
      </c>
      <c r="BI63" s="1"/>
      <c r="BJ63" s="71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1">
        <f t="shared" si="253"/>
        <v>64</v>
      </c>
      <c r="BW63" s="72">
        <f t="shared" si="254"/>
        <v>96</v>
      </c>
      <c r="BX63" s="73">
        <f t="shared" si="255"/>
        <v>100</v>
      </c>
      <c r="BY63" s="72">
        <f t="shared" si="256"/>
        <v>132</v>
      </c>
      <c r="BZ63" s="73">
        <f t="shared" si="257"/>
        <v>136</v>
      </c>
      <c r="CA63" s="72">
        <f t="shared" si="258"/>
        <v>172</v>
      </c>
      <c r="CB63" s="73">
        <f t="shared" si="259"/>
        <v>180</v>
      </c>
      <c r="CC63" s="72">
        <f t="shared" si="260"/>
        <v>220</v>
      </c>
      <c r="CD63" s="73">
        <f t="shared" si="261"/>
        <v>227</v>
      </c>
      <c r="CE63" s="72">
        <f t="shared" si="262"/>
        <v>479</v>
      </c>
      <c r="CF63" s="73">
        <f t="shared" si="263"/>
        <v>521</v>
      </c>
      <c r="CG63" s="72">
        <f t="shared" si="264"/>
        <v>547</v>
      </c>
      <c r="CH63" s="71">
        <f t="shared" si="265"/>
        <v>95</v>
      </c>
      <c r="CI63" s="72">
        <f t="shared" si="266"/>
        <v>99</v>
      </c>
      <c r="CJ63" s="73">
        <f t="shared" si="267"/>
        <v>130</v>
      </c>
      <c r="CK63" s="73">
        <f t="shared" si="268"/>
        <v>135</v>
      </c>
      <c r="CL63" s="73">
        <f t="shared" si="269"/>
        <v>171</v>
      </c>
      <c r="CM63" s="73">
        <f t="shared" si="270"/>
        <v>179</v>
      </c>
      <c r="CN63" s="73">
        <f t="shared" si="271"/>
        <v>211</v>
      </c>
      <c r="CO63" s="73">
        <f t="shared" si="272"/>
        <v>222</v>
      </c>
      <c r="CP63" s="73">
        <f t="shared" si="273"/>
        <v>267</v>
      </c>
      <c r="CQ63" s="73">
        <f t="shared" si="274"/>
        <v>516</v>
      </c>
      <c r="CR63" s="73">
        <f t="shared" si="275"/>
        <v>546</v>
      </c>
      <c r="CS63" s="73">
        <f t="shared" si="276"/>
        <v>558</v>
      </c>
      <c r="CT63" s="23">
        <f t="shared" si="277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782"/>
        <v>acm3_rat_4U15</v>
      </c>
      <c r="B64" s="3" t="s">
        <v>910</v>
      </c>
      <c r="C64" s="3" t="s">
        <v>71</v>
      </c>
      <c r="D64" s="3" t="str">
        <f>IFERROR(MID(VLOOKUP($B64,Seqs!$A:$B,2,0),E64,1),"")</f>
        <v>I</v>
      </c>
      <c r="E64" s="3">
        <v>64</v>
      </c>
      <c r="F64" s="3" t="str">
        <f>IFERROR(MID(VLOOKUP($B64,Seqs!$A:$B,2,0),G64,1),"")</f>
        <v>N</v>
      </c>
      <c r="G64" s="3">
        <v>95</v>
      </c>
      <c r="H64" s="3" t="str">
        <f>IFERROR(MID(VLOOKUP($B64,Seqs!$A:$B,2,0),I64,1),"")</f>
        <v>K</v>
      </c>
      <c r="I64" s="23">
        <v>96</v>
      </c>
      <c r="J64" s="3" t="str">
        <f>IFERROR(MID(VLOOKUP($B64,Seqs!$A:$B,2,0),K64,1),"")</f>
        <v>K</v>
      </c>
      <c r="K64" s="23">
        <v>99</v>
      </c>
      <c r="L64" s="3" t="str">
        <f>IFERROR(MID(VLOOKUP($B64,Seqs!$A:$B,2,0),M64,1),"")</f>
        <v>T</v>
      </c>
      <c r="M64" s="3">
        <v>100</v>
      </c>
      <c r="N64" s="3" t="str">
        <f>IFERROR(MID(VLOOKUP($B64,Seqs!$A:$B,2,0),O64,1),"")</f>
        <v>M</v>
      </c>
      <c r="O64" s="3">
        <v>130</v>
      </c>
      <c r="P64" s="3" t="str">
        <f>IFERROR(MID(VLOOKUP($B64,Seqs!$A:$B,2,0),Q64,1),"")</f>
        <v>R</v>
      </c>
      <c r="Q64" s="3">
        <v>132</v>
      </c>
      <c r="R64" s="3" t="str">
        <f>IFERROR(MID(VLOOKUP($B64,Seqs!$A:$B,2,0),S64,1),"")</f>
        <v>L</v>
      </c>
      <c r="S64" s="3">
        <v>135</v>
      </c>
      <c r="T64" s="3" t="str">
        <f>IFERROR(MID(VLOOKUP($B64,Seqs!$A:$B,2,0),U64,1),"")</f>
        <v>G</v>
      </c>
      <c r="U64" s="3">
        <v>136</v>
      </c>
      <c r="V64" s="3" t="str">
        <f>IFERROR(MID(VLOOKUP($B64,Seqs!$A:$B,2,0),W64,1),"")</f>
        <v>R</v>
      </c>
      <c r="W64" s="3">
        <v>171</v>
      </c>
      <c r="X64" s="3" t="str">
        <f>IFERROR(MID(VLOOKUP($B64,Seqs!$A:$B,2,0),Y64,1),"")</f>
        <v>P</v>
      </c>
      <c r="Y64" s="3">
        <v>172</v>
      </c>
      <c r="Z64" s="3" t="str">
        <f>IFERROR(MID(VLOOKUP($B64,Seqs!$A:$B,2,0),AA64,1),"")</f>
        <v>R</v>
      </c>
      <c r="AA64" s="3">
        <v>179</v>
      </c>
      <c r="AB64" s="3" t="str">
        <f>IFERROR(MID(VLOOKUP($B64,Seqs!$A:$B,2,0),AC64,1),"")</f>
        <v>T</v>
      </c>
      <c r="AC64" s="9">
        <v>180</v>
      </c>
      <c r="AD64" s="3" t="str">
        <f>IFERROR(MID(VLOOKUP($B64,Seqs!$A:$B,2,0),AE64,1),"")</f>
        <v>G</v>
      </c>
      <c r="AE64" s="3">
        <v>211</v>
      </c>
      <c r="AF64" s="3" t="str">
        <f>IFERROR(MID(VLOOKUP($B64,Seqs!$A:$B,2,0),AG64,1),"")</f>
        <v>C</v>
      </c>
      <c r="AG64" s="3">
        <v>220</v>
      </c>
      <c r="AH64" s="3" t="str">
        <f>IFERROR(MID(VLOOKUP($B64,Seqs!$A:$B,2,0),AI64,1),"")</f>
        <v>I</v>
      </c>
      <c r="AI64" s="3">
        <v>222</v>
      </c>
      <c r="AJ64" s="3" t="str">
        <f>IFERROR(MID(VLOOKUP($B64,Seqs!$A:$B,2,0),AK64,1),"")</f>
        <v>E</v>
      </c>
      <c r="AK64" s="3">
        <v>227</v>
      </c>
      <c r="AL64" s="3" t="str">
        <f>IFERROR(MID(VLOOKUP($B64,Seqs!$A:$B,2,0),AM64,1),"")</f>
        <v>K</v>
      </c>
      <c r="AM64" s="3">
        <v>259</v>
      </c>
      <c r="AN64" s="3" t="str">
        <f>IFERROR(MID(VLOOKUP($B64,Seqs!$A:$B,2,0),AO64,1),"")</f>
        <v>I</v>
      </c>
      <c r="AO64" s="3">
        <v>483</v>
      </c>
      <c r="AP64" s="3" t="str">
        <f>IFERROR(MID(VLOOKUP($B64,Seqs!$A:$B,2,0),AQ64,1),"")</f>
        <v>C</v>
      </c>
      <c r="AQ64" s="3">
        <v>516</v>
      </c>
      <c r="AR64" s="3" t="str">
        <f>IFERROR(MID(VLOOKUP($B64,Seqs!$A:$B,2,0),AS64,1),"")</f>
        <v>P</v>
      </c>
      <c r="AS64" s="3">
        <v>521</v>
      </c>
      <c r="AT64" s="3" t="str">
        <f>IFERROR(MID(VLOOKUP($B64,Seqs!$A:$B,2,0),AU64,1),"")</f>
        <v>C</v>
      </c>
      <c r="AU64" s="3">
        <v>546</v>
      </c>
      <c r="AV64" s="3" t="str">
        <f>IFERROR(MID(VLOOKUP($B64,Seqs!$A:$B,2,0),AW64,1),"")</f>
        <v>N</v>
      </c>
      <c r="AW64" s="3">
        <v>547</v>
      </c>
      <c r="AX64" s="3" t="str">
        <f>IFERROR(MID(VLOOKUP($B64,Seqs!$A:$B,2,0),AY64,1),"")</f>
        <v>L</v>
      </c>
      <c r="AY64" s="3">
        <v>558</v>
      </c>
      <c r="AZ64" s="78" t="str">
        <f>VLOOKUP(B64,Classification!A:D,2,0)</f>
        <v>A</v>
      </c>
      <c r="BA64" s="95" t="str">
        <f>VLOOKUP(B64,Classification!A:D,4,0)</f>
        <v>Acetylcholine(muscarinic)</v>
      </c>
      <c r="BB64" s="27" t="b">
        <f t="shared" si="783"/>
        <v>1</v>
      </c>
      <c r="BC64" s="23">
        <f t="shared" si="252"/>
        <v>255</v>
      </c>
      <c r="BD64" s="16" t="s">
        <v>1383</v>
      </c>
      <c r="BE64" s="3" t="s">
        <v>1381</v>
      </c>
      <c r="BF64" s="120">
        <v>2.8</v>
      </c>
      <c r="BG64" s="49" t="s">
        <v>1384</v>
      </c>
      <c r="BH64" s="49" t="s">
        <v>1384</v>
      </c>
      <c r="BI64" s="1"/>
      <c r="BJ64" s="71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1">
        <f t="shared" si="253"/>
        <v>64</v>
      </c>
      <c r="BW64" s="72">
        <f t="shared" si="254"/>
        <v>96</v>
      </c>
      <c r="BX64" s="73">
        <f t="shared" si="255"/>
        <v>100</v>
      </c>
      <c r="BY64" s="72">
        <f t="shared" si="256"/>
        <v>132</v>
      </c>
      <c r="BZ64" s="73">
        <f t="shared" si="257"/>
        <v>136</v>
      </c>
      <c r="CA64" s="72">
        <f t="shared" si="258"/>
        <v>172</v>
      </c>
      <c r="CB64" s="73">
        <f t="shared" si="259"/>
        <v>180</v>
      </c>
      <c r="CC64" s="72">
        <f t="shared" si="260"/>
        <v>220</v>
      </c>
      <c r="CD64" s="73">
        <f t="shared" si="261"/>
        <v>227</v>
      </c>
      <c r="CE64" s="72">
        <f t="shared" si="262"/>
        <v>483</v>
      </c>
      <c r="CF64" s="73">
        <f t="shared" si="263"/>
        <v>521</v>
      </c>
      <c r="CG64" s="72">
        <f t="shared" si="264"/>
        <v>547</v>
      </c>
      <c r="CH64" s="71">
        <f t="shared" si="265"/>
        <v>95</v>
      </c>
      <c r="CI64" s="72">
        <f t="shared" si="266"/>
        <v>99</v>
      </c>
      <c r="CJ64" s="73">
        <f t="shared" si="267"/>
        <v>130</v>
      </c>
      <c r="CK64" s="73">
        <f t="shared" si="268"/>
        <v>135</v>
      </c>
      <c r="CL64" s="73">
        <f t="shared" si="269"/>
        <v>171</v>
      </c>
      <c r="CM64" s="73">
        <f t="shared" si="270"/>
        <v>179</v>
      </c>
      <c r="CN64" s="73">
        <f t="shared" si="271"/>
        <v>211</v>
      </c>
      <c r="CO64" s="73">
        <f t="shared" si="272"/>
        <v>222</v>
      </c>
      <c r="CP64" s="73">
        <f t="shared" si="273"/>
        <v>259</v>
      </c>
      <c r="CQ64" s="73">
        <f t="shared" si="274"/>
        <v>516</v>
      </c>
      <c r="CR64" s="73">
        <f t="shared" si="275"/>
        <v>546</v>
      </c>
      <c r="CS64" s="73">
        <f t="shared" si="276"/>
        <v>558</v>
      </c>
      <c r="CT64" s="23">
        <f t="shared" si="277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782"/>
        <v>acm3_rat_4U16</v>
      </c>
      <c r="B65" s="3" t="s">
        <v>910</v>
      </c>
      <c r="C65" s="3" t="s">
        <v>1054</v>
      </c>
      <c r="D65" s="3" t="str">
        <f>IFERROR(MID(VLOOKUP($B65,Seqs!$A:$B,2,0),E65,1),"")</f>
        <v>I</v>
      </c>
      <c r="E65" s="3">
        <v>64</v>
      </c>
      <c r="F65" s="3" t="str">
        <f>IFERROR(MID(VLOOKUP($B65,Seqs!$A:$B,2,0),G65,1),"")</f>
        <v>N</v>
      </c>
      <c r="G65" s="3">
        <v>95</v>
      </c>
      <c r="H65" s="3" t="str">
        <f>IFERROR(MID(VLOOKUP($B65,Seqs!$A:$B,2,0),I65,1),"")</f>
        <v>K</v>
      </c>
      <c r="I65" s="23">
        <v>96</v>
      </c>
      <c r="J65" s="3" t="str">
        <f>IFERROR(MID(VLOOKUP($B65,Seqs!$A:$B,2,0),K65,1),"")</f>
        <v>K</v>
      </c>
      <c r="K65" s="23">
        <v>99</v>
      </c>
      <c r="L65" s="3" t="str">
        <f>IFERROR(MID(VLOOKUP($B65,Seqs!$A:$B,2,0),M65,1),"")</f>
        <v>T</v>
      </c>
      <c r="M65" s="3">
        <v>100</v>
      </c>
      <c r="N65" s="3" t="str">
        <f>IFERROR(MID(VLOOKUP($B65,Seqs!$A:$B,2,0),O65,1),"")</f>
        <v>M</v>
      </c>
      <c r="O65" s="3">
        <v>130</v>
      </c>
      <c r="P65" s="3" t="str">
        <f>IFERROR(MID(VLOOKUP($B65,Seqs!$A:$B,2,0),Q65,1),"")</f>
        <v>R</v>
      </c>
      <c r="Q65" s="3">
        <v>132</v>
      </c>
      <c r="R65" s="3" t="str">
        <f>IFERROR(MID(VLOOKUP($B65,Seqs!$A:$B,2,0),S65,1),"")</f>
        <v>L</v>
      </c>
      <c r="S65" s="3">
        <v>135</v>
      </c>
      <c r="T65" s="3" t="str">
        <f>IFERROR(MID(VLOOKUP($B65,Seqs!$A:$B,2,0),U65,1),"")</f>
        <v>G</v>
      </c>
      <c r="U65" s="3">
        <v>136</v>
      </c>
      <c r="V65" s="3" t="str">
        <f>IFERROR(MID(VLOOKUP($B65,Seqs!$A:$B,2,0),W65,1),"")</f>
        <v>R</v>
      </c>
      <c r="W65" s="3">
        <v>171</v>
      </c>
      <c r="X65" s="3" t="str">
        <f>IFERROR(MID(VLOOKUP($B65,Seqs!$A:$B,2,0),Y65,1),"")</f>
        <v>P</v>
      </c>
      <c r="Y65" s="3">
        <v>172</v>
      </c>
      <c r="Z65" s="3" t="str">
        <f>IFERROR(MID(VLOOKUP($B65,Seqs!$A:$B,2,0),AA65,1),"")</f>
        <v>R</v>
      </c>
      <c r="AA65" s="3">
        <v>179</v>
      </c>
      <c r="AB65" s="3" t="str">
        <f>IFERROR(MID(VLOOKUP($B65,Seqs!$A:$B,2,0),AC65,1),"")</f>
        <v>T</v>
      </c>
      <c r="AC65" s="9">
        <v>180</v>
      </c>
      <c r="AD65" s="3" t="str">
        <f>IFERROR(MID(VLOOKUP($B65,Seqs!$A:$B,2,0),AE65,1),"")</f>
        <v>G</v>
      </c>
      <c r="AE65" s="3">
        <v>211</v>
      </c>
      <c r="AF65" s="3" t="str">
        <f>IFERROR(MID(VLOOKUP($B65,Seqs!$A:$B,2,0),AG65,1),"")</f>
        <v>C</v>
      </c>
      <c r="AG65" s="3">
        <v>220</v>
      </c>
      <c r="AH65" s="3" t="str">
        <f>IFERROR(MID(VLOOKUP($B65,Seqs!$A:$B,2,0),AI65,1),"")</f>
        <v>I</v>
      </c>
      <c r="AI65" s="3">
        <v>222</v>
      </c>
      <c r="AJ65" s="3" t="str">
        <f>IFERROR(MID(VLOOKUP($B65,Seqs!$A:$B,2,0),AK65,1),"")</f>
        <v>E</v>
      </c>
      <c r="AK65" s="3">
        <v>227</v>
      </c>
      <c r="AL65" s="3" t="str">
        <f>IFERROR(MID(VLOOKUP($B65,Seqs!$A:$B,2,0),AM65,1),"")</f>
        <v>K</v>
      </c>
      <c r="AM65" s="3">
        <v>259</v>
      </c>
      <c r="AN65" s="3" t="str">
        <f>IFERROR(MID(VLOOKUP($B65,Seqs!$A:$B,2,0),AO65,1),"")</f>
        <v>I</v>
      </c>
      <c r="AO65" s="3">
        <v>483</v>
      </c>
      <c r="AP65" s="3" t="str">
        <f>IFERROR(MID(VLOOKUP($B65,Seqs!$A:$B,2,0),AQ65,1),"")</f>
        <v>C</v>
      </c>
      <c r="AQ65" s="3">
        <v>516</v>
      </c>
      <c r="AR65" s="3" t="str">
        <f>IFERROR(MID(VLOOKUP($B65,Seqs!$A:$B,2,0),AS65,1),"")</f>
        <v>P</v>
      </c>
      <c r="AS65" s="3">
        <v>521</v>
      </c>
      <c r="AT65" s="3" t="str">
        <f>IFERROR(MID(VLOOKUP($B65,Seqs!$A:$B,2,0),AU65,1),"")</f>
        <v>C</v>
      </c>
      <c r="AU65" s="3">
        <v>546</v>
      </c>
      <c r="AV65" s="3" t="str">
        <f>IFERROR(MID(VLOOKUP($B65,Seqs!$A:$B,2,0),AW65,1),"")</f>
        <v/>
      </c>
      <c r="AW65" s="3" t="s">
        <v>23</v>
      </c>
      <c r="AX65" s="3" t="str">
        <f>IFERROR(MID(VLOOKUP($B65,Seqs!$A:$B,2,0),AY65,1),"")</f>
        <v/>
      </c>
      <c r="AY65" s="3" t="s">
        <v>23</v>
      </c>
      <c r="AZ65" s="78" t="str">
        <f>VLOOKUP(B65,Classification!A:D,2,0)</f>
        <v>A</v>
      </c>
      <c r="BA65" s="95" t="str">
        <f>VLOOKUP(B65,Classification!A:D,4,0)</f>
        <v>Acetylcholine(muscarinic)</v>
      </c>
      <c r="BB65" s="27" t="b">
        <f t="shared" si="783"/>
        <v>1</v>
      </c>
      <c r="BC65" s="23">
        <f t="shared" si="252"/>
        <v>244</v>
      </c>
      <c r="BD65" s="4" t="s">
        <v>23</v>
      </c>
      <c r="BE65" s="3" t="s">
        <v>1381</v>
      </c>
      <c r="BF65" s="120">
        <v>3.7</v>
      </c>
      <c r="BG65" s="49" t="s">
        <v>1384</v>
      </c>
      <c r="BH65" s="49" t="s">
        <v>1384</v>
      </c>
      <c r="BI65" s="1"/>
      <c r="BJ65" s="71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1">
        <f t="shared" si="253"/>
        <v>64</v>
      </c>
      <c r="BW65" s="72">
        <f t="shared" si="254"/>
        <v>96</v>
      </c>
      <c r="BX65" s="73">
        <f t="shared" si="255"/>
        <v>100</v>
      </c>
      <c r="BY65" s="72">
        <f t="shared" si="256"/>
        <v>132</v>
      </c>
      <c r="BZ65" s="73">
        <f t="shared" si="257"/>
        <v>136</v>
      </c>
      <c r="CA65" s="72">
        <f t="shared" si="258"/>
        <v>172</v>
      </c>
      <c r="CB65" s="73">
        <f t="shared" si="259"/>
        <v>180</v>
      </c>
      <c r="CC65" s="72">
        <f t="shared" si="260"/>
        <v>220</v>
      </c>
      <c r="CD65" s="73">
        <f t="shared" si="261"/>
        <v>227</v>
      </c>
      <c r="CE65" s="72">
        <f t="shared" si="262"/>
        <v>483</v>
      </c>
      <c r="CF65" s="73">
        <f t="shared" si="263"/>
        <v>521</v>
      </c>
      <c r="CG65" s="72" t="str">
        <f t="shared" si="264"/>
        <v>-</v>
      </c>
      <c r="CH65" s="71">
        <f t="shared" si="265"/>
        <v>95</v>
      </c>
      <c r="CI65" s="72">
        <f t="shared" si="266"/>
        <v>99</v>
      </c>
      <c r="CJ65" s="73">
        <f t="shared" si="267"/>
        <v>130</v>
      </c>
      <c r="CK65" s="73">
        <f t="shared" si="268"/>
        <v>135</v>
      </c>
      <c r="CL65" s="73">
        <f t="shared" si="269"/>
        <v>171</v>
      </c>
      <c r="CM65" s="73">
        <f t="shared" si="270"/>
        <v>179</v>
      </c>
      <c r="CN65" s="73">
        <f t="shared" si="271"/>
        <v>211</v>
      </c>
      <c r="CO65" s="73">
        <f t="shared" si="272"/>
        <v>222</v>
      </c>
      <c r="CP65" s="73">
        <f t="shared" si="273"/>
        <v>259</v>
      </c>
      <c r="CQ65" s="73">
        <f t="shared" si="274"/>
        <v>516</v>
      </c>
      <c r="CR65" s="73">
        <f t="shared" si="275"/>
        <v>546</v>
      </c>
      <c r="CS65" s="73" t="str">
        <f t="shared" si="276"/>
        <v>-</v>
      </c>
      <c r="CT65" s="23">
        <f t="shared" si="277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782"/>
        <v>acm4_human__wt</v>
      </c>
      <c r="B66" s="3" t="s">
        <v>149</v>
      </c>
      <c r="C66" s="3" t="s">
        <v>100</v>
      </c>
      <c r="D66" s="3" t="str">
        <f>IFERROR(MID(VLOOKUP($B66,Seqs!$A:$B,2,0),E66,1),"")</f>
        <v>R</v>
      </c>
      <c r="E66" s="3">
        <v>26</v>
      </c>
      <c r="F66" s="3" t="str">
        <f>IFERROR(MID(VLOOKUP($B66,Seqs!$A:$B,2,0),G66,1),"")</f>
        <v>N</v>
      </c>
      <c r="G66" s="3">
        <v>60</v>
      </c>
      <c r="H66" s="3" t="str">
        <f>IFERROR(MID(VLOOKUP($B66,Seqs!$A:$B,2,0),I66,1),"")</f>
        <v>R</v>
      </c>
      <c r="I66" s="23">
        <v>61</v>
      </c>
      <c r="J66" s="3" t="str">
        <f>IFERROR(MID(VLOOKUP($B66,Seqs!$A:$B,2,0),K66,1),"")</f>
        <v>Q</v>
      </c>
      <c r="K66" s="23">
        <v>64</v>
      </c>
      <c r="L66" s="3" t="str">
        <f>IFERROR(MID(VLOOKUP($B66,Seqs!$A:$B,2,0),M66,1),"")</f>
        <v>T</v>
      </c>
      <c r="M66" s="3">
        <v>65</v>
      </c>
      <c r="N66" s="3" t="str">
        <f>IFERROR(MID(VLOOKUP($B66,Seqs!$A:$B,2,0),O66,1),"")</f>
        <v>K</v>
      </c>
      <c r="O66" s="3">
        <v>95</v>
      </c>
      <c r="P66" s="3" t="str">
        <f>IFERROR(MID(VLOOKUP($B66,Seqs!$A:$B,2,0),Q66,1),"")</f>
        <v>Y</v>
      </c>
      <c r="Q66" s="3">
        <v>97</v>
      </c>
      <c r="R66" s="3" t="str">
        <f>IFERROR(MID(VLOOKUP($B66,Seqs!$A:$B,2,0),S66,1),"")</f>
        <v>L</v>
      </c>
      <c r="S66" s="3">
        <v>100</v>
      </c>
      <c r="T66" s="3" t="str">
        <f>IFERROR(MID(VLOOKUP($B66,Seqs!$A:$B,2,0),U66,1),"")</f>
        <v>G</v>
      </c>
      <c r="U66" s="3">
        <v>101</v>
      </c>
      <c r="V66" s="3" t="str">
        <f>IFERROR(MID(VLOOKUP($B66,Seqs!$A:$B,2,0),W66,1),"")</f>
        <v>K</v>
      </c>
      <c r="W66" s="3">
        <v>136</v>
      </c>
      <c r="X66" s="3" t="str">
        <f>IFERROR(MID(VLOOKUP($B66,Seqs!$A:$B,2,0),Y66,1),"")</f>
        <v>P</v>
      </c>
      <c r="Y66" s="3">
        <v>137</v>
      </c>
      <c r="Z66" s="3" t="str">
        <f>IFERROR(MID(VLOOKUP($B66,Seqs!$A:$B,2,0),AA66,1),"")</f>
        <v>R</v>
      </c>
      <c r="AA66" s="3">
        <v>144</v>
      </c>
      <c r="AB66" s="3" t="str">
        <f>IFERROR(MID(VLOOKUP($B66,Seqs!$A:$B,2,0),AC66,1),"")</f>
        <v>T</v>
      </c>
      <c r="AC66" s="9">
        <v>145</v>
      </c>
      <c r="AD66" s="3" t="str">
        <f>IFERROR(MID(VLOOKUP($B66,Seqs!$A:$B,2,0),AE66,1),"")</f>
        <v>G</v>
      </c>
      <c r="AE66" s="3">
        <v>176</v>
      </c>
      <c r="AF66" s="3" t="str">
        <f>IFERROR(MID(VLOOKUP($B66,Seqs!$A:$B,2,0),AG66,1),"")</f>
        <v>C</v>
      </c>
      <c r="AG66" s="3">
        <v>185</v>
      </c>
      <c r="AH66" s="3" t="str">
        <f>IFERROR(MID(VLOOKUP($B66,Seqs!$A:$B,2,0),AI66,1),"")</f>
        <v>I</v>
      </c>
      <c r="AI66" s="3">
        <v>187</v>
      </c>
      <c r="AJ66" s="3" t="str">
        <f>IFERROR(MID(VLOOKUP($B66,Seqs!$A:$B,2,0),AK66,1),"")</f>
        <v>N</v>
      </c>
      <c r="AK66" s="3">
        <v>192</v>
      </c>
      <c r="AL66" s="3" t="str">
        <f>IFERROR(MID(VLOOKUP($B66,Seqs!$A:$B,2,0),AM66,1),"")</f>
        <v>E</v>
      </c>
      <c r="AM66" s="3">
        <v>232</v>
      </c>
      <c r="AN66" s="3" t="str">
        <f>IFERROR(MID(VLOOKUP($B66,Seqs!$A:$B,2,0),AO66,1),"")</f>
        <v>R</v>
      </c>
      <c r="AO66" s="3">
        <v>389</v>
      </c>
      <c r="AP66" s="3" t="str">
        <f>IFERROR(MID(VLOOKUP($B66,Seqs!$A:$B,2,0),AQ66,1),"")</f>
        <v>C</v>
      </c>
      <c r="AQ66" s="3">
        <v>426</v>
      </c>
      <c r="AR66" s="3" t="str">
        <f>IFERROR(MID(VLOOKUP($B66,Seqs!$A:$B,2,0),AS66,1),"")</f>
        <v>P</v>
      </c>
      <c r="AS66" s="3">
        <v>431</v>
      </c>
      <c r="AT66" s="3" t="str">
        <f>IFERROR(MID(VLOOKUP($B66,Seqs!$A:$B,2,0),AU66,1),"")</f>
        <v>C</v>
      </c>
      <c r="AU66" s="3">
        <v>456</v>
      </c>
      <c r="AV66" s="3" t="str">
        <f>IFERROR(MID(VLOOKUP($B66,Seqs!$A:$B,2,0),AW66,1),"")</f>
        <v>N</v>
      </c>
      <c r="AW66" s="3">
        <v>457</v>
      </c>
      <c r="AX66" s="3" t="str">
        <f>IFERROR(MID(VLOOKUP($B66,Seqs!$A:$B,2,0),AY66,1),"")</f>
        <v>L</v>
      </c>
      <c r="AY66" s="3">
        <v>469</v>
      </c>
      <c r="AZ66" s="78" t="str">
        <f>VLOOKUP(B66,Classification!A:D,2,0)</f>
        <v>A</v>
      </c>
      <c r="BA66" s="95" t="str">
        <f>VLOOKUP(B66,Classification!A:D,4,0)</f>
        <v>Acetylcholine(muscarinic)</v>
      </c>
      <c r="BB66" s="27" t="b">
        <f t="shared" si="783"/>
        <v>1</v>
      </c>
      <c r="BC66" s="23">
        <f t="shared" si="252"/>
        <v>271</v>
      </c>
      <c r="BD66" s="34" t="s">
        <v>1379</v>
      </c>
      <c r="BE66" s="3" t="s">
        <v>23</v>
      </c>
      <c r="BF66" s="120" t="s">
        <v>23</v>
      </c>
      <c r="BG66" s="49" t="s">
        <v>1379</v>
      </c>
      <c r="BH66" s="49" t="s">
        <v>1384</v>
      </c>
      <c r="BI66" s="1"/>
      <c r="BJ66" s="71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1">
        <f t="shared" si="253"/>
        <v>26</v>
      </c>
      <c r="BW66" s="72">
        <f t="shared" si="254"/>
        <v>61</v>
      </c>
      <c r="BX66" s="73">
        <f t="shared" si="255"/>
        <v>65</v>
      </c>
      <c r="BY66" s="72">
        <f t="shared" si="256"/>
        <v>97</v>
      </c>
      <c r="BZ66" s="73">
        <f t="shared" si="257"/>
        <v>101</v>
      </c>
      <c r="CA66" s="72">
        <f t="shared" si="258"/>
        <v>137</v>
      </c>
      <c r="CB66" s="73">
        <f t="shared" si="259"/>
        <v>145</v>
      </c>
      <c r="CC66" s="72">
        <f t="shared" si="260"/>
        <v>185</v>
      </c>
      <c r="CD66" s="73">
        <f t="shared" si="261"/>
        <v>192</v>
      </c>
      <c r="CE66" s="72">
        <f t="shared" si="262"/>
        <v>389</v>
      </c>
      <c r="CF66" s="73">
        <f t="shared" si="263"/>
        <v>431</v>
      </c>
      <c r="CG66" s="72">
        <f t="shared" si="264"/>
        <v>457</v>
      </c>
      <c r="CH66" s="71">
        <f t="shared" si="265"/>
        <v>60</v>
      </c>
      <c r="CI66" s="72">
        <f t="shared" si="266"/>
        <v>64</v>
      </c>
      <c r="CJ66" s="73">
        <f t="shared" si="267"/>
        <v>95</v>
      </c>
      <c r="CK66" s="73">
        <f t="shared" si="268"/>
        <v>100</v>
      </c>
      <c r="CL66" s="73">
        <f t="shared" si="269"/>
        <v>136</v>
      </c>
      <c r="CM66" s="73">
        <f t="shared" si="270"/>
        <v>144</v>
      </c>
      <c r="CN66" s="73">
        <f t="shared" si="271"/>
        <v>176</v>
      </c>
      <c r="CO66" s="73">
        <f t="shared" si="272"/>
        <v>187</v>
      </c>
      <c r="CP66" s="73">
        <f t="shared" si="273"/>
        <v>232</v>
      </c>
      <c r="CQ66" s="73">
        <f t="shared" si="274"/>
        <v>426</v>
      </c>
      <c r="CR66" s="73">
        <f t="shared" si="275"/>
        <v>456</v>
      </c>
      <c r="CS66" s="73">
        <f t="shared" si="276"/>
        <v>469</v>
      </c>
      <c r="CT66" s="23">
        <f t="shared" si="277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782"/>
        <v>acm4_human_5DSG</v>
      </c>
      <c r="B67" s="3" t="s">
        <v>149</v>
      </c>
      <c r="C67" s="3" t="s">
        <v>61</v>
      </c>
      <c r="D67" s="3" t="str">
        <f>IFERROR(MID(VLOOKUP($B67,Seqs!$A:$B,2,0),E67,1),"")</f>
        <v>R</v>
      </c>
      <c r="E67" s="3">
        <v>26</v>
      </c>
      <c r="F67" s="3" t="str">
        <f>IFERROR(MID(VLOOKUP($B67,Seqs!$A:$B,2,0),G67,1),"")</f>
        <v>N</v>
      </c>
      <c r="G67" s="3">
        <v>60</v>
      </c>
      <c r="H67" s="3" t="str">
        <f>IFERROR(MID(VLOOKUP($B67,Seqs!$A:$B,2,0),I67,1),"")</f>
        <v>R</v>
      </c>
      <c r="I67" s="23">
        <v>61</v>
      </c>
      <c r="J67" s="3" t="str">
        <f>IFERROR(MID(VLOOKUP($B67,Seqs!$A:$B,2,0),K67,1),"")</f>
        <v>Q</v>
      </c>
      <c r="K67" s="23">
        <v>64</v>
      </c>
      <c r="L67" s="3" t="str">
        <f>IFERROR(MID(VLOOKUP($B67,Seqs!$A:$B,2,0),M67,1),"")</f>
        <v>T</v>
      </c>
      <c r="M67" s="3">
        <v>65</v>
      </c>
      <c r="N67" s="3" t="str">
        <f>IFERROR(MID(VLOOKUP($B67,Seqs!$A:$B,2,0),O67,1),"")</f>
        <v>K</v>
      </c>
      <c r="O67" s="3">
        <v>95</v>
      </c>
      <c r="P67" s="3" t="str">
        <f>IFERROR(MID(VLOOKUP($B67,Seqs!$A:$B,2,0),Q67,1),"")</f>
        <v>Y</v>
      </c>
      <c r="Q67" s="3">
        <v>97</v>
      </c>
      <c r="R67" s="3" t="str">
        <f>IFERROR(MID(VLOOKUP($B67,Seqs!$A:$B,2,0),S67,1),"")</f>
        <v>L</v>
      </c>
      <c r="S67" s="3">
        <v>100</v>
      </c>
      <c r="T67" s="3" t="str">
        <f>IFERROR(MID(VLOOKUP($B67,Seqs!$A:$B,2,0),U67,1),"")</f>
        <v>G</v>
      </c>
      <c r="U67" s="3">
        <v>101</v>
      </c>
      <c r="V67" s="3" t="str">
        <f>IFERROR(MID(VLOOKUP($B67,Seqs!$A:$B,2,0),W67,1),"")</f>
        <v>K</v>
      </c>
      <c r="W67" s="3">
        <v>136</v>
      </c>
      <c r="X67" s="3" t="str">
        <f>IFERROR(MID(VLOOKUP($B67,Seqs!$A:$B,2,0),Y67,1),"")</f>
        <v>P</v>
      </c>
      <c r="Y67" s="3">
        <v>137</v>
      </c>
      <c r="Z67" s="3" t="str">
        <f>IFERROR(MID(VLOOKUP($B67,Seqs!$A:$B,2,0),AA67,1),"")</f>
        <v>R</v>
      </c>
      <c r="AA67" s="3">
        <v>144</v>
      </c>
      <c r="AB67" s="3" t="str">
        <f>IFERROR(MID(VLOOKUP($B67,Seqs!$A:$B,2,0),AC67,1),"")</f>
        <v>T</v>
      </c>
      <c r="AC67" s="9">
        <v>145</v>
      </c>
      <c r="AD67" s="3" t="str">
        <f>IFERROR(MID(VLOOKUP($B67,Seqs!$A:$B,2,0),AE67,1),"")</f>
        <v>G</v>
      </c>
      <c r="AE67" s="3">
        <v>176</v>
      </c>
      <c r="AF67" s="3" t="str">
        <f>IFERROR(MID(VLOOKUP($B67,Seqs!$A:$B,2,0),AG67,1),"")</f>
        <v>C</v>
      </c>
      <c r="AG67" s="3">
        <v>185</v>
      </c>
      <c r="AH67" s="3" t="str">
        <f>IFERROR(MID(VLOOKUP($B67,Seqs!$A:$B,2,0),AI67,1),"")</f>
        <v>I</v>
      </c>
      <c r="AI67" s="3">
        <v>187</v>
      </c>
      <c r="AJ67" s="3" t="str">
        <f>IFERROR(MID(VLOOKUP($B67,Seqs!$A:$B,2,0),AK67,1),"")</f>
        <v>N</v>
      </c>
      <c r="AK67" s="3">
        <v>192</v>
      </c>
      <c r="AL67" s="3" t="str">
        <f>IFERROR(MID(VLOOKUP($B67,Seqs!$A:$B,2,0),AM67,1),"")</f>
        <v>L</v>
      </c>
      <c r="AM67" s="3">
        <v>220</v>
      </c>
      <c r="AN67" s="3" t="str">
        <f>IFERROR(MID(VLOOKUP($B67,Seqs!$A:$B,2,0),AO67,1),"")</f>
        <v>R</v>
      </c>
      <c r="AO67" s="3">
        <v>396</v>
      </c>
      <c r="AP67" s="3" t="str">
        <f>IFERROR(MID(VLOOKUP($B67,Seqs!$A:$B,2,0),AQ67,1),"")</f>
        <v>C</v>
      </c>
      <c r="AQ67" s="3">
        <v>426</v>
      </c>
      <c r="AR67" s="3" t="str">
        <f>IFERROR(MID(VLOOKUP($B67,Seqs!$A:$B,2,0),AS67,1),"")</f>
        <v>P</v>
      </c>
      <c r="AS67" s="3">
        <v>431</v>
      </c>
      <c r="AT67" s="3" t="str">
        <f>IFERROR(MID(VLOOKUP($B67,Seqs!$A:$B,2,0),AU67,1),"")</f>
        <v>C</v>
      </c>
      <c r="AU67" s="3">
        <v>456</v>
      </c>
      <c r="AV67" s="3" t="str">
        <f>IFERROR(MID(VLOOKUP($B67,Seqs!$A:$B,2,0),AW67,1),"")</f>
        <v>N</v>
      </c>
      <c r="AW67" s="3">
        <v>457</v>
      </c>
      <c r="AX67" s="3" t="str">
        <f>IFERROR(MID(VLOOKUP($B67,Seqs!$A:$B,2,0),AY67,1),"")</f>
        <v>L</v>
      </c>
      <c r="AY67" s="3">
        <v>469</v>
      </c>
      <c r="AZ67" s="78" t="str">
        <f>VLOOKUP(B67,Classification!A:D,2,0)</f>
        <v>A</v>
      </c>
      <c r="BA67" s="95" t="str">
        <f>VLOOKUP(B67,Classification!A:D,4,0)</f>
        <v>Acetylcholine(muscarinic)</v>
      </c>
      <c r="BB67" s="27" t="b">
        <f t="shared" si="783"/>
        <v>1</v>
      </c>
      <c r="BC67" s="23">
        <f t="shared" si="252"/>
        <v>252</v>
      </c>
      <c r="BD67" s="2" t="s">
        <v>1383</v>
      </c>
      <c r="BE67" s="3" t="s">
        <v>1381</v>
      </c>
      <c r="BF67" s="120">
        <v>2.6</v>
      </c>
      <c r="BG67" s="49" t="s">
        <v>1384</v>
      </c>
      <c r="BH67" s="49" t="s">
        <v>1384</v>
      </c>
      <c r="BI67" s="1"/>
      <c r="BJ67" s="71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1">
        <f t="shared" si="253"/>
        <v>26</v>
      </c>
      <c r="BW67" s="72">
        <f t="shared" si="254"/>
        <v>61</v>
      </c>
      <c r="BX67" s="73">
        <f t="shared" si="255"/>
        <v>65</v>
      </c>
      <c r="BY67" s="72">
        <f t="shared" si="256"/>
        <v>97</v>
      </c>
      <c r="BZ67" s="73">
        <f t="shared" si="257"/>
        <v>101</v>
      </c>
      <c r="CA67" s="72">
        <f t="shared" si="258"/>
        <v>137</v>
      </c>
      <c r="CB67" s="73">
        <f t="shared" si="259"/>
        <v>145</v>
      </c>
      <c r="CC67" s="72">
        <f t="shared" si="260"/>
        <v>185</v>
      </c>
      <c r="CD67" s="73">
        <f t="shared" si="261"/>
        <v>192</v>
      </c>
      <c r="CE67" s="72">
        <f t="shared" si="262"/>
        <v>396</v>
      </c>
      <c r="CF67" s="73">
        <f t="shared" si="263"/>
        <v>431</v>
      </c>
      <c r="CG67" s="72">
        <f t="shared" si="264"/>
        <v>457</v>
      </c>
      <c r="CH67" s="71">
        <f t="shared" si="265"/>
        <v>60</v>
      </c>
      <c r="CI67" s="72">
        <f t="shared" si="266"/>
        <v>64</v>
      </c>
      <c r="CJ67" s="73">
        <f t="shared" si="267"/>
        <v>95</v>
      </c>
      <c r="CK67" s="73">
        <f t="shared" si="268"/>
        <v>100</v>
      </c>
      <c r="CL67" s="73">
        <f t="shared" si="269"/>
        <v>136</v>
      </c>
      <c r="CM67" s="73">
        <f t="shared" si="270"/>
        <v>144</v>
      </c>
      <c r="CN67" s="73">
        <f t="shared" si="271"/>
        <v>176</v>
      </c>
      <c r="CO67" s="73">
        <f t="shared" si="272"/>
        <v>187</v>
      </c>
      <c r="CP67" s="73">
        <f t="shared" si="273"/>
        <v>220</v>
      </c>
      <c r="CQ67" s="73">
        <f t="shared" si="274"/>
        <v>426</v>
      </c>
      <c r="CR67" s="73">
        <f t="shared" si="275"/>
        <v>456</v>
      </c>
      <c r="CS67" s="73">
        <f t="shared" si="276"/>
        <v>469</v>
      </c>
      <c r="CT67" s="23">
        <f t="shared" si="277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782"/>
        <v>adrb1_melga__wt</v>
      </c>
      <c r="B68" s="3" t="s">
        <v>912</v>
      </c>
      <c r="C68" s="3" t="s">
        <v>100</v>
      </c>
      <c r="D68" s="3" t="str">
        <f>IFERROR(MID(VLOOKUP($B68,Seqs!$A:$B,2,0),E68,1),"")</f>
        <v>A</v>
      </c>
      <c r="E68" s="3">
        <v>33</v>
      </c>
      <c r="F68" s="3" t="str">
        <f>IFERROR(MID(VLOOKUP($B68,Seqs!$A:$B,2,0),G68,1),"")</f>
        <v>T</v>
      </c>
      <c r="G68" s="3">
        <v>69</v>
      </c>
      <c r="H68" s="3" t="str">
        <f>IFERROR(MID(VLOOKUP($B68,Seqs!$A:$B,2,0),I68,1),"")</f>
        <v>Q</v>
      </c>
      <c r="I68" s="23">
        <v>70</v>
      </c>
      <c r="J68" s="3" t="str">
        <f>IFERROR(MID(VLOOKUP($B68,Seqs!$A:$B,2,0),K68,1),"")</f>
        <v>Q</v>
      </c>
      <c r="K68" s="23">
        <v>73</v>
      </c>
      <c r="L68" s="3" t="str">
        <f>IFERROR(MID(VLOOKUP($B68,Seqs!$A:$B,2,0),M68,1),"")</f>
        <v>T</v>
      </c>
      <c r="M68" s="3">
        <v>74</v>
      </c>
      <c r="N68" s="3" t="str">
        <f>IFERROR(MID(VLOOKUP($B68,Seqs!$A:$B,2,0),O68,1),"")</f>
        <v>R</v>
      </c>
      <c r="O68" s="3">
        <v>104</v>
      </c>
      <c r="P68" s="3" t="str">
        <f>IFERROR(MID(VLOOKUP($B68,Seqs!$A:$B,2,0),Q68,1),"")</f>
        <v>T</v>
      </c>
      <c r="Q68" s="3">
        <v>106</v>
      </c>
      <c r="R68" s="3" t="str">
        <f>IFERROR(MID(VLOOKUP($B68,Seqs!$A:$B,2,0),S68,1),"")</f>
        <v>W</v>
      </c>
      <c r="S68" s="3">
        <v>109</v>
      </c>
      <c r="T68" s="3" t="str">
        <f>IFERROR(MID(VLOOKUP($B68,Seqs!$A:$B,2,0),U68,1),"")</f>
        <v>G</v>
      </c>
      <c r="U68" s="3">
        <v>110</v>
      </c>
      <c r="V68" s="3" t="str">
        <f>IFERROR(MID(VLOOKUP($B68,Seqs!$A:$B,2,0),W68,1),"")</f>
        <v>S</v>
      </c>
      <c r="W68" s="3">
        <v>145</v>
      </c>
      <c r="X68" s="3" t="str">
        <f>IFERROR(MID(VLOOKUP($B68,Seqs!$A:$B,2,0),Y68,1),"")</f>
        <v>P</v>
      </c>
      <c r="Y68" s="3">
        <v>146</v>
      </c>
      <c r="Z68" s="3" t="str">
        <f>IFERROR(MID(VLOOKUP($B68,Seqs!$A:$B,2,0),AA68,1),"")</f>
        <v>M</v>
      </c>
      <c r="AA68" s="3">
        <v>153</v>
      </c>
      <c r="AB68" s="3" t="str">
        <f>IFERROR(MID(VLOOKUP($B68,Seqs!$A:$B,2,0),AC68,1),"")</f>
        <v>T</v>
      </c>
      <c r="AC68" s="9">
        <v>154</v>
      </c>
      <c r="AD68" s="3" t="str">
        <f>IFERROR(MID(VLOOKUP($B68,Seqs!$A:$B,2,0),AE68,1),"")</f>
        <v>H</v>
      </c>
      <c r="AE68" s="3">
        <v>180</v>
      </c>
      <c r="AF68" s="3" t="str">
        <f>IFERROR(MID(VLOOKUP($B68,Seqs!$A:$B,2,0),AG68,1),"")</f>
        <v>C</v>
      </c>
      <c r="AG68" s="3">
        <v>199</v>
      </c>
      <c r="AH68" s="3" t="str">
        <f>IFERROR(MID(VLOOKUP($B68,Seqs!$A:$B,2,0),AI68,1),"")</f>
        <v>F</v>
      </c>
      <c r="AI68" s="3">
        <v>201</v>
      </c>
      <c r="AJ68" s="3" t="str">
        <f>IFERROR(MID(VLOOKUP($B68,Seqs!$A:$B,2,0),AK68,1),"")</f>
        <v>N</v>
      </c>
      <c r="AK68" s="3">
        <v>204</v>
      </c>
      <c r="AL68" s="3" t="str">
        <f>IFERROR(MID(VLOOKUP($B68,Seqs!$A:$B,2,0),AM68,1),"")</f>
        <v>E</v>
      </c>
      <c r="AM68" s="3">
        <v>245</v>
      </c>
      <c r="AN68" s="3" t="str">
        <f>IFERROR(MID(VLOOKUP($B68,Seqs!$A:$B,2,0),AO68,1),"")</f>
        <v>R</v>
      </c>
      <c r="AO68" s="3">
        <v>275</v>
      </c>
      <c r="AP68" s="3" t="str">
        <f>IFERROR(MID(VLOOKUP($B68,Seqs!$A:$B,2,0),AQ68,1),"")</f>
        <v>N</v>
      </c>
      <c r="AQ68" s="3">
        <v>316</v>
      </c>
      <c r="AR68" s="3" t="str">
        <f>IFERROR(MID(VLOOKUP($B68,Seqs!$A:$B,2,0),AS68,1),"")</f>
        <v>P</v>
      </c>
      <c r="AS68" s="3">
        <v>321</v>
      </c>
      <c r="AT68" s="3" t="str">
        <f>IFERROR(MID(VLOOKUP($B68,Seqs!$A:$B,2,0),AU68,1),"")</f>
        <v>R</v>
      </c>
      <c r="AU68" s="3">
        <v>345</v>
      </c>
      <c r="AV68" s="3" t="str">
        <f>IFERROR(MID(VLOOKUP($B68,Seqs!$A:$B,2,0),AW68,1),"")</f>
        <v>S</v>
      </c>
      <c r="AW68" s="3">
        <v>346</v>
      </c>
      <c r="AX68" s="3" t="str">
        <f>IFERROR(MID(VLOOKUP($B68,Seqs!$A:$B,2,0),AY68,1),"")</f>
        <v>C</v>
      </c>
      <c r="AY68" s="3">
        <v>358</v>
      </c>
      <c r="AZ68" s="78" t="str">
        <f>VLOOKUP(B68,Classification!A:D,2,0)</f>
        <v>A</v>
      </c>
      <c r="BA68" s="95" t="str">
        <f>VLOOKUP(B68,Classification!A:D,4,0)</f>
        <v>Adrenoceptors</v>
      </c>
      <c r="BB68" s="27" t="b">
        <f t="shared" si="783"/>
        <v>1</v>
      </c>
      <c r="BC68" s="23">
        <f t="shared" si="252"/>
        <v>272</v>
      </c>
      <c r="BD68" s="34" t="s">
        <v>1379</v>
      </c>
      <c r="BE68" s="3" t="s">
        <v>23</v>
      </c>
      <c r="BF68" s="120" t="s">
        <v>23</v>
      </c>
      <c r="BG68" s="49" t="s">
        <v>1379</v>
      </c>
      <c r="BH68" s="49" t="s">
        <v>1384</v>
      </c>
      <c r="BI68" s="3" t="s">
        <v>1166</v>
      </c>
      <c r="BJ68" s="71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1">
        <f t="shared" si="253"/>
        <v>33</v>
      </c>
      <c r="BW68" s="72">
        <f t="shared" si="254"/>
        <v>70</v>
      </c>
      <c r="BX68" s="73">
        <f t="shared" si="255"/>
        <v>74</v>
      </c>
      <c r="BY68" s="72">
        <f t="shared" si="256"/>
        <v>106</v>
      </c>
      <c r="BZ68" s="73">
        <f t="shared" si="257"/>
        <v>110</v>
      </c>
      <c r="CA68" s="72">
        <f t="shared" si="258"/>
        <v>146</v>
      </c>
      <c r="CB68" s="73">
        <f t="shared" si="259"/>
        <v>154</v>
      </c>
      <c r="CC68" s="72">
        <f t="shared" si="260"/>
        <v>199</v>
      </c>
      <c r="CD68" s="73">
        <f t="shared" si="261"/>
        <v>204</v>
      </c>
      <c r="CE68" s="72">
        <f t="shared" si="262"/>
        <v>275</v>
      </c>
      <c r="CF68" s="73">
        <f t="shared" si="263"/>
        <v>321</v>
      </c>
      <c r="CG68" s="72">
        <f t="shared" si="264"/>
        <v>346</v>
      </c>
      <c r="CH68" s="71">
        <f t="shared" si="265"/>
        <v>69</v>
      </c>
      <c r="CI68" s="72">
        <f t="shared" si="266"/>
        <v>73</v>
      </c>
      <c r="CJ68" s="73">
        <f t="shared" si="267"/>
        <v>104</v>
      </c>
      <c r="CK68" s="73">
        <f t="shared" si="268"/>
        <v>109</v>
      </c>
      <c r="CL68" s="73">
        <f t="shared" si="269"/>
        <v>145</v>
      </c>
      <c r="CM68" s="73">
        <f t="shared" si="270"/>
        <v>153</v>
      </c>
      <c r="CN68" s="73">
        <f t="shared" si="271"/>
        <v>180</v>
      </c>
      <c r="CO68" s="73">
        <f t="shared" si="272"/>
        <v>201</v>
      </c>
      <c r="CP68" s="73">
        <f t="shared" si="273"/>
        <v>245</v>
      </c>
      <c r="CQ68" s="73">
        <f t="shared" si="274"/>
        <v>316</v>
      </c>
      <c r="CR68" s="73">
        <f t="shared" si="275"/>
        <v>345</v>
      </c>
      <c r="CS68" s="73">
        <f t="shared" si="276"/>
        <v>358</v>
      </c>
      <c r="CT68" s="23">
        <f t="shared" si="277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782"/>
        <v>adrb1_melga_2Y00</v>
      </c>
      <c r="B69" s="3" t="s">
        <v>912</v>
      </c>
      <c r="C69" s="3" t="s">
        <v>1023</v>
      </c>
      <c r="D69" s="3" t="str">
        <f>IFERROR(MID(VLOOKUP($B69,Seqs!$A:$B,2,0),E69,1),"")</f>
        <v>A</v>
      </c>
      <c r="E69" s="3">
        <v>33</v>
      </c>
      <c r="F69" s="3" t="str">
        <f>IFERROR(MID(VLOOKUP($B69,Seqs!$A:$B,2,0),G69,1),"")</f>
        <v>T</v>
      </c>
      <c r="G69" s="3">
        <v>69</v>
      </c>
      <c r="H69" s="3" t="str">
        <f>IFERROR(MID(VLOOKUP($B69,Seqs!$A:$B,2,0),I69,1),"")</f>
        <v>Q</v>
      </c>
      <c r="I69" s="23">
        <v>70</v>
      </c>
      <c r="J69" s="3" t="str">
        <f>IFERROR(MID(VLOOKUP($B69,Seqs!$A:$B,2,0),K69,1),"")</f>
        <v>Q</v>
      </c>
      <c r="K69" s="23">
        <v>73</v>
      </c>
      <c r="L69" s="3" t="str">
        <f>IFERROR(MID(VLOOKUP($B69,Seqs!$A:$B,2,0),M69,1),"")</f>
        <v>T</v>
      </c>
      <c r="M69" s="3">
        <v>74</v>
      </c>
      <c r="N69" s="3" t="str">
        <f>IFERROR(MID(VLOOKUP($B69,Seqs!$A:$B,2,0),O69,1),"")</f>
        <v>R</v>
      </c>
      <c r="O69" s="3">
        <v>104</v>
      </c>
      <c r="P69" s="3" t="str">
        <f>IFERROR(MID(VLOOKUP($B69,Seqs!$A:$B,2,0),Q69,1),"")</f>
        <v>T</v>
      </c>
      <c r="Q69" s="3">
        <v>106</v>
      </c>
      <c r="R69" s="3" t="str">
        <f>IFERROR(MID(VLOOKUP($B69,Seqs!$A:$B,2,0),S69,1),"")</f>
        <v>W</v>
      </c>
      <c r="S69" s="3">
        <v>109</v>
      </c>
      <c r="T69" s="3" t="str">
        <f>IFERROR(MID(VLOOKUP($B69,Seqs!$A:$B,2,0),U69,1),"")</f>
        <v>G</v>
      </c>
      <c r="U69" s="3">
        <v>110</v>
      </c>
      <c r="V69" s="3" t="str">
        <f>IFERROR(MID(VLOOKUP($B69,Seqs!$A:$B,2,0),W69,1),"")</f>
        <v>S</v>
      </c>
      <c r="W69" s="3">
        <v>145</v>
      </c>
      <c r="X69" s="3" t="str">
        <f>IFERROR(MID(VLOOKUP($B69,Seqs!$A:$B,2,0),Y69,1),"")</f>
        <v>P</v>
      </c>
      <c r="Y69" s="3">
        <v>146</v>
      </c>
      <c r="Z69" s="3" t="str">
        <f>IFERROR(MID(VLOOKUP($B69,Seqs!$A:$B,2,0),AA69,1),"")</f>
        <v>M</v>
      </c>
      <c r="AA69" s="3">
        <v>153</v>
      </c>
      <c r="AB69" s="3" t="str">
        <f>IFERROR(MID(VLOOKUP($B69,Seqs!$A:$B,2,0),AC69,1),"")</f>
        <v>T</v>
      </c>
      <c r="AC69" s="9">
        <v>154</v>
      </c>
      <c r="AD69" s="3" t="str">
        <f>IFERROR(MID(VLOOKUP($B69,Seqs!$A:$B,2,0),AE69,1),"")</f>
        <v>H</v>
      </c>
      <c r="AE69" s="3">
        <v>180</v>
      </c>
      <c r="AF69" s="3" t="str">
        <f>IFERROR(MID(VLOOKUP($B69,Seqs!$A:$B,2,0),AG69,1),"")</f>
        <v>C</v>
      </c>
      <c r="AG69" s="3">
        <v>199</v>
      </c>
      <c r="AH69" s="3" t="str">
        <f>IFERROR(MID(VLOOKUP($B69,Seqs!$A:$B,2,0),AI69,1),"")</f>
        <v>F</v>
      </c>
      <c r="AI69" s="3">
        <v>201</v>
      </c>
      <c r="AJ69" s="3" t="str">
        <f>IFERROR(MID(VLOOKUP($B69,Seqs!$A:$B,2,0),AK69,1),"")</f>
        <v>N</v>
      </c>
      <c r="AK69" s="3">
        <v>204</v>
      </c>
      <c r="AL69" s="3" t="str">
        <f>IFERROR(MID(VLOOKUP($B69,Seqs!$A:$B,2,0),AM69,1),"")</f>
        <v>I</v>
      </c>
      <c r="AM69" s="3">
        <v>238</v>
      </c>
      <c r="AN69" s="3" t="str">
        <f>IFERROR(MID(VLOOKUP($B69,Seqs!$A:$B,2,0),AO69,1),"")</f>
        <v>R</v>
      </c>
      <c r="AO69" s="3">
        <v>275</v>
      </c>
      <c r="AP69" s="3" t="str">
        <f>IFERROR(MID(VLOOKUP($B69,Seqs!$A:$B,2,0),AQ69,1),"")</f>
        <v>N</v>
      </c>
      <c r="AQ69" s="3">
        <v>316</v>
      </c>
      <c r="AR69" s="3" t="str">
        <f>IFERROR(MID(VLOOKUP($B69,Seqs!$A:$B,2,0),AS69,1),"")</f>
        <v>P</v>
      </c>
      <c r="AS69" s="3">
        <v>321</v>
      </c>
      <c r="AT69" s="3" t="str">
        <f>IFERROR(MID(VLOOKUP($B69,Seqs!$A:$B,2,0),AU69,1),"")</f>
        <v>R</v>
      </c>
      <c r="AU69" s="3">
        <v>345</v>
      </c>
      <c r="AV69" s="3" t="str">
        <f>IFERROR(MID(VLOOKUP($B69,Seqs!$A:$B,2,0),AW69,1),"")</f>
        <v>S</v>
      </c>
      <c r="AW69" s="3">
        <v>346</v>
      </c>
      <c r="AX69" s="3" t="str">
        <f>IFERROR(MID(VLOOKUP($B69,Seqs!$A:$B,2,0),AY69,1),"")</f>
        <v>C</v>
      </c>
      <c r="AY69" s="3">
        <v>358</v>
      </c>
      <c r="AZ69" s="78" t="str">
        <f>VLOOKUP(B69,Classification!A:D,2,0)</f>
        <v>A</v>
      </c>
      <c r="BA69" s="95" t="str">
        <f>VLOOKUP(B69,Classification!A:D,4,0)</f>
        <v>Adrenoceptors</v>
      </c>
      <c r="BB69" s="27" t="b">
        <f t="shared" si="783"/>
        <v>1</v>
      </c>
      <c r="BC69" s="23">
        <f t="shared" si="252"/>
        <v>265</v>
      </c>
      <c r="BD69" s="4" t="s">
        <v>23</v>
      </c>
      <c r="BE69" s="3" t="s">
        <v>1381</v>
      </c>
      <c r="BF69" s="120">
        <v>2.5</v>
      </c>
      <c r="BG69" s="49" t="s">
        <v>1384</v>
      </c>
      <c r="BH69" s="49" t="s">
        <v>1384</v>
      </c>
      <c r="BI69" s="1"/>
      <c r="BJ69" s="71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1">
        <f t="shared" si="253"/>
        <v>33</v>
      </c>
      <c r="BW69" s="72">
        <f t="shared" si="254"/>
        <v>70</v>
      </c>
      <c r="BX69" s="73">
        <f t="shared" si="255"/>
        <v>74</v>
      </c>
      <c r="BY69" s="72">
        <f t="shared" si="256"/>
        <v>106</v>
      </c>
      <c r="BZ69" s="73">
        <f t="shared" si="257"/>
        <v>110</v>
      </c>
      <c r="CA69" s="72">
        <f t="shared" si="258"/>
        <v>146</v>
      </c>
      <c r="CB69" s="73">
        <f t="shared" si="259"/>
        <v>154</v>
      </c>
      <c r="CC69" s="72">
        <f t="shared" si="260"/>
        <v>199</v>
      </c>
      <c r="CD69" s="73">
        <f t="shared" si="261"/>
        <v>204</v>
      </c>
      <c r="CE69" s="72">
        <f t="shared" si="262"/>
        <v>275</v>
      </c>
      <c r="CF69" s="73">
        <f t="shared" si="263"/>
        <v>321</v>
      </c>
      <c r="CG69" s="72">
        <f t="shared" si="264"/>
        <v>346</v>
      </c>
      <c r="CH69" s="71">
        <f t="shared" si="265"/>
        <v>69</v>
      </c>
      <c r="CI69" s="72">
        <f t="shared" si="266"/>
        <v>73</v>
      </c>
      <c r="CJ69" s="73">
        <f t="shared" si="267"/>
        <v>104</v>
      </c>
      <c r="CK69" s="73">
        <f t="shared" si="268"/>
        <v>109</v>
      </c>
      <c r="CL69" s="73">
        <f t="shared" si="269"/>
        <v>145</v>
      </c>
      <c r="CM69" s="73">
        <f t="shared" si="270"/>
        <v>153</v>
      </c>
      <c r="CN69" s="73">
        <f t="shared" si="271"/>
        <v>180</v>
      </c>
      <c r="CO69" s="73">
        <f t="shared" si="272"/>
        <v>201</v>
      </c>
      <c r="CP69" s="73">
        <f t="shared" si="273"/>
        <v>238</v>
      </c>
      <c r="CQ69" s="73">
        <f t="shared" si="274"/>
        <v>316</v>
      </c>
      <c r="CR69" s="73">
        <f t="shared" si="275"/>
        <v>345</v>
      </c>
      <c r="CS69" s="73">
        <f t="shared" si="276"/>
        <v>358</v>
      </c>
      <c r="CT69" s="23">
        <f t="shared" si="277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782"/>
        <v>adrb1_melga_2Y02</v>
      </c>
      <c r="B70" s="3" t="s">
        <v>912</v>
      </c>
      <c r="C70" s="3" t="s">
        <v>1024</v>
      </c>
      <c r="D70" s="3" t="str">
        <f>IFERROR(MID(VLOOKUP($B70,Seqs!$A:$B,2,0),E70,1),"")</f>
        <v>A</v>
      </c>
      <c r="E70" s="3">
        <v>33</v>
      </c>
      <c r="F70" s="3" t="str">
        <f>IFERROR(MID(VLOOKUP($B70,Seqs!$A:$B,2,0),G70,1),"")</f>
        <v>T</v>
      </c>
      <c r="G70" s="3">
        <v>69</v>
      </c>
      <c r="H70" s="3" t="str">
        <f>IFERROR(MID(VLOOKUP($B70,Seqs!$A:$B,2,0),I70,1),"")</f>
        <v>Q</v>
      </c>
      <c r="I70" s="23">
        <v>70</v>
      </c>
      <c r="J70" s="3" t="str">
        <f>IFERROR(MID(VLOOKUP($B70,Seqs!$A:$B,2,0),K70,1),"")</f>
        <v>Q</v>
      </c>
      <c r="K70" s="23">
        <v>73</v>
      </c>
      <c r="L70" s="3" t="str">
        <f>IFERROR(MID(VLOOKUP($B70,Seqs!$A:$B,2,0),M70,1),"")</f>
        <v>T</v>
      </c>
      <c r="M70" s="3">
        <v>74</v>
      </c>
      <c r="N70" s="3" t="str">
        <f>IFERROR(MID(VLOOKUP($B70,Seqs!$A:$B,2,0),O70,1),"")</f>
        <v>R</v>
      </c>
      <c r="O70" s="3">
        <v>104</v>
      </c>
      <c r="P70" s="3" t="str">
        <f>IFERROR(MID(VLOOKUP($B70,Seqs!$A:$B,2,0),Q70,1),"")</f>
        <v>T</v>
      </c>
      <c r="Q70" s="3">
        <v>106</v>
      </c>
      <c r="R70" s="3" t="str">
        <f>IFERROR(MID(VLOOKUP($B70,Seqs!$A:$B,2,0),S70,1),"")</f>
        <v>W</v>
      </c>
      <c r="S70" s="3">
        <v>109</v>
      </c>
      <c r="T70" s="3" t="str">
        <f>IFERROR(MID(VLOOKUP($B70,Seqs!$A:$B,2,0),U70,1),"")</f>
        <v>G</v>
      </c>
      <c r="U70" s="3">
        <v>110</v>
      </c>
      <c r="V70" s="3" t="str">
        <f>IFERROR(MID(VLOOKUP($B70,Seqs!$A:$B,2,0),W70,1),"")</f>
        <v>S</v>
      </c>
      <c r="W70" s="3">
        <v>145</v>
      </c>
      <c r="X70" s="3" t="str">
        <f>IFERROR(MID(VLOOKUP($B70,Seqs!$A:$B,2,0),Y70,1),"")</f>
        <v>P</v>
      </c>
      <c r="Y70" s="3">
        <v>146</v>
      </c>
      <c r="Z70" s="3" t="str">
        <f>IFERROR(MID(VLOOKUP($B70,Seqs!$A:$B,2,0),AA70,1),"")</f>
        <v>M</v>
      </c>
      <c r="AA70" s="3">
        <v>153</v>
      </c>
      <c r="AB70" s="3" t="str">
        <f>IFERROR(MID(VLOOKUP($B70,Seqs!$A:$B,2,0),AC70,1),"")</f>
        <v>T</v>
      </c>
      <c r="AC70" s="9">
        <v>154</v>
      </c>
      <c r="AD70" s="3" t="str">
        <f>IFERROR(MID(VLOOKUP($B70,Seqs!$A:$B,2,0),AE70,1),"")</f>
        <v>H</v>
      </c>
      <c r="AE70" s="3">
        <v>180</v>
      </c>
      <c r="AF70" s="3" t="str">
        <f>IFERROR(MID(VLOOKUP($B70,Seqs!$A:$B,2,0),AG70,1),"")</f>
        <v>C</v>
      </c>
      <c r="AG70" s="3">
        <v>199</v>
      </c>
      <c r="AH70" s="3" t="str">
        <f>IFERROR(MID(VLOOKUP($B70,Seqs!$A:$B,2,0),AI70,1),"")</f>
        <v>F</v>
      </c>
      <c r="AI70" s="3">
        <v>201</v>
      </c>
      <c r="AJ70" s="3" t="str">
        <f>IFERROR(MID(VLOOKUP($B70,Seqs!$A:$B,2,0),AK70,1),"")</f>
        <v>N</v>
      </c>
      <c r="AK70" s="3">
        <v>204</v>
      </c>
      <c r="AL70" s="3" t="str">
        <f>IFERROR(MID(VLOOKUP($B70,Seqs!$A:$B,2,0),AM70,1),"")</f>
        <v>I</v>
      </c>
      <c r="AM70" s="3">
        <v>238</v>
      </c>
      <c r="AN70" s="3" t="str">
        <f>IFERROR(MID(VLOOKUP($B70,Seqs!$A:$B,2,0),AO70,1),"")</f>
        <v>R</v>
      </c>
      <c r="AO70" s="3">
        <v>275</v>
      </c>
      <c r="AP70" s="3" t="str">
        <f>IFERROR(MID(VLOOKUP($B70,Seqs!$A:$B,2,0),AQ70,1),"")</f>
        <v>N</v>
      </c>
      <c r="AQ70" s="3">
        <v>316</v>
      </c>
      <c r="AR70" s="3" t="str">
        <f>IFERROR(MID(VLOOKUP($B70,Seqs!$A:$B,2,0),AS70,1),"")</f>
        <v>P</v>
      </c>
      <c r="AS70" s="3">
        <v>321</v>
      </c>
      <c r="AT70" s="3" t="str">
        <f>IFERROR(MID(VLOOKUP($B70,Seqs!$A:$B,2,0),AU70,1),"")</f>
        <v>R</v>
      </c>
      <c r="AU70" s="3">
        <v>345</v>
      </c>
      <c r="AV70" s="3" t="str">
        <f>IFERROR(MID(VLOOKUP($B70,Seqs!$A:$B,2,0),AW70,1),"")</f>
        <v>S</v>
      </c>
      <c r="AW70" s="3">
        <v>346</v>
      </c>
      <c r="AX70" s="3" t="str">
        <f>IFERROR(MID(VLOOKUP($B70,Seqs!$A:$B,2,0),AY70,1),"")</f>
        <v>C</v>
      </c>
      <c r="AY70" s="3">
        <v>358</v>
      </c>
      <c r="AZ70" s="78" t="str">
        <f>VLOOKUP(B70,Classification!A:D,2,0)</f>
        <v>A</v>
      </c>
      <c r="BA70" s="95" t="str">
        <f>VLOOKUP(B70,Classification!A:D,4,0)</f>
        <v>Adrenoceptors</v>
      </c>
      <c r="BB70" s="27" t="b">
        <f t="shared" si="783"/>
        <v>1</v>
      </c>
      <c r="BC70" s="23">
        <f t="shared" si="252"/>
        <v>265</v>
      </c>
      <c r="BD70" s="4" t="s">
        <v>23</v>
      </c>
      <c r="BE70" s="3" t="s">
        <v>1381</v>
      </c>
      <c r="BF70" s="120">
        <v>2.6</v>
      </c>
      <c r="BG70" s="49" t="s">
        <v>1384</v>
      </c>
      <c r="BH70" s="49" t="s">
        <v>1384</v>
      </c>
      <c r="BI70" s="1"/>
      <c r="BJ70" s="71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1">
        <f t="shared" si="253"/>
        <v>33</v>
      </c>
      <c r="BW70" s="72">
        <f t="shared" si="254"/>
        <v>70</v>
      </c>
      <c r="BX70" s="73">
        <f t="shared" si="255"/>
        <v>74</v>
      </c>
      <c r="BY70" s="72">
        <f t="shared" si="256"/>
        <v>106</v>
      </c>
      <c r="BZ70" s="73">
        <f t="shared" si="257"/>
        <v>110</v>
      </c>
      <c r="CA70" s="72">
        <f t="shared" si="258"/>
        <v>146</v>
      </c>
      <c r="CB70" s="73">
        <f t="shared" si="259"/>
        <v>154</v>
      </c>
      <c r="CC70" s="72">
        <f t="shared" si="260"/>
        <v>199</v>
      </c>
      <c r="CD70" s="73">
        <f t="shared" si="261"/>
        <v>204</v>
      </c>
      <c r="CE70" s="72">
        <f t="shared" si="262"/>
        <v>275</v>
      </c>
      <c r="CF70" s="73">
        <f t="shared" si="263"/>
        <v>321</v>
      </c>
      <c r="CG70" s="72">
        <f t="shared" si="264"/>
        <v>346</v>
      </c>
      <c r="CH70" s="71">
        <f t="shared" si="265"/>
        <v>69</v>
      </c>
      <c r="CI70" s="72">
        <f t="shared" si="266"/>
        <v>73</v>
      </c>
      <c r="CJ70" s="73">
        <f t="shared" si="267"/>
        <v>104</v>
      </c>
      <c r="CK70" s="73">
        <f t="shared" si="268"/>
        <v>109</v>
      </c>
      <c r="CL70" s="73">
        <f t="shared" si="269"/>
        <v>145</v>
      </c>
      <c r="CM70" s="73">
        <f t="shared" si="270"/>
        <v>153</v>
      </c>
      <c r="CN70" s="73">
        <f t="shared" si="271"/>
        <v>180</v>
      </c>
      <c r="CO70" s="73">
        <f t="shared" si="272"/>
        <v>201</v>
      </c>
      <c r="CP70" s="73">
        <f t="shared" si="273"/>
        <v>238</v>
      </c>
      <c r="CQ70" s="73">
        <f t="shared" si="274"/>
        <v>316</v>
      </c>
      <c r="CR70" s="73">
        <f t="shared" si="275"/>
        <v>345</v>
      </c>
      <c r="CS70" s="73">
        <f t="shared" si="276"/>
        <v>358</v>
      </c>
      <c r="CT70" s="23">
        <f t="shared" si="277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782"/>
        <v>adrb1_melga_2Y03</v>
      </c>
      <c r="B71" s="3" t="s">
        <v>912</v>
      </c>
      <c r="C71" s="3" t="s">
        <v>1025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I</v>
      </c>
      <c r="AM71" s="3">
        <v>238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8" t="str">
        <f>VLOOKUP(B71,Classification!A:D,2,0)</f>
        <v>A</v>
      </c>
      <c r="BA71" s="95" t="str">
        <f>VLOOKUP(B71,Classification!A:D,4,0)</f>
        <v>Adrenoceptors</v>
      </c>
      <c r="BB71" s="27" t="b">
        <f t="shared" si="783"/>
        <v>1</v>
      </c>
      <c r="BC71" s="23">
        <f t="shared" si="252"/>
        <v>265</v>
      </c>
      <c r="BD71" s="4" t="s">
        <v>23</v>
      </c>
      <c r="BE71" s="3" t="s">
        <v>1381</v>
      </c>
      <c r="BF71" s="120">
        <v>2.85</v>
      </c>
      <c r="BG71" s="49" t="s">
        <v>1384</v>
      </c>
      <c r="BH71" s="49" t="s">
        <v>1384</v>
      </c>
      <c r="BI71" s="1"/>
      <c r="BJ71" s="71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1">
        <f t="shared" si="253"/>
        <v>33</v>
      </c>
      <c r="BW71" s="72">
        <f t="shared" si="254"/>
        <v>70</v>
      </c>
      <c r="BX71" s="73">
        <f t="shared" si="255"/>
        <v>74</v>
      </c>
      <c r="BY71" s="72">
        <f t="shared" si="256"/>
        <v>106</v>
      </c>
      <c r="BZ71" s="73">
        <f t="shared" si="257"/>
        <v>110</v>
      </c>
      <c r="CA71" s="72">
        <f t="shared" si="258"/>
        <v>146</v>
      </c>
      <c r="CB71" s="73">
        <f t="shared" si="259"/>
        <v>154</v>
      </c>
      <c r="CC71" s="72">
        <f t="shared" si="260"/>
        <v>199</v>
      </c>
      <c r="CD71" s="73">
        <f t="shared" si="261"/>
        <v>204</v>
      </c>
      <c r="CE71" s="72">
        <f t="shared" si="262"/>
        <v>275</v>
      </c>
      <c r="CF71" s="73">
        <f t="shared" si="263"/>
        <v>321</v>
      </c>
      <c r="CG71" s="72">
        <f t="shared" si="264"/>
        <v>346</v>
      </c>
      <c r="CH71" s="71">
        <f t="shared" si="265"/>
        <v>69</v>
      </c>
      <c r="CI71" s="72">
        <f t="shared" si="266"/>
        <v>73</v>
      </c>
      <c r="CJ71" s="73">
        <f t="shared" si="267"/>
        <v>104</v>
      </c>
      <c r="CK71" s="73">
        <f t="shared" si="268"/>
        <v>109</v>
      </c>
      <c r="CL71" s="73">
        <f t="shared" si="269"/>
        <v>145</v>
      </c>
      <c r="CM71" s="73">
        <f t="shared" si="270"/>
        <v>153</v>
      </c>
      <c r="CN71" s="73">
        <f t="shared" si="271"/>
        <v>180</v>
      </c>
      <c r="CO71" s="73">
        <f t="shared" si="272"/>
        <v>201</v>
      </c>
      <c r="CP71" s="73">
        <f t="shared" si="273"/>
        <v>238</v>
      </c>
      <c r="CQ71" s="73">
        <f t="shared" si="274"/>
        <v>316</v>
      </c>
      <c r="CR71" s="73">
        <f t="shared" si="275"/>
        <v>345</v>
      </c>
      <c r="CS71" s="73">
        <f t="shared" si="276"/>
        <v>358</v>
      </c>
      <c r="CT71" s="23">
        <f t="shared" si="277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782"/>
        <v>adrb1_melga_2Y04</v>
      </c>
      <c r="B72" s="3" t="s">
        <v>912</v>
      </c>
      <c r="C72" s="3" t="s">
        <v>1026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8" t="str">
        <f>VLOOKUP(B72,Classification!A:D,2,0)</f>
        <v>A</v>
      </c>
      <c r="BA72" s="95" t="str">
        <f>VLOOKUP(B72,Classification!A:D,4,0)</f>
        <v>Adrenoceptors</v>
      </c>
      <c r="BB72" s="27" t="b">
        <f t="shared" si="783"/>
        <v>1</v>
      </c>
      <c r="BC72" s="23">
        <f t="shared" si="252"/>
        <v>265</v>
      </c>
      <c r="BD72" s="4" t="s">
        <v>23</v>
      </c>
      <c r="BE72" s="3" t="s">
        <v>1381</v>
      </c>
      <c r="BF72" s="120">
        <v>3.05</v>
      </c>
      <c r="BG72" s="49" t="s">
        <v>1384</v>
      </c>
      <c r="BH72" s="49" t="s">
        <v>1384</v>
      </c>
      <c r="BI72" s="1"/>
      <c r="BJ72" s="71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1">
        <f t="shared" si="253"/>
        <v>33</v>
      </c>
      <c r="BW72" s="72">
        <f t="shared" si="254"/>
        <v>70</v>
      </c>
      <c r="BX72" s="73">
        <f t="shared" si="255"/>
        <v>74</v>
      </c>
      <c r="BY72" s="72">
        <f t="shared" si="256"/>
        <v>106</v>
      </c>
      <c r="BZ72" s="73">
        <f t="shared" si="257"/>
        <v>110</v>
      </c>
      <c r="CA72" s="72">
        <f t="shared" si="258"/>
        <v>146</v>
      </c>
      <c r="CB72" s="73">
        <f t="shared" si="259"/>
        <v>154</v>
      </c>
      <c r="CC72" s="72">
        <f t="shared" si="260"/>
        <v>199</v>
      </c>
      <c r="CD72" s="73">
        <f t="shared" si="261"/>
        <v>204</v>
      </c>
      <c r="CE72" s="72">
        <f t="shared" si="262"/>
        <v>275</v>
      </c>
      <c r="CF72" s="73">
        <f t="shared" si="263"/>
        <v>321</v>
      </c>
      <c r="CG72" s="72">
        <f t="shared" si="264"/>
        <v>346</v>
      </c>
      <c r="CH72" s="71">
        <f t="shared" si="265"/>
        <v>69</v>
      </c>
      <c r="CI72" s="72">
        <f t="shared" si="266"/>
        <v>73</v>
      </c>
      <c r="CJ72" s="73">
        <f t="shared" si="267"/>
        <v>104</v>
      </c>
      <c r="CK72" s="73">
        <f t="shared" si="268"/>
        <v>109</v>
      </c>
      <c r="CL72" s="73">
        <f t="shared" si="269"/>
        <v>145</v>
      </c>
      <c r="CM72" s="73">
        <f t="shared" si="270"/>
        <v>153</v>
      </c>
      <c r="CN72" s="73">
        <f t="shared" si="271"/>
        <v>180</v>
      </c>
      <c r="CO72" s="73">
        <f t="shared" si="272"/>
        <v>201</v>
      </c>
      <c r="CP72" s="73">
        <f t="shared" si="273"/>
        <v>238</v>
      </c>
      <c r="CQ72" s="73">
        <f t="shared" si="274"/>
        <v>316</v>
      </c>
      <c r="CR72" s="73">
        <f t="shared" si="275"/>
        <v>345</v>
      </c>
      <c r="CS72" s="73">
        <f t="shared" si="276"/>
        <v>358</v>
      </c>
      <c r="CT72" s="23">
        <f t="shared" si="277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782"/>
        <v>adrb1_melga_2YCW</v>
      </c>
      <c r="B73" s="3" t="s">
        <v>912</v>
      </c>
      <c r="C73" s="3" t="s">
        <v>1027</v>
      </c>
      <c r="D73" s="3" t="str">
        <f>IFERROR(MID(VLOOKUP($B73,Seqs!$A:$B,2,0),E73,1),"")</f>
        <v>S</v>
      </c>
      <c r="E73" s="3">
        <v>37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K</v>
      </c>
      <c r="AM73" s="3">
        <v>240</v>
      </c>
      <c r="AN73" s="3" t="str">
        <f>IFERROR(MID(VLOOKUP($B73,Seqs!$A:$B,2,0),AO73,1),"")</f>
        <v>L</v>
      </c>
      <c r="AO73" s="3">
        <v>289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8" t="str">
        <f>VLOOKUP(B73,Classification!A:D,2,0)</f>
        <v>A</v>
      </c>
      <c r="BA73" s="95" t="str">
        <f>VLOOKUP(B73,Classification!A:D,4,0)</f>
        <v>Adrenoceptors</v>
      </c>
      <c r="BB73" s="27" t="b">
        <f t="shared" si="783"/>
        <v>1</v>
      </c>
      <c r="BC73" s="23">
        <f t="shared" si="252"/>
        <v>249</v>
      </c>
      <c r="BD73" s="4" t="s">
        <v>23</v>
      </c>
      <c r="BE73" s="3" t="s">
        <v>1381</v>
      </c>
      <c r="BF73" s="120">
        <v>3</v>
      </c>
      <c r="BG73" s="49" t="s">
        <v>1384</v>
      </c>
      <c r="BH73" s="49" t="s">
        <v>1384</v>
      </c>
      <c r="BI73" s="1"/>
      <c r="BJ73" s="71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1">
        <f t="shared" si="253"/>
        <v>37</v>
      </c>
      <c r="BW73" s="72">
        <f t="shared" si="254"/>
        <v>70</v>
      </c>
      <c r="BX73" s="73">
        <f t="shared" si="255"/>
        <v>74</v>
      </c>
      <c r="BY73" s="72">
        <f t="shared" si="256"/>
        <v>106</v>
      </c>
      <c r="BZ73" s="73">
        <f t="shared" si="257"/>
        <v>110</v>
      </c>
      <c r="CA73" s="72">
        <f t="shared" si="258"/>
        <v>146</v>
      </c>
      <c r="CB73" s="73">
        <f t="shared" si="259"/>
        <v>154</v>
      </c>
      <c r="CC73" s="72">
        <f t="shared" si="260"/>
        <v>199</v>
      </c>
      <c r="CD73" s="73">
        <f t="shared" si="261"/>
        <v>204</v>
      </c>
      <c r="CE73" s="72">
        <f t="shared" si="262"/>
        <v>289</v>
      </c>
      <c r="CF73" s="73">
        <f t="shared" si="263"/>
        <v>321</v>
      </c>
      <c r="CG73" s="72">
        <f t="shared" si="264"/>
        <v>346</v>
      </c>
      <c r="CH73" s="71">
        <f t="shared" si="265"/>
        <v>69</v>
      </c>
      <c r="CI73" s="72">
        <f t="shared" si="266"/>
        <v>73</v>
      </c>
      <c r="CJ73" s="73">
        <f t="shared" si="267"/>
        <v>104</v>
      </c>
      <c r="CK73" s="73">
        <f t="shared" si="268"/>
        <v>109</v>
      </c>
      <c r="CL73" s="73">
        <f t="shared" si="269"/>
        <v>145</v>
      </c>
      <c r="CM73" s="73">
        <f t="shared" si="270"/>
        <v>153</v>
      </c>
      <c r="CN73" s="73">
        <f t="shared" si="271"/>
        <v>180</v>
      </c>
      <c r="CO73" s="73">
        <f t="shared" si="272"/>
        <v>201</v>
      </c>
      <c r="CP73" s="73">
        <f t="shared" si="273"/>
        <v>240</v>
      </c>
      <c r="CQ73" s="73">
        <f t="shared" si="274"/>
        <v>316</v>
      </c>
      <c r="CR73" s="73">
        <f t="shared" si="275"/>
        <v>345</v>
      </c>
      <c r="CS73" s="73">
        <f t="shared" si="276"/>
        <v>358</v>
      </c>
      <c r="CT73" s="23">
        <f t="shared" si="277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782"/>
        <v>adrb1_melga_2YCZ</v>
      </c>
      <c r="B74" s="3" t="s">
        <v>912</v>
      </c>
      <c r="C74" s="3" t="s">
        <v>1028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K</v>
      </c>
      <c r="AM74" s="3">
        <v>240</v>
      </c>
      <c r="AN74" s="3" t="str">
        <f>IFERROR(MID(VLOOKUP($B74,Seqs!$A:$B,2,0),AO74,1),"")</f>
        <v>A</v>
      </c>
      <c r="AO74" s="3">
        <v>288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8" t="str">
        <f>VLOOKUP(B74,Classification!A:D,2,0)</f>
        <v>A</v>
      </c>
      <c r="BA74" s="95" t="str">
        <f>VLOOKUP(B74,Classification!A:D,4,0)</f>
        <v>Adrenoceptors</v>
      </c>
      <c r="BB74" s="27" t="b">
        <f t="shared" si="783"/>
        <v>1</v>
      </c>
      <c r="BC74" s="23">
        <f t="shared" si="252"/>
        <v>254</v>
      </c>
      <c r="BD74" s="16" t="s">
        <v>23</v>
      </c>
      <c r="BE74" s="3" t="s">
        <v>1381</v>
      </c>
      <c r="BF74" s="120">
        <v>3.65</v>
      </c>
      <c r="BG74" s="49" t="s">
        <v>1384</v>
      </c>
      <c r="BH74" s="49" t="s">
        <v>1384</v>
      </c>
      <c r="BI74" s="1"/>
      <c r="BJ74" s="71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1">
        <f t="shared" si="253"/>
        <v>33</v>
      </c>
      <c r="BW74" s="72">
        <f t="shared" si="254"/>
        <v>70</v>
      </c>
      <c r="BX74" s="73">
        <f t="shared" si="255"/>
        <v>74</v>
      </c>
      <c r="BY74" s="72">
        <f t="shared" si="256"/>
        <v>106</v>
      </c>
      <c r="BZ74" s="73">
        <f t="shared" si="257"/>
        <v>110</v>
      </c>
      <c r="CA74" s="72">
        <f t="shared" si="258"/>
        <v>146</v>
      </c>
      <c r="CB74" s="73">
        <f t="shared" si="259"/>
        <v>154</v>
      </c>
      <c r="CC74" s="72">
        <f t="shared" si="260"/>
        <v>199</v>
      </c>
      <c r="CD74" s="73">
        <f t="shared" si="261"/>
        <v>204</v>
      </c>
      <c r="CE74" s="72">
        <f t="shared" si="262"/>
        <v>288</v>
      </c>
      <c r="CF74" s="73">
        <f t="shared" si="263"/>
        <v>321</v>
      </c>
      <c r="CG74" s="72">
        <f t="shared" si="264"/>
        <v>346</v>
      </c>
      <c r="CH74" s="71">
        <f t="shared" si="265"/>
        <v>69</v>
      </c>
      <c r="CI74" s="72">
        <f t="shared" si="266"/>
        <v>73</v>
      </c>
      <c r="CJ74" s="73">
        <f t="shared" si="267"/>
        <v>104</v>
      </c>
      <c r="CK74" s="73">
        <f t="shared" si="268"/>
        <v>109</v>
      </c>
      <c r="CL74" s="73">
        <f t="shared" si="269"/>
        <v>145</v>
      </c>
      <c r="CM74" s="73">
        <f t="shared" si="270"/>
        <v>153</v>
      </c>
      <c r="CN74" s="73">
        <f t="shared" si="271"/>
        <v>180</v>
      </c>
      <c r="CO74" s="73">
        <f t="shared" si="272"/>
        <v>201</v>
      </c>
      <c r="CP74" s="73">
        <f t="shared" si="273"/>
        <v>240</v>
      </c>
      <c r="CQ74" s="73">
        <f t="shared" si="274"/>
        <v>316</v>
      </c>
      <c r="CR74" s="73">
        <f t="shared" si="275"/>
        <v>345</v>
      </c>
      <c r="CS74" s="73">
        <f t="shared" si="276"/>
        <v>358</v>
      </c>
      <c r="CT74" s="23">
        <f t="shared" si="277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782"/>
        <v>adrb1_melga_3ZPQ</v>
      </c>
      <c r="B75" s="3" t="s">
        <v>912</v>
      </c>
      <c r="C75" s="3" t="s">
        <v>1038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8" t="str">
        <f>VLOOKUP(B75,Classification!A:D,2,0)</f>
        <v>A</v>
      </c>
      <c r="BA75" s="95" t="str">
        <f>VLOOKUP(B75,Classification!A:D,4,0)</f>
        <v>Adrenoceptors</v>
      </c>
      <c r="BB75" s="27" t="b">
        <f t="shared" si="783"/>
        <v>1</v>
      </c>
      <c r="BC75" s="23">
        <f t="shared" si="252"/>
        <v>265</v>
      </c>
      <c r="BD75" s="4" t="s">
        <v>23</v>
      </c>
      <c r="BE75" s="3" t="s">
        <v>1381</v>
      </c>
      <c r="BF75" s="120">
        <v>2.8</v>
      </c>
      <c r="BG75" s="49" t="s">
        <v>1384</v>
      </c>
      <c r="BH75" s="49" t="s">
        <v>1384</v>
      </c>
      <c r="BI75" s="1"/>
      <c r="BJ75" s="71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1">
        <f t="shared" si="253"/>
        <v>33</v>
      </c>
      <c r="BW75" s="72">
        <f t="shared" si="254"/>
        <v>70</v>
      </c>
      <c r="BX75" s="73">
        <f t="shared" si="255"/>
        <v>74</v>
      </c>
      <c r="BY75" s="72">
        <f t="shared" si="256"/>
        <v>106</v>
      </c>
      <c r="BZ75" s="73">
        <f t="shared" si="257"/>
        <v>110</v>
      </c>
      <c r="CA75" s="72">
        <f t="shared" si="258"/>
        <v>146</v>
      </c>
      <c r="CB75" s="73">
        <f t="shared" si="259"/>
        <v>154</v>
      </c>
      <c r="CC75" s="72">
        <f t="shared" si="260"/>
        <v>199</v>
      </c>
      <c r="CD75" s="73">
        <f t="shared" si="261"/>
        <v>204</v>
      </c>
      <c r="CE75" s="72">
        <f t="shared" si="262"/>
        <v>275</v>
      </c>
      <c r="CF75" s="73">
        <f t="shared" si="263"/>
        <v>321</v>
      </c>
      <c r="CG75" s="72">
        <f t="shared" si="264"/>
        <v>346</v>
      </c>
      <c r="CH75" s="71">
        <f t="shared" si="265"/>
        <v>69</v>
      </c>
      <c r="CI75" s="72">
        <f t="shared" si="266"/>
        <v>73</v>
      </c>
      <c r="CJ75" s="73">
        <f t="shared" si="267"/>
        <v>104</v>
      </c>
      <c r="CK75" s="73">
        <f t="shared" si="268"/>
        <v>109</v>
      </c>
      <c r="CL75" s="73">
        <f t="shared" si="269"/>
        <v>145</v>
      </c>
      <c r="CM75" s="73">
        <f t="shared" si="270"/>
        <v>153</v>
      </c>
      <c r="CN75" s="73">
        <f t="shared" si="271"/>
        <v>180</v>
      </c>
      <c r="CO75" s="73">
        <f t="shared" si="272"/>
        <v>201</v>
      </c>
      <c r="CP75" s="73">
        <f t="shared" si="273"/>
        <v>238</v>
      </c>
      <c r="CQ75" s="73">
        <f t="shared" si="274"/>
        <v>316</v>
      </c>
      <c r="CR75" s="73">
        <f t="shared" si="275"/>
        <v>345</v>
      </c>
      <c r="CS75" s="73">
        <f t="shared" si="276"/>
        <v>358</v>
      </c>
      <c r="CT75" s="23">
        <f t="shared" si="277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782"/>
        <v>adrb1_melga_3ZPR</v>
      </c>
      <c r="B76" s="3" t="s">
        <v>912</v>
      </c>
      <c r="C76" s="3" t="s">
        <v>1039</v>
      </c>
      <c r="D76" s="3" t="str">
        <f>IFERROR(MID(VLOOKUP($B76,Seqs!$A:$B,2,0),E76,1),"")</f>
        <v>A</v>
      </c>
      <c r="E76" s="3">
        <v>33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I</v>
      </c>
      <c r="AM76" s="3">
        <v>238</v>
      </c>
      <c r="AN76" s="3" t="str">
        <f>IFERROR(MID(VLOOKUP($B76,Seqs!$A:$B,2,0),AO76,1),"")</f>
        <v>R</v>
      </c>
      <c r="AO76" s="3">
        <v>275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8" t="str">
        <f>VLOOKUP(B76,Classification!A:D,2,0)</f>
        <v>A</v>
      </c>
      <c r="BA76" s="95" t="str">
        <f>VLOOKUP(B76,Classification!A:D,4,0)</f>
        <v>Adrenoceptors</v>
      </c>
      <c r="BB76" s="27" t="b">
        <f t="shared" si="783"/>
        <v>1</v>
      </c>
      <c r="BC76" s="23">
        <f t="shared" si="252"/>
        <v>265</v>
      </c>
      <c r="BD76" s="4" t="s">
        <v>23</v>
      </c>
      <c r="BE76" s="3" t="s">
        <v>1381</v>
      </c>
      <c r="BF76" s="120">
        <v>2.7</v>
      </c>
      <c r="BG76" s="49" t="s">
        <v>1384</v>
      </c>
      <c r="BH76" s="49" t="s">
        <v>1384</v>
      </c>
      <c r="BI76" s="1"/>
      <c r="BJ76" s="71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1">
        <f t="shared" si="253"/>
        <v>33</v>
      </c>
      <c r="BW76" s="72">
        <f t="shared" si="254"/>
        <v>70</v>
      </c>
      <c r="BX76" s="73">
        <f t="shared" si="255"/>
        <v>74</v>
      </c>
      <c r="BY76" s="72">
        <f t="shared" si="256"/>
        <v>106</v>
      </c>
      <c r="BZ76" s="73">
        <f t="shared" si="257"/>
        <v>110</v>
      </c>
      <c r="CA76" s="72">
        <f t="shared" si="258"/>
        <v>146</v>
      </c>
      <c r="CB76" s="73">
        <f t="shared" si="259"/>
        <v>154</v>
      </c>
      <c r="CC76" s="72">
        <f t="shared" si="260"/>
        <v>199</v>
      </c>
      <c r="CD76" s="73">
        <f t="shared" si="261"/>
        <v>204</v>
      </c>
      <c r="CE76" s="72">
        <f t="shared" si="262"/>
        <v>275</v>
      </c>
      <c r="CF76" s="73">
        <f t="shared" si="263"/>
        <v>321</v>
      </c>
      <c r="CG76" s="72">
        <f t="shared" si="264"/>
        <v>346</v>
      </c>
      <c r="CH76" s="71">
        <f t="shared" si="265"/>
        <v>69</v>
      </c>
      <c r="CI76" s="72">
        <f t="shared" si="266"/>
        <v>73</v>
      </c>
      <c r="CJ76" s="73">
        <f t="shared" si="267"/>
        <v>104</v>
      </c>
      <c r="CK76" s="73">
        <f t="shared" si="268"/>
        <v>109</v>
      </c>
      <c r="CL76" s="73">
        <f t="shared" si="269"/>
        <v>145</v>
      </c>
      <c r="CM76" s="73">
        <f t="shared" si="270"/>
        <v>153</v>
      </c>
      <c r="CN76" s="73">
        <f t="shared" si="271"/>
        <v>180</v>
      </c>
      <c r="CO76" s="73">
        <f t="shared" si="272"/>
        <v>201</v>
      </c>
      <c r="CP76" s="73">
        <f t="shared" si="273"/>
        <v>238</v>
      </c>
      <c r="CQ76" s="73">
        <f t="shared" si="274"/>
        <v>316</v>
      </c>
      <c r="CR76" s="73">
        <f t="shared" si="275"/>
        <v>345</v>
      </c>
      <c r="CS76" s="73">
        <f t="shared" si="276"/>
        <v>358</v>
      </c>
      <c r="CT76" s="23">
        <f t="shared" si="277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782"/>
        <v>adrb1_melga_4AMI</v>
      </c>
      <c r="B77" s="3" t="s">
        <v>912</v>
      </c>
      <c r="C77" s="3" t="s">
        <v>1040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E</v>
      </c>
      <c r="AM77" s="3">
        <v>236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8" t="str">
        <f>VLOOKUP(B77,Classification!A:D,2,0)</f>
        <v>A</v>
      </c>
      <c r="BA77" s="95" t="str">
        <f>VLOOKUP(B77,Classification!A:D,4,0)</f>
        <v>Adrenoceptors</v>
      </c>
      <c r="BB77" s="27" t="b">
        <f t="shared" si="783"/>
        <v>1</v>
      </c>
      <c r="BC77" s="23">
        <f t="shared" si="252"/>
        <v>250</v>
      </c>
      <c r="BD77" s="4" t="s">
        <v>23</v>
      </c>
      <c r="BE77" s="3" t="s">
        <v>1381</v>
      </c>
      <c r="BF77" s="120">
        <v>3.2</v>
      </c>
      <c r="BG77" s="49" t="s">
        <v>1384</v>
      </c>
      <c r="BH77" s="49" t="s">
        <v>1384</v>
      </c>
      <c r="BI77" s="1"/>
      <c r="BJ77" s="71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1">
        <f t="shared" si="253"/>
        <v>33</v>
      </c>
      <c r="BW77" s="72">
        <f t="shared" si="254"/>
        <v>70</v>
      </c>
      <c r="BX77" s="73">
        <f t="shared" si="255"/>
        <v>74</v>
      </c>
      <c r="BY77" s="72">
        <f t="shared" si="256"/>
        <v>106</v>
      </c>
      <c r="BZ77" s="73">
        <f t="shared" si="257"/>
        <v>110</v>
      </c>
      <c r="CA77" s="72">
        <f t="shared" si="258"/>
        <v>146</v>
      </c>
      <c r="CB77" s="73">
        <f t="shared" si="259"/>
        <v>154</v>
      </c>
      <c r="CC77" s="72">
        <f t="shared" si="260"/>
        <v>199</v>
      </c>
      <c r="CD77" s="73">
        <f t="shared" si="261"/>
        <v>204</v>
      </c>
      <c r="CE77" s="72">
        <f t="shared" si="262"/>
        <v>288</v>
      </c>
      <c r="CF77" s="73">
        <f t="shared" si="263"/>
        <v>321</v>
      </c>
      <c r="CG77" s="72">
        <f t="shared" si="264"/>
        <v>346</v>
      </c>
      <c r="CH77" s="71">
        <f t="shared" si="265"/>
        <v>69</v>
      </c>
      <c r="CI77" s="72">
        <f t="shared" si="266"/>
        <v>73</v>
      </c>
      <c r="CJ77" s="73">
        <f t="shared" si="267"/>
        <v>104</v>
      </c>
      <c r="CK77" s="73">
        <f t="shared" si="268"/>
        <v>109</v>
      </c>
      <c r="CL77" s="73">
        <f t="shared" si="269"/>
        <v>145</v>
      </c>
      <c r="CM77" s="73">
        <f t="shared" si="270"/>
        <v>153</v>
      </c>
      <c r="CN77" s="73">
        <f t="shared" si="271"/>
        <v>180</v>
      </c>
      <c r="CO77" s="73">
        <f t="shared" si="272"/>
        <v>201</v>
      </c>
      <c r="CP77" s="73">
        <f t="shared" si="273"/>
        <v>236</v>
      </c>
      <c r="CQ77" s="73">
        <f t="shared" si="274"/>
        <v>316</v>
      </c>
      <c r="CR77" s="73">
        <f t="shared" si="275"/>
        <v>345</v>
      </c>
      <c r="CS77" s="73">
        <f t="shared" si="276"/>
        <v>358</v>
      </c>
      <c r="CT77" s="23">
        <f t="shared" si="277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782"/>
        <v>adrb1_melga_4AMJ</v>
      </c>
      <c r="B78" s="3" t="s">
        <v>912</v>
      </c>
      <c r="C78" s="3" t="s">
        <v>1041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8" t="str">
        <f>VLOOKUP(B78,Classification!A:D,2,0)</f>
        <v>A</v>
      </c>
      <c r="BA78" s="95" t="str">
        <f>VLOOKUP(B78,Classification!A:D,4,0)</f>
        <v>Adrenoceptors</v>
      </c>
      <c r="BB78" s="27" t="b">
        <f t="shared" si="783"/>
        <v>1</v>
      </c>
      <c r="BC78" s="23">
        <f t="shared" si="252"/>
        <v>265</v>
      </c>
      <c r="BD78" s="2" t="s">
        <v>1383</v>
      </c>
      <c r="BE78" s="3" t="s">
        <v>1381</v>
      </c>
      <c r="BF78" s="120">
        <v>2.2999999999999998</v>
      </c>
      <c r="BG78" s="49" t="s">
        <v>1384</v>
      </c>
      <c r="BH78" s="49" t="s">
        <v>1384</v>
      </c>
      <c r="BI78" s="1"/>
      <c r="BJ78" s="71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1">
        <f t="shared" si="253"/>
        <v>33</v>
      </c>
      <c r="BW78" s="72">
        <f t="shared" si="254"/>
        <v>70</v>
      </c>
      <c r="BX78" s="73">
        <f t="shared" si="255"/>
        <v>74</v>
      </c>
      <c r="BY78" s="72">
        <f t="shared" si="256"/>
        <v>106</v>
      </c>
      <c r="BZ78" s="73">
        <f t="shared" si="257"/>
        <v>110</v>
      </c>
      <c r="CA78" s="72">
        <f t="shared" si="258"/>
        <v>146</v>
      </c>
      <c r="CB78" s="73">
        <f t="shared" si="259"/>
        <v>154</v>
      </c>
      <c r="CC78" s="72">
        <f t="shared" si="260"/>
        <v>199</v>
      </c>
      <c r="CD78" s="73">
        <f t="shared" si="261"/>
        <v>204</v>
      </c>
      <c r="CE78" s="72">
        <f t="shared" si="262"/>
        <v>275</v>
      </c>
      <c r="CF78" s="73">
        <f t="shared" si="263"/>
        <v>321</v>
      </c>
      <c r="CG78" s="72">
        <f t="shared" si="264"/>
        <v>346</v>
      </c>
      <c r="CH78" s="71">
        <f t="shared" si="265"/>
        <v>69</v>
      </c>
      <c r="CI78" s="72">
        <f t="shared" si="266"/>
        <v>73</v>
      </c>
      <c r="CJ78" s="73">
        <f t="shared" si="267"/>
        <v>104</v>
      </c>
      <c r="CK78" s="73">
        <f t="shared" si="268"/>
        <v>109</v>
      </c>
      <c r="CL78" s="73">
        <f t="shared" si="269"/>
        <v>145</v>
      </c>
      <c r="CM78" s="73">
        <f t="shared" si="270"/>
        <v>153</v>
      </c>
      <c r="CN78" s="73">
        <f t="shared" si="271"/>
        <v>180</v>
      </c>
      <c r="CO78" s="73">
        <f t="shared" si="272"/>
        <v>201</v>
      </c>
      <c r="CP78" s="73">
        <f t="shared" si="273"/>
        <v>238</v>
      </c>
      <c r="CQ78" s="73">
        <f t="shared" si="274"/>
        <v>316</v>
      </c>
      <c r="CR78" s="73">
        <f t="shared" si="275"/>
        <v>345</v>
      </c>
      <c r="CS78" s="73">
        <f t="shared" si="276"/>
        <v>358</v>
      </c>
      <c r="CT78" s="23">
        <f t="shared" si="277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782"/>
        <v>adrb1_melga_4BVN</v>
      </c>
      <c r="B79" s="3" t="s">
        <v>912</v>
      </c>
      <c r="C79" s="3" t="s">
        <v>82</v>
      </c>
      <c r="D79" s="3" t="str">
        <f>IFERROR(MID(VLOOKUP($B79,Seqs!$A:$B,2,0),E79,1),"")</f>
        <v>S</v>
      </c>
      <c r="E79" s="3">
        <v>37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R</v>
      </c>
      <c r="AM79" s="3">
        <v>239</v>
      </c>
      <c r="AN79" s="3" t="str">
        <f>IFERROR(MID(VLOOKUP($B79,Seqs!$A:$B,2,0),AO79,1),"")</f>
        <v>R</v>
      </c>
      <c r="AO79" s="3">
        <v>279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8" t="str">
        <f>VLOOKUP(B79,Classification!A:D,2,0)</f>
        <v>A</v>
      </c>
      <c r="BA79" s="95" t="str">
        <f>VLOOKUP(B79,Classification!A:D,4,0)</f>
        <v>Adrenoceptors</v>
      </c>
      <c r="BB79" s="27" t="b">
        <f t="shared" si="783"/>
        <v>1</v>
      </c>
      <c r="BC79" s="23">
        <f t="shared" ref="BC79:BC121" si="784">_xlfn.AGGREGATE(9,6,CH79:CS79)-_xlfn.AGGREGATE(9,6,BV79:CG79)+12</f>
        <v>258</v>
      </c>
      <c r="BD79" s="4" t="s">
        <v>23</v>
      </c>
      <c r="BE79" s="3" t="s">
        <v>1381</v>
      </c>
      <c r="BF79" s="120">
        <v>2.1</v>
      </c>
      <c r="BG79" s="49" t="s">
        <v>1384</v>
      </c>
      <c r="BH79" s="49" t="s">
        <v>1384</v>
      </c>
      <c r="BI79" s="1"/>
      <c r="BJ79" s="71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1">
        <f t="shared" ref="BV79:BV121" si="785">E79</f>
        <v>37</v>
      </c>
      <c r="BW79" s="72">
        <f t="shared" ref="BW79:BW121" si="786">I79</f>
        <v>70</v>
      </c>
      <c r="BX79" s="73">
        <f t="shared" ref="BX79:BX121" si="787">M79</f>
        <v>74</v>
      </c>
      <c r="BY79" s="72">
        <f t="shared" ref="BY79:BY121" si="788">Q79</f>
        <v>106</v>
      </c>
      <c r="BZ79" s="73">
        <f t="shared" ref="BZ79:BZ121" si="789">U79</f>
        <v>110</v>
      </c>
      <c r="CA79" s="72">
        <f t="shared" ref="CA79:CA121" si="790">Y79</f>
        <v>146</v>
      </c>
      <c r="CB79" s="73">
        <f t="shared" ref="CB79:CB121" si="791">AC79</f>
        <v>154</v>
      </c>
      <c r="CC79" s="72">
        <f t="shared" ref="CC79:CC121" si="792">AG79</f>
        <v>199</v>
      </c>
      <c r="CD79" s="73">
        <f t="shared" ref="CD79:CD121" si="793">AK79</f>
        <v>204</v>
      </c>
      <c r="CE79" s="72">
        <f t="shared" ref="CE79:CE121" si="794">AO79</f>
        <v>279</v>
      </c>
      <c r="CF79" s="73">
        <f t="shared" ref="CF79:CF121" si="795">AS79</f>
        <v>321</v>
      </c>
      <c r="CG79" s="72">
        <f t="shared" ref="CG79:CG121" si="796">AW79</f>
        <v>346</v>
      </c>
      <c r="CH79" s="71">
        <f t="shared" ref="CH79:CH121" si="797">G79</f>
        <v>69</v>
      </c>
      <c r="CI79" s="72">
        <f t="shared" ref="CI79:CI121" si="798">K79</f>
        <v>73</v>
      </c>
      <c r="CJ79" s="73">
        <f t="shared" ref="CJ79:CJ121" si="799">O79</f>
        <v>104</v>
      </c>
      <c r="CK79" s="73">
        <f t="shared" ref="CK79:CK121" si="800">S79</f>
        <v>109</v>
      </c>
      <c r="CL79" s="73">
        <f t="shared" ref="CL79:CL121" si="801">W79</f>
        <v>145</v>
      </c>
      <c r="CM79" s="73">
        <f t="shared" ref="CM79:CM121" si="802">AA79</f>
        <v>153</v>
      </c>
      <c r="CN79" s="73">
        <f t="shared" ref="CN79:CN121" si="803">AE79</f>
        <v>180</v>
      </c>
      <c r="CO79" s="73">
        <f t="shared" ref="CO79:CO121" si="804">AI79</f>
        <v>201</v>
      </c>
      <c r="CP79" s="73">
        <f t="shared" ref="CP79:CP121" si="805">AM79</f>
        <v>239</v>
      </c>
      <c r="CQ79" s="73">
        <f t="shared" ref="CQ79:CQ121" si="806">AQ79</f>
        <v>316</v>
      </c>
      <c r="CR79" s="73">
        <f t="shared" ref="CR79:CR121" si="807">AU79</f>
        <v>345</v>
      </c>
      <c r="CS79" s="73">
        <f t="shared" ref="CS79:CS121" si="808">AY79</f>
        <v>358</v>
      </c>
      <c r="CT79" s="23">
        <f t="shared" ref="CT79:CT121" si="809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782"/>
        <v>adrb1_melga_4GPO</v>
      </c>
      <c r="B80" s="3" t="s">
        <v>912</v>
      </c>
      <c r="C80" s="3" t="s">
        <v>1042</v>
      </c>
      <c r="D80" s="3" t="str">
        <f>IFERROR(MID(VLOOKUP($B80,Seqs!$A:$B,2,0),E80,1),"")</f>
        <v>S</v>
      </c>
      <c r="E80" s="3">
        <v>37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233</v>
      </c>
      <c r="AN80" s="3" t="str">
        <f>IFERROR(MID(VLOOKUP($B80,Seqs!$A:$B,2,0),AO80,1),"")</f>
        <v>M</v>
      </c>
      <c r="AO80" s="3">
        <v>283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L</v>
      </c>
      <c r="AY80" s="3">
        <v>356</v>
      </c>
      <c r="AZ80" s="78" t="str">
        <f>VLOOKUP(B80,Classification!A:D,2,0)</f>
        <v>A</v>
      </c>
      <c r="BA80" s="95" t="str">
        <f>VLOOKUP(B80,Classification!A:D,4,0)</f>
        <v>Adrenoceptors</v>
      </c>
      <c r="BB80" s="27" t="b">
        <f t="shared" si="783"/>
        <v>1</v>
      </c>
      <c r="BC80" s="23">
        <f t="shared" si="784"/>
        <v>246</v>
      </c>
      <c r="BD80" s="4" t="s">
        <v>23</v>
      </c>
      <c r="BE80" s="3" t="s">
        <v>1381</v>
      </c>
      <c r="BF80" s="120">
        <v>3.5</v>
      </c>
      <c r="BG80" s="49" t="s">
        <v>1384</v>
      </c>
      <c r="BH80" s="49" t="s">
        <v>1384</v>
      </c>
      <c r="BI80" s="1"/>
      <c r="BJ80" s="71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1">
        <f t="shared" si="785"/>
        <v>37</v>
      </c>
      <c r="BW80" s="72">
        <f t="shared" si="786"/>
        <v>70</v>
      </c>
      <c r="BX80" s="73">
        <f t="shared" si="787"/>
        <v>74</v>
      </c>
      <c r="BY80" s="72">
        <f t="shared" si="788"/>
        <v>106</v>
      </c>
      <c r="BZ80" s="73">
        <f t="shared" si="789"/>
        <v>110</v>
      </c>
      <c r="CA80" s="72">
        <f t="shared" si="790"/>
        <v>146</v>
      </c>
      <c r="CB80" s="73">
        <f t="shared" si="791"/>
        <v>154</v>
      </c>
      <c r="CC80" s="72">
        <f t="shared" si="792"/>
        <v>199</v>
      </c>
      <c r="CD80" s="73">
        <f t="shared" si="793"/>
        <v>204</v>
      </c>
      <c r="CE80" s="72">
        <f t="shared" si="794"/>
        <v>283</v>
      </c>
      <c r="CF80" s="73">
        <f t="shared" si="795"/>
        <v>321</v>
      </c>
      <c r="CG80" s="72">
        <f t="shared" si="796"/>
        <v>346</v>
      </c>
      <c r="CH80" s="71">
        <f t="shared" si="797"/>
        <v>69</v>
      </c>
      <c r="CI80" s="72">
        <f t="shared" si="798"/>
        <v>73</v>
      </c>
      <c r="CJ80" s="73">
        <f t="shared" si="799"/>
        <v>104</v>
      </c>
      <c r="CK80" s="73">
        <f t="shared" si="800"/>
        <v>109</v>
      </c>
      <c r="CL80" s="73">
        <f t="shared" si="801"/>
        <v>145</v>
      </c>
      <c r="CM80" s="73">
        <f t="shared" si="802"/>
        <v>153</v>
      </c>
      <c r="CN80" s="73">
        <f t="shared" si="803"/>
        <v>180</v>
      </c>
      <c r="CO80" s="73">
        <f t="shared" si="804"/>
        <v>201</v>
      </c>
      <c r="CP80" s="73">
        <f t="shared" si="805"/>
        <v>233</v>
      </c>
      <c r="CQ80" s="73">
        <f t="shared" si="806"/>
        <v>316</v>
      </c>
      <c r="CR80" s="73">
        <f t="shared" si="807"/>
        <v>345</v>
      </c>
      <c r="CS80" s="73">
        <f t="shared" si="808"/>
        <v>356</v>
      </c>
      <c r="CT80" s="23">
        <f t="shared" si="809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782"/>
        <v>adrb1_melga_5A8E</v>
      </c>
      <c r="B81" s="3" t="s">
        <v>912</v>
      </c>
      <c r="C81" s="3" t="s">
        <v>1059</v>
      </c>
      <c r="D81" s="3" t="str">
        <f>IFERROR(MID(VLOOKUP($B81,Seqs!$A:$B,2,0),E81,1),"")</f>
        <v>S</v>
      </c>
      <c r="E81" s="3">
        <v>37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R</v>
      </c>
      <c r="AM81" s="3">
        <v>239</v>
      </c>
      <c r="AN81" s="3" t="str">
        <f>IFERROR(MID(VLOOKUP($B81,Seqs!$A:$B,2,0),AO81,1),"")</f>
        <v>R</v>
      </c>
      <c r="AO81" s="3">
        <v>279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K</v>
      </c>
      <c r="AY81" s="3">
        <v>354</v>
      </c>
      <c r="AZ81" s="78" t="str">
        <f>VLOOKUP(B81,Classification!A:D,2,0)</f>
        <v>A</v>
      </c>
      <c r="BA81" s="95" t="str">
        <f>VLOOKUP(B81,Classification!A:D,4,0)</f>
        <v>Adrenoceptors</v>
      </c>
      <c r="BB81" s="27" t="b">
        <f t="shared" si="783"/>
        <v>1</v>
      </c>
      <c r="BC81" s="23">
        <f t="shared" si="784"/>
        <v>254</v>
      </c>
      <c r="BD81" s="4" t="s">
        <v>23</v>
      </c>
      <c r="BE81" s="3" t="s">
        <v>1381</v>
      </c>
      <c r="BF81" s="120">
        <v>2.42</v>
      </c>
      <c r="BG81" s="49" t="s">
        <v>1384</v>
      </c>
      <c r="BH81" s="49" t="s">
        <v>1384</v>
      </c>
      <c r="BI81" s="1"/>
      <c r="BJ81" s="71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1">
        <f t="shared" si="785"/>
        <v>37</v>
      </c>
      <c r="BW81" s="72">
        <f t="shared" si="786"/>
        <v>70</v>
      </c>
      <c r="BX81" s="73">
        <f t="shared" si="787"/>
        <v>74</v>
      </c>
      <c r="BY81" s="72">
        <f t="shared" si="788"/>
        <v>106</v>
      </c>
      <c r="BZ81" s="73">
        <f t="shared" si="789"/>
        <v>110</v>
      </c>
      <c r="CA81" s="72">
        <f t="shared" si="790"/>
        <v>146</v>
      </c>
      <c r="CB81" s="73">
        <f t="shared" si="791"/>
        <v>154</v>
      </c>
      <c r="CC81" s="72">
        <f t="shared" si="792"/>
        <v>199</v>
      </c>
      <c r="CD81" s="73">
        <f t="shared" si="793"/>
        <v>204</v>
      </c>
      <c r="CE81" s="72">
        <f t="shared" si="794"/>
        <v>279</v>
      </c>
      <c r="CF81" s="73">
        <f t="shared" si="795"/>
        <v>321</v>
      </c>
      <c r="CG81" s="72">
        <f t="shared" si="796"/>
        <v>346</v>
      </c>
      <c r="CH81" s="71">
        <f t="shared" si="797"/>
        <v>69</v>
      </c>
      <c r="CI81" s="72">
        <f t="shared" si="798"/>
        <v>73</v>
      </c>
      <c r="CJ81" s="73">
        <f t="shared" si="799"/>
        <v>104</v>
      </c>
      <c r="CK81" s="73">
        <f t="shared" si="800"/>
        <v>109</v>
      </c>
      <c r="CL81" s="73">
        <f t="shared" si="801"/>
        <v>145</v>
      </c>
      <c r="CM81" s="73">
        <f t="shared" si="802"/>
        <v>153</v>
      </c>
      <c r="CN81" s="73">
        <f t="shared" si="803"/>
        <v>180</v>
      </c>
      <c r="CO81" s="73">
        <f t="shared" si="804"/>
        <v>201</v>
      </c>
      <c r="CP81" s="73">
        <f t="shared" si="805"/>
        <v>239</v>
      </c>
      <c r="CQ81" s="73">
        <f t="shared" si="806"/>
        <v>316</v>
      </c>
      <c r="CR81" s="73">
        <f t="shared" si="807"/>
        <v>345</v>
      </c>
      <c r="CS81" s="73">
        <f t="shared" si="808"/>
        <v>354</v>
      </c>
      <c r="CT81" s="23">
        <f t="shared" si="809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782"/>
        <v>adrb1_melga_5F8U</v>
      </c>
      <c r="B82" s="3" t="s">
        <v>912</v>
      </c>
      <c r="C82" s="3" t="s">
        <v>1360</v>
      </c>
      <c r="D82" s="3" t="str">
        <f>IFERROR(MID(VLOOKUP($B82,Seqs!$A:$B,2,0),E82,1),"")</f>
        <v>W</v>
      </c>
      <c r="E82" s="3">
        <v>40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Q</v>
      </c>
      <c r="AM82" s="3">
        <v>237</v>
      </c>
      <c r="AN82" s="3" t="str">
        <f>IFERROR(MID(VLOOKUP($B82,Seqs!$A:$B,2,0),AO82,1),"")</f>
        <v>R</v>
      </c>
      <c r="AO82" s="3">
        <v>284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8" t="str">
        <f>VLOOKUP(B82,Classification!A:D,2,0)</f>
        <v>A</v>
      </c>
      <c r="BA82" s="95" t="str">
        <f>VLOOKUP(B82,Classification!A:D,4,0)</f>
        <v>Adrenoceptors</v>
      </c>
      <c r="BB82" s="27" t="b">
        <f t="shared" si="783"/>
        <v>1</v>
      </c>
      <c r="BC82" s="23">
        <f t="shared" si="784"/>
        <v>248</v>
      </c>
      <c r="BD82" s="5" t="s">
        <v>23</v>
      </c>
      <c r="BE82" s="3" t="s">
        <v>1381</v>
      </c>
      <c r="BF82" s="120">
        <v>3.35</v>
      </c>
      <c r="BG82" s="49" t="s">
        <v>1384</v>
      </c>
      <c r="BH82" s="49" t="s">
        <v>1384</v>
      </c>
      <c r="BI82" s="1"/>
      <c r="BJ82" s="71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1">
        <f t="shared" si="785"/>
        <v>40</v>
      </c>
      <c r="BW82" s="72">
        <f t="shared" si="786"/>
        <v>70</v>
      </c>
      <c r="BX82" s="73">
        <f t="shared" si="787"/>
        <v>74</v>
      </c>
      <c r="BY82" s="72">
        <f t="shared" si="788"/>
        <v>106</v>
      </c>
      <c r="BZ82" s="73">
        <f t="shared" si="789"/>
        <v>110</v>
      </c>
      <c r="CA82" s="72">
        <f t="shared" si="790"/>
        <v>146</v>
      </c>
      <c r="CB82" s="73">
        <f t="shared" si="791"/>
        <v>154</v>
      </c>
      <c r="CC82" s="72">
        <f t="shared" si="792"/>
        <v>199</v>
      </c>
      <c r="CD82" s="73">
        <f t="shared" si="793"/>
        <v>204</v>
      </c>
      <c r="CE82" s="72">
        <f t="shared" si="794"/>
        <v>284</v>
      </c>
      <c r="CF82" s="73">
        <f t="shared" si="795"/>
        <v>321</v>
      </c>
      <c r="CG82" s="72">
        <f t="shared" si="796"/>
        <v>346</v>
      </c>
      <c r="CH82" s="71">
        <f t="shared" si="797"/>
        <v>69</v>
      </c>
      <c r="CI82" s="72">
        <f t="shared" si="798"/>
        <v>73</v>
      </c>
      <c r="CJ82" s="73">
        <f t="shared" si="799"/>
        <v>104</v>
      </c>
      <c r="CK82" s="73">
        <f t="shared" si="800"/>
        <v>109</v>
      </c>
      <c r="CL82" s="73">
        <f t="shared" si="801"/>
        <v>145</v>
      </c>
      <c r="CM82" s="73">
        <f t="shared" si="802"/>
        <v>153</v>
      </c>
      <c r="CN82" s="73">
        <f t="shared" si="803"/>
        <v>180</v>
      </c>
      <c r="CO82" s="73">
        <f t="shared" si="804"/>
        <v>201</v>
      </c>
      <c r="CP82" s="73">
        <f t="shared" si="805"/>
        <v>237</v>
      </c>
      <c r="CQ82" s="73">
        <f t="shared" si="806"/>
        <v>316</v>
      </c>
      <c r="CR82" s="73">
        <f t="shared" si="807"/>
        <v>345</v>
      </c>
      <c r="CS82" s="73">
        <f t="shared" si="808"/>
        <v>358</v>
      </c>
      <c r="CT82" s="23">
        <f t="shared" si="809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782"/>
        <v>adrb2_human__wt</v>
      </c>
      <c r="B83" s="3" t="s">
        <v>126</v>
      </c>
      <c r="C83" s="3" t="s">
        <v>100</v>
      </c>
      <c r="D83" s="3" t="str">
        <f>IFERROR(MID(VLOOKUP($B83,Seqs!$A:$B,2,0),E83,1),"")</f>
        <v>Q</v>
      </c>
      <c r="E83" s="3">
        <v>26</v>
      </c>
      <c r="F83" s="3" t="str">
        <f>IFERROR(MID(VLOOKUP($B83,Seqs!$A:$B,2,0),G83,1),"")</f>
        <v>F</v>
      </c>
      <c r="G83" s="3">
        <v>61</v>
      </c>
      <c r="H83" s="3" t="str">
        <f>IFERROR(MID(VLOOKUP($B83,Seqs!$A:$B,2,0),I83,1),"")</f>
        <v>E</v>
      </c>
      <c r="I83" s="23">
        <v>62</v>
      </c>
      <c r="J83" s="3" t="str">
        <f>IFERROR(MID(VLOOKUP($B83,Seqs!$A:$B,2,0),K83,1),"")</f>
        <v>Q</v>
      </c>
      <c r="K83" s="23">
        <v>65</v>
      </c>
      <c r="L83" s="3" t="str">
        <f>IFERROR(MID(VLOOKUP($B83,Seqs!$A:$B,2,0),M83,1),"")</f>
        <v>T</v>
      </c>
      <c r="M83" s="3">
        <v>66</v>
      </c>
      <c r="N83" s="3" t="str">
        <f>IFERROR(MID(VLOOKUP($B83,Seqs!$A:$B,2,0),O83,1),"")</f>
        <v>M</v>
      </c>
      <c r="O83" s="3">
        <v>96</v>
      </c>
      <c r="P83" s="3" t="str">
        <f>IFERROR(MID(VLOOKUP($B83,Seqs!$A:$B,2,0),Q83,1),"")</f>
        <v>M</v>
      </c>
      <c r="Q83" s="3">
        <v>98</v>
      </c>
      <c r="R83" s="3" t="str">
        <f>IFERROR(MID(VLOOKUP($B83,Seqs!$A:$B,2,0),S83,1),"")</f>
        <v>F</v>
      </c>
      <c r="S83" s="3">
        <v>101</v>
      </c>
      <c r="T83" s="3" t="str">
        <f>IFERROR(MID(VLOOKUP($B83,Seqs!$A:$B,2,0),U83,1),"")</f>
        <v>G</v>
      </c>
      <c r="U83" s="3">
        <v>102</v>
      </c>
      <c r="V83" s="3" t="str">
        <f>IFERROR(MID(VLOOKUP($B83,Seqs!$A:$B,2,0),W83,1),"")</f>
        <v>S</v>
      </c>
      <c r="W83" s="3">
        <v>137</v>
      </c>
      <c r="X83" s="3" t="str">
        <f>IFERROR(MID(VLOOKUP($B83,Seqs!$A:$B,2,0),Y83,1),"")</f>
        <v>P</v>
      </c>
      <c r="Y83" s="3">
        <v>138</v>
      </c>
      <c r="Z83" s="3" t="str">
        <f>IFERROR(MID(VLOOKUP($B83,Seqs!$A:$B,2,0),AA83,1),"")</f>
        <v>L</v>
      </c>
      <c r="AA83" s="3">
        <v>145</v>
      </c>
      <c r="AB83" s="3" t="str">
        <f>IFERROR(MID(VLOOKUP($B83,Seqs!$A:$B,2,0),AC83,1),"")</f>
        <v>T</v>
      </c>
      <c r="AC83" s="9">
        <v>146</v>
      </c>
      <c r="AD83" s="3" t="str">
        <f>IFERROR(MID(VLOOKUP($B83,Seqs!$A:$B,2,0),AE83,1),"")</f>
        <v>H</v>
      </c>
      <c r="AE83" s="3">
        <v>172</v>
      </c>
      <c r="AF83" s="3" t="str">
        <f>IFERROR(MID(VLOOKUP($B83,Seqs!$A:$B,2,0),AG83,1),"")</f>
        <v>C</v>
      </c>
      <c r="AG83" s="3">
        <v>191</v>
      </c>
      <c r="AH83" s="3" t="str">
        <f>IFERROR(MID(VLOOKUP($B83,Seqs!$A:$B,2,0),AI83,1),"")</f>
        <v>F</v>
      </c>
      <c r="AI83" s="3">
        <v>193</v>
      </c>
      <c r="AJ83" s="3" t="str">
        <f>IFERROR(MID(VLOOKUP($B83,Seqs!$A:$B,2,0),AK83,1),"")</f>
        <v>N</v>
      </c>
      <c r="AK83" s="3">
        <v>196</v>
      </c>
      <c r="AL83" s="3" t="str">
        <f>IFERROR(MID(VLOOKUP($B83,Seqs!$A:$B,2,0),AM83,1),"")</f>
        <v>E</v>
      </c>
      <c r="AM83" s="3">
        <v>237</v>
      </c>
      <c r="AN83" s="3" t="str">
        <f>IFERROR(MID(VLOOKUP($B83,Seqs!$A:$B,2,0),AO83,1),"")</f>
        <v>S</v>
      </c>
      <c r="AO83" s="3">
        <v>262</v>
      </c>
      <c r="AP83" s="3" t="str">
        <f>IFERROR(MID(VLOOKUP($B83,Seqs!$A:$B,2,0),AQ83,1),"")</f>
        <v>Q</v>
      </c>
      <c r="AQ83" s="3">
        <v>299</v>
      </c>
      <c r="AR83" s="3" t="str">
        <f>IFERROR(MID(VLOOKUP($B83,Seqs!$A:$B,2,0),AS83,1),"")</f>
        <v>R</v>
      </c>
      <c r="AS83" s="3">
        <v>304</v>
      </c>
      <c r="AT83" s="3" t="str">
        <f>IFERROR(MID(VLOOKUP($B83,Seqs!$A:$B,2,0),AU83,1),"")</f>
        <v>R</v>
      </c>
      <c r="AU83" s="3">
        <v>328</v>
      </c>
      <c r="AV83" s="3" t="str">
        <f>IFERROR(MID(VLOOKUP($B83,Seqs!$A:$B,2,0),AW83,1),"")</f>
        <v>S</v>
      </c>
      <c r="AW83" s="3">
        <v>329</v>
      </c>
      <c r="AX83" s="3" t="str">
        <f>IFERROR(MID(VLOOKUP($B83,Seqs!$A:$B,2,0),AY83,1),"")</f>
        <v>C</v>
      </c>
      <c r="AY83" s="3">
        <v>341</v>
      </c>
      <c r="AZ83" s="78" t="str">
        <f>VLOOKUP(B83,Classification!A:D,2,0)</f>
        <v>A</v>
      </c>
      <c r="BA83" s="95" t="str">
        <f>VLOOKUP(B83,Classification!A:D,4,0)</f>
        <v>Adrenoceptors</v>
      </c>
      <c r="BB83" s="27" t="b">
        <f t="shared" si="783"/>
        <v>1</v>
      </c>
      <c r="BC83" s="23">
        <f t="shared" si="784"/>
        <v>267</v>
      </c>
      <c r="BD83" s="56" t="s">
        <v>1379</v>
      </c>
      <c r="BE83" s="3" t="s">
        <v>23</v>
      </c>
      <c r="BF83" s="120" t="s">
        <v>23</v>
      </c>
      <c r="BG83" s="49" t="s">
        <v>1379</v>
      </c>
      <c r="BH83" s="49" t="s">
        <v>1384</v>
      </c>
      <c r="BI83" s="3" t="s">
        <v>1166</v>
      </c>
      <c r="BJ83" s="71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1">
        <f t="shared" si="785"/>
        <v>26</v>
      </c>
      <c r="BW83" s="72">
        <f t="shared" si="786"/>
        <v>62</v>
      </c>
      <c r="BX83" s="73">
        <f t="shared" si="787"/>
        <v>66</v>
      </c>
      <c r="BY83" s="72">
        <f t="shared" si="788"/>
        <v>98</v>
      </c>
      <c r="BZ83" s="73">
        <f t="shared" si="789"/>
        <v>102</v>
      </c>
      <c r="CA83" s="72">
        <f t="shared" si="790"/>
        <v>138</v>
      </c>
      <c r="CB83" s="73">
        <f t="shared" si="791"/>
        <v>146</v>
      </c>
      <c r="CC83" s="72">
        <f t="shared" si="792"/>
        <v>191</v>
      </c>
      <c r="CD83" s="73">
        <f t="shared" si="793"/>
        <v>196</v>
      </c>
      <c r="CE83" s="72">
        <f t="shared" si="794"/>
        <v>262</v>
      </c>
      <c r="CF83" s="73">
        <f t="shared" si="795"/>
        <v>304</v>
      </c>
      <c r="CG83" s="72">
        <f t="shared" si="796"/>
        <v>329</v>
      </c>
      <c r="CH83" s="71">
        <f t="shared" si="797"/>
        <v>61</v>
      </c>
      <c r="CI83" s="72">
        <f t="shared" si="798"/>
        <v>65</v>
      </c>
      <c r="CJ83" s="73">
        <f t="shared" si="799"/>
        <v>96</v>
      </c>
      <c r="CK83" s="73">
        <f t="shared" si="800"/>
        <v>101</v>
      </c>
      <c r="CL83" s="73">
        <f t="shared" si="801"/>
        <v>137</v>
      </c>
      <c r="CM83" s="73">
        <f t="shared" si="802"/>
        <v>145</v>
      </c>
      <c r="CN83" s="73">
        <f t="shared" si="803"/>
        <v>172</v>
      </c>
      <c r="CO83" s="73">
        <f t="shared" si="804"/>
        <v>193</v>
      </c>
      <c r="CP83" s="73">
        <f t="shared" si="805"/>
        <v>237</v>
      </c>
      <c r="CQ83" s="73">
        <f t="shared" si="806"/>
        <v>299</v>
      </c>
      <c r="CR83" s="73">
        <f t="shared" si="807"/>
        <v>328</v>
      </c>
      <c r="CS83" s="73">
        <f t="shared" si="808"/>
        <v>341</v>
      </c>
      <c r="CT83" s="23">
        <f t="shared" si="809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782"/>
        <v>adrb2_human_2RH1</v>
      </c>
      <c r="B84" s="3" t="s">
        <v>126</v>
      </c>
      <c r="C84" s="3" t="s">
        <v>75</v>
      </c>
      <c r="D84" s="3" t="str">
        <f>IFERROR(MID(VLOOKUP($B84,Seqs!$A:$B,2,0),E84,1),"")</f>
        <v>D</v>
      </c>
      <c r="E84" s="3">
        <v>29</v>
      </c>
      <c r="F84" s="3" t="str">
        <f>IFERROR(MID(VLOOKUP($B84,Seqs!$A:$B,2,0),G84,1),"")</f>
        <v>F</v>
      </c>
      <c r="G84" s="3">
        <v>61</v>
      </c>
      <c r="H84" s="3" t="str">
        <f>IFERROR(MID(VLOOKUP($B84,Seqs!$A:$B,2,0),I84,1),"")</f>
        <v>E</v>
      </c>
      <c r="I84" s="23">
        <v>62</v>
      </c>
      <c r="J84" s="3" t="str">
        <f>IFERROR(MID(VLOOKUP($B84,Seqs!$A:$B,2,0),K84,1),"")</f>
        <v>Q</v>
      </c>
      <c r="K84" s="23">
        <v>65</v>
      </c>
      <c r="L84" s="3" t="str">
        <f>IFERROR(MID(VLOOKUP($B84,Seqs!$A:$B,2,0),M84,1),"")</f>
        <v>T</v>
      </c>
      <c r="M84" s="3">
        <v>66</v>
      </c>
      <c r="N84" s="3" t="str">
        <f>IFERROR(MID(VLOOKUP($B84,Seqs!$A:$B,2,0),O84,1),"")</f>
        <v>M</v>
      </c>
      <c r="O84" s="3">
        <v>96</v>
      </c>
      <c r="P84" s="3" t="str">
        <f>IFERROR(MID(VLOOKUP($B84,Seqs!$A:$B,2,0),Q84,1),"")</f>
        <v>M</v>
      </c>
      <c r="Q84" s="3">
        <v>98</v>
      </c>
      <c r="R84" s="3" t="str">
        <f>IFERROR(MID(VLOOKUP($B84,Seqs!$A:$B,2,0),S84,1),"")</f>
        <v>F</v>
      </c>
      <c r="S84" s="3">
        <v>101</v>
      </c>
      <c r="T84" s="3" t="str">
        <f>IFERROR(MID(VLOOKUP($B84,Seqs!$A:$B,2,0),U84,1),"")</f>
        <v>G</v>
      </c>
      <c r="U84" s="3">
        <v>102</v>
      </c>
      <c r="V84" s="3" t="str">
        <f>IFERROR(MID(VLOOKUP($B84,Seqs!$A:$B,2,0),W84,1),"")</f>
        <v>S</v>
      </c>
      <c r="W84" s="3">
        <v>137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T</v>
      </c>
      <c r="AC84" s="9">
        <v>146</v>
      </c>
      <c r="AD84" s="3" t="str">
        <f>IFERROR(MID(VLOOKUP($B84,Seqs!$A:$B,2,0),AE84,1),"")</f>
        <v>H</v>
      </c>
      <c r="AE84" s="3">
        <v>172</v>
      </c>
      <c r="AF84" s="3" t="str">
        <f>IFERROR(MID(VLOOKUP($B84,Seqs!$A:$B,2,0),AG84,1),"")</f>
        <v>C</v>
      </c>
      <c r="AG84" s="3">
        <v>191</v>
      </c>
      <c r="AH84" s="3" t="str">
        <f>IFERROR(MID(VLOOKUP($B84,Seqs!$A:$B,2,0),AI84,1),"")</f>
        <v>F</v>
      </c>
      <c r="AI84" s="3">
        <v>193</v>
      </c>
      <c r="AJ84" s="3" t="str">
        <f>IFERROR(MID(VLOOKUP($B84,Seqs!$A:$B,2,0),AK84,1),"")</f>
        <v>N</v>
      </c>
      <c r="AK84" s="3">
        <v>196</v>
      </c>
      <c r="AL84" s="3" t="str">
        <f>IFERROR(MID(VLOOKUP($B84,Seqs!$A:$B,2,0),AM84,1),"")</f>
        <v>Q</v>
      </c>
      <c r="AM84" s="3">
        <v>229</v>
      </c>
      <c r="AN84" s="3" t="str">
        <f>IFERROR(MID(VLOOKUP($B84,Seqs!$A:$B,2,0),AO84,1),"")</f>
        <v>K</v>
      </c>
      <c r="AO84" s="3">
        <v>267</v>
      </c>
      <c r="AP84" s="3" t="str">
        <f>IFERROR(MID(VLOOKUP($B84,Seqs!$A:$B,2,0),AQ84,1),"")</f>
        <v>Q</v>
      </c>
      <c r="AQ84" s="3">
        <v>299</v>
      </c>
      <c r="AR84" s="3" t="str">
        <f>IFERROR(MID(VLOOKUP($B84,Seqs!$A:$B,2,0),AS84,1),"")</f>
        <v>R</v>
      </c>
      <c r="AS84" s="3">
        <v>304</v>
      </c>
      <c r="AT84" s="3" t="str">
        <f>IFERROR(MID(VLOOKUP($B84,Seqs!$A:$B,2,0),AU84,1),"")</f>
        <v>R</v>
      </c>
      <c r="AU84" s="3">
        <v>328</v>
      </c>
      <c r="AV84" s="3" t="str">
        <f>IFERROR(MID(VLOOKUP($B84,Seqs!$A:$B,2,0),AW84,1),"")</f>
        <v>S</v>
      </c>
      <c r="AW84" s="3">
        <v>329</v>
      </c>
      <c r="AX84" s="3" t="str">
        <f>IFERROR(MID(VLOOKUP($B84,Seqs!$A:$B,2,0),AY84,1),"")</f>
        <v>C</v>
      </c>
      <c r="AY84" s="3">
        <v>341</v>
      </c>
      <c r="AZ84" s="78" t="str">
        <f>VLOOKUP(B84,Classification!A:D,2,0)</f>
        <v>A</v>
      </c>
      <c r="BA84" s="95" t="str">
        <f>VLOOKUP(B84,Classification!A:D,4,0)</f>
        <v>Adrenoceptors</v>
      </c>
      <c r="BB84" s="27" t="b">
        <f t="shared" si="783"/>
        <v>1</v>
      </c>
      <c r="BC84" s="23">
        <f t="shared" si="784"/>
        <v>244</v>
      </c>
      <c r="BD84" s="4" t="s">
        <v>23</v>
      </c>
      <c r="BE84" s="3" t="s">
        <v>1381</v>
      </c>
      <c r="BF84" s="120">
        <v>2.4</v>
      </c>
      <c r="BG84" s="49" t="s">
        <v>1384</v>
      </c>
      <c r="BH84" s="49" t="s">
        <v>1384</v>
      </c>
      <c r="BI84" s="1"/>
      <c r="BJ84" s="71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1">
        <f t="shared" si="785"/>
        <v>29</v>
      </c>
      <c r="BW84" s="72">
        <f t="shared" si="786"/>
        <v>62</v>
      </c>
      <c r="BX84" s="73">
        <f t="shared" si="787"/>
        <v>66</v>
      </c>
      <c r="BY84" s="72">
        <f t="shared" si="788"/>
        <v>98</v>
      </c>
      <c r="BZ84" s="73">
        <f t="shared" si="789"/>
        <v>102</v>
      </c>
      <c r="CA84" s="72" t="str">
        <f t="shared" si="790"/>
        <v>-</v>
      </c>
      <c r="CB84" s="73">
        <f t="shared" si="791"/>
        <v>146</v>
      </c>
      <c r="CC84" s="72">
        <f t="shared" si="792"/>
        <v>191</v>
      </c>
      <c r="CD84" s="73">
        <f t="shared" si="793"/>
        <v>196</v>
      </c>
      <c r="CE84" s="72">
        <f t="shared" si="794"/>
        <v>267</v>
      </c>
      <c r="CF84" s="73">
        <f t="shared" si="795"/>
        <v>304</v>
      </c>
      <c r="CG84" s="72">
        <f t="shared" si="796"/>
        <v>329</v>
      </c>
      <c r="CH84" s="71">
        <f t="shared" si="797"/>
        <v>61</v>
      </c>
      <c r="CI84" s="72">
        <f t="shared" si="798"/>
        <v>65</v>
      </c>
      <c r="CJ84" s="73">
        <f t="shared" si="799"/>
        <v>96</v>
      </c>
      <c r="CK84" s="73">
        <f t="shared" si="800"/>
        <v>101</v>
      </c>
      <c r="CL84" s="73">
        <f t="shared" si="801"/>
        <v>137</v>
      </c>
      <c r="CM84" s="73" t="str">
        <f t="shared" si="802"/>
        <v>-</v>
      </c>
      <c r="CN84" s="73">
        <f t="shared" si="803"/>
        <v>172</v>
      </c>
      <c r="CO84" s="73">
        <f t="shared" si="804"/>
        <v>193</v>
      </c>
      <c r="CP84" s="73">
        <f t="shared" si="805"/>
        <v>229</v>
      </c>
      <c r="CQ84" s="73">
        <f t="shared" si="806"/>
        <v>299</v>
      </c>
      <c r="CR84" s="73">
        <f t="shared" si="807"/>
        <v>328</v>
      </c>
      <c r="CS84" s="73">
        <f t="shared" si="808"/>
        <v>341</v>
      </c>
      <c r="CT84" s="23">
        <f t="shared" si="809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782"/>
        <v>adrb2_human_3D4S</v>
      </c>
      <c r="B85" s="3" t="s">
        <v>126</v>
      </c>
      <c r="C85" s="3" t="s">
        <v>76</v>
      </c>
      <c r="D85" s="3" t="str">
        <f>IFERROR(MID(VLOOKUP($B85,Seqs!$A:$B,2,0),E85,1),"")</f>
        <v>W</v>
      </c>
      <c r="E85" s="3">
        <v>32</v>
      </c>
      <c r="F85" s="3" t="str">
        <f>IFERROR(MID(VLOOKUP($B85,Seqs!$A:$B,2,0),G85,1),"")</f>
        <v>F</v>
      </c>
      <c r="G85" s="3">
        <v>61</v>
      </c>
      <c r="H85" s="3" t="str">
        <f>IFERROR(MID(VLOOKUP($B85,Seqs!$A:$B,2,0),I85,1),"")</f>
        <v>E</v>
      </c>
      <c r="I85" s="23">
        <v>62</v>
      </c>
      <c r="J85" s="3" t="str">
        <f>IFERROR(MID(VLOOKUP($B85,Seqs!$A:$B,2,0),K85,1),"")</f>
        <v>Q</v>
      </c>
      <c r="K85" s="23">
        <v>65</v>
      </c>
      <c r="L85" s="3" t="str">
        <f>IFERROR(MID(VLOOKUP($B85,Seqs!$A:$B,2,0),M85,1),"")</f>
        <v>T</v>
      </c>
      <c r="M85" s="3">
        <v>66</v>
      </c>
      <c r="N85" s="3" t="str">
        <f>IFERROR(MID(VLOOKUP($B85,Seqs!$A:$B,2,0),O85,1),"")</f>
        <v>M</v>
      </c>
      <c r="O85" s="3">
        <v>96</v>
      </c>
      <c r="P85" s="3" t="str">
        <f>IFERROR(MID(VLOOKUP($B85,Seqs!$A:$B,2,0),Q85,1),"")</f>
        <v>M</v>
      </c>
      <c r="Q85" s="3">
        <v>98</v>
      </c>
      <c r="R85" s="3" t="str">
        <f>IFERROR(MID(VLOOKUP($B85,Seqs!$A:$B,2,0),S85,1),"")</f>
        <v>F</v>
      </c>
      <c r="S85" s="3">
        <v>101</v>
      </c>
      <c r="T85" s="3" t="str">
        <f>IFERROR(MID(VLOOKUP($B85,Seqs!$A:$B,2,0),U85,1),"")</f>
        <v>G</v>
      </c>
      <c r="U85" s="3">
        <v>102</v>
      </c>
      <c r="V85" s="3" t="str">
        <f>IFERROR(MID(VLOOKUP($B85,Seqs!$A:$B,2,0),W85,1),"")</f>
        <v>S</v>
      </c>
      <c r="W85" s="3">
        <v>137</v>
      </c>
      <c r="X85" s="3" t="str">
        <f>IFERROR(MID(VLOOKUP($B85,Seqs!$A:$B,2,0),Y85,1),"")</f>
        <v/>
      </c>
      <c r="Y85" s="3" t="s">
        <v>23</v>
      </c>
      <c r="Z85" s="3" t="str">
        <f>IFERROR(MID(VLOOKUP($B85,Seqs!$A:$B,2,0),AA85,1),"")</f>
        <v/>
      </c>
      <c r="AA85" s="3" t="s">
        <v>23</v>
      </c>
      <c r="AB85" s="3" t="str">
        <f>IFERROR(MID(VLOOKUP($B85,Seqs!$A:$B,2,0),AC85,1),"")</f>
        <v>T</v>
      </c>
      <c r="AC85" s="9">
        <v>146</v>
      </c>
      <c r="AD85" s="3" t="str">
        <f>IFERROR(MID(VLOOKUP($B85,Seqs!$A:$B,2,0),AE85,1),"")</f>
        <v>H</v>
      </c>
      <c r="AE85" s="3">
        <v>172</v>
      </c>
      <c r="AF85" s="3" t="str">
        <f>IFERROR(MID(VLOOKUP($B85,Seqs!$A:$B,2,0),AG85,1),"")</f>
        <v>C</v>
      </c>
      <c r="AG85" s="3">
        <v>191</v>
      </c>
      <c r="AH85" s="3" t="str">
        <f>IFERROR(MID(VLOOKUP($B85,Seqs!$A:$B,2,0),AI85,1),"")</f>
        <v>F</v>
      </c>
      <c r="AI85" s="3">
        <v>193</v>
      </c>
      <c r="AJ85" s="3" t="str">
        <f>IFERROR(MID(VLOOKUP($B85,Seqs!$A:$B,2,0),AK85,1),"")</f>
        <v>N</v>
      </c>
      <c r="AK85" s="3">
        <v>196</v>
      </c>
      <c r="AL85" s="3" t="str">
        <f>IFERROR(MID(VLOOKUP($B85,Seqs!$A:$B,2,0),AM85,1),"")</f>
        <v>Q</v>
      </c>
      <c r="AM85" s="3">
        <v>229</v>
      </c>
      <c r="AN85" s="3" t="str">
        <f>IFERROR(MID(VLOOKUP($B85,Seqs!$A:$B,2,0),AO85,1),"")</f>
        <v>K</v>
      </c>
      <c r="AO85" s="3">
        <v>267</v>
      </c>
      <c r="AP85" s="3" t="str">
        <f>IFERROR(MID(VLOOKUP($B85,Seqs!$A:$B,2,0),AQ85,1),"")</f>
        <v>Q</v>
      </c>
      <c r="AQ85" s="3">
        <v>299</v>
      </c>
      <c r="AR85" s="3" t="str">
        <f>IFERROR(MID(VLOOKUP($B85,Seqs!$A:$B,2,0),AS85,1),"")</f>
        <v>R</v>
      </c>
      <c r="AS85" s="3">
        <v>304</v>
      </c>
      <c r="AT85" s="3" t="str">
        <f>IFERROR(MID(VLOOKUP($B85,Seqs!$A:$B,2,0),AU85,1),"")</f>
        <v>R</v>
      </c>
      <c r="AU85" s="3">
        <v>328</v>
      </c>
      <c r="AV85" s="3" t="str">
        <f>IFERROR(MID(VLOOKUP($B85,Seqs!$A:$B,2,0),AW85,1),"")</f>
        <v>S</v>
      </c>
      <c r="AW85" s="3">
        <v>329</v>
      </c>
      <c r="AX85" s="3" t="str">
        <f>IFERROR(MID(VLOOKUP($B85,Seqs!$A:$B,2,0),AY85,1),"")</f>
        <v>C</v>
      </c>
      <c r="AY85" s="3">
        <v>341</v>
      </c>
      <c r="AZ85" s="78" t="str">
        <f>VLOOKUP(B85,Classification!A:D,2,0)</f>
        <v>A</v>
      </c>
      <c r="BA85" s="95" t="str">
        <f>VLOOKUP(B85,Classification!A:D,4,0)</f>
        <v>Adrenoceptors</v>
      </c>
      <c r="BB85" s="27" t="b">
        <f t="shared" si="783"/>
        <v>1</v>
      </c>
      <c r="BC85" s="23">
        <f t="shared" si="784"/>
        <v>241</v>
      </c>
      <c r="BD85" s="4" t="s">
        <v>23</v>
      </c>
      <c r="BE85" s="3" t="s">
        <v>1381</v>
      </c>
      <c r="BF85" s="120">
        <v>2.8</v>
      </c>
      <c r="BG85" s="49" t="s">
        <v>1384</v>
      </c>
      <c r="BH85" s="49" t="s">
        <v>1384</v>
      </c>
      <c r="BI85" s="1"/>
      <c r="BJ85" s="71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1">
        <f t="shared" si="785"/>
        <v>32</v>
      </c>
      <c r="BW85" s="72">
        <f t="shared" si="786"/>
        <v>62</v>
      </c>
      <c r="BX85" s="73">
        <f t="shared" si="787"/>
        <v>66</v>
      </c>
      <c r="BY85" s="72">
        <f t="shared" si="788"/>
        <v>98</v>
      </c>
      <c r="BZ85" s="73">
        <f t="shared" si="789"/>
        <v>102</v>
      </c>
      <c r="CA85" s="72" t="str">
        <f t="shared" si="790"/>
        <v>-</v>
      </c>
      <c r="CB85" s="73">
        <f t="shared" si="791"/>
        <v>146</v>
      </c>
      <c r="CC85" s="72">
        <f t="shared" si="792"/>
        <v>191</v>
      </c>
      <c r="CD85" s="73">
        <f t="shared" si="793"/>
        <v>196</v>
      </c>
      <c r="CE85" s="72">
        <f t="shared" si="794"/>
        <v>267</v>
      </c>
      <c r="CF85" s="73">
        <f t="shared" si="795"/>
        <v>304</v>
      </c>
      <c r="CG85" s="72">
        <f t="shared" si="796"/>
        <v>329</v>
      </c>
      <c r="CH85" s="71">
        <f t="shared" si="797"/>
        <v>61</v>
      </c>
      <c r="CI85" s="72">
        <f t="shared" si="798"/>
        <v>65</v>
      </c>
      <c r="CJ85" s="73">
        <f t="shared" si="799"/>
        <v>96</v>
      </c>
      <c r="CK85" s="73">
        <f t="shared" si="800"/>
        <v>101</v>
      </c>
      <c r="CL85" s="73">
        <f t="shared" si="801"/>
        <v>137</v>
      </c>
      <c r="CM85" s="73" t="str">
        <f t="shared" si="802"/>
        <v>-</v>
      </c>
      <c r="CN85" s="73">
        <f t="shared" si="803"/>
        <v>172</v>
      </c>
      <c r="CO85" s="73">
        <f t="shared" si="804"/>
        <v>193</v>
      </c>
      <c r="CP85" s="73">
        <f t="shared" si="805"/>
        <v>229</v>
      </c>
      <c r="CQ85" s="73">
        <f t="shared" si="806"/>
        <v>299</v>
      </c>
      <c r="CR85" s="73">
        <f t="shared" si="807"/>
        <v>328</v>
      </c>
      <c r="CS85" s="73">
        <f t="shared" si="808"/>
        <v>341</v>
      </c>
      <c r="CT85" s="23">
        <f t="shared" si="809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782"/>
        <v>adrb2_human_3NY8</v>
      </c>
      <c r="B86" s="3" t="s">
        <v>126</v>
      </c>
      <c r="C86" s="3" t="s">
        <v>1339</v>
      </c>
      <c r="D86" s="3" t="str">
        <f>IFERROR(MID(VLOOKUP($B86,Seqs!$A:$B,2,0),E86,1),"")</f>
        <v>W</v>
      </c>
      <c r="E86" s="3">
        <v>32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/>
      </c>
      <c r="Y86" s="3" t="s">
        <v>23</v>
      </c>
      <c r="Z86" s="3" t="str">
        <f>IFERROR(MID(VLOOKUP($B86,Seqs!$A:$B,2,0),AA86,1),"")</f>
        <v/>
      </c>
      <c r="AA86" s="3" t="s">
        <v>23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Q</v>
      </c>
      <c r="AM86" s="3">
        <v>229</v>
      </c>
      <c r="AN86" s="3" t="str">
        <f>IFERROR(MID(VLOOKUP($B86,Seqs!$A:$B,2,0),AO86,1),"")</f>
        <v>K</v>
      </c>
      <c r="AO86" s="3">
        <v>267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8" t="str">
        <f>VLOOKUP(B86,Classification!A:D,2,0)</f>
        <v>A</v>
      </c>
      <c r="BA86" s="95" t="str">
        <f>VLOOKUP(B86,Classification!A:D,4,0)</f>
        <v>Adrenoceptors</v>
      </c>
      <c r="BB86" s="27" t="b">
        <f t="shared" si="783"/>
        <v>1</v>
      </c>
      <c r="BC86" s="23">
        <f t="shared" si="784"/>
        <v>241</v>
      </c>
      <c r="BD86" s="4" t="s">
        <v>23</v>
      </c>
      <c r="BE86" s="3" t="s">
        <v>1381</v>
      </c>
      <c r="BF86" s="120">
        <v>2.84</v>
      </c>
      <c r="BG86" s="49" t="s">
        <v>1384</v>
      </c>
      <c r="BH86" s="49" t="s">
        <v>1384</v>
      </c>
      <c r="BI86" s="1"/>
      <c r="BJ86" s="71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1">
        <f t="shared" si="785"/>
        <v>32</v>
      </c>
      <c r="BW86" s="72">
        <f t="shared" si="786"/>
        <v>62</v>
      </c>
      <c r="BX86" s="73">
        <f t="shared" si="787"/>
        <v>66</v>
      </c>
      <c r="BY86" s="72">
        <f t="shared" si="788"/>
        <v>98</v>
      </c>
      <c r="BZ86" s="73">
        <f t="shared" si="789"/>
        <v>102</v>
      </c>
      <c r="CA86" s="72" t="str">
        <f t="shared" si="790"/>
        <v>-</v>
      </c>
      <c r="CB86" s="73">
        <f t="shared" si="791"/>
        <v>146</v>
      </c>
      <c r="CC86" s="72">
        <f t="shared" si="792"/>
        <v>191</v>
      </c>
      <c r="CD86" s="73">
        <f t="shared" si="793"/>
        <v>196</v>
      </c>
      <c r="CE86" s="72">
        <f t="shared" si="794"/>
        <v>267</v>
      </c>
      <c r="CF86" s="73">
        <f t="shared" si="795"/>
        <v>304</v>
      </c>
      <c r="CG86" s="72">
        <f t="shared" si="796"/>
        <v>329</v>
      </c>
      <c r="CH86" s="71">
        <f t="shared" si="797"/>
        <v>61</v>
      </c>
      <c r="CI86" s="72">
        <f t="shared" si="798"/>
        <v>65</v>
      </c>
      <c r="CJ86" s="73">
        <f t="shared" si="799"/>
        <v>96</v>
      </c>
      <c r="CK86" s="73">
        <f t="shared" si="800"/>
        <v>101</v>
      </c>
      <c r="CL86" s="73">
        <f t="shared" si="801"/>
        <v>137</v>
      </c>
      <c r="CM86" s="73" t="str">
        <f t="shared" si="802"/>
        <v>-</v>
      </c>
      <c r="CN86" s="73">
        <f t="shared" si="803"/>
        <v>172</v>
      </c>
      <c r="CO86" s="73">
        <f t="shared" si="804"/>
        <v>193</v>
      </c>
      <c r="CP86" s="73">
        <f t="shared" si="805"/>
        <v>229</v>
      </c>
      <c r="CQ86" s="73">
        <f t="shared" si="806"/>
        <v>299</v>
      </c>
      <c r="CR86" s="73">
        <f t="shared" si="807"/>
        <v>328</v>
      </c>
      <c r="CS86" s="73">
        <f t="shared" si="808"/>
        <v>341</v>
      </c>
      <c r="CT86" s="23">
        <f t="shared" si="809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782"/>
        <v>adrb2_human_3NY9</v>
      </c>
      <c r="B87" s="3" t="s">
        <v>126</v>
      </c>
      <c r="C87" s="3" t="s">
        <v>1030</v>
      </c>
      <c r="D87" s="3" t="str">
        <f>IFERROR(MID(VLOOKUP($B87,Seqs!$A:$B,2,0),E87,1),"")</f>
        <v>W</v>
      </c>
      <c r="E87" s="3">
        <v>32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8" t="str">
        <f>VLOOKUP(B87,Classification!A:D,2,0)</f>
        <v>A</v>
      </c>
      <c r="BA87" s="95" t="str">
        <f>VLOOKUP(B87,Classification!A:D,4,0)</f>
        <v>Adrenoceptors</v>
      </c>
      <c r="BB87" s="27" t="b">
        <f t="shared" si="783"/>
        <v>1</v>
      </c>
      <c r="BC87" s="23">
        <f t="shared" si="784"/>
        <v>241</v>
      </c>
      <c r="BD87" s="4" t="s">
        <v>23</v>
      </c>
      <c r="BE87" s="3" t="s">
        <v>1381</v>
      </c>
      <c r="BF87" s="120">
        <v>2.84</v>
      </c>
      <c r="BG87" s="49" t="s">
        <v>1384</v>
      </c>
      <c r="BH87" s="49" t="s">
        <v>1384</v>
      </c>
      <c r="BI87" s="1"/>
      <c r="BJ87" s="71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1">
        <f t="shared" si="785"/>
        <v>32</v>
      </c>
      <c r="BW87" s="72">
        <f t="shared" si="786"/>
        <v>62</v>
      </c>
      <c r="BX87" s="73">
        <f t="shared" si="787"/>
        <v>66</v>
      </c>
      <c r="BY87" s="72">
        <f t="shared" si="788"/>
        <v>98</v>
      </c>
      <c r="BZ87" s="73">
        <f t="shared" si="789"/>
        <v>102</v>
      </c>
      <c r="CA87" s="72" t="str">
        <f t="shared" si="790"/>
        <v>-</v>
      </c>
      <c r="CB87" s="73">
        <f t="shared" si="791"/>
        <v>146</v>
      </c>
      <c r="CC87" s="72">
        <f t="shared" si="792"/>
        <v>191</v>
      </c>
      <c r="CD87" s="73">
        <f t="shared" si="793"/>
        <v>196</v>
      </c>
      <c r="CE87" s="72">
        <f t="shared" si="794"/>
        <v>267</v>
      </c>
      <c r="CF87" s="73">
        <f t="shared" si="795"/>
        <v>304</v>
      </c>
      <c r="CG87" s="72">
        <f t="shared" si="796"/>
        <v>329</v>
      </c>
      <c r="CH87" s="71">
        <f t="shared" si="797"/>
        <v>61</v>
      </c>
      <c r="CI87" s="72">
        <f t="shared" si="798"/>
        <v>65</v>
      </c>
      <c r="CJ87" s="73">
        <f t="shared" si="799"/>
        <v>96</v>
      </c>
      <c r="CK87" s="73">
        <f t="shared" si="800"/>
        <v>101</v>
      </c>
      <c r="CL87" s="73">
        <f t="shared" si="801"/>
        <v>137</v>
      </c>
      <c r="CM87" s="73" t="str">
        <f t="shared" si="802"/>
        <v>-</v>
      </c>
      <c r="CN87" s="73">
        <f t="shared" si="803"/>
        <v>172</v>
      </c>
      <c r="CO87" s="73">
        <f t="shared" si="804"/>
        <v>193</v>
      </c>
      <c r="CP87" s="73">
        <f t="shared" si="805"/>
        <v>229</v>
      </c>
      <c r="CQ87" s="73">
        <f t="shared" si="806"/>
        <v>299</v>
      </c>
      <c r="CR87" s="73">
        <f t="shared" si="807"/>
        <v>328</v>
      </c>
      <c r="CS87" s="73">
        <f t="shared" si="808"/>
        <v>341</v>
      </c>
      <c r="CT87" s="23">
        <f t="shared" si="809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782"/>
        <v>adrb2_human_3NYA</v>
      </c>
      <c r="B88" s="3" t="s">
        <v>126</v>
      </c>
      <c r="C88" s="3" t="s">
        <v>1340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8" t="str">
        <f>VLOOKUP(B88,Classification!A:D,2,0)</f>
        <v>A</v>
      </c>
      <c r="BA88" s="95" t="str">
        <f>VLOOKUP(B88,Classification!A:D,4,0)</f>
        <v>Adrenoceptors</v>
      </c>
      <c r="BB88" s="27" t="b">
        <f t="shared" si="783"/>
        <v>1</v>
      </c>
      <c r="BC88" s="23">
        <f t="shared" si="784"/>
        <v>241</v>
      </c>
      <c r="BD88" s="4" t="s">
        <v>23</v>
      </c>
      <c r="BE88" s="3" t="s">
        <v>1381</v>
      </c>
      <c r="BF88" s="120">
        <v>3.16</v>
      </c>
      <c r="BG88" s="49" t="s">
        <v>1384</v>
      </c>
      <c r="BH88" s="49" t="s">
        <v>1384</v>
      </c>
      <c r="BI88" s="1"/>
      <c r="BJ88" s="71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1">
        <f t="shared" si="785"/>
        <v>32</v>
      </c>
      <c r="BW88" s="72">
        <f t="shared" si="786"/>
        <v>62</v>
      </c>
      <c r="BX88" s="73">
        <f t="shared" si="787"/>
        <v>66</v>
      </c>
      <c r="BY88" s="72">
        <f t="shared" si="788"/>
        <v>98</v>
      </c>
      <c r="BZ88" s="73">
        <f t="shared" si="789"/>
        <v>102</v>
      </c>
      <c r="CA88" s="72" t="str">
        <f t="shared" si="790"/>
        <v>-</v>
      </c>
      <c r="CB88" s="73">
        <f t="shared" si="791"/>
        <v>146</v>
      </c>
      <c r="CC88" s="72">
        <f t="shared" si="792"/>
        <v>191</v>
      </c>
      <c r="CD88" s="73">
        <f t="shared" si="793"/>
        <v>196</v>
      </c>
      <c r="CE88" s="72">
        <f t="shared" si="794"/>
        <v>267</v>
      </c>
      <c r="CF88" s="73">
        <f t="shared" si="795"/>
        <v>304</v>
      </c>
      <c r="CG88" s="72">
        <f t="shared" si="796"/>
        <v>329</v>
      </c>
      <c r="CH88" s="71">
        <f t="shared" si="797"/>
        <v>61</v>
      </c>
      <c r="CI88" s="72">
        <f t="shared" si="798"/>
        <v>65</v>
      </c>
      <c r="CJ88" s="73">
        <f t="shared" si="799"/>
        <v>96</v>
      </c>
      <c r="CK88" s="73">
        <f t="shared" si="800"/>
        <v>101</v>
      </c>
      <c r="CL88" s="73">
        <f t="shared" si="801"/>
        <v>137</v>
      </c>
      <c r="CM88" s="73" t="str">
        <f t="shared" si="802"/>
        <v>-</v>
      </c>
      <c r="CN88" s="73">
        <f t="shared" si="803"/>
        <v>172</v>
      </c>
      <c r="CO88" s="73">
        <f t="shared" si="804"/>
        <v>193</v>
      </c>
      <c r="CP88" s="73">
        <f t="shared" si="805"/>
        <v>229</v>
      </c>
      <c r="CQ88" s="73">
        <f t="shared" si="806"/>
        <v>299</v>
      </c>
      <c r="CR88" s="73">
        <f t="shared" si="807"/>
        <v>328</v>
      </c>
      <c r="CS88" s="73">
        <f t="shared" si="808"/>
        <v>341</v>
      </c>
      <c r="CT88" s="23">
        <f t="shared" si="809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782"/>
        <v>adrb2_human_3P0G</v>
      </c>
      <c r="B89" s="3" t="s">
        <v>126</v>
      </c>
      <c r="C89" s="3" t="s">
        <v>66</v>
      </c>
      <c r="D89" s="3" t="str">
        <f>IFERROR(MID(VLOOKUP($B89,Seqs!$A:$B,2,0),E89,1),"")</f>
        <v>Q</v>
      </c>
      <c r="E89" s="3">
        <v>26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>P</v>
      </c>
      <c r="Y89" s="3">
        <v>138</v>
      </c>
      <c r="Z89" s="3" t="str">
        <f>IFERROR(MID(VLOOKUP($B89,Seqs!$A:$B,2,0),AA89,1),"")</f>
        <v>L</v>
      </c>
      <c r="AA89" s="3">
        <v>145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A</v>
      </c>
      <c r="AM89" s="3">
        <v>226</v>
      </c>
      <c r="AN89" s="3" t="str">
        <f>IFERROR(MID(VLOOKUP($B89,Seqs!$A:$B,2,0),AO89,1),"")</f>
        <v>H</v>
      </c>
      <c r="AO89" s="3">
        <v>269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8" t="str">
        <f>VLOOKUP(B89,Classification!A:D,2,0)</f>
        <v>A</v>
      </c>
      <c r="BA89" s="95" t="str">
        <f>VLOOKUP(B89,Classification!A:D,4,0)</f>
        <v>Adrenoceptors</v>
      </c>
      <c r="BB89" s="27" t="b">
        <f t="shared" si="783"/>
        <v>1</v>
      </c>
      <c r="BC89" s="23">
        <f t="shared" si="784"/>
        <v>249</v>
      </c>
      <c r="BD89" s="16" t="s">
        <v>23</v>
      </c>
      <c r="BE89" s="3" t="s">
        <v>1297</v>
      </c>
      <c r="BF89" s="120">
        <v>3.5</v>
      </c>
      <c r="BG89" s="49" t="s">
        <v>1384</v>
      </c>
      <c r="BH89" s="49" t="s">
        <v>1384</v>
      </c>
      <c r="BI89" s="1"/>
      <c r="BJ89" s="71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1">
        <f t="shared" si="785"/>
        <v>26</v>
      </c>
      <c r="BW89" s="72">
        <f t="shared" si="786"/>
        <v>62</v>
      </c>
      <c r="BX89" s="73">
        <f t="shared" si="787"/>
        <v>66</v>
      </c>
      <c r="BY89" s="72">
        <f t="shared" si="788"/>
        <v>98</v>
      </c>
      <c r="BZ89" s="73">
        <f t="shared" si="789"/>
        <v>102</v>
      </c>
      <c r="CA89" s="72">
        <f t="shared" si="790"/>
        <v>138</v>
      </c>
      <c r="CB89" s="73">
        <f t="shared" si="791"/>
        <v>146</v>
      </c>
      <c r="CC89" s="72">
        <f t="shared" si="792"/>
        <v>191</v>
      </c>
      <c r="CD89" s="73">
        <f t="shared" si="793"/>
        <v>196</v>
      </c>
      <c r="CE89" s="72">
        <f t="shared" si="794"/>
        <v>269</v>
      </c>
      <c r="CF89" s="73">
        <f t="shared" si="795"/>
        <v>304</v>
      </c>
      <c r="CG89" s="72">
        <f t="shared" si="796"/>
        <v>329</v>
      </c>
      <c r="CH89" s="71">
        <f t="shared" si="797"/>
        <v>61</v>
      </c>
      <c r="CI89" s="72">
        <f t="shared" si="798"/>
        <v>65</v>
      </c>
      <c r="CJ89" s="73">
        <f t="shared" si="799"/>
        <v>96</v>
      </c>
      <c r="CK89" s="73">
        <f t="shared" si="800"/>
        <v>101</v>
      </c>
      <c r="CL89" s="73">
        <f t="shared" si="801"/>
        <v>137</v>
      </c>
      <c r="CM89" s="73">
        <f t="shared" si="802"/>
        <v>145</v>
      </c>
      <c r="CN89" s="73">
        <f t="shared" si="803"/>
        <v>172</v>
      </c>
      <c r="CO89" s="73">
        <f t="shared" si="804"/>
        <v>193</v>
      </c>
      <c r="CP89" s="73">
        <f t="shared" si="805"/>
        <v>226</v>
      </c>
      <c r="CQ89" s="73">
        <f t="shared" si="806"/>
        <v>299</v>
      </c>
      <c r="CR89" s="73">
        <f t="shared" si="807"/>
        <v>328</v>
      </c>
      <c r="CS89" s="73">
        <f t="shared" si="808"/>
        <v>341</v>
      </c>
      <c r="CT89" s="23">
        <f t="shared" si="809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782"/>
        <v>adrb2_human_3PDS</v>
      </c>
      <c r="B90" s="3" t="s">
        <v>126</v>
      </c>
      <c r="C90" s="3" t="s">
        <v>1341</v>
      </c>
      <c r="D90" s="3" t="str">
        <f>IFERROR(MID(VLOOKUP($B90,Seqs!$A:$B,2,0),E90,1),"")</f>
        <v>D</v>
      </c>
      <c r="E90" s="3">
        <v>29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L</v>
      </c>
      <c r="AO90" s="3">
        <v>266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8" t="str">
        <f>VLOOKUP(B90,Classification!A:D,2,0)</f>
        <v>A</v>
      </c>
      <c r="BA90" s="95" t="str">
        <f>VLOOKUP(B90,Classification!A:D,4,0)</f>
        <v>Adrenoceptors</v>
      </c>
      <c r="BB90" s="27" t="b">
        <f t="shared" si="783"/>
        <v>1</v>
      </c>
      <c r="BC90" s="23">
        <f t="shared" si="784"/>
        <v>245</v>
      </c>
      <c r="BD90" s="5" t="s">
        <v>23</v>
      </c>
      <c r="BE90" s="3" t="s">
        <v>1381</v>
      </c>
      <c r="BF90" s="120">
        <v>3.5</v>
      </c>
      <c r="BG90" s="49" t="s">
        <v>1384</v>
      </c>
      <c r="BH90" s="49" t="s">
        <v>1384</v>
      </c>
      <c r="BI90" s="1"/>
      <c r="BJ90" s="71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1">
        <f t="shared" si="785"/>
        <v>29</v>
      </c>
      <c r="BW90" s="72">
        <f t="shared" si="786"/>
        <v>62</v>
      </c>
      <c r="BX90" s="73">
        <f t="shared" si="787"/>
        <v>66</v>
      </c>
      <c r="BY90" s="72">
        <f t="shared" si="788"/>
        <v>98</v>
      </c>
      <c r="BZ90" s="73">
        <f t="shared" si="789"/>
        <v>102</v>
      </c>
      <c r="CA90" s="72" t="str">
        <f t="shared" si="790"/>
        <v>-</v>
      </c>
      <c r="CB90" s="73">
        <f t="shared" si="791"/>
        <v>146</v>
      </c>
      <c r="CC90" s="72">
        <f t="shared" si="792"/>
        <v>191</v>
      </c>
      <c r="CD90" s="73">
        <f t="shared" si="793"/>
        <v>196</v>
      </c>
      <c r="CE90" s="72">
        <f t="shared" si="794"/>
        <v>266</v>
      </c>
      <c r="CF90" s="73">
        <f t="shared" si="795"/>
        <v>304</v>
      </c>
      <c r="CG90" s="72">
        <f t="shared" si="796"/>
        <v>329</v>
      </c>
      <c r="CH90" s="71">
        <f t="shared" si="797"/>
        <v>61</v>
      </c>
      <c r="CI90" s="72">
        <f t="shared" si="798"/>
        <v>65</v>
      </c>
      <c r="CJ90" s="73">
        <f t="shared" si="799"/>
        <v>96</v>
      </c>
      <c r="CK90" s="73">
        <f t="shared" si="800"/>
        <v>101</v>
      </c>
      <c r="CL90" s="73">
        <f t="shared" si="801"/>
        <v>137</v>
      </c>
      <c r="CM90" s="73" t="str">
        <f t="shared" si="802"/>
        <v>-</v>
      </c>
      <c r="CN90" s="73">
        <f t="shared" si="803"/>
        <v>172</v>
      </c>
      <c r="CO90" s="73">
        <f t="shared" si="804"/>
        <v>193</v>
      </c>
      <c r="CP90" s="73">
        <f t="shared" si="805"/>
        <v>229</v>
      </c>
      <c r="CQ90" s="73">
        <f t="shared" si="806"/>
        <v>299</v>
      </c>
      <c r="CR90" s="73">
        <f t="shared" si="807"/>
        <v>328</v>
      </c>
      <c r="CS90" s="73">
        <f t="shared" si="808"/>
        <v>341</v>
      </c>
      <c r="CT90" s="23">
        <f t="shared" si="809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ht="17" customHeight="1" x14ac:dyDescent="0.2">
      <c r="A91" s="3" t="str">
        <f t="shared" si="782"/>
        <v>adrb2_human_3SN6</v>
      </c>
      <c r="B91" s="3" t="s">
        <v>126</v>
      </c>
      <c r="C91" s="3" t="s">
        <v>85</v>
      </c>
      <c r="D91" s="3" t="str">
        <f>IFERROR(MID(VLOOKUP($B91,Seqs!$A:$B,2,0),E91,1),"")</f>
        <v>D</v>
      </c>
      <c r="E91" s="3">
        <v>29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>P</v>
      </c>
      <c r="Y91" s="3">
        <v>138</v>
      </c>
      <c r="Z91" s="3" t="str">
        <f>IFERROR(MID(VLOOKUP($B91,Seqs!$A:$B,2,0),AA91,1),"")</f>
        <v>L</v>
      </c>
      <c r="AA91" s="3">
        <v>145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E</v>
      </c>
      <c r="AM91" s="3">
        <v>237</v>
      </c>
      <c r="AN91" s="3" t="str">
        <f>IFERROR(MID(VLOOKUP($B91,Seqs!$A:$B,2,0),AO91,1),"")</f>
        <v>C</v>
      </c>
      <c r="AO91" s="3">
        <v>265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8" t="str">
        <f>VLOOKUP(B91,Classification!A:D,2,0)</f>
        <v>A</v>
      </c>
      <c r="BA91" s="95" t="str">
        <f>VLOOKUP(B91,Classification!A:D,4,0)</f>
        <v>Adrenoceptors</v>
      </c>
      <c r="BB91" s="27" t="b">
        <f t="shared" si="783"/>
        <v>1</v>
      </c>
      <c r="BC91" s="23">
        <f t="shared" si="784"/>
        <v>261</v>
      </c>
      <c r="BD91" s="4" t="s">
        <v>1382</v>
      </c>
      <c r="BE91" s="3" t="s">
        <v>1297</v>
      </c>
      <c r="BF91" s="120">
        <v>3.2</v>
      </c>
      <c r="BG91" s="49" t="s">
        <v>1384</v>
      </c>
      <c r="BH91" s="49" t="s">
        <v>1384</v>
      </c>
      <c r="BI91" s="1"/>
      <c r="BJ91" s="71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1">
        <f t="shared" si="785"/>
        <v>29</v>
      </c>
      <c r="BW91" s="72">
        <f t="shared" si="786"/>
        <v>62</v>
      </c>
      <c r="BX91" s="73">
        <f t="shared" si="787"/>
        <v>66</v>
      </c>
      <c r="BY91" s="72">
        <f t="shared" si="788"/>
        <v>98</v>
      </c>
      <c r="BZ91" s="73">
        <f t="shared" si="789"/>
        <v>102</v>
      </c>
      <c r="CA91" s="72">
        <f t="shared" si="790"/>
        <v>138</v>
      </c>
      <c r="CB91" s="73">
        <f t="shared" si="791"/>
        <v>146</v>
      </c>
      <c r="CC91" s="72">
        <f t="shared" si="792"/>
        <v>191</v>
      </c>
      <c r="CD91" s="73">
        <f t="shared" si="793"/>
        <v>196</v>
      </c>
      <c r="CE91" s="72">
        <f t="shared" si="794"/>
        <v>265</v>
      </c>
      <c r="CF91" s="73">
        <f t="shared" si="795"/>
        <v>304</v>
      </c>
      <c r="CG91" s="72">
        <f t="shared" si="796"/>
        <v>329</v>
      </c>
      <c r="CH91" s="71">
        <f t="shared" si="797"/>
        <v>61</v>
      </c>
      <c r="CI91" s="72">
        <f t="shared" si="798"/>
        <v>65</v>
      </c>
      <c r="CJ91" s="73">
        <f t="shared" si="799"/>
        <v>96</v>
      </c>
      <c r="CK91" s="73">
        <f t="shared" si="800"/>
        <v>101</v>
      </c>
      <c r="CL91" s="73">
        <f t="shared" si="801"/>
        <v>137</v>
      </c>
      <c r="CM91" s="73">
        <f t="shared" si="802"/>
        <v>145</v>
      </c>
      <c r="CN91" s="73">
        <f t="shared" si="803"/>
        <v>172</v>
      </c>
      <c r="CO91" s="73">
        <f t="shared" si="804"/>
        <v>193</v>
      </c>
      <c r="CP91" s="73">
        <f t="shared" si="805"/>
        <v>237</v>
      </c>
      <c r="CQ91" s="73">
        <f t="shared" si="806"/>
        <v>299</v>
      </c>
      <c r="CR91" s="73">
        <f t="shared" si="807"/>
        <v>328</v>
      </c>
      <c r="CS91" s="73">
        <f t="shared" si="808"/>
        <v>341</v>
      </c>
      <c r="CT91" s="23">
        <f t="shared" si="809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ref="A92:A145" si="810">CONCATENATE(B92,"_",C92)</f>
        <v>adrb2_human_4LDE</v>
      </c>
      <c r="B92" s="3" t="s">
        <v>126</v>
      </c>
      <c r="C92" s="3" t="s">
        <v>77</v>
      </c>
      <c r="D92" s="3" t="str">
        <f>IFERROR(MID(VLOOKUP($B92,Seqs!$A:$B,2,0),E92,1),"")</f>
        <v>D</v>
      </c>
      <c r="E92" s="3">
        <v>29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E</v>
      </c>
      <c r="AM92" s="3">
        <v>225</v>
      </c>
      <c r="AN92" s="3" t="str">
        <f>IFERROR(MID(VLOOKUP($B92,Seqs!$A:$B,2,0),AO92,1),"")</f>
        <v>L</v>
      </c>
      <c r="AO92" s="3">
        <v>266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8" t="str">
        <f>VLOOKUP(B92,Classification!A:D,2,0)</f>
        <v>A</v>
      </c>
      <c r="BA92" s="95" t="str">
        <f>VLOOKUP(B92,Classification!A:D,4,0)</f>
        <v>Adrenoceptors</v>
      </c>
      <c r="BB92" s="27" t="b">
        <f t="shared" ref="BB92:BB145" si="811">AND(E92&lt;G92,OR(G92&lt;I92,I92="-"),OR(I92&lt;K92,I92="-"),OR(K92&lt;M92,K92="-"),M92&lt;O92,OR(O92&lt;Q92,Q92="-"),OR(Q92&lt;S92,Q92="-"),OR(S92&lt;U92,S92="-"),U92&lt;W92,OR(W92&lt;Y92,Y92="-"),OR(Y92&lt;AA92,Y92="-"),OR(AA92&lt;AC92,AA92="-"),AC92&lt;AE92,OR(AE92&lt;AG92,AG92="-"),OR(AG92&lt;AI92,AG92="-"),OR(AI92&lt;AK92,AI92="-"),AK92&lt;AM92,AM92&lt;AO92,AO92&lt;AQ92,AQ92&lt;AS92,AS92&lt;AU92,OR(AU92&lt;AW92,AW92="-"),OR(AW92&lt;AY92,AW92="-"))</f>
        <v>1</v>
      </c>
      <c r="BC92" s="23">
        <f t="shared" si="784"/>
        <v>248</v>
      </c>
      <c r="BD92" s="4" t="s">
        <v>23</v>
      </c>
      <c r="BE92" s="3" t="s">
        <v>1297</v>
      </c>
      <c r="BF92" s="120">
        <v>2.79</v>
      </c>
      <c r="BG92" s="49" t="s">
        <v>1384</v>
      </c>
      <c r="BH92" s="49" t="s">
        <v>1384</v>
      </c>
      <c r="BI92" s="1"/>
      <c r="BJ92" s="71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1">
        <f t="shared" si="785"/>
        <v>29</v>
      </c>
      <c r="BW92" s="72">
        <f t="shared" si="786"/>
        <v>62</v>
      </c>
      <c r="BX92" s="73">
        <f t="shared" si="787"/>
        <v>66</v>
      </c>
      <c r="BY92" s="72">
        <f t="shared" si="788"/>
        <v>98</v>
      </c>
      <c r="BZ92" s="73">
        <f t="shared" si="789"/>
        <v>102</v>
      </c>
      <c r="CA92" s="72">
        <f t="shared" si="790"/>
        <v>138</v>
      </c>
      <c r="CB92" s="73">
        <f t="shared" si="791"/>
        <v>146</v>
      </c>
      <c r="CC92" s="72">
        <f t="shared" si="792"/>
        <v>191</v>
      </c>
      <c r="CD92" s="73">
        <f t="shared" si="793"/>
        <v>196</v>
      </c>
      <c r="CE92" s="72">
        <f t="shared" si="794"/>
        <v>266</v>
      </c>
      <c r="CF92" s="73">
        <f t="shared" si="795"/>
        <v>304</v>
      </c>
      <c r="CG92" s="72">
        <f t="shared" si="796"/>
        <v>329</v>
      </c>
      <c r="CH92" s="71">
        <f t="shared" si="797"/>
        <v>61</v>
      </c>
      <c r="CI92" s="72">
        <f t="shared" si="798"/>
        <v>65</v>
      </c>
      <c r="CJ92" s="73">
        <f t="shared" si="799"/>
        <v>96</v>
      </c>
      <c r="CK92" s="73">
        <f t="shared" si="800"/>
        <v>101</v>
      </c>
      <c r="CL92" s="73">
        <f t="shared" si="801"/>
        <v>137</v>
      </c>
      <c r="CM92" s="73">
        <f t="shared" si="802"/>
        <v>145</v>
      </c>
      <c r="CN92" s="73">
        <f t="shared" si="803"/>
        <v>172</v>
      </c>
      <c r="CO92" s="73">
        <f t="shared" si="804"/>
        <v>193</v>
      </c>
      <c r="CP92" s="73">
        <f t="shared" si="805"/>
        <v>225</v>
      </c>
      <c r="CQ92" s="73">
        <f t="shared" si="806"/>
        <v>299</v>
      </c>
      <c r="CR92" s="73">
        <f t="shared" si="807"/>
        <v>328</v>
      </c>
      <c r="CS92" s="73">
        <f t="shared" si="808"/>
        <v>341</v>
      </c>
      <c r="CT92" s="23">
        <f t="shared" si="809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810"/>
        <v>adrb2_human_4LDL</v>
      </c>
      <c r="B93" s="3" t="s">
        <v>126</v>
      </c>
      <c r="C93" s="3" t="s">
        <v>1045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>P</v>
      </c>
      <c r="Y93" s="3">
        <v>138</v>
      </c>
      <c r="Z93" s="3" t="str">
        <f>IFERROR(MID(VLOOKUP($B93,Seqs!$A:$B,2,0),AA93,1),"")</f>
        <v>L</v>
      </c>
      <c r="AA93" s="3">
        <v>145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E</v>
      </c>
      <c r="AM93" s="3">
        <v>225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8" t="str">
        <f>VLOOKUP(B93,Classification!A:D,2,0)</f>
        <v>A</v>
      </c>
      <c r="BA93" s="95" t="str">
        <f>VLOOKUP(B93,Classification!A:D,4,0)</f>
        <v>Adrenoceptors</v>
      </c>
      <c r="BB93" s="27" t="b">
        <f t="shared" si="811"/>
        <v>1</v>
      </c>
      <c r="BC93" s="23">
        <f t="shared" si="784"/>
        <v>248</v>
      </c>
      <c r="BD93" s="4" t="s">
        <v>23</v>
      </c>
      <c r="BE93" s="3" t="s">
        <v>1297</v>
      </c>
      <c r="BF93" s="120">
        <v>3.1</v>
      </c>
      <c r="BG93" s="49" t="s">
        <v>1384</v>
      </c>
      <c r="BH93" s="49" t="s">
        <v>1384</v>
      </c>
      <c r="BI93" s="1"/>
      <c r="BJ93" s="71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1">
        <f t="shared" si="785"/>
        <v>29</v>
      </c>
      <c r="BW93" s="72">
        <f t="shared" si="786"/>
        <v>62</v>
      </c>
      <c r="BX93" s="73">
        <f t="shared" si="787"/>
        <v>66</v>
      </c>
      <c r="BY93" s="72">
        <f t="shared" si="788"/>
        <v>98</v>
      </c>
      <c r="BZ93" s="73">
        <f t="shared" si="789"/>
        <v>102</v>
      </c>
      <c r="CA93" s="72">
        <f t="shared" si="790"/>
        <v>138</v>
      </c>
      <c r="CB93" s="73">
        <f t="shared" si="791"/>
        <v>146</v>
      </c>
      <c r="CC93" s="72">
        <f t="shared" si="792"/>
        <v>191</v>
      </c>
      <c r="CD93" s="73">
        <f t="shared" si="793"/>
        <v>196</v>
      </c>
      <c r="CE93" s="72">
        <f t="shared" si="794"/>
        <v>266</v>
      </c>
      <c r="CF93" s="73">
        <f t="shared" si="795"/>
        <v>304</v>
      </c>
      <c r="CG93" s="72">
        <f t="shared" si="796"/>
        <v>329</v>
      </c>
      <c r="CH93" s="71">
        <f t="shared" si="797"/>
        <v>61</v>
      </c>
      <c r="CI93" s="72">
        <f t="shared" si="798"/>
        <v>65</v>
      </c>
      <c r="CJ93" s="73">
        <f t="shared" si="799"/>
        <v>96</v>
      </c>
      <c r="CK93" s="73">
        <f t="shared" si="800"/>
        <v>101</v>
      </c>
      <c r="CL93" s="73">
        <f t="shared" si="801"/>
        <v>137</v>
      </c>
      <c r="CM93" s="73">
        <f t="shared" si="802"/>
        <v>145</v>
      </c>
      <c r="CN93" s="73">
        <f t="shared" si="803"/>
        <v>172</v>
      </c>
      <c r="CO93" s="73">
        <f t="shared" si="804"/>
        <v>193</v>
      </c>
      <c r="CP93" s="73">
        <f t="shared" si="805"/>
        <v>225</v>
      </c>
      <c r="CQ93" s="73">
        <f t="shared" si="806"/>
        <v>299</v>
      </c>
      <c r="CR93" s="73">
        <f t="shared" si="807"/>
        <v>328</v>
      </c>
      <c r="CS93" s="73">
        <f t="shared" si="808"/>
        <v>341</v>
      </c>
      <c r="CT93" s="23">
        <f t="shared" si="809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810"/>
        <v>adrb2_human_4LDO</v>
      </c>
      <c r="B94" s="3" t="s">
        <v>126</v>
      </c>
      <c r="C94" s="3" t="s">
        <v>1046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225</v>
      </c>
      <c r="AN94" s="3" t="str">
        <f>IFERROR(MID(VLOOKUP($B94,Seqs!$A:$B,2,0),AO94,1),"")</f>
        <v>L</v>
      </c>
      <c r="AO94" s="3">
        <v>266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8" t="str">
        <f>VLOOKUP(B94,Classification!A:D,2,0)</f>
        <v>A</v>
      </c>
      <c r="BA94" s="95" t="str">
        <f>VLOOKUP(B94,Classification!A:D,4,0)</f>
        <v>Adrenoceptors</v>
      </c>
      <c r="BB94" s="27" t="b">
        <f t="shared" si="811"/>
        <v>1</v>
      </c>
      <c r="BC94" s="23">
        <f t="shared" si="784"/>
        <v>248</v>
      </c>
      <c r="BD94" s="4" t="s">
        <v>23</v>
      </c>
      <c r="BE94" s="3" t="s">
        <v>1297</v>
      </c>
      <c r="BF94" s="120">
        <v>3.2</v>
      </c>
      <c r="BG94" s="49" t="s">
        <v>1384</v>
      </c>
      <c r="BH94" s="49" t="s">
        <v>1384</v>
      </c>
      <c r="BI94" s="1"/>
      <c r="BJ94" s="71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1">
        <f t="shared" si="785"/>
        <v>29</v>
      </c>
      <c r="BW94" s="72">
        <f t="shared" si="786"/>
        <v>62</v>
      </c>
      <c r="BX94" s="73">
        <f t="shared" si="787"/>
        <v>66</v>
      </c>
      <c r="BY94" s="72">
        <f t="shared" si="788"/>
        <v>98</v>
      </c>
      <c r="BZ94" s="73">
        <f t="shared" si="789"/>
        <v>102</v>
      </c>
      <c r="CA94" s="72">
        <f t="shared" si="790"/>
        <v>138</v>
      </c>
      <c r="CB94" s="73">
        <f t="shared" si="791"/>
        <v>146</v>
      </c>
      <c r="CC94" s="72">
        <f t="shared" si="792"/>
        <v>191</v>
      </c>
      <c r="CD94" s="73">
        <f t="shared" si="793"/>
        <v>196</v>
      </c>
      <c r="CE94" s="72">
        <f t="shared" si="794"/>
        <v>266</v>
      </c>
      <c r="CF94" s="73">
        <f t="shared" si="795"/>
        <v>304</v>
      </c>
      <c r="CG94" s="72">
        <f t="shared" si="796"/>
        <v>329</v>
      </c>
      <c r="CH94" s="71">
        <f t="shared" si="797"/>
        <v>61</v>
      </c>
      <c r="CI94" s="72">
        <f t="shared" si="798"/>
        <v>65</v>
      </c>
      <c r="CJ94" s="73">
        <f t="shared" si="799"/>
        <v>96</v>
      </c>
      <c r="CK94" s="73">
        <f t="shared" si="800"/>
        <v>101</v>
      </c>
      <c r="CL94" s="73">
        <f t="shared" si="801"/>
        <v>137</v>
      </c>
      <c r="CM94" s="73">
        <f t="shared" si="802"/>
        <v>145</v>
      </c>
      <c r="CN94" s="73">
        <f t="shared" si="803"/>
        <v>172</v>
      </c>
      <c r="CO94" s="73">
        <f t="shared" si="804"/>
        <v>193</v>
      </c>
      <c r="CP94" s="73">
        <f t="shared" si="805"/>
        <v>225</v>
      </c>
      <c r="CQ94" s="73">
        <f t="shared" si="806"/>
        <v>299</v>
      </c>
      <c r="CR94" s="73">
        <f t="shared" si="807"/>
        <v>328</v>
      </c>
      <c r="CS94" s="73">
        <f t="shared" si="808"/>
        <v>341</v>
      </c>
      <c r="CT94" s="23">
        <f t="shared" si="809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810"/>
        <v>adrb2_human_4QKX</v>
      </c>
      <c r="B95" s="3" t="s">
        <v>126</v>
      </c>
      <c r="C95" s="3" t="s">
        <v>78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8" t="str">
        <f>VLOOKUP(B95,Classification!A:D,2,0)</f>
        <v>A</v>
      </c>
      <c r="BA95" s="95" t="str">
        <f>VLOOKUP(B95,Classification!A:D,4,0)</f>
        <v>Adrenoceptors</v>
      </c>
      <c r="BB95" s="27" t="b">
        <f t="shared" si="811"/>
        <v>1</v>
      </c>
      <c r="BC95" s="23">
        <f t="shared" si="784"/>
        <v>248</v>
      </c>
      <c r="BD95" s="4" t="s">
        <v>23</v>
      </c>
      <c r="BE95" s="3" t="s">
        <v>1297</v>
      </c>
      <c r="BF95" s="120">
        <v>3.3</v>
      </c>
      <c r="BG95" s="49" t="s">
        <v>1384</v>
      </c>
      <c r="BH95" s="49" t="s">
        <v>1384</v>
      </c>
      <c r="BI95" s="1"/>
      <c r="BJ95" s="71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1">
        <f t="shared" si="785"/>
        <v>29</v>
      </c>
      <c r="BW95" s="72">
        <f t="shared" si="786"/>
        <v>62</v>
      </c>
      <c r="BX95" s="73">
        <f t="shared" si="787"/>
        <v>66</v>
      </c>
      <c r="BY95" s="72">
        <f t="shared" si="788"/>
        <v>98</v>
      </c>
      <c r="BZ95" s="73">
        <f t="shared" si="789"/>
        <v>102</v>
      </c>
      <c r="CA95" s="72">
        <f t="shared" si="790"/>
        <v>138</v>
      </c>
      <c r="CB95" s="73">
        <f t="shared" si="791"/>
        <v>146</v>
      </c>
      <c r="CC95" s="72">
        <f t="shared" si="792"/>
        <v>191</v>
      </c>
      <c r="CD95" s="73">
        <f t="shared" si="793"/>
        <v>196</v>
      </c>
      <c r="CE95" s="72">
        <f t="shared" si="794"/>
        <v>266</v>
      </c>
      <c r="CF95" s="73">
        <f t="shared" si="795"/>
        <v>304</v>
      </c>
      <c r="CG95" s="72">
        <f t="shared" si="796"/>
        <v>329</v>
      </c>
      <c r="CH95" s="71">
        <f t="shared" si="797"/>
        <v>61</v>
      </c>
      <c r="CI95" s="72">
        <f t="shared" si="798"/>
        <v>65</v>
      </c>
      <c r="CJ95" s="73">
        <f t="shared" si="799"/>
        <v>96</v>
      </c>
      <c r="CK95" s="73">
        <f t="shared" si="800"/>
        <v>101</v>
      </c>
      <c r="CL95" s="73">
        <f t="shared" si="801"/>
        <v>137</v>
      </c>
      <c r="CM95" s="73">
        <f t="shared" si="802"/>
        <v>145</v>
      </c>
      <c r="CN95" s="73">
        <f t="shared" si="803"/>
        <v>172</v>
      </c>
      <c r="CO95" s="73">
        <f t="shared" si="804"/>
        <v>193</v>
      </c>
      <c r="CP95" s="73">
        <f t="shared" si="805"/>
        <v>225</v>
      </c>
      <c r="CQ95" s="73">
        <f t="shared" si="806"/>
        <v>299</v>
      </c>
      <c r="CR95" s="73">
        <f t="shared" si="807"/>
        <v>328</v>
      </c>
      <c r="CS95" s="73">
        <f t="shared" si="808"/>
        <v>341</v>
      </c>
      <c r="CT95" s="23">
        <f t="shared" si="809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810"/>
        <v>adrb2_human_5D6L</v>
      </c>
      <c r="B96" s="3" t="s">
        <v>126</v>
      </c>
      <c r="C96" s="3" t="s">
        <v>1349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Q</v>
      </c>
      <c r="AM96" s="3">
        <v>229</v>
      </c>
      <c r="AN96" s="3" t="str">
        <f>IFERROR(MID(VLOOKUP($B96,Seqs!$A:$B,2,0),AO96,1),"")</f>
        <v>K</v>
      </c>
      <c r="AO96" s="3">
        <v>267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8" t="str">
        <f>VLOOKUP(B96,Classification!A:D,2,0)</f>
        <v>A</v>
      </c>
      <c r="BA96" s="95" t="str">
        <f>VLOOKUP(B96,Classification!A:D,4,0)</f>
        <v>Adrenoceptors</v>
      </c>
      <c r="BB96" s="27" t="b">
        <f t="shared" si="811"/>
        <v>1</v>
      </c>
      <c r="BC96" s="23">
        <f t="shared" si="784"/>
        <v>244</v>
      </c>
      <c r="BD96" s="4" t="s">
        <v>23</v>
      </c>
      <c r="BE96" s="3" t="s">
        <v>1381</v>
      </c>
      <c r="BF96" s="120">
        <v>3.2</v>
      </c>
      <c r="BG96" s="49" t="s">
        <v>1</v>
      </c>
      <c r="BH96" s="49" t="s">
        <v>1384</v>
      </c>
      <c r="BI96" s="1"/>
      <c r="BJ96" s="71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1">
        <f t="shared" si="785"/>
        <v>29</v>
      </c>
      <c r="BW96" s="72">
        <f t="shared" si="786"/>
        <v>62</v>
      </c>
      <c r="BX96" s="73">
        <f t="shared" si="787"/>
        <v>66</v>
      </c>
      <c r="BY96" s="72">
        <f t="shared" si="788"/>
        <v>98</v>
      </c>
      <c r="BZ96" s="73">
        <f t="shared" si="789"/>
        <v>102</v>
      </c>
      <c r="CA96" s="72" t="str">
        <f t="shared" si="790"/>
        <v>-</v>
      </c>
      <c r="CB96" s="73">
        <f t="shared" si="791"/>
        <v>146</v>
      </c>
      <c r="CC96" s="72">
        <f t="shared" si="792"/>
        <v>191</v>
      </c>
      <c r="CD96" s="73">
        <f t="shared" si="793"/>
        <v>196</v>
      </c>
      <c r="CE96" s="72">
        <f t="shared" si="794"/>
        <v>267</v>
      </c>
      <c r="CF96" s="73">
        <f t="shared" si="795"/>
        <v>304</v>
      </c>
      <c r="CG96" s="72">
        <f t="shared" si="796"/>
        <v>329</v>
      </c>
      <c r="CH96" s="71">
        <f t="shared" si="797"/>
        <v>61</v>
      </c>
      <c r="CI96" s="72">
        <f t="shared" si="798"/>
        <v>65</v>
      </c>
      <c r="CJ96" s="73">
        <f t="shared" si="799"/>
        <v>96</v>
      </c>
      <c r="CK96" s="73">
        <f t="shared" si="800"/>
        <v>101</v>
      </c>
      <c r="CL96" s="73">
        <f t="shared" si="801"/>
        <v>137</v>
      </c>
      <c r="CM96" s="73" t="str">
        <f t="shared" si="802"/>
        <v>-</v>
      </c>
      <c r="CN96" s="73">
        <f t="shared" si="803"/>
        <v>172</v>
      </c>
      <c r="CO96" s="73">
        <f t="shared" si="804"/>
        <v>193</v>
      </c>
      <c r="CP96" s="73">
        <f t="shared" si="805"/>
        <v>229</v>
      </c>
      <c r="CQ96" s="73">
        <f t="shared" si="806"/>
        <v>299</v>
      </c>
      <c r="CR96" s="73">
        <f t="shared" si="807"/>
        <v>328</v>
      </c>
      <c r="CS96" s="73">
        <f t="shared" si="808"/>
        <v>341</v>
      </c>
      <c r="CT96" s="23">
        <f t="shared" si="809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30" x14ac:dyDescent="0.2">
      <c r="A97" s="3" t="str">
        <f t="shared" si="810"/>
        <v>adrb2_human_5JQH</v>
      </c>
      <c r="B97" s="3" t="s">
        <v>126</v>
      </c>
      <c r="C97" s="3" t="s">
        <v>1350</v>
      </c>
      <c r="D97" s="3" t="str">
        <f>IFERROR(MID(VLOOKUP($B97,Seqs!$A:$B,2,0),E97,1),"")</f>
        <v>D</v>
      </c>
      <c r="E97" s="3">
        <v>23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/>
      </c>
      <c r="Y97" s="3" t="s">
        <v>23</v>
      </c>
      <c r="Z97" s="3" t="str">
        <f>IFERROR(MID(VLOOKUP($B97,Seqs!$A:$B,2,0),AA97,1),"")</f>
        <v/>
      </c>
      <c r="AA97" s="3" t="s">
        <v>23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L</v>
      </c>
      <c r="AM97" s="3">
        <v>230</v>
      </c>
      <c r="AN97" s="3" t="str">
        <f>IFERROR(MID(VLOOKUP($B97,Seqs!$A:$B,2,0),AO97,1),"")</f>
        <v>A</v>
      </c>
      <c r="AO97" s="3">
        <v>271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8" t="str">
        <f>VLOOKUP(B97,Classification!A:D,2,0)</f>
        <v>A</v>
      </c>
      <c r="BA97" s="95" t="str">
        <f>VLOOKUP(B97,Classification!A:D,4,0)</f>
        <v>Adrenoceptors</v>
      </c>
      <c r="BB97" s="27" t="b">
        <f t="shared" si="811"/>
        <v>1</v>
      </c>
      <c r="BC97" s="23">
        <f t="shared" si="784"/>
        <v>247</v>
      </c>
      <c r="BD97" s="75" t="s">
        <v>1383</v>
      </c>
      <c r="BE97" s="3" t="s">
        <v>1381</v>
      </c>
      <c r="BF97" s="120">
        <v>3.2</v>
      </c>
      <c r="BG97" s="49" t="s">
        <v>1287</v>
      </c>
      <c r="BH97" s="49" t="s">
        <v>1384</v>
      </c>
      <c r="BI97" s="1"/>
      <c r="BJ97" s="71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1">
        <f t="shared" si="785"/>
        <v>23</v>
      </c>
      <c r="BW97" s="72">
        <f t="shared" si="786"/>
        <v>62</v>
      </c>
      <c r="BX97" s="73">
        <f t="shared" si="787"/>
        <v>66</v>
      </c>
      <c r="BY97" s="72">
        <f t="shared" si="788"/>
        <v>98</v>
      </c>
      <c r="BZ97" s="73">
        <f t="shared" si="789"/>
        <v>102</v>
      </c>
      <c r="CA97" s="72" t="str">
        <f t="shared" si="790"/>
        <v>-</v>
      </c>
      <c r="CB97" s="73">
        <f t="shared" si="791"/>
        <v>146</v>
      </c>
      <c r="CC97" s="72">
        <f t="shared" si="792"/>
        <v>191</v>
      </c>
      <c r="CD97" s="73">
        <f t="shared" si="793"/>
        <v>196</v>
      </c>
      <c r="CE97" s="72">
        <f t="shared" si="794"/>
        <v>271</v>
      </c>
      <c r="CF97" s="73">
        <f t="shared" si="795"/>
        <v>304</v>
      </c>
      <c r="CG97" s="72">
        <f t="shared" si="796"/>
        <v>329</v>
      </c>
      <c r="CH97" s="71">
        <f t="shared" si="797"/>
        <v>61</v>
      </c>
      <c r="CI97" s="72">
        <f t="shared" si="798"/>
        <v>65</v>
      </c>
      <c r="CJ97" s="73">
        <f t="shared" si="799"/>
        <v>96</v>
      </c>
      <c r="CK97" s="73">
        <f t="shared" si="800"/>
        <v>101</v>
      </c>
      <c r="CL97" s="73">
        <f t="shared" si="801"/>
        <v>137</v>
      </c>
      <c r="CM97" s="73" t="str">
        <f t="shared" si="802"/>
        <v>-</v>
      </c>
      <c r="CN97" s="73">
        <f t="shared" si="803"/>
        <v>172</v>
      </c>
      <c r="CO97" s="73">
        <f t="shared" si="804"/>
        <v>193</v>
      </c>
      <c r="CP97" s="73">
        <f t="shared" si="805"/>
        <v>230</v>
      </c>
      <c r="CQ97" s="73">
        <f t="shared" si="806"/>
        <v>299</v>
      </c>
      <c r="CR97" s="73">
        <f t="shared" si="807"/>
        <v>328</v>
      </c>
      <c r="CS97" s="73">
        <f t="shared" si="808"/>
        <v>341</v>
      </c>
      <c r="CT97" s="23">
        <f t="shared" si="809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30" x14ac:dyDescent="0.2">
      <c r="A98" s="3" t="str">
        <f t="shared" ref="A98" si="812">CONCATENATE(B98,"_",C98)</f>
        <v>adrb2_human_5X7D</v>
      </c>
      <c r="B98" s="3" t="s">
        <v>126</v>
      </c>
      <c r="C98" s="3" t="s">
        <v>1448</v>
      </c>
      <c r="D98" s="3" t="str">
        <f>IFERROR(MID(VLOOKUP($B98,Seqs!$A:$B,2,0),E98,1),"")</f>
        <v>V</v>
      </c>
      <c r="E98" s="3">
        <v>33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T</v>
      </c>
      <c r="W98" s="3">
        <v>136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T</v>
      </c>
      <c r="AC98" s="3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A</v>
      </c>
      <c r="AO98" s="3">
        <v>271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8" t="str">
        <f>VLOOKUP(B98,Classification!A:D,2,0)</f>
        <v>A</v>
      </c>
      <c r="BA98" s="95" t="str">
        <f>VLOOKUP(B98,Classification!A:D,4,0)</f>
        <v>Adrenoceptors</v>
      </c>
      <c r="BB98" s="27" t="b">
        <f t="shared" ref="BB98" si="81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" si="814">_xlfn.AGGREGATE(9,6,CH98:CS98)-_xlfn.AGGREGATE(9,6,BV98:CG98)+12</f>
        <v>236</v>
      </c>
      <c r="BD98" s="75" t="s">
        <v>23</v>
      </c>
      <c r="BE98" s="3" t="s">
        <v>1381</v>
      </c>
      <c r="BF98" s="120">
        <v>4.2</v>
      </c>
      <c r="BG98" s="49" t="s">
        <v>1287</v>
      </c>
      <c r="BH98" s="49" t="s">
        <v>1384</v>
      </c>
      <c r="BI98" s="1"/>
      <c r="BJ98" s="71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1">
        <f t="shared" ref="BV98" si="815">E98</f>
        <v>33</v>
      </c>
      <c r="BW98" s="72">
        <f t="shared" ref="BW98" si="816">I98</f>
        <v>62</v>
      </c>
      <c r="BX98" s="73">
        <f t="shared" ref="BX98" si="817">M98</f>
        <v>66</v>
      </c>
      <c r="BY98" s="72">
        <f t="shared" ref="BY98" si="818">Q98</f>
        <v>98</v>
      </c>
      <c r="BZ98" s="73">
        <f t="shared" ref="BZ98" si="819">U98</f>
        <v>102</v>
      </c>
      <c r="CA98" s="72" t="str">
        <f t="shared" ref="CA98" si="820">Y98</f>
        <v>-</v>
      </c>
      <c r="CB98" s="73">
        <f t="shared" ref="CB98" si="821">AC98</f>
        <v>146</v>
      </c>
      <c r="CC98" s="72">
        <f t="shared" ref="CC98" si="822">AG98</f>
        <v>191</v>
      </c>
      <c r="CD98" s="73">
        <f t="shared" ref="CD98" si="823">AK98</f>
        <v>196</v>
      </c>
      <c r="CE98" s="72">
        <f t="shared" ref="CE98" si="824">AO98</f>
        <v>271</v>
      </c>
      <c r="CF98" s="73">
        <f t="shared" ref="CF98" si="825">AS98</f>
        <v>304</v>
      </c>
      <c r="CG98" s="72">
        <f t="shared" ref="CG98" si="826">AW98</f>
        <v>329</v>
      </c>
      <c r="CH98" s="71">
        <f t="shared" ref="CH98" si="827">G98</f>
        <v>61</v>
      </c>
      <c r="CI98" s="72">
        <f t="shared" ref="CI98" si="828">K98</f>
        <v>65</v>
      </c>
      <c r="CJ98" s="73">
        <f t="shared" ref="CJ98" si="829">O98</f>
        <v>96</v>
      </c>
      <c r="CK98" s="73">
        <f t="shared" ref="CK98" si="830">S98</f>
        <v>101</v>
      </c>
      <c r="CL98" s="73">
        <f t="shared" ref="CL98" si="831">W98</f>
        <v>136</v>
      </c>
      <c r="CM98" s="73" t="str">
        <f t="shared" ref="CM98" si="832">AA98</f>
        <v>-</v>
      </c>
      <c r="CN98" s="73">
        <f t="shared" ref="CN98" si="833">AE98</f>
        <v>172</v>
      </c>
      <c r="CO98" s="73">
        <f t="shared" ref="CO98" si="834">AI98</f>
        <v>193</v>
      </c>
      <c r="CP98" s="73">
        <f t="shared" ref="CP98" si="835">AM98</f>
        <v>230</v>
      </c>
      <c r="CQ98" s="73">
        <f t="shared" ref="CQ98" si="836">AQ98</f>
        <v>299</v>
      </c>
      <c r="CR98" s="73">
        <f t="shared" ref="CR98" si="837">AU98</f>
        <v>328</v>
      </c>
      <c r="CS98" s="73">
        <f t="shared" ref="CS98" si="838">AY98</f>
        <v>341</v>
      </c>
      <c r="CT98" s="23">
        <f t="shared" ref="CT98" si="839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30" x14ac:dyDescent="0.2">
      <c r="A99" s="3" t="str">
        <f t="shared" si="810"/>
        <v>agtr1_human__wt</v>
      </c>
      <c r="B99" s="3" t="s">
        <v>158</v>
      </c>
      <c r="C99" s="3" t="s">
        <v>100</v>
      </c>
      <c r="D99" s="3" t="str">
        <f>IFERROR(MID(VLOOKUP($B99,Seqs!$A:$B,2,0),E99,1),"")</f>
        <v>Y</v>
      </c>
      <c r="E99" s="3">
        <v>26</v>
      </c>
      <c r="F99" s="3" t="str">
        <f>IFERROR(MID(VLOOKUP($B99,Seqs!$A:$B,2,0),G99,1),"")</f>
        <v>Y</v>
      </c>
      <c r="G99" s="3">
        <v>56</v>
      </c>
      <c r="H99" s="3" t="str">
        <f>IFERROR(MID(VLOOKUP($B99,Seqs!$A:$B,2,0),I99,1),"")</f>
        <v>M</v>
      </c>
      <c r="I99" s="23">
        <v>57</v>
      </c>
      <c r="J99" s="3" t="str">
        <f>IFERROR(MID(VLOOKUP($B99,Seqs!$A:$B,2,0),K99,1),"")</f>
        <v>K</v>
      </c>
      <c r="K99" s="23">
        <v>60</v>
      </c>
      <c r="L99" s="3" t="str">
        <f>IFERROR(MID(VLOOKUP($B99,Seqs!$A:$B,2,0),M99,1),"")</f>
        <v>T</v>
      </c>
      <c r="M99" s="3">
        <v>61</v>
      </c>
      <c r="N99" s="3" t="str">
        <f>IFERROR(MID(VLOOKUP($B99,Seqs!$A:$B,2,0),O99,1),"")</f>
        <v>M</v>
      </c>
      <c r="O99" s="3">
        <v>90</v>
      </c>
      <c r="P99" s="3" t="str">
        <f>IFERROR(MID(VLOOKUP($B99,Seqs!$A:$B,2,0),Q99,1),"")</f>
        <v>R</v>
      </c>
      <c r="Q99" s="3">
        <v>93</v>
      </c>
      <c r="R99" s="3" t="str">
        <f>IFERROR(MID(VLOOKUP($B99,Seqs!$A:$B,2,0),S99,1),"")</f>
        <v>F</v>
      </c>
      <c r="S99" s="3">
        <v>96</v>
      </c>
      <c r="T99" s="3" t="str">
        <f>IFERROR(MID(VLOOKUP($B99,Seqs!$A:$B,2,0),U99,1),"")</f>
        <v>G</v>
      </c>
      <c r="U99" s="3">
        <v>97</v>
      </c>
      <c r="V99" s="3" t="str">
        <f>IFERROR(MID(VLOOKUP($B99,Seqs!$A:$B,2,0),W99,1),"")</f>
        <v>H</v>
      </c>
      <c r="W99" s="3">
        <v>132</v>
      </c>
      <c r="X99" s="3" t="str">
        <f>IFERROR(MID(VLOOKUP($B99,Seqs!$A:$B,2,0),Y99,1),"")</f>
        <v>P</v>
      </c>
      <c r="Y99" s="3">
        <v>133</v>
      </c>
      <c r="Z99" s="3" t="str">
        <f>IFERROR(MID(VLOOKUP($B99,Seqs!$A:$B,2,0),AA99,1),"")</f>
        <v>R</v>
      </c>
      <c r="AA99" s="3">
        <v>140</v>
      </c>
      <c r="AB99" s="3" t="str">
        <f>IFERROR(MID(VLOOKUP($B99,Seqs!$A:$B,2,0),AC99,1),"")</f>
        <v>T</v>
      </c>
      <c r="AC99" s="9">
        <v>141</v>
      </c>
      <c r="AD99" s="3" t="str">
        <f>IFERROR(MID(VLOOKUP($B99,Seqs!$A:$B,2,0),AE99,1),"")</f>
        <v>R</v>
      </c>
      <c r="AE99" s="3">
        <v>167</v>
      </c>
      <c r="AF99" s="3" t="str">
        <f>IFERROR(MID(VLOOKUP($B99,Seqs!$A:$B,2,0),AG99,1),"")</f>
        <v>C</v>
      </c>
      <c r="AG99" s="3">
        <v>180</v>
      </c>
      <c r="AH99" s="3" t="str">
        <f>IFERROR(MID(VLOOKUP($B99,Seqs!$A:$B,2,0),AI99,1),"")</f>
        <v>F</v>
      </c>
      <c r="AI99" s="3">
        <v>182</v>
      </c>
      <c r="AJ99" s="3" t="str">
        <f>IFERROR(MID(VLOOKUP($B99,Seqs!$A:$B,2,0),AK99,1),"")</f>
        <v>L</v>
      </c>
      <c r="AK99" s="3">
        <v>191</v>
      </c>
      <c r="AL99" s="3" t="str">
        <f>IFERROR(MID(VLOOKUP($B99,Seqs!$A:$B,2,0),AM99,1),"")</f>
        <v>A</v>
      </c>
      <c r="AM99" s="3">
        <v>225</v>
      </c>
      <c r="AN99" s="3" t="str">
        <f>IFERROR(MID(VLOOKUP($B99,Seqs!$A:$B,2,0),AO99,1),"")</f>
        <v>P</v>
      </c>
      <c r="AO99" s="3">
        <v>233</v>
      </c>
      <c r="AP99" s="3" t="str">
        <f>IFERROR(MID(VLOOKUP($B99,Seqs!$A:$B,2,0),AQ99,1),"")</f>
        <v>G</v>
      </c>
      <c r="AQ99" s="3">
        <v>269</v>
      </c>
      <c r="AR99" s="3" t="str">
        <f>IFERROR(MID(VLOOKUP($B99,Seqs!$A:$B,2,0),AS99,1),"")</f>
        <v>D</v>
      </c>
      <c r="AS99" s="3">
        <v>273</v>
      </c>
      <c r="AT99" s="3" t="str">
        <f>IFERROR(MID(VLOOKUP($B99,Seqs!$A:$B,2,0),AU99,1),"")</f>
        <v>L</v>
      </c>
      <c r="AU99" s="3">
        <v>305</v>
      </c>
      <c r="AV99" s="3" t="str">
        <f>IFERROR(MID(VLOOKUP($B99,Seqs!$A:$B,2,0),AW99,1),"")</f>
        <v>G</v>
      </c>
      <c r="AW99" s="3">
        <v>306</v>
      </c>
      <c r="AX99" s="3" t="str">
        <f>IFERROR(MID(VLOOKUP($B99,Seqs!$A:$B,2,0),AY99,1),"")</f>
        <v>I</v>
      </c>
      <c r="AY99" s="3">
        <v>320</v>
      </c>
      <c r="AZ99" s="78" t="str">
        <f>VLOOKUP(B99,Classification!A:D,2,0)</f>
        <v>A</v>
      </c>
      <c r="BA99" s="95" t="str">
        <f>VLOOKUP(B99,Classification!A:D,4,0)</f>
        <v>Angiotensin</v>
      </c>
      <c r="BB99" s="27" t="b">
        <f t="shared" si="811"/>
        <v>1</v>
      </c>
      <c r="BC99" s="23">
        <f t="shared" si="784"/>
        <v>263</v>
      </c>
      <c r="BD99" s="56" t="s">
        <v>1379</v>
      </c>
      <c r="BE99" s="3" t="s">
        <v>23</v>
      </c>
      <c r="BF99" s="120" t="s">
        <v>23</v>
      </c>
      <c r="BG99" s="49" t="s">
        <v>1379</v>
      </c>
      <c r="BH99" s="49" t="s">
        <v>1384</v>
      </c>
      <c r="BI99" s="1"/>
      <c r="BJ99" s="71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1">
        <f t="shared" si="785"/>
        <v>26</v>
      </c>
      <c r="BW99" s="72">
        <f t="shared" si="786"/>
        <v>57</v>
      </c>
      <c r="BX99" s="73">
        <f t="shared" si="787"/>
        <v>61</v>
      </c>
      <c r="BY99" s="72">
        <f t="shared" si="788"/>
        <v>93</v>
      </c>
      <c r="BZ99" s="73">
        <f t="shared" si="789"/>
        <v>97</v>
      </c>
      <c r="CA99" s="72">
        <f t="shared" si="790"/>
        <v>133</v>
      </c>
      <c r="CB99" s="73">
        <f t="shared" si="791"/>
        <v>141</v>
      </c>
      <c r="CC99" s="72">
        <f t="shared" si="792"/>
        <v>180</v>
      </c>
      <c r="CD99" s="73">
        <f t="shared" si="793"/>
        <v>191</v>
      </c>
      <c r="CE99" s="72">
        <f t="shared" si="794"/>
        <v>233</v>
      </c>
      <c r="CF99" s="73">
        <f t="shared" si="795"/>
        <v>273</v>
      </c>
      <c r="CG99" s="72">
        <f t="shared" si="796"/>
        <v>306</v>
      </c>
      <c r="CH99" s="71">
        <f t="shared" si="797"/>
        <v>56</v>
      </c>
      <c r="CI99" s="72">
        <f t="shared" si="798"/>
        <v>60</v>
      </c>
      <c r="CJ99" s="73">
        <f t="shared" si="799"/>
        <v>90</v>
      </c>
      <c r="CK99" s="73">
        <f t="shared" si="800"/>
        <v>96</v>
      </c>
      <c r="CL99" s="73">
        <f t="shared" si="801"/>
        <v>132</v>
      </c>
      <c r="CM99" s="73">
        <f t="shared" si="802"/>
        <v>140</v>
      </c>
      <c r="CN99" s="73">
        <f t="shared" si="803"/>
        <v>167</v>
      </c>
      <c r="CO99" s="73">
        <f t="shared" si="804"/>
        <v>182</v>
      </c>
      <c r="CP99" s="73">
        <f t="shared" si="805"/>
        <v>225</v>
      </c>
      <c r="CQ99" s="73">
        <f t="shared" si="806"/>
        <v>269</v>
      </c>
      <c r="CR99" s="73">
        <f t="shared" si="807"/>
        <v>305</v>
      </c>
      <c r="CS99" s="73">
        <f t="shared" si="808"/>
        <v>320</v>
      </c>
      <c r="CT99" s="23">
        <f t="shared" si="809"/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</row>
    <row r="100" spans="1:1030" x14ac:dyDescent="0.2">
      <c r="A100" s="3" t="str">
        <f t="shared" si="810"/>
        <v>agtr1_human_4YAY</v>
      </c>
      <c r="B100" s="3" t="s">
        <v>158</v>
      </c>
      <c r="C100" s="3" t="s">
        <v>69</v>
      </c>
      <c r="D100" s="3" t="str">
        <f>IFERROR(MID(VLOOKUP($B100,Seqs!$A:$B,2,0),E100,1),"")</f>
        <v>Y</v>
      </c>
      <c r="E100" s="3">
        <v>26</v>
      </c>
      <c r="F100" s="3" t="str">
        <f>IFERROR(MID(VLOOKUP($B100,Seqs!$A:$B,2,0),G100,1),"")</f>
        <v>Y</v>
      </c>
      <c r="G100" s="3">
        <v>56</v>
      </c>
      <c r="H100" s="3" t="str">
        <f>IFERROR(MID(VLOOKUP($B100,Seqs!$A:$B,2,0),I100,1),"")</f>
        <v>M</v>
      </c>
      <c r="I100" s="23">
        <v>57</v>
      </c>
      <c r="J100" s="3" t="str">
        <f>IFERROR(MID(VLOOKUP($B100,Seqs!$A:$B,2,0),K100,1),"")</f>
        <v>K</v>
      </c>
      <c r="K100" s="23">
        <v>60</v>
      </c>
      <c r="L100" s="3" t="str">
        <f>IFERROR(MID(VLOOKUP($B100,Seqs!$A:$B,2,0),M100,1),"")</f>
        <v>T</v>
      </c>
      <c r="M100" s="3">
        <v>61</v>
      </c>
      <c r="N100" s="3" t="str">
        <f>IFERROR(MID(VLOOKUP($B100,Seqs!$A:$B,2,0),O100,1),"")</f>
        <v>M</v>
      </c>
      <c r="O100" s="3">
        <v>90</v>
      </c>
      <c r="P100" s="3" t="str">
        <f>IFERROR(MID(VLOOKUP($B100,Seqs!$A:$B,2,0),Q100,1),"")</f>
        <v>R</v>
      </c>
      <c r="Q100" s="3">
        <v>93</v>
      </c>
      <c r="R100" s="3" t="str">
        <f>IFERROR(MID(VLOOKUP($B100,Seqs!$A:$B,2,0),S100,1),"")</f>
        <v>F</v>
      </c>
      <c r="S100" s="3">
        <v>96</v>
      </c>
      <c r="T100" s="3" t="str">
        <f>IFERROR(MID(VLOOKUP($B100,Seqs!$A:$B,2,0),U100,1),"")</f>
        <v>G</v>
      </c>
      <c r="U100" s="3">
        <v>97</v>
      </c>
      <c r="V100" s="3" t="str">
        <f>IFERROR(MID(VLOOKUP($B100,Seqs!$A:$B,2,0),W100,1),"")</f>
        <v>H</v>
      </c>
      <c r="W100" s="3">
        <v>132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R</v>
      </c>
      <c r="AC100" s="9">
        <v>137</v>
      </c>
      <c r="AD100" s="3" t="str">
        <f>IFERROR(MID(VLOOKUP($B100,Seqs!$A:$B,2,0),AE100,1),"")</f>
        <v>R</v>
      </c>
      <c r="AE100" s="3">
        <v>167</v>
      </c>
      <c r="AF100" s="3" t="str">
        <f>IFERROR(MID(VLOOKUP($B100,Seqs!$A:$B,2,0),AG100,1),"")</f>
        <v>C</v>
      </c>
      <c r="AG100" s="3">
        <v>180</v>
      </c>
      <c r="AH100" s="3" t="str">
        <f>IFERROR(MID(VLOOKUP($B100,Seqs!$A:$B,2,0),AI100,1),"")</f>
        <v>F</v>
      </c>
      <c r="AI100" s="3">
        <v>182</v>
      </c>
      <c r="AJ100" s="3" t="str">
        <f>IFERROR(MID(VLOOKUP($B100,Seqs!$A:$B,2,0),AK100,1),"")</f>
        <v>L</v>
      </c>
      <c r="AK100" s="3">
        <v>191</v>
      </c>
      <c r="AL100" s="3" t="str">
        <f>IFERROR(MID(VLOOKUP($B100,Seqs!$A:$B,2,0),AM100,1),"")</f>
        <v>L</v>
      </c>
      <c r="AM100" s="3">
        <v>222</v>
      </c>
      <c r="AN100" s="3" t="str">
        <f>IFERROR(MID(VLOOKUP($B100,Seqs!$A:$B,2,0),AO100,1),"")</f>
        <v>N</v>
      </c>
      <c r="AO100" s="3">
        <v>235</v>
      </c>
      <c r="AP100" s="3" t="str">
        <f>IFERROR(MID(VLOOKUP($B100,Seqs!$A:$B,2,0),AQ100,1),"")</f>
        <v>G</v>
      </c>
      <c r="AQ100" s="3">
        <v>269</v>
      </c>
      <c r="AR100" s="3" t="str">
        <f>IFERROR(MID(VLOOKUP($B100,Seqs!$A:$B,2,0),AS100,1),"")</f>
        <v>D</v>
      </c>
      <c r="AS100" s="3">
        <v>273</v>
      </c>
      <c r="AT100" s="3" t="str">
        <f>IFERROR(MID(VLOOKUP($B100,Seqs!$A:$B,2,0),AU100,1),"")</f>
        <v>N</v>
      </c>
      <c r="AU100" s="3">
        <v>298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8" t="str">
        <f>VLOOKUP(B100,Classification!A:D,2,0)</f>
        <v>A</v>
      </c>
      <c r="BA100" s="95" t="str">
        <f>VLOOKUP(B100,Classification!A:D,4,0)</f>
        <v>Angiotensin</v>
      </c>
      <c r="BB100" s="27" t="b">
        <f t="shared" si="811"/>
        <v>1</v>
      </c>
      <c r="BC100" s="23">
        <f t="shared" si="784"/>
        <v>234</v>
      </c>
      <c r="BD100" s="4" t="s">
        <v>23</v>
      </c>
      <c r="BE100" s="3" t="s">
        <v>1381</v>
      </c>
      <c r="BF100" s="120">
        <v>2.9</v>
      </c>
      <c r="BG100" s="49" t="s">
        <v>1384</v>
      </c>
      <c r="BH100" s="49" t="s">
        <v>1384</v>
      </c>
      <c r="BI100" s="1"/>
      <c r="BJ100" s="71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1">
        <f t="shared" si="785"/>
        <v>26</v>
      </c>
      <c r="BW100" s="72">
        <f t="shared" si="786"/>
        <v>57</v>
      </c>
      <c r="BX100" s="73">
        <f t="shared" si="787"/>
        <v>61</v>
      </c>
      <c r="BY100" s="72">
        <f t="shared" si="788"/>
        <v>93</v>
      </c>
      <c r="BZ100" s="73">
        <f t="shared" si="789"/>
        <v>97</v>
      </c>
      <c r="CA100" s="72" t="str">
        <f t="shared" si="790"/>
        <v>-</v>
      </c>
      <c r="CB100" s="73">
        <f t="shared" si="791"/>
        <v>137</v>
      </c>
      <c r="CC100" s="72">
        <f t="shared" si="792"/>
        <v>180</v>
      </c>
      <c r="CD100" s="73">
        <f t="shared" si="793"/>
        <v>191</v>
      </c>
      <c r="CE100" s="72">
        <f t="shared" si="794"/>
        <v>235</v>
      </c>
      <c r="CF100" s="73">
        <f t="shared" si="795"/>
        <v>273</v>
      </c>
      <c r="CG100" s="72" t="str">
        <f t="shared" si="796"/>
        <v>-</v>
      </c>
      <c r="CH100" s="71">
        <f t="shared" si="797"/>
        <v>56</v>
      </c>
      <c r="CI100" s="72">
        <f t="shared" si="798"/>
        <v>60</v>
      </c>
      <c r="CJ100" s="73">
        <f t="shared" si="799"/>
        <v>90</v>
      </c>
      <c r="CK100" s="73">
        <f t="shared" si="800"/>
        <v>96</v>
      </c>
      <c r="CL100" s="73">
        <f t="shared" si="801"/>
        <v>132</v>
      </c>
      <c r="CM100" s="73" t="str">
        <f t="shared" si="802"/>
        <v>-</v>
      </c>
      <c r="CN100" s="73">
        <f t="shared" si="803"/>
        <v>167</v>
      </c>
      <c r="CO100" s="73">
        <f t="shared" si="804"/>
        <v>182</v>
      </c>
      <c r="CP100" s="73">
        <f t="shared" si="805"/>
        <v>222</v>
      </c>
      <c r="CQ100" s="73">
        <f t="shared" si="806"/>
        <v>269</v>
      </c>
      <c r="CR100" s="73">
        <f t="shared" si="807"/>
        <v>298</v>
      </c>
      <c r="CS100" s="73" t="str">
        <f t="shared" si="808"/>
        <v>-</v>
      </c>
      <c r="CT100" s="23">
        <f t="shared" si="809"/>
        <v>1</v>
      </c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</row>
    <row r="101" spans="1:1030" x14ac:dyDescent="0.2">
      <c r="A101" s="3" t="str">
        <f t="shared" si="810"/>
        <v>agtr1_human_4YAY_dist</v>
      </c>
      <c r="B101" s="3" t="s">
        <v>158</v>
      </c>
      <c r="C101" s="3" t="s">
        <v>1160</v>
      </c>
      <c r="D101" s="3" t="str">
        <f>IFERROR(MID(VLOOKUP($B101,Seqs!$A:$B,2,0),E101,1),"")</f>
        <v>Y</v>
      </c>
      <c r="E101" s="3">
        <v>26</v>
      </c>
      <c r="F101" s="3" t="str">
        <f>IFERROR(MID(VLOOKUP($B101,Seqs!$A:$B,2,0),G101,1),"")</f>
        <v>Y</v>
      </c>
      <c r="G101" s="3">
        <v>56</v>
      </c>
      <c r="H101" s="3" t="str">
        <f>IFERROR(MID(VLOOKUP($B101,Seqs!$A:$B,2,0),I101,1),"")</f>
        <v>M</v>
      </c>
      <c r="I101" s="23">
        <v>57</v>
      </c>
      <c r="J101" s="3" t="str">
        <f>IFERROR(MID(VLOOKUP($B101,Seqs!$A:$B,2,0),K101,1),"")</f>
        <v>K</v>
      </c>
      <c r="K101" s="23">
        <v>60</v>
      </c>
      <c r="L101" s="3" t="str">
        <f>IFERROR(MID(VLOOKUP($B101,Seqs!$A:$B,2,0),M101,1),"")</f>
        <v>T</v>
      </c>
      <c r="M101" s="3">
        <v>61</v>
      </c>
      <c r="N101" s="3" t="str">
        <f>IFERROR(MID(VLOOKUP($B101,Seqs!$A:$B,2,0),O101,1),"")</f>
        <v>M</v>
      </c>
      <c r="O101" s="3">
        <v>90</v>
      </c>
      <c r="P101" s="3" t="str">
        <f>IFERROR(MID(VLOOKUP($B101,Seqs!$A:$B,2,0),Q101,1),"")</f>
        <v>R</v>
      </c>
      <c r="Q101" s="3">
        <v>93</v>
      </c>
      <c r="R101" s="3" t="str">
        <f>IFERROR(MID(VLOOKUP($B101,Seqs!$A:$B,2,0),S101,1),"")</f>
        <v>F</v>
      </c>
      <c r="S101" s="3">
        <v>96</v>
      </c>
      <c r="T101" s="3" t="str">
        <f>IFERROR(MID(VLOOKUP($B101,Seqs!$A:$B,2,0),U101,1),"")</f>
        <v>G</v>
      </c>
      <c r="U101" s="3">
        <v>97</v>
      </c>
      <c r="V101" s="3" t="str">
        <f>IFERROR(MID(VLOOKUP($B101,Seqs!$A:$B,2,0),W101,1),"")</f>
        <v>H</v>
      </c>
      <c r="W101" s="3">
        <v>132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R</v>
      </c>
      <c r="AC101" s="9">
        <v>137</v>
      </c>
      <c r="AD101" s="3" t="str">
        <f>IFERROR(MID(VLOOKUP($B101,Seqs!$A:$B,2,0),AE101,1),"")</f>
        <v>R</v>
      </c>
      <c r="AE101" s="3">
        <v>167</v>
      </c>
      <c r="AF101" s="3" t="str">
        <f>IFERROR(MID(VLOOKUP($B101,Seqs!$A:$B,2,0),AG101,1),"")</f>
        <v>C</v>
      </c>
      <c r="AG101" s="3">
        <v>180</v>
      </c>
      <c r="AH101" s="3" t="str">
        <f>IFERROR(MID(VLOOKUP($B101,Seqs!$A:$B,2,0),AI101,1),"")</f>
        <v>F</v>
      </c>
      <c r="AI101" s="3">
        <v>182</v>
      </c>
      <c r="AJ101" s="3" t="str">
        <f>IFERROR(MID(VLOOKUP($B101,Seqs!$A:$B,2,0),AK101,1),"")</f>
        <v>L</v>
      </c>
      <c r="AK101" s="3">
        <v>191</v>
      </c>
      <c r="AL101" s="3" t="str">
        <f>IFERROR(MID(VLOOKUP($B101,Seqs!$A:$B,2,0),AM101,1),"")</f>
        <v>L</v>
      </c>
      <c r="AM101" s="3">
        <v>222</v>
      </c>
      <c r="AN101" s="3" t="str">
        <f>IFERROR(MID(VLOOKUP($B101,Seqs!$A:$B,2,0),AO101,1),"")</f>
        <v>N</v>
      </c>
      <c r="AO101" s="3">
        <v>235</v>
      </c>
      <c r="AP101" s="3" t="str">
        <f>IFERROR(MID(VLOOKUP($B101,Seqs!$A:$B,2,0),AQ101,1),"")</f>
        <v>G</v>
      </c>
      <c r="AQ101" s="3">
        <v>269</v>
      </c>
      <c r="AR101" s="3" t="str">
        <f>IFERROR(MID(VLOOKUP($B101,Seqs!$A:$B,2,0),AS101,1),"")</f>
        <v>D</v>
      </c>
      <c r="AS101" s="3">
        <v>273</v>
      </c>
      <c r="AT101" s="3" t="str">
        <f>IFERROR(MID(VLOOKUP($B101,Seqs!$A:$B,2,0),AU101,1),"")</f>
        <v>F</v>
      </c>
      <c r="AU101" s="3">
        <v>304</v>
      </c>
      <c r="AV101" s="3" t="str">
        <f>IFERROR(MID(VLOOKUP($B101,Seqs!$A:$B,2,0),AW101,1),"")</f>
        <v>G</v>
      </c>
      <c r="AW101" s="3">
        <v>306</v>
      </c>
      <c r="AX101" s="3" t="str">
        <f>IFERROR(MID(VLOOKUP($B101,Seqs!$A:$B,2,0),AY101,1),"")</f>
        <v>L</v>
      </c>
      <c r="AY101" s="3">
        <v>317</v>
      </c>
      <c r="AZ101" s="78" t="str">
        <f>VLOOKUP(B101,Classification!A:D,2,0)</f>
        <v>A</v>
      </c>
      <c r="BA101" s="95" t="str">
        <f>VLOOKUP(B101,Classification!A:D,4,0)</f>
        <v>Angiotensin</v>
      </c>
      <c r="BB101" s="27" t="b">
        <f t="shared" si="811"/>
        <v>1</v>
      </c>
      <c r="BC101" s="23">
        <f t="shared" si="784"/>
        <v>251</v>
      </c>
      <c r="BD101" s="5"/>
      <c r="BE101" s="3" t="s">
        <v>1381</v>
      </c>
      <c r="BF101" s="120">
        <v>2.9</v>
      </c>
      <c r="BG101" s="49" t="s">
        <v>1384</v>
      </c>
      <c r="BH101" s="49" t="s">
        <v>1384</v>
      </c>
      <c r="BI101" s="1"/>
      <c r="BJ101" s="71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1">
        <f t="shared" si="785"/>
        <v>26</v>
      </c>
      <c r="BW101" s="72">
        <f t="shared" si="786"/>
        <v>57</v>
      </c>
      <c r="BX101" s="73">
        <f t="shared" si="787"/>
        <v>61</v>
      </c>
      <c r="BY101" s="72">
        <f t="shared" si="788"/>
        <v>93</v>
      </c>
      <c r="BZ101" s="73">
        <f t="shared" si="789"/>
        <v>97</v>
      </c>
      <c r="CA101" s="72" t="str">
        <f t="shared" si="790"/>
        <v>-</v>
      </c>
      <c r="CB101" s="73">
        <f t="shared" si="791"/>
        <v>137</v>
      </c>
      <c r="CC101" s="72">
        <f t="shared" si="792"/>
        <v>180</v>
      </c>
      <c r="CD101" s="73">
        <f t="shared" si="793"/>
        <v>191</v>
      </c>
      <c r="CE101" s="72">
        <f t="shared" si="794"/>
        <v>235</v>
      </c>
      <c r="CF101" s="73">
        <f t="shared" si="795"/>
        <v>273</v>
      </c>
      <c r="CG101" s="72">
        <f t="shared" si="796"/>
        <v>306</v>
      </c>
      <c r="CH101" s="71">
        <f t="shared" si="797"/>
        <v>56</v>
      </c>
      <c r="CI101" s="72">
        <f t="shared" si="798"/>
        <v>60</v>
      </c>
      <c r="CJ101" s="73">
        <f t="shared" si="799"/>
        <v>90</v>
      </c>
      <c r="CK101" s="73">
        <f t="shared" si="800"/>
        <v>96</v>
      </c>
      <c r="CL101" s="73">
        <f t="shared" si="801"/>
        <v>132</v>
      </c>
      <c r="CM101" s="73" t="str">
        <f t="shared" si="802"/>
        <v>-</v>
      </c>
      <c r="CN101" s="73">
        <f t="shared" si="803"/>
        <v>167</v>
      </c>
      <c r="CO101" s="73">
        <f t="shared" si="804"/>
        <v>182</v>
      </c>
      <c r="CP101" s="73">
        <f t="shared" si="805"/>
        <v>222</v>
      </c>
      <c r="CQ101" s="73">
        <f t="shared" si="806"/>
        <v>269</v>
      </c>
      <c r="CR101" s="73">
        <f t="shared" si="807"/>
        <v>304</v>
      </c>
      <c r="CS101" s="73">
        <f t="shared" si="808"/>
        <v>317</v>
      </c>
      <c r="CT101" s="23">
        <f t="shared" si="809"/>
        <v>1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</row>
    <row r="102" spans="1:1030" x14ac:dyDescent="0.2">
      <c r="A102" s="3" t="str">
        <f t="shared" si="810"/>
        <v>agtr1_human_4ZUD</v>
      </c>
      <c r="B102" s="3" t="s">
        <v>158</v>
      </c>
      <c r="C102" s="3" t="s">
        <v>1342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M</v>
      </c>
      <c r="AC102" s="9">
        <v>142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L</v>
      </c>
      <c r="AM102" s="3">
        <v>222</v>
      </c>
      <c r="AN102" s="3" t="str">
        <f>IFERROR(MID(VLOOKUP($B102,Seqs!$A:$B,2,0),AO102,1),"")</f>
        <v>D</v>
      </c>
      <c r="AO102" s="3">
        <v>236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F</v>
      </c>
      <c r="AU102" s="3">
        <v>304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8" t="str">
        <f>VLOOKUP(B102,Classification!A:D,2,0)</f>
        <v>A</v>
      </c>
      <c r="BA102" s="95" t="str">
        <f>VLOOKUP(B102,Classification!A:D,4,0)</f>
        <v>Angiotensin</v>
      </c>
      <c r="BB102" s="27" t="b">
        <f t="shared" si="811"/>
        <v>1</v>
      </c>
      <c r="BC102" s="23">
        <f t="shared" si="784"/>
        <v>234</v>
      </c>
      <c r="BD102" s="2" t="s">
        <v>1383</v>
      </c>
      <c r="BE102" s="3" t="s">
        <v>1381</v>
      </c>
      <c r="BF102" s="120">
        <v>2.8</v>
      </c>
      <c r="BG102" s="49" t="s">
        <v>1384</v>
      </c>
      <c r="BH102" s="49" t="s">
        <v>1384</v>
      </c>
      <c r="BI102" s="1"/>
      <c r="BJ102" s="71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1">
        <f t="shared" si="785"/>
        <v>26</v>
      </c>
      <c r="BW102" s="72">
        <f t="shared" si="786"/>
        <v>57</v>
      </c>
      <c r="BX102" s="73">
        <f t="shared" si="787"/>
        <v>61</v>
      </c>
      <c r="BY102" s="72">
        <f t="shared" si="788"/>
        <v>93</v>
      </c>
      <c r="BZ102" s="73">
        <f t="shared" si="789"/>
        <v>97</v>
      </c>
      <c r="CA102" s="72" t="str">
        <f t="shared" si="790"/>
        <v>-</v>
      </c>
      <c r="CB102" s="73">
        <f t="shared" si="791"/>
        <v>142</v>
      </c>
      <c r="CC102" s="72">
        <f t="shared" si="792"/>
        <v>180</v>
      </c>
      <c r="CD102" s="73">
        <f t="shared" si="793"/>
        <v>191</v>
      </c>
      <c r="CE102" s="72">
        <f t="shared" si="794"/>
        <v>236</v>
      </c>
      <c r="CF102" s="73">
        <f t="shared" si="795"/>
        <v>273</v>
      </c>
      <c r="CG102" s="72" t="str">
        <f t="shared" si="796"/>
        <v>-</v>
      </c>
      <c r="CH102" s="71">
        <f t="shared" si="797"/>
        <v>56</v>
      </c>
      <c r="CI102" s="72">
        <f t="shared" si="798"/>
        <v>60</v>
      </c>
      <c r="CJ102" s="73">
        <f t="shared" si="799"/>
        <v>90</v>
      </c>
      <c r="CK102" s="73">
        <f t="shared" si="800"/>
        <v>96</v>
      </c>
      <c r="CL102" s="73">
        <f t="shared" si="801"/>
        <v>132</v>
      </c>
      <c r="CM102" s="73" t="str">
        <f t="shared" si="802"/>
        <v>-</v>
      </c>
      <c r="CN102" s="73">
        <f t="shared" si="803"/>
        <v>167</v>
      </c>
      <c r="CO102" s="73">
        <f t="shared" si="804"/>
        <v>182</v>
      </c>
      <c r="CP102" s="73">
        <f t="shared" si="805"/>
        <v>222</v>
      </c>
      <c r="CQ102" s="73">
        <f t="shared" si="806"/>
        <v>269</v>
      </c>
      <c r="CR102" s="73">
        <f t="shared" si="807"/>
        <v>304</v>
      </c>
      <c r="CS102" s="73" t="str">
        <f t="shared" si="808"/>
        <v>-</v>
      </c>
      <c r="CT102" s="23">
        <f t="shared" si="809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30" x14ac:dyDescent="0.2">
      <c r="A103" s="3" t="str">
        <f t="shared" ref="A103:A104" si="840">CONCATENATE(B103,"_",C103)</f>
        <v>agtr2_human__wt</v>
      </c>
      <c r="B103" s="3" t="s">
        <v>159</v>
      </c>
      <c r="C103" s="3" t="s">
        <v>100</v>
      </c>
      <c r="D103" s="3" t="str">
        <f>IFERROR(MID(VLOOKUP($B103,Seqs!$A:$B,2,0),E103,1),"")</f>
        <v>D</v>
      </c>
      <c r="E103" s="3">
        <v>45</v>
      </c>
      <c r="F103" s="3" t="str">
        <f>IFERROR(MID(VLOOKUP($B103,Seqs!$A:$B,2,0),G103,1),"")</f>
        <v>Q</v>
      </c>
      <c r="G103" s="3">
        <v>72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V</v>
      </c>
      <c r="M103" s="3">
        <v>78</v>
      </c>
      <c r="N103" s="3" t="str">
        <f>IFERROR(MID(VLOOKUP($B103,Seqs!$A:$B,2,0),O103,1),"")</f>
        <v>Y</v>
      </c>
      <c r="O103" s="3">
        <v>106</v>
      </c>
      <c r="P103" s="3" t="str">
        <f>IFERROR(MID(VLOOKUP($B103,Seqs!$A:$B,2,0),Q103,1),"")</f>
        <v>R</v>
      </c>
      <c r="Q103" s="3">
        <v>107</v>
      </c>
      <c r="R103" s="3" t="str">
        <f>IFERROR(MID(VLOOKUP($B103,Seqs!$A:$B,2,0),S103,1),"")</f>
        <v>F</v>
      </c>
      <c r="S103" s="3">
        <v>112</v>
      </c>
      <c r="T103" s="3" t="str">
        <f>IFERROR(MID(VLOOKUP($B103,Seqs!$A:$B,2,0),U103,1),"")</f>
        <v>G</v>
      </c>
      <c r="U103" s="3">
        <v>113</v>
      </c>
      <c r="V103" s="3" t="str">
        <f>IFERROR(MID(VLOOKUP($B103,Seqs!$A:$B,2,0),W103,1),"")</f>
        <v>Y</v>
      </c>
      <c r="W103" s="3">
        <v>148</v>
      </c>
      <c r="X103" s="3" t="str">
        <f>IFERROR(MID(VLOOKUP($B103,Seqs!$A:$B,2,0),Y103,1),"")</f>
        <v>P</v>
      </c>
      <c r="Y103" s="3">
        <v>149</v>
      </c>
      <c r="Z103" s="3" t="str">
        <f>IFERROR(MID(VLOOKUP($B103,Seqs!$A:$B,2,0),AA103,1),"")</f>
        <v>R</v>
      </c>
      <c r="AA103" s="3">
        <v>155</v>
      </c>
      <c r="AB103" s="3" t="str">
        <f>IFERROR(MID(VLOOKUP($B103,Seqs!$A:$B,2,0),AC103,1),"")</f>
        <v>N</v>
      </c>
      <c r="AC103" s="3">
        <v>156</v>
      </c>
      <c r="AD103" s="3" t="str">
        <f>IFERROR(MID(VLOOKUP($B103,Seqs!$A:$B,2,0),AE103,1),"")</f>
        <v>R</v>
      </c>
      <c r="AE103" s="3">
        <v>182</v>
      </c>
      <c r="AF103" s="3" t="str">
        <f>IFERROR(MID(VLOOKUP($B103,Seqs!$A:$B,2,0),AG103,1),"")</f>
        <v>C</v>
      </c>
      <c r="AG103" s="3">
        <v>195</v>
      </c>
      <c r="AH103" s="3" t="str">
        <f>IFERROR(MID(VLOOKUP($B103,Seqs!$A:$B,2,0),AI103,1),"")</f>
        <v>M</v>
      </c>
      <c r="AI103" s="3">
        <v>197</v>
      </c>
      <c r="AJ103" s="3" t="str">
        <f>IFERROR(MID(VLOOKUP($B103,Seqs!$A:$B,2,0),AK103,1),"")</f>
        <v>K</v>
      </c>
      <c r="AK103" s="3">
        <v>203</v>
      </c>
      <c r="AL103" s="3" t="str">
        <f>IFERROR(MID(VLOOKUP($B103,Seqs!$A:$B,2,0),AM103,1),"")</f>
        <v>T</v>
      </c>
      <c r="AM103" s="3">
        <v>241</v>
      </c>
      <c r="AN103" s="3" t="str">
        <f>IFERROR(MID(VLOOKUP($B103,Seqs!$A:$B,2,0),AO103,1),"")</f>
        <v>G</v>
      </c>
      <c r="AO103" s="3">
        <v>245</v>
      </c>
      <c r="AP103" s="3" t="str">
        <f>IFERROR(MID(VLOOKUP($B103,Seqs!$A:$B,2,0),AQ103,1),"")</f>
        <v>G</v>
      </c>
      <c r="AQ103" s="3">
        <v>285</v>
      </c>
      <c r="AR103" s="3" t="str">
        <f>IFERROR(MID(VLOOKUP($B103,Seqs!$A:$B,2,0),AS103,1),"")</f>
        <v>S</v>
      </c>
      <c r="AS103" s="3">
        <v>289</v>
      </c>
      <c r="AT103" s="3" t="str">
        <f>IFERROR(MID(VLOOKUP($B103,Seqs!$A:$B,2,0),AU103,1),"")</f>
        <v>V</v>
      </c>
      <c r="AU103" s="3">
        <v>321</v>
      </c>
      <c r="AV103" s="3" t="str">
        <f>IFERROR(MID(VLOOKUP($B103,Seqs!$A:$B,2,0),AW103,1),"")</f>
        <v>G</v>
      </c>
      <c r="AW103" s="3">
        <v>322</v>
      </c>
      <c r="AX103" s="3" t="str">
        <f>IFERROR(MID(VLOOKUP($B103,Seqs!$A:$B,2,0),AY103,1),"")</f>
        <v>P</v>
      </c>
      <c r="AY103" s="3">
        <v>336</v>
      </c>
      <c r="AZ103" s="78" t="str">
        <f>VLOOKUP(B103,Classification!A:D,2,0)</f>
        <v>A</v>
      </c>
      <c r="BA103" s="95" t="str">
        <f>VLOOKUP(B103,Classification!A:D,4,0)</f>
        <v>Angiotensin</v>
      </c>
      <c r="BB103" s="27" t="b">
        <f t="shared" ref="BB103:BB104" si="841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23">
        <f t="shared" ref="BC103:BC104" si="842">_xlfn.AGGREGATE(9,6,CH103:CS103)-_xlfn.AGGREGATE(9,6,BV103:CG103)+12</f>
        <v>265</v>
      </c>
      <c r="BD103" s="2" t="s">
        <v>23</v>
      </c>
      <c r="BE103" s="3" t="s">
        <v>23</v>
      </c>
      <c r="BF103" s="120" t="s">
        <v>23</v>
      </c>
      <c r="BG103" s="49" t="s">
        <v>1384</v>
      </c>
      <c r="BH103" s="49" t="s">
        <v>1384</v>
      </c>
      <c r="BI103" s="1"/>
      <c r="BJ103" s="71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1">
        <f t="shared" ref="BV103:BV104" si="843">E103</f>
        <v>45</v>
      </c>
      <c r="BW103" s="72" t="str">
        <f t="shared" ref="BW103:BW104" si="844">I103</f>
        <v>-</v>
      </c>
      <c r="BX103" s="73">
        <f t="shared" ref="BX103:BX104" si="845">M103</f>
        <v>78</v>
      </c>
      <c r="BY103" s="72">
        <f t="shared" ref="BY103:BY104" si="846">Q103</f>
        <v>107</v>
      </c>
      <c r="BZ103" s="73">
        <f t="shared" ref="BZ103:BZ104" si="847">U103</f>
        <v>113</v>
      </c>
      <c r="CA103" s="72">
        <f t="shared" ref="CA103:CA104" si="848">Y103</f>
        <v>149</v>
      </c>
      <c r="CB103" s="73">
        <f t="shared" ref="CB103:CB104" si="849">AC103</f>
        <v>156</v>
      </c>
      <c r="CC103" s="72">
        <f t="shared" ref="CC103:CC104" si="850">AG103</f>
        <v>195</v>
      </c>
      <c r="CD103" s="73">
        <f t="shared" ref="CD103:CD104" si="851">AK103</f>
        <v>203</v>
      </c>
      <c r="CE103" s="72">
        <f t="shared" ref="CE103:CE104" si="852">AO103</f>
        <v>245</v>
      </c>
      <c r="CF103" s="73">
        <f t="shared" ref="CF103:CF104" si="853">AS103</f>
        <v>289</v>
      </c>
      <c r="CG103" s="72">
        <f t="shared" ref="CG103:CG104" si="854">AW103</f>
        <v>322</v>
      </c>
      <c r="CH103" s="71">
        <f t="shared" ref="CH103:CH104" si="855">G103</f>
        <v>72</v>
      </c>
      <c r="CI103" s="72" t="str">
        <f t="shared" ref="CI103:CI104" si="856">K103</f>
        <v>-</v>
      </c>
      <c r="CJ103" s="73">
        <f t="shared" ref="CJ103:CJ104" si="857">O103</f>
        <v>106</v>
      </c>
      <c r="CK103" s="73">
        <f t="shared" ref="CK103:CK104" si="858">S103</f>
        <v>112</v>
      </c>
      <c r="CL103" s="73">
        <f t="shared" ref="CL103:CL104" si="859">W103</f>
        <v>148</v>
      </c>
      <c r="CM103" s="73">
        <f t="shared" ref="CM103:CM104" si="860">AA103</f>
        <v>155</v>
      </c>
      <c r="CN103" s="73">
        <f t="shared" ref="CN103:CN104" si="861">AE103</f>
        <v>182</v>
      </c>
      <c r="CO103" s="73">
        <f t="shared" ref="CO103:CO104" si="862">AI103</f>
        <v>197</v>
      </c>
      <c r="CP103" s="73">
        <f t="shared" ref="CP103:CP104" si="863">AM103</f>
        <v>241</v>
      </c>
      <c r="CQ103" s="73">
        <f t="shared" ref="CQ103:CQ104" si="864">AQ103</f>
        <v>285</v>
      </c>
      <c r="CR103" s="73">
        <f t="shared" ref="CR103:CR104" si="865">AU103</f>
        <v>321</v>
      </c>
      <c r="CS103" s="73">
        <f t="shared" ref="CS103:CS104" si="866">AY103</f>
        <v>336</v>
      </c>
      <c r="CT103" s="23" t="e">
        <f t="shared" ref="CT103:CT104" si="867">M103-K103</f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30" x14ac:dyDescent="0.2">
      <c r="A104" s="3" t="str">
        <f t="shared" si="840"/>
        <v>agtr2_human_5UNF</v>
      </c>
      <c r="B104" s="3" t="s">
        <v>159</v>
      </c>
      <c r="C104" s="3" t="s">
        <v>1399</v>
      </c>
      <c r="D104" s="3" t="str">
        <f>IFERROR(MID(VLOOKUP($B104,Seqs!$A:$B,2,0),E104,1),"")</f>
        <v>A</v>
      </c>
      <c r="E104" s="3">
        <v>46</v>
      </c>
      <c r="F104" s="3" t="str">
        <f>IFERROR(MID(VLOOKUP($B104,Seqs!$A:$B,2,0),G104,1),"")</f>
        <v>Q</v>
      </c>
      <c r="G104" s="3">
        <v>72</v>
      </c>
      <c r="H104" s="3" t="str">
        <f>IFERROR(MID(VLOOKUP($B104,Seqs!$A:$B,2,0),I104,1),"")</f>
        <v/>
      </c>
      <c r="I104" s="23" t="s">
        <v>23</v>
      </c>
      <c r="J104" s="3" t="str">
        <f>IFERROR(MID(VLOOKUP($B104,Seqs!$A:$B,2,0),K104,1),"")</f>
        <v/>
      </c>
      <c r="K104" s="23" t="s">
        <v>23</v>
      </c>
      <c r="L104" s="3" t="str">
        <f>IFERROR(MID(VLOOKUP($B104,Seqs!$A:$B,2,0),M104,1),"")</f>
        <v>V</v>
      </c>
      <c r="M104" s="3">
        <v>78</v>
      </c>
      <c r="N104" s="3" t="str">
        <f>IFERROR(MID(VLOOKUP($B104,Seqs!$A:$B,2,0),O104,1),"")</f>
        <v>Y</v>
      </c>
      <c r="O104" s="3">
        <v>106</v>
      </c>
      <c r="P104" s="3" t="str">
        <f>IFERROR(MID(VLOOKUP($B104,Seqs!$A:$B,2,0),Q104,1),"")</f>
        <v>R</v>
      </c>
      <c r="Q104" s="3">
        <v>107</v>
      </c>
      <c r="R104" s="3" t="str">
        <f>IFERROR(MID(VLOOKUP($B104,Seqs!$A:$B,2,0),S104,1),"")</f>
        <v>F</v>
      </c>
      <c r="S104" s="3">
        <v>112</v>
      </c>
      <c r="T104" s="3" t="str">
        <f>IFERROR(MID(VLOOKUP($B104,Seqs!$A:$B,2,0),U104,1),"")</f>
        <v>G</v>
      </c>
      <c r="U104" s="3">
        <v>113</v>
      </c>
      <c r="V104" s="3" t="str">
        <f>IFERROR(MID(VLOOKUP($B104,Seqs!$A:$B,2,0),W104,1),"")</f>
        <v>Y</v>
      </c>
      <c r="W104" s="3">
        <v>148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W</v>
      </c>
      <c r="AC104" s="3">
        <v>158</v>
      </c>
      <c r="AD104" s="3" t="str">
        <f>IFERROR(MID(VLOOKUP($B104,Seqs!$A:$B,2,0),AE104,1),"")</f>
        <v>R</v>
      </c>
      <c r="AE104" s="3">
        <v>182</v>
      </c>
      <c r="AF104" s="3" t="str">
        <f>IFERROR(MID(VLOOKUP($B104,Seqs!$A:$B,2,0),AG104,1),"")</f>
        <v>C</v>
      </c>
      <c r="AG104" s="3">
        <v>195</v>
      </c>
      <c r="AH104" s="3" t="str">
        <f>IFERROR(MID(VLOOKUP($B104,Seqs!$A:$B,2,0),AI104,1),"")</f>
        <v>M</v>
      </c>
      <c r="AI104" s="3">
        <v>197</v>
      </c>
      <c r="AJ104" s="3" t="str">
        <f>IFERROR(MID(VLOOKUP($B104,Seqs!$A:$B,2,0),AK104,1),"")</f>
        <v>Y</v>
      </c>
      <c r="AK104" s="3">
        <v>204</v>
      </c>
      <c r="AL104" s="3" t="str">
        <f>IFERROR(MID(VLOOKUP($B104,Seqs!$A:$B,2,0),AM104,1),"")</f>
        <v>T</v>
      </c>
      <c r="AM104" s="3">
        <v>241</v>
      </c>
      <c r="AN104" s="3" t="str">
        <f>IFERROR(MID(VLOOKUP($B104,Seqs!$A:$B,2,0),AO104,1),"")</f>
        <v>G</v>
      </c>
      <c r="AO104" s="3">
        <v>245</v>
      </c>
      <c r="AP104" s="3" t="str">
        <f>IFERROR(MID(VLOOKUP($B104,Seqs!$A:$B,2,0),AQ104,1),"")</f>
        <v>G</v>
      </c>
      <c r="AQ104" s="3">
        <v>285</v>
      </c>
      <c r="AR104" s="3" t="str">
        <f>IFERROR(MID(VLOOKUP($B104,Seqs!$A:$B,2,0),AS104,1),"")</f>
        <v>C</v>
      </c>
      <c r="AS104" s="3">
        <v>290</v>
      </c>
      <c r="AT104" s="3" t="str">
        <f>IFERROR(MID(VLOOKUP($B104,Seqs!$A:$B,2,0),AU104,1),"")</f>
        <v>V</v>
      </c>
      <c r="AU104" s="3">
        <v>321</v>
      </c>
      <c r="AV104" s="3" t="str">
        <f>IFERROR(MID(VLOOKUP($B104,Seqs!$A:$B,2,0),AW104,1),"")</f>
        <v>G</v>
      </c>
      <c r="AW104" s="3">
        <v>322</v>
      </c>
      <c r="AX104" s="3" t="str">
        <f>IFERROR(MID(VLOOKUP($B104,Seqs!$A:$B,2,0),AY104,1),"")</f>
        <v>R</v>
      </c>
      <c r="AY104" s="3">
        <v>334</v>
      </c>
      <c r="AZ104" s="78"/>
      <c r="BA104" s="95" t="str">
        <f>VLOOKUP(B104,Classification!A:D,4,0)</f>
        <v>Angiotensin</v>
      </c>
      <c r="BB104" s="27" t="b">
        <f t="shared" si="841"/>
        <v>1</v>
      </c>
      <c r="BC104" s="23">
        <f t="shared" si="842"/>
        <v>252</v>
      </c>
      <c r="BD104" s="2" t="s">
        <v>23</v>
      </c>
      <c r="BE104" s="3" t="s">
        <v>1297</v>
      </c>
      <c r="BF104" s="120">
        <v>2.8</v>
      </c>
      <c r="BG104" s="49" t="s">
        <v>1384</v>
      </c>
      <c r="BH104" s="49" t="s">
        <v>1</v>
      </c>
      <c r="BI104" s="1"/>
      <c r="BJ104" s="71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1">
        <f t="shared" si="843"/>
        <v>46</v>
      </c>
      <c r="BW104" s="72" t="str">
        <f t="shared" si="844"/>
        <v>-</v>
      </c>
      <c r="BX104" s="73">
        <f t="shared" si="845"/>
        <v>78</v>
      </c>
      <c r="BY104" s="72">
        <f t="shared" si="846"/>
        <v>107</v>
      </c>
      <c r="BZ104" s="73">
        <f t="shared" si="847"/>
        <v>113</v>
      </c>
      <c r="CA104" s="72" t="str">
        <f t="shared" si="848"/>
        <v>-</v>
      </c>
      <c r="CB104" s="73">
        <f t="shared" si="849"/>
        <v>158</v>
      </c>
      <c r="CC104" s="72">
        <f t="shared" si="850"/>
        <v>195</v>
      </c>
      <c r="CD104" s="73">
        <f t="shared" si="851"/>
        <v>204</v>
      </c>
      <c r="CE104" s="72">
        <f t="shared" si="852"/>
        <v>245</v>
      </c>
      <c r="CF104" s="73">
        <f t="shared" si="853"/>
        <v>290</v>
      </c>
      <c r="CG104" s="72">
        <f t="shared" si="854"/>
        <v>322</v>
      </c>
      <c r="CH104" s="71">
        <f t="shared" si="855"/>
        <v>72</v>
      </c>
      <c r="CI104" s="72" t="str">
        <f t="shared" si="856"/>
        <v>-</v>
      </c>
      <c r="CJ104" s="73">
        <f t="shared" si="857"/>
        <v>106</v>
      </c>
      <c r="CK104" s="73">
        <f t="shared" si="858"/>
        <v>112</v>
      </c>
      <c r="CL104" s="73">
        <f t="shared" si="859"/>
        <v>148</v>
      </c>
      <c r="CM104" s="73" t="str">
        <f t="shared" si="860"/>
        <v>-</v>
      </c>
      <c r="CN104" s="73">
        <f t="shared" si="861"/>
        <v>182</v>
      </c>
      <c r="CO104" s="73">
        <f t="shared" si="862"/>
        <v>197</v>
      </c>
      <c r="CP104" s="73">
        <f t="shared" si="863"/>
        <v>241</v>
      </c>
      <c r="CQ104" s="73">
        <f t="shared" si="864"/>
        <v>285</v>
      </c>
      <c r="CR104" s="73">
        <f t="shared" si="865"/>
        <v>321</v>
      </c>
      <c r="CS104" s="73">
        <f t="shared" si="866"/>
        <v>334</v>
      </c>
      <c r="CT104" s="23" t="e">
        <f t="shared" si="867"/>
        <v>#VALUE!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30" x14ac:dyDescent="0.2">
      <c r="A105" s="3" t="str">
        <f t="shared" ref="A105" si="868">CONCATENATE(B105,"_",C105)</f>
        <v>agtr2_human_5UNG</v>
      </c>
      <c r="B105" s="3" t="s">
        <v>159</v>
      </c>
      <c r="C105" s="3" t="s">
        <v>1401</v>
      </c>
      <c r="D105" s="3" t="str">
        <f>IFERROR(MID(VLOOKUP($B105,Seqs!$A:$B,2,0),E105,1),"")</f>
        <v>D</v>
      </c>
      <c r="E105" s="3">
        <v>45</v>
      </c>
      <c r="F105" s="3" t="str">
        <f>IFERROR(MID(VLOOKUP($B105,Seqs!$A:$B,2,0),G105,1),"")</f>
        <v>C</v>
      </c>
      <c r="G105" s="3">
        <v>71</v>
      </c>
      <c r="H105" s="3" t="str">
        <f>IFERROR(MID(VLOOKUP($B105,Seqs!$A:$B,2,0),I105,1),"")</f>
        <v/>
      </c>
      <c r="I105" s="23" t="s">
        <v>23</v>
      </c>
      <c r="J105" s="3" t="str">
        <f>IFERROR(MID(VLOOKUP($B105,Seqs!$A:$B,2,0),K105,1),"")</f>
        <v/>
      </c>
      <c r="K105" s="23" t="s">
        <v>23</v>
      </c>
      <c r="L105" s="3" t="str">
        <f>IFERROR(MID(VLOOKUP($B105,Seqs!$A:$B,2,0),M105,1),"")</f>
        <v>V</v>
      </c>
      <c r="M105" s="3">
        <v>78</v>
      </c>
      <c r="N105" s="3" t="str">
        <f>IFERROR(MID(VLOOKUP($B105,Seqs!$A:$B,2,0),O105,1),"")</f>
        <v>Y</v>
      </c>
      <c r="O105" s="3">
        <v>106</v>
      </c>
      <c r="P105" s="3" t="str">
        <f>IFERROR(MID(VLOOKUP($B105,Seqs!$A:$B,2,0),Q105,1),"")</f>
        <v>R</v>
      </c>
      <c r="Q105" s="3">
        <v>107</v>
      </c>
      <c r="R105" s="3" t="str">
        <f>IFERROR(MID(VLOOKUP($B105,Seqs!$A:$B,2,0),S105,1),"")</f>
        <v>F</v>
      </c>
      <c r="S105" s="3">
        <v>112</v>
      </c>
      <c r="T105" s="3" t="str">
        <f>IFERROR(MID(VLOOKUP($B105,Seqs!$A:$B,2,0),U105,1),"")</f>
        <v>G</v>
      </c>
      <c r="U105" s="3">
        <v>113</v>
      </c>
      <c r="V105" s="3" t="str">
        <f>IFERROR(MID(VLOOKUP($B105,Seqs!$A:$B,2,0),W105,1),"")</f>
        <v>Y</v>
      </c>
      <c r="W105" s="3">
        <v>148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Q</v>
      </c>
      <c r="AC105" s="3">
        <v>159</v>
      </c>
      <c r="AD105" s="3" t="str">
        <f>IFERROR(MID(VLOOKUP($B105,Seqs!$A:$B,2,0),AE105,1),"")</f>
        <v>R</v>
      </c>
      <c r="AE105" s="3">
        <v>182</v>
      </c>
      <c r="AF105" s="3" t="str">
        <f>IFERROR(MID(VLOOKUP($B105,Seqs!$A:$B,2,0),AG105,1),"")</f>
        <v>C</v>
      </c>
      <c r="AG105" s="3">
        <v>195</v>
      </c>
      <c r="AH105" s="3" t="str">
        <f>IFERROR(MID(VLOOKUP($B105,Seqs!$A:$B,2,0),AI105,1),"")</f>
        <v>M</v>
      </c>
      <c r="AI105" s="3">
        <v>197</v>
      </c>
      <c r="AJ105" s="3" t="str">
        <f>IFERROR(MID(VLOOKUP($B105,Seqs!$A:$B,2,0),AK105,1),"")</f>
        <v>K</v>
      </c>
      <c r="AK105" s="3">
        <v>203</v>
      </c>
      <c r="AL105" s="3" t="str">
        <f>IFERROR(MID(VLOOKUP($B105,Seqs!$A:$B,2,0),AM105,1),"")</f>
        <v>T</v>
      </c>
      <c r="AM105" s="3">
        <v>241</v>
      </c>
      <c r="AN105" s="3" t="str">
        <f>IFERROR(MID(VLOOKUP($B105,Seqs!$A:$B,2,0),AO105,1),"")</f>
        <v>G</v>
      </c>
      <c r="AO105" s="3">
        <v>245</v>
      </c>
      <c r="AP105" s="3" t="str">
        <f>IFERROR(MID(VLOOKUP($B105,Seqs!$A:$B,2,0),AQ105,1),"")</f>
        <v>G</v>
      </c>
      <c r="AQ105" s="3">
        <v>285</v>
      </c>
      <c r="AR105" s="3" t="str">
        <f>IFERROR(MID(VLOOKUP($B105,Seqs!$A:$B,2,0),AS105,1),"")</f>
        <v>S</v>
      </c>
      <c r="AS105" s="3">
        <v>289</v>
      </c>
      <c r="AT105" s="3" t="str">
        <f>IFERROR(MID(VLOOKUP($B105,Seqs!$A:$B,2,0),AU105,1),"")</f>
        <v>V</v>
      </c>
      <c r="AU105" s="3">
        <v>321</v>
      </c>
      <c r="AV105" s="3" t="str">
        <f>IFERROR(MID(VLOOKUP($B105,Seqs!$A:$B,2,0),AW105,1),"")</f>
        <v>G</v>
      </c>
      <c r="AW105" s="3">
        <v>322</v>
      </c>
      <c r="AX105" s="3" t="str">
        <f>IFERROR(MID(VLOOKUP($B105,Seqs!$A:$B,2,0),AY105,1),"")</f>
        <v>R</v>
      </c>
      <c r="AY105" s="3">
        <v>334</v>
      </c>
      <c r="AZ105" s="78" t="str">
        <f>VLOOKUP(B105,Classification!A:D,2,0)</f>
        <v>A</v>
      </c>
      <c r="BA105" s="95" t="str">
        <f>VLOOKUP(B105,Classification!A:D,4,0)</f>
        <v>Angiotensin</v>
      </c>
      <c r="BB105" s="27" t="b">
        <f t="shared" ref="BB105" si="869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23">
        <f t="shared" ref="BC105" si="870">_xlfn.AGGREGATE(9,6,CH105:CS105)-_xlfn.AGGREGATE(9,6,BV105:CG105)+12</f>
        <v>253</v>
      </c>
      <c r="BD105" s="2" t="s">
        <v>1382</v>
      </c>
      <c r="BE105" s="3" t="s">
        <v>1297</v>
      </c>
      <c r="BF105" s="120">
        <v>2.8</v>
      </c>
      <c r="BG105" s="49" t="s">
        <v>1384</v>
      </c>
      <c r="BH105" s="49" t="s">
        <v>1287</v>
      </c>
      <c r="BI105" s="1"/>
      <c r="BJ105" s="71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1">
        <f t="shared" ref="BV105" si="871">E105</f>
        <v>45</v>
      </c>
      <c r="BW105" s="72" t="str">
        <f t="shared" ref="BW105" si="872">I105</f>
        <v>-</v>
      </c>
      <c r="BX105" s="73">
        <f t="shared" ref="BX105" si="873">M105</f>
        <v>78</v>
      </c>
      <c r="BY105" s="72">
        <f t="shared" ref="BY105" si="874">Q105</f>
        <v>107</v>
      </c>
      <c r="BZ105" s="73">
        <f t="shared" ref="BZ105" si="875">U105</f>
        <v>113</v>
      </c>
      <c r="CA105" s="72" t="str">
        <f t="shared" ref="CA105" si="876">Y105</f>
        <v>-</v>
      </c>
      <c r="CB105" s="73">
        <f t="shared" ref="CB105" si="877">AC105</f>
        <v>159</v>
      </c>
      <c r="CC105" s="72">
        <f t="shared" ref="CC105" si="878">AG105</f>
        <v>195</v>
      </c>
      <c r="CD105" s="73">
        <f t="shared" ref="CD105" si="879">AK105</f>
        <v>203</v>
      </c>
      <c r="CE105" s="72">
        <f t="shared" ref="CE105" si="880">AO105</f>
        <v>245</v>
      </c>
      <c r="CF105" s="73">
        <f t="shared" ref="CF105" si="881">AS105</f>
        <v>289</v>
      </c>
      <c r="CG105" s="72">
        <f t="shared" ref="CG105" si="882">AW105</f>
        <v>322</v>
      </c>
      <c r="CH105" s="71">
        <f t="shared" ref="CH105" si="883">G105</f>
        <v>71</v>
      </c>
      <c r="CI105" s="72" t="str">
        <f t="shared" ref="CI105" si="884">K105</f>
        <v>-</v>
      </c>
      <c r="CJ105" s="73">
        <f t="shared" ref="CJ105" si="885">O105</f>
        <v>106</v>
      </c>
      <c r="CK105" s="73">
        <f t="shared" ref="CK105" si="886">S105</f>
        <v>112</v>
      </c>
      <c r="CL105" s="73">
        <f t="shared" ref="CL105" si="887">W105</f>
        <v>148</v>
      </c>
      <c r="CM105" s="73" t="str">
        <f t="shared" ref="CM105" si="888">AA105</f>
        <v>-</v>
      </c>
      <c r="CN105" s="73">
        <f t="shared" ref="CN105" si="889">AE105</f>
        <v>182</v>
      </c>
      <c r="CO105" s="73">
        <f t="shared" ref="CO105" si="890">AI105</f>
        <v>197</v>
      </c>
      <c r="CP105" s="73">
        <f t="shared" ref="CP105" si="891">AM105</f>
        <v>241</v>
      </c>
      <c r="CQ105" s="73">
        <f t="shared" ref="CQ105" si="892">AQ105</f>
        <v>285</v>
      </c>
      <c r="CR105" s="73">
        <f t="shared" ref="CR105" si="893">AU105</f>
        <v>321</v>
      </c>
      <c r="CS105" s="73">
        <f t="shared" ref="CS105" si="894">AY105</f>
        <v>334</v>
      </c>
      <c r="CT105" s="23" t="e">
        <f t="shared" ref="CT105" si="895">M105-K105</f>
        <v>#VALUE!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30" x14ac:dyDescent="0.2">
      <c r="A106" s="3" t="str">
        <f t="shared" ref="A106" si="896">CONCATENATE(B106,"_",C106)</f>
        <v>agtr2_human_5UNH</v>
      </c>
      <c r="B106" s="3" t="s">
        <v>159</v>
      </c>
      <c r="C106" s="3" t="s">
        <v>1402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C</v>
      </c>
      <c r="G106" s="3">
        <v>70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K</v>
      </c>
      <c r="M106" s="3">
        <v>77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Y</v>
      </c>
      <c r="AC106" s="3">
        <v>162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Y</v>
      </c>
      <c r="AK106" s="3">
        <v>204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V</v>
      </c>
      <c r="AY106" s="3">
        <v>332</v>
      </c>
      <c r="AZ106" s="78" t="str">
        <f>VLOOKUP(B106,Classification!A:D,2,0)</f>
        <v>A</v>
      </c>
      <c r="BA106" s="95" t="str">
        <f>VLOOKUP(B106,Classification!A:D,4,0)</f>
        <v>Angiotensin</v>
      </c>
      <c r="BB106" s="27" t="b">
        <f t="shared" ref="BB106" si="897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" si="898">_xlfn.AGGREGATE(9,6,CH106:CS106)-_xlfn.AGGREGATE(9,6,BV106:CG106)+12</f>
        <v>247</v>
      </c>
      <c r="BD106" s="2" t="s">
        <v>23</v>
      </c>
      <c r="BE106" s="3" t="s">
        <v>1297</v>
      </c>
      <c r="BF106" s="120">
        <v>2.9</v>
      </c>
      <c r="BG106" s="49" t="s">
        <v>1384</v>
      </c>
      <c r="BH106" s="49" t="s">
        <v>1287</v>
      </c>
      <c r="BI106" s="1"/>
      <c r="BJ106" s="71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1">
        <f t="shared" ref="BV106" si="899">E106</f>
        <v>45</v>
      </c>
      <c r="BW106" s="72" t="str">
        <f t="shared" ref="BW106" si="900">I106</f>
        <v>-</v>
      </c>
      <c r="BX106" s="73">
        <f t="shared" ref="BX106" si="901">M106</f>
        <v>77</v>
      </c>
      <c r="BY106" s="72">
        <f t="shared" ref="BY106" si="902">Q106</f>
        <v>107</v>
      </c>
      <c r="BZ106" s="73">
        <f t="shared" ref="BZ106" si="903">U106</f>
        <v>113</v>
      </c>
      <c r="CA106" s="72" t="str">
        <f t="shared" ref="CA106" si="904">Y106</f>
        <v>-</v>
      </c>
      <c r="CB106" s="73">
        <f t="shared" ref="CB106" si="905">AC106</f>
        <v>162</v>
      </c>
      <c r="CC106" s="72">
        <f t="shared" ref="CC106" si="906">AG106</f>
        <v>195</v>
      </c>
      <c r="CD106" s="73">
        <f t="shared" ref="CD106" si="907">AK106</f>
        <v>204</v>
      </c>
      <c r="CE106" s="72">
        <f t="shared" ref="CE106" si="908">AO106</f>
        <v>245</v>
      </c>
      <c r="CF106" s="73">
        <f t="shared" ref="CF106" si="909">AS106</f>
        <v>289</v>
      </c>
      <c r="CG106" s="72">
        <f t="shared" ref="CG106" si="910">AW106</f>
        <v>322</v>
      </c>
      <c r="CH106" s="71">
        <f t="shared" ref="CH106" si="911">G106</f>
        <v>70</v>
      </c>
      <c r="CI106" s="72" t="str">
        <f t="shared" ref="CI106" si="912">K106</f>
        <v>-</v>
      </c>
      <c r="CJ106" s="73">
        <f t="shared" ref="CJ106" si="913">O106</f>
        <v>106</v>
      </c>
      <c r="CK106" s="73">
        <f t="shared" ref="CK106" si="914">S106</f>
        <v>112</v>
      </c>
      <c r="CL106" s="73">
        <f t="shared" ref="CL106" si="915">W106</f>
        <v>148</v>
      </c>
      <c r="CM106" s="73" t="str">
        <f t="shared" ref="CM106" si="916">AA106</f>
        <v>-</v>
      </c>
      <c r="CN106" s="73">
        <f t="shared" ref="CN106" si="917">AE106</f>
        <v>182</v>
      </c>
      <c r="CO106" s="73">
        <f t="shared" ref="CO106" si="918">AI106</f>
        <v>197</v>
      </c>
      <c r="CP106" s="73">
        <f t="shared" ref="CP106" si="919">AM106</f>
        <v>241</v>
      </c>
      <c r="CQ106" s="73">
        <f t="shared" ref="CQ106" si="920">AQ106</f>
        <v>285</v>
      </c>
      <c r="CR106" s="73">
        <f t="shared" ref="CR106" si="921">AU106</f>
        <v>321</v>
      </c>
      <c r="CS106" s="73">
        <f t="shared" ref="CS106" si="922">AY106</f>
        <v>332</v>
      </c>
      <c r="CT106" s="23" t="e">
        <f t="shared" ref="CT106" si="923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30" x14ac:dyDescent="0.2">
      <c r="A107" s="3" t="str">
        <f t="shared" ref="A107:A108" si="924">CONCATENATE(B107,"_",C107)</f>
        <v>apj_human__wt</v>
      </c>
      <c r="B107" s="3" t="s">
        <v>160</v>
      </c>
      <c r="C107" s="3" t="s">
        <v>100</v>
      </c>
      <c r="D107" s="3" t="str">
        <f>IFERROR(MID(VLOOKUP($B107,Seqs!$A:$B,2,0),E107,1),"")</f>
        <v>A</v>
      </c>
      <c r="E107" s="3">
        <v>29</v>
      </c>
      <c r="F107" s="3" t="str">
        <f>IFERROR(MID(VLOOKUP($B107,Seqs!$A:$B,2,0),G107,1),"")</f>
        <v>S</v>
      </c>
      <c r="G107" s="3">
        <v>56</v>
      </c>
      <c r="H107" s="3" t="str">
        <f>IFERROR(MID(VLOOKUP($B107,Seqs!$A:$B,2,0),I107,1),"")</f>
        <v>S</v>
      </c>
      <c r="I107" s="23">
        <v>57</v>
      </c>
      <c r="J107" s="3" t="str">
        <f>IFERROR(MID(VLOOKUP($B107,Seqs!$A:$B,2,0),K107,1),"")</f>
        <v>R</v>
      </c>
      <c r="K107" s="23">
        <v>61</v>
      </c>
      <c r="L107" s="3" t="str">
        <f>IFERROR(MID(VLOOKUP($B107,Seqs!$A:$B,2,0),M107,1),"")</f>
        <v>R</v>
      </c>
      <c r="M107" s="3">
        <v>62</v>
      </c>
      <c r="N107" s="3" t="str">
        <f>IFERROR(MID(VLOOKUP($B107,Seqs!$A:$B,2,0),O107,1),"")</f>
        <v>D</v>
      </c>
      <c r="O107" s="3">
        <v>92</v>
      </c>
      <c r="P107" s="3" t="str">
        <f>IFERROR(MID(VLOOKUP($B107,Seqs!$A:$B,2,0),Q107,1),"")</f>
        <v>D</v>
      </c>
      <c r="Q107" s="3">
        <v>94</v>
      </c>
      <c r="R107" s="3" t="str">
        <f>IFERROR(MID(VLOOKUP($B107,Seqs!$A:$B,2,0),S107,1),"")</f>
        <v>F</v>
      </c>
      <c r="S107" s="3">
        <v>97</v>
      </c>
      <c r="T107" s="3" t="str">
        <f>IFERROR(MID(VLOOKUP($B107,Seqs!$A:$B,2,0),U107,1),"")</f>
        <v>G</v>
      </c>
      <c r="U107" s="3">
        <v>98</v>
      </c>
      <c r="V107" s="3" t="str">
        <f>IFERROR(MID(VLOOKUP($B107,Seqs!$A:$B,2,0),W107,1),"")</f>
        <v>R</v>
      </c>
      <c r="W107" s="3">
        <v>133</v>
      </c>
      <c r="X107" s="3" t="str">
        <f>IFERROR(MID(VLOOKUP($B107,Seqs!$A:$B,2,0),Y107,1),"")</f>
        <v>P</v>
      </c>
      <c r="Y107" s="3">
        <v>134</v>
      </c>
      <c r="Z107" s="3" t="str">
        <f>IFERROR(MID(VLOOKUP($B107,Seqs!$A:$B,2,0),AA107,1),"")</f>
        <v>R</v>
      </c>
      <c r="AA107" s="3">
        <v>141</v>
      </c>
      <c r="AB107" s="3" t="str">
        <f>IFERROR(MID(VLOOKUP($B107,Seqs!$A:$B,2,0),AC107,1),"")</f>
        <v>L</v>
      </c>
      <c r="AC107" s="3">
        <v>142</v>
      </c>
      <c r="AD107" s="3" t="str">
        <f>IFERROR(MID(VLOOKUP($B107,Seqs!$A:$B,2,0),AE107,1),"")</f>
        <v>R</v>
      </c>
      <c r="AE107" s="3">
        <v>168</v>
      </c>
      <c r="AF107" s="3" t="str">
        <f>IFERROR(MID(VLOOKUP($B107,Seqs!$A:$B,2,0),AG107,1),"")</f>
        <v>C</v>
      </c>
      <c r="AG107" s="3">
        <v>181</v>
      </c>
      <c r="AH107" s="3" t="str">
        <f>IFERROR(MID(VLOOKUP($B107,Seqs!$A:$B,2,0),AI107,1),"")</f>
        <v>M</v>
      </c>
      <c r="AI107" s="3">
        <v>183</v>
      </c>
      <c r="AJ107" s="3" t="str">
        <f>IFERROR(MID(VLOOKUP($B107,Seqs!$A:$B,2,0),AK107,1),"")</f>
        <v>S</v>
      </c>
      <c r="AK107" s="3">
        <v>193</v>
      </c>
      <c r="AL107" s="3" t="str">
        <f>IFERROR(MID(VLOOKUP($B107,Seqs!$A:$B,2,0),AM107,1),"")</f>
        <v>E</v>
      </c>
      <c r="AM107" s="3">
        <v>235</v>
      </c>
      <c r="AN107" s="3" t="str">
        <f>IFERROR(MID(VLOOKUP($B107,Seqs!$A:$B,2,0),AO107,1),"")</f>
        <v>K</v>
      </c>
      <c r="AO107" s="3">
        <v>242</v>
      </c>
      <c r="AP107" s="3" t="str">
        <f>IFERROR(MID(VLOOKUP($B107,Seqs!$A:$B,2,0),AQ107,1),"")</f>
        <v>L</v>
      </c>
      <c r="AQ107" s="3">
        <v>276</v>
      </c>
      <c r="AR107" s="3" t="str">
        <f>IFERROR(MID(VLOOKUP($B107,Seqs!$A:$B,2,0),AS107,1),"")</f>
        <v>P</v>
      </c>
      <c r="AS107" s="3">
        <v>280</v>
      </c>
      <c r="AT107" s="3" t="str">
        <f>IFERROR(MID(VLOOKUP($B107,Seqs!$A:$B,2,0),AU107,1),"")</f>
        <v>F</v>
      </c>
      <c r="AU107" s="3">
        <v>312</v>
      </c>
      <c r="AV107" s="3" t="str">
        <f>IFERROR(MID(VLOOKUP($B107,Seqs!$A:$B,2,0),AW107,1),"")</f>
        <v>D</v>
      </c>
      <c r="AW107" s="3">
        <v>313</v>
      </c>
      <c r="AX107" s="3" t="str">
        <f>IFERROR(MID(VLOOKUP($B107,Seqs!$A:$B,2,0),AY107,1),"")</f>
        <v>G</v>
      </c>
      <c r="AY107" s="3">
        <v>327</v>
      </c>
      <c r="AZ107" s="78" t="str">
        <f>VLOOKUP(B107,Classification!A:D,2,0)</f>
        <v>A</v>
      </c>
      <c r="BA107" s="95" t="str">
        <f>VLOOKUP(B107,Classification!A:D,4,0)</f>
        <v>Apelin</v>
      </c>
      <c r="BB107" s="27" t="b">
        <f t="shared" ref="BB107:BB108" si="925">AND(E107&lt;G107,OR(G107&lt;I107,I107="-"),OR(I107&lt;K107,I107="-"),OR(K107&lt;M107,K107="-"),M107&lt;O107,OR(O107&lt;Q107,Q107="-"),OR(Q107&lt;S107,Q107="-"),OR(S107&lt;U107,S107="-"),U107&lt;W107,OR(W107&lt;Y107,Y107="-"),OR(Y107&lt;AA107,Y107="-"),OR(AA107&lt;AC107,AA107="-"),AC107&lt;AE107,OR(AE107&lt;AG107,AG107="-"),OR(AG107&lt;AI107,AG107="-"),OR(AI107&lt;AK107,AI107="-"),AK107&lt;AM107,AM107&lt;AO107,AO107&lt;AQ107,AQ107&lt;AS107,AS107&lt;AU107,OR(AU107&lt;AW107,AW107="-"),OR(AW107&lt;AY107,AW107="-"))</f>
        <v>1</v>
      </c>
      <c r="BC107" s="23">
        <f t="shared" ref="BC107:BC108" si="926">_xlfn.AGGREGATE(9,6,CH107:CS107)-_xlfn.AGGREGATE(9,6,BV107:CG107)+12</f>
        <v>268</v>
      </c>
      <c r="BD107" s="2"/>
      <c r="BE107" s="3" t="s">
        <v>23</v>
      </c>
      <c r="BF107" s="120" t="s">
        <v>23</v>
      </c>
      <c r="BG107" s="49" t="s">
        <v>1287</v>
      </c>
      <c r="BH107" s="49" t="s">
        <v>1287</v>
      </c>
      <c r="BI107" s="1"/>
      <c r="BJ107" s="71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1">
        <f t="shared" ref="BV107:BV108" si="927">E107</f>
        <v>29</v>
      </c>
      <c r="BW107" s="72">
        <f t="shared" ref="BW107:BW108" si="928">I107</f>
        <v>57</v>
      </c>
      <c r="BX107" s="73">
        <f t="shared" ref="BX107:BX108" si="929">M107</f>
        <v>62</v>
      </c>
      <c r="BY107" s="72">
        <f t="shared" ref="BY107:BY108" si="930">Q107</f>
        <v>94</v>
      </c>
      <c r="BZ107" s="73">
        <f t="shared" ref="BZ107:BZ108" si="931">U107</f>
        <v>98</v>
      </c>
      <c r="CA107" s="72">
        <f t="shared" ref="CA107:CA108" si="932">Y107</f>
        <v>134</v>
      </c>
      <c r="CB107" s="73">
        <f t="shared" ref="CB107:CB108" si="933">AC107</f>
        <v>142</v>
      </c>
      <c r="CC107" s="72">
        <f t="shared" ref="CC107:CC108" si="934">AG107</f>
        <v>181</v>
      </c>
      <c r="CD107" s="73">
        <f t="shared" ref="CD107:CD108" si="935">AK107</f>
        <v>193</v>
      </c>
      <c r="CE107" s="72">
        <f t="shared" ref="CE107:CE108" si="936">AO107</f>
        <v>242</v>
      </c>
      <c r="CF107" s="73">
        <f t="shared" ref="CF107:CF108" si="937">AS107</f>
        <v>280</v>
      </c>
      <c r="CG107" s="72">
        <f t="shared" ref="CG107:CG108" si="938">AW107</f>
        <v>313</v>
      </c>
      <c r="CH107" s="71">
        <f t="shared" ref="CH107:CH108" si="939">G107</f>
        <v>56</v>
      </c>
      <c r="CI107" s="72">
        <f t="shared" ref="CI107:CI108" si="940">K107</f>
        <v>61</v>
      </c>
      <c r="CJ107" s="73">
        <f t="shared" ref="CJ107:CJ108" si="941">O107</f>
        <v>92</v>
      </c>
      <c r="CK107" s="73">
        <f t="shared" ref="CK107:CK108" si="942">S107</f>
        <v>97</v>
      </c>
      <c r="CL107" s="73">
        <f t="shared" ref="CL107:CL108" si="943">W107</f>
        <v>133</v>
      </c>
      <c r="CM107" s="73">
        <f t="shared" ref="CM107:CM108" si="944">AA107</f>
        <v>141</v>
      </c>
      <c r="CN107" s="73">
        <f t="shared" ref="CN107:CN108" si="945">AE107</f>
        <v>168</v>
      </c>
      <c r="CO107" s="73">
        <f t="shared" ref="CO107:CO108" si="946">AI107</f>
        <v>183</v>
      </c>
      <c r="CP107" s="73">
        <f t="shared" ref="CP107:CP108" si="947">AM107</f>
        <v>235</v>
      </c>
      <c r="CQ107" s="73">
        <f t="shared" ref="CQ107:CQ108" si="948">AQ107</f>
        <v>276</v>
      </c>
      <c r="CR107" s="73">
        <f t="shared" ref="CR107:CR108" si="949">AU107</f>
        <v>312</v>
      </c>
      <c r="CS107" s="73">
        <f t="shared" ref="CS107:CS108" si="950">AY107</f>
        <v>327</v>
      </c>
      <c r="CT107" s="23">
        <f t="shared" ref="CT107:CT108" si="951">M107-K107</f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30" x14ac:dyDescent="0.2">
      <c r="A108" s="3" t="str">
        <f t="shared" si="924"/>
        <v>apj_human_5VBL</v>
      </c>
      <c r="B108" s="3" t="s">
        <v>160</v>
      </c>
      <c r="C108" s="3" t="s">
        <v>1424</v>
      </c>
      <c r="D108" s="3" t="str">
        <f>IFERROR(MID(VLOOKUP($B108,Seqs!$A:$B,2,0),E108,1),"")</f>
        <v>A</v>
      </c>
      <c r="E108" s="3">
        <v>29</v>
      </c>
      <c r="F108" s="3" t="str">
        <f>IFERROR(MID(VLOOKUP($B108,Seqs!$A:$B,2,0),G108,1),"")</f>
        <v>S</v>
      </c>
      <c r="G108" s="3">
        <v>56</v>
      </c>
      <c r="H108" s="3" t="str">
        <f>IFERROR(MID(VLOOKUP($B108,Seqs!$A:$B,2,0),I108,1),"")</f>
        <v>S</v>
      </c>
      <c r="I108" s="23">
        <v>57</v>
      </c>
      <c r="J108" s="3" t="str">
        <f>IFERROR(MID(VLOOKUP($B108,Seqs!$A:$B,2,0),K108,1),"")</f>
        <v>R</v>
      </c>
      <c r="K108" s="23">
        <v>61</v>
      </c>
      <c r="L108" s="3" t="str">
        <f>IFERROR(MID(VLOOKUP($B108,Seqs!$A:$B,2,0),M108,1),"")</f>
        <v>R</v>
      </c>
      <c r="M108" s="3">
        <v>62</v>
      </c>
      <c r="N108" s="3" t="str">
        <f>IFERROR(MID(VLOOKUP($B108,Seqs!$A:$B,2,0),O108,1),"")</f>
        <v>D</v>
      </c>
      <c r="O108" s="3">
        <v>92</v>
      </c>
      <c r="P108" s="3" t="str">
        <f>IFERROR(MID(VLOOKUP($B108,Seqs!$A:$B,2,0),Q108,1),"")</f>
        <v>D</v>
      </c>
      <c r="Q108" s="3">
        <v>94</v>
      </c>
      <c r="R108" s="3" t="str">
        <f>IFERROR(MID(VLOOKUP($B108,Seqs!$A:$B,2,0),S108,1),"")</f>
        <v>F</v>
      </c>
      <c r="S108" s="3">
        <v>97</v>
      </c>
      <c r="T108" s="3" t="str">
        <f>IFERROR(MID(VLOOKUP($B108,Seqs!$A:$B,2,0),U108,1),"")</f>
        <v>G</v>
      </c>
      <c r="U108" s="3">
        <v>98</v>
      </c>
      <c r="V108" s="3" t="str">
        <f>IFERROR(MID(VLOOKUP($B108,Seqs!$A:$B,2,0),W108,1),"")</f>
        <v>R</v>
      </c>
      <c r="W108" s="3">
        <v>133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R</v>
      </c>
      <c r="AC108" s="3">
        <v>141</v>
      </c>
      <c r="AD108" s="3" t="str">
        <f>IFERROR(MID(VLOOKUP($B108,Seqs!$A:$B,2,0),AE108,1),"")</f>
        <v>R</v>
      </c>
      <c r="AE108" s="3">
        <v>168</v>
      </c>
      <c r="AF108" s="3" t="str">
        <f>IFERROR(MID(VLOOKUP($B108,Seqs!$A:$B,2,0),AG108,1),"")</f>
        <v>C</v>
      </c>
      <c r="AG108" s="3">
        <v>181</v>
      </c>
      <c r="AH108" s="3" t="str">
        <f>IFERROR(MID(VLOOKUP($B108,Seqs!$A:$B,2,0),AI108,1),"")</f>
        <v>M</v>
      </c>
      <c r="AI108" s="3">
        <v>183</v>
      </c>
      <c r="AJ108" s="3" t="str">
        <f>IFERROR(MID(VLOOKUP($B108,Seqs!$A:$B,2,0),AK108,1),"")</f>
        <v>S</v>
      </c>
      <c r="AK108" s="3">
        <v>193</v>
      </c>
      <c r="AL108" s="3" t="str">
        <f>IFERROR(MID(VLOOKUP($B108,Seqs!$A:$B,2,0),AM108,1),"")</f>
        <v>A</v>
      </c>
      <c r="AM108" s="3">
        <v>229</v>
      </c>
      <c r="AN108" s="3" t="str">
        <f>IFERROR(MID(VLOOKUP($B108,Seqs!$A:$B,2,0),AO108,1),"")</f>
        <v>R</v>
      </c>
      <c r="AO108" s="3">
        <v>244</v>
      </c>
      <c r="AP108" s="3" t="str">
        <f>IFERROR(MID(VLOOKUP($B108,Seqs!$A:$B,2,0),AQ108,1),"")</f>
        <v>L</v>
      </c>
      <c r="AQ108" s="3">
        <v>276</v>
      </c>
      <c r="AR108" s="3" t="str">
        <f>IFERROR(MID(VLOOKUP($B108,Seqs!$A:$B,2,0),AS108,1),"")</f>
        <v>P</v>
      </c>
      <c r="AS108" s="3">
        <v>280</v>
      </c>
      <c r="AT108" s="3" t="str">
        <f>IFERROR(MID(VLOOKUP($B108,Seqs!$A:$B,2,0),AU108,1),"")</f>
        <v>F</v>
      </c>
      <c r="AU108" s="3">
        <v>312</v>
      </c>
      <c r="AV108" s="3" t="str">
        <f>IFERROR(MID(VLOOKUP($B108,Seqs!$A:$B,2,0),AW108,1),"")</f>
        <v>D</v>
      </c>
      <c r="AW108" s="3">
        <v>313</v>
      </c>
      <c r="AX108" s="3" t="str">
        <f>IFERROR(MID(VLOOKUP($B108,Seqs!$A:$B,2,0),AY108,1),"")</f>
        <v>G</v>
      </c>
      <c r="AY108" s="3">
        <v>327</v>
      </c>
      <c r="AZ108" s="78" t="str">
        <f>VLOOKUP(B108,Classification!A:D,2,0)</f>
        <v>A</v>
      </c>
      <c r="BA108" s="95" t="str">
        <f>VLOOKUP(B108,Classification!A:D,4,0)</f>
        <v>Apelin</v>
      </c>
      <c r="BB108" s="27" t="b">
        <f t="shared" si="925"/>
        <v>1</v>
      </c>
      <c r="BC108" s="23">
        <f t="shared" si="926"/>
        <v>254</v>
      </c>
      <c r="BD108" s="2" t="s">
        <v>1383</v>
      </c>
      <c r="BE108" s="3" t="s">
        <v>1381</v>
      </c>
      <c r="BF108" s="120">
        <v>2.6</v>
      </c>
      <c r="BG108" s="49" t="s">
        <v>1287</v>
      </c>
      <c r="BH108" s="49" t="s">
        <v>1287</v>
      </c>
      <c r="BI108" s="1"/>
      <c r="BJ108" s="71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1">
        <f t="shared" si="927"/>
        <v>29</v>
      </c>
      <c r="BW108" s="72">
        <f t="shared" si="928"/>
        <v>57</v>
      </c>
      <c r="BX108" s="73">
        <f t="shared" si="929"/>
        <v>62</v>
      </c>
      <c r="BY108" s="72">
        <f t="shared" si="930"/>
        <v>94</v>
      </c>
      <c r="BZ108" s="73">
        <f t="shared" si="931"/>
        <v>98</v>
      </c>
      <c r="CA108" s="72" t="str">
        <f t="shared" si="932"/>
        <v>-</v>
      </c>
      <c r="CB108" s="73">
        <f t="shared" si="933"/>
        <v>141</v>
      </c>
      <c r="CC108" s="72">
        <f t="shared" si="934"/>
        <v>181</v>
      </c>
      <c r="CD108" s="73">
        <f t="shared" si="935"/>
        <v>193</v>
      </c>
      <c r="CE108" s="72">
        <f t="shared" si="936"/>
        <v>244</v>
      </c>
      <c r="CF108" s="73">
        <f t="shared" si="937"/>
        <v>280</v>
      </c>
      <c r="CG108" s="72">
        <f t="shared" si="938"/>
        <v>313</v>
      </c>
      <c r="CH108" s="71">
        <f t="shared" si="939"/>
        <v>56</v>
      </c>
      <c r="CI108" s="72">
        <f t="shared" si="940"/>
        <v>61</v>
      </c>
      <c r="CJ108" s="73">
        <f t="shared" si="941"/>
        <v>92</v>
      </c>
      <c r="CK108" s="73">
        <f t="shared" si="942"/>
        <v>97</v>
      </c>
      <c r="CL108" s="73">
        <f t="shared" si="943"/>
        <v>133</v>
      </c>
      <c r="CM108" s="73" t="str">
        <f t="shared" si="944"/>
        <v>-</v>
      </c>
      <c r="CN108" s="73">
        <f t="shared" si="945"/>
        <v>168</v>
      </c>
      <c r="CO108" s="73">
        <f t="shared" si="946"/>
        <v>183</v>
      </c>
      <c r="CP108" s="73">
        <f t="shared" si="947"/>
        <v>229</v>
      </c>
      <c r="CQ108" s="73">
        <f t="shared" si="948"/>
        <v>276</v>
      </c>
      <c r="CR108" s="73">
        <f t="shared" si="949"/>
        <v>312</v>
      </c>
      <c r="CS108" s="73">
        <f t="shared" si="950"/>
        <v>327</v>
      </c>
      <c r="CT108" s="23">
        <f t="shared" si="951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30" s="12" customFormat="1" x14ac:dyDescent="0.2">
      <c r="A109" s="9" t="str">
        <f t="shared" ref="A109" si="952">CONCATENATE(B109,"_",C109)</f>
        <v>c5ar1_human__wt</v>
      </c>
      <c r="B109" s="9" t="s">
        <v>165</v>
      </c>
      <c r="C109" s="9" t="s">
        <v>100</v>
      </c>
      <c r="D109" s="9" t="str">
        <f>IFERROR(MID(VLOOKUP($B109,Seqs!$A:$B,2,0),E109,1),"")</f>
        <v>R</v>
      </c>
      <c r="E109" s="9">
        <v>34</v>
      </c>
      <c r="F109" s="9" t="str">
        <f>IFERROR(MID(VLOOKUP($B109,Seqs!$A:$B,2,0),G109,1),"")</f>
        <v>E</v>
      </c>
      <c r="G109" s="9">
        <v>65</v>
      </c>
      <c r="H109" s="9" t="str">
        <f>IFERROR(MID(VLOOKUP($B109,Seqs!$A:$B,2,0),I109,1),"")</f>
        <v/>
      </c>
      <c r="I109" s="110" t="s">
        <v>23</v>
      </c>
      <c r="J109" s="9" t="str">
        <f>IFERROR(MID(VLOOKUP($B109,Seqs!$A:$B,2,0),K109,1),"")</f>
        <v/>
      </c>
      <c r="K109" s="110" t="s">
        <v>23</v>
      </c>
      <c r="L109" s="9" t="str">
        <f>IFERROR(MID(VLOOKUP($B109,Seqs!$A:$B,2,0),M109,1),"")</f>
        <v>T</v>
      </c>
      <c r="M109" s="9">
        <v>69</v>
      </c>
      <c r="N109" s="9" t="str">
        <f>IFERROR(MID(VLOOKUP($B109,Seqs!$A:$B,2,0),O109,1),"")</f>
        <v>H</v>
      </c>
      <c r="O109" s="9">
        <v>99</v>
      </c>
      <c r="P109" s="9" t="str">
        <f>IFERROR(MID(VLOOKUP($B109,Seqs!$A:$B,2,0),Q109,1),"")</f>
        <v>H</v>
      </c>
      <c r="Q109" s="9">
        <v>101</v>
      </c>
      <c r="R109" s="9" t="str">
        <f>IFERROR(MID(VLOOKUP($B109,Seqs!$A:$B,2,0),S109,1),"")</f>
        <v>F</v>
      </c>
      <c r="S109" s="9">
        <v>104</v>
      </c>
      <c r="T109" s="9" t="str">
        <f>IFERROR(MID(VLOOKUP($B109,Seqs!$A:$B,2,0),U109,1),"")</f>
        <v>G</v>
      </c>
      <c r="U109" s="9">
        <v>105</v>
      </c>
      <c r="V109" s="9" t="str">
        <f>IFERROR(MID(VLOOKUP($B109,Seqs!$A:$B,2,0),W109,1),"")</f>
        <v>K</v>
      </c>
      <c r="W109" s="9">
        <v>140</v>
      </c>
      <c r="X109" s="9" t="str">
        <f>IFERROR(MID(VLOOKUP($B109,Seqs!$A:$B,2,0),Y109,1),"")</f>
        <v>P</v>
      </c>
      <c r="Y109" s="9">
        <v>141</v>
      </c>
      <c r="Z109" s="9" t="str">
        <f>IFERROR(MID(VLOOKUP($B109,Seqs!$A:$B,2,0),AA109,1),"")</f>
        <v>R</v>
      </c>
      <c r="AA109" s="9">
        <v>148</v>
      </c>
      <c r="AB109" s="9" t="str">
        <f>IFERROR(MID(VLOOKUP($B109,Seqs!$A:$B,2,0),AC109,1),"")</f>
        <v>G</v>
      </c>
      <c r="AC109" s="9">
        <v>149</v>
      </c>
      <c r="AD109" s="9" t="str">
        <f>IFERROR(MID(VLOOKUP($B109,Seqs!$A:$B,2,0),AE109,1),"")</f>
        <v>R</v>
      </c>
      <c r="AE109" s="9">
        <v>175</v>
      </c>
      <c r="AF109" s="9" t="str">
        <f>IFERROR(MID(VLOOKUP($B109,Seqs!$A:$B,2,0),AG109,1),"")</f>
        <v>C</v>
      </c>
      <c r="AG109" s="9">
        <v>188</v>
      </c>
      <c r="AH109" s="9" t="str">
        <f>IFERROR(MID(VLOOKUP($B109,Seqs!$A:$B,2,0),AI109,1),"")</f>
        <v>V</v>
      </c>
      <c r="AI109" s="9">
        <v>190</v>
      </c>
      <c r="AJ109" s="9" t="str">
        <f>IFERROR(MID(VLOOKUP($B109,Seqs!$A:$B,2,0),AK109,1),"")</f>
        <v>D</v>
      </c>
      <c r="AK109" s="9">
        <v>195</v>
      </c>
      <c r="AL109" s="9" t="str">
        <f>IFERROR(MID(VLOOKUP($B109,Seqs!$A:$B,2,0),AM109,1),"")</f>
        <v>R</v>
      </c>
      <c r="AM109" s="9">
        <v>232</v>
      </c>
      <c r="AN109" s="9" t="str">
        <f>IFERROR(MID(VLOOKUP($B109,Seqs!$A:$B,2,0),AO109,1),"")</f>
        <v>T</v>
      </c>
      <c r="AO109" s="9">
        <v>238</v>
      </c>
      <c r="AP109" s="9" t="str">
        <f>IFERROR(MID(VLOOKUP($B109,Seqs!$A:$B,2,0),AQ109,1),"")</f>
        <v>L</v>
      </c>
      <c r="AQ109" s="9">
        <v>268</v>
      </c>
      <c r="AR109" s="9" t="str">
        <f>IFERROR(MID(VLOOKUP($B109,Seqs!$A:$B,2,0),AS109,1),"")</f>
        <v>S</v>
      </c>
      <c r="AS109" s="9">
        <v>272</v>
      </c>
      <c r="AT109" s="9" t="str">
        <f>IFERROR(MID(VLOOKUP($B109,Seqs!$A:$B,2,0),AU109,1),"")</f>
        <v>A</v>
      </c>
      <c r="AU109" s="9">
        <v>303</v>
      </c>
      <c r="AV109" s="9" t="str">
        <f>IFERROR(MID(VLOOKUP($B109,Seqs!$A:$B,2,0),AW109,1),"")</f>
        <v>G</v>
      </c>
      <c r="AW109" s="9">
        <v>304</v>
      </c>
      <c r="AX109" s="9" t="str">
        <f>IFERROR(MID(VLOOKUP($B109,Seqs!$A:$B,2,0),AY109,1),"")</f>
        <v>K</v>
      </c>
      <c r="AY109" s="9">
        <v>313</v>
      </c>
      <c r="AZ109" s="111" t="str">
        <f>VLOOKUP(B109,Classification!A:D,2,0)</f>
        <v>A</v>
      </c>
      <c r="BA109" s="99" t="str">
        <f>VLOOKUP(B109,Classification!A:D,4,0)</f>
        <v>Complementpeptide</v>
      </c>
      <c r="BB109" s="36" t="b">
        <f t="shared" ref="BB109" si="953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10">
        <f t="shared" ref="BC109" si="954">_xlfn.AGGREGATE(9,6,CH109:CS109)-_xlfn.AGGREGATE(9,6,BV109:CG109)+12</f>
        <v>253</v>
      </c>
      <c r="BD109" s="40" t="s">
        <v>23</v>
      </c>
      <c r="BE109" s="9" t="s">
        <v>1381</v>
      </c>
      <c r="BF109" s="121" t="s">
        <v>23</v>
      </c>
      <c r="BG109" s="51"/>
      <c r="BH109" s="51"/>
      <c r="BJ109" s="112" t="s">
        <v>1293</v>
      </c>
      <c r="BK109" s="113" t="s">
        <v>1293</v>
      </c>
      <c r="BL109" s="113" t="s">
        <v>1293</v>
      </c>
      <c r="BM109" s="113" t="s">
        <v>1293</v>
      </c>
      <c r="BN109" s="113" t="s">
        <v>1293</v>
      </c>
      <c r="BO109" s="113" t="s">
        <v>1293</v>
      </c>
      <c r="BP109" s="113" t="s">
        <v>1293</v>
      </c>
      <c r="BQ109" s="113" t="s">
        <v>1293</v>
      </c>
      <c r="BR109" s="113" t="s">
        <v>1293</v>
      </c>
      <c r="BS109" s="113" t="s">
        <v>1293</v>
      </c>
      <c r="BT109" s="113" t="s">
        <v>1293</v>
      </c>
      <c r="BU109" s="113" t="s">
        <v>1293</v>
      </c>
      <c r="BV109" s="112">
        <f t="shared" ref="BV109" si="955">E109</f>
        <v>34</v>
      </c>
      <c r="BW109" s="114" t="str">
        <f t="shared" ref="BW109" si="956">I109</f>
        <v>-</v>
      </c>
      <c r="BX109" s="115">
        <f t="shared" ref="BX109" si="957">M109</f>
        <v>69</v>
      </c>
      <c r="BY109" s="114">
        <f t="shared" ref="BY109" si="958">Q109</f>
        <v>101</v>
      </c>
      <c r="BZ109" s="115">
        <f t="shared" ref="BZ109" si="959">U109</f>
        <v>105</v>
      </c>
      <c r="CA109" s="114">
        <f t="shared" ref="CA109" si="960">Y109</f>
        <v>141</v>
      </c>
      <c r="CB109" s="115">
        <f t="shared" ref="CB109" si="961">AC109</f>
        <v>149</v>
      </c>
      <c r="CC109" s="114">
        <f t="shared" ref="CC109" si="962">AG109</f>
        <v>188</v>
      </c>
      <c r="CD109" s="115">
        <f t="shared" ref="CD109" si="963">AK109</f>
        <v>195</v>
      </c>
      <c r="CE109" s="114">
        <f t="shared" ref="CE109" si="964">AO109</f>
        <v>238</v>
      </c>
      <c r="CF109" s="115">
        <f t="shared" ref="CF109" si="965">AS109</f>
        <v>272</v>
      </c>
      <c r="CG109" s="114">
        <f t="shared" ref="CG109" si="966">AW109</f>
        <v>304</v>
      </c>
      <c r="CH109" s="112">
        <f t="shared" ref="CH109" si="967">G109</f>
        <v>65</v>
      </c>
      <c r="CI109" s="114" t="str">
        <f t="shared" ref="CI109" si="968">K109</f>
        <v>-</v>
      </c>
      <c r="CJ109" s="115">
        <f t="shared" ref="CJ109" si="969">O109</f>
        <v>99</v>
      </c>
      <c r="CK109" s="115">
        <f t="shared" ref="CK109" si="970">S109</f>
        <v>104</v>
      </c>
      <c r="CL109" s="115">
        <f t="shared" ref="CL109" si="971">W109</f>
        <v>140</v>
      </c>
      <c r="CM109" s="115">
        <f t="shared" ref="CM109" si="972">AA109</f>
        <v>148</v>
      </c>
      <c r="CN109" s="115">
        <f t="shared" ref="CN109" si="973">AE109</f>
        <v>175</v>
      </c>
      <c r="CO109" s="115">
        <f t="shared" ref="CO109" si="974">AI109</f>
        <v>190</v>
      </c>
      <c r="CP109" s="115">
        <f t="shared" ref="CP109" si="975">AM109</f>
        <v>232</v>
      </c>
      <c r="CQ109" s="115">
        <f t="shared" ref="CQ109" si="976">AQ109</f>
        <v>268</v>
      </c>
      <c r="CR109" s="115">
        <f t="shared" ref="CR109" si="977">AU109</f>
        <v>303</v>
      </c>
      <c r="CS109" s="115">
        <f t="shared" ref="CS109" si="978">AY109</f>
        <v>313</v>
      </c>
      <c r="CT109" s="110" t="e">
        <f t="shared" ref="CT109" si="979">M109-K109</f>
        <v>#VALUE!</v>
      </c>
    </row>
    <row r="110" spans="1:1030" s="12" customFormat="1" x14ac:dyDescent="0.2">
      <c r="A110" s="9" t="str">
        <f t="shared" ref="A110" si="980">CONCATENATE(B110,"_",C110)</f>
        <v>c5ar1_human_5O9H</v>
      </c>
      <c r="B110" s="9" t="s">
        <v>165</v>
      </c>
      <c r="C110" s="9" t="s">
        <v>1492</v>
      </c>
      <c r="D110" s="9" t="str">
        <f>IFERROR(MID(VLOOKUP($B110,Seqs!$A:$B,2,0),E110,1),"")</f>
        <v>R</v>
      </c>
      <c r="E110" s="9">
        <v>34</v>
      </c>
      <c r="F110" s="9" t="str">
        <f>IFERROR(MID(VLOOKUP($B110,Seqs!$A:$B,2,0),G110,1),"")</f>
        <v>E</v>
      </c>
      <c r="G110" s="9">
        <v>65</v>
      </c>
      <c r="H110" s="9" t="str">
        <f>IFERROR(MID(VLOOKUP($B110,Seqs!$A:$B,2,0),I110,1),"")</f>
        <v/>
      </c>
      <c r="I110" s="110" t="s">
        <v>23</v>
      </c>
      <c r="J110" s="9" t="str">
        <f>IFERROR(MID(VLOOKUP($B110,Seqs!$A:$B,2,0),K110,1),"")</f>
        <v/>
      </c>
      <c r="K110" s="110" t="s">
        <v>23</v>
      </c>
      <c r="L110" s="9" t="str">
        <f>IFERROR(MID(VLOOKUP($B110,Seqs!$A:$B,2,0),M110,1),"")</f>
        <v>T</v>
      </c>
      <c r="M110" s="9">
        <v>69</v>
      </c>
      <c r="N110" s="9" t="str">
        <f>IFERROR(MID(VLOOKUP($B110,Seqs!$A:$B,2,0),O110,1),"")</f>
        <v>H</v>
      </c>
      <c r="O110" s="9">
        <v>99</v>
      </c>
      <c r="P110" s="9" t="str">
        <f>IFERROR(MID(VLOOKUP($B110,Seqs!$A:$B,2,0),Q110,1),"")</f>
        <v>H</v>
      </c>
      <c r="Q110" s="9">
        <v>101</v>
      </c>
      <c r="R110" s="9" t="str">
        <f>IFERROR(MID(VLOOKUP($B110,Seqs!$A:$B,2,0),S110,1),"")</f>
        <v>F</v>
      </c>
      <c r="S110" s="9">
        <v>104</v>
      </c>
      <c r="T110" s="9" t="str">
        <f>IFERROR(MID(VLOOKUP($B110,Seqs!$A:$B,2,0),U110,1),"")</f>
        <v>G</v>
      </c>
      <c r="U110" s="9">
        <v>105</v>
      </c>
      <c r="V110" s="9" t="str">
        <f>IFERROR(MID(VLOOKUP($B110,Seqs!$A:$B,2,0),W110,1),"")</f>
        <v>K</v>
      </c>
      <c r="W110" s="9">
        <v>140</v>
      </c>
      <c r="X110" s="9" t="str">
        <f>IFERROR(MID(VLOOKUP($B110,Seqs!$A:$B,2,0),Y110,1),"")</f>
        <v>P</v>
      </c>
      <c r="Y110" s="9">
        <v>141</v>
      </c>
      <c r="Z110" s="9" t="str">
        <f>IFERROR(MID(VLOOKUP($B110,Seqs!$A:$B,2,0),AA110,1),"")</f>
        <v>R</v>
      </c>
      <c r="AA110" s="9">
        <v>148</v>
      </c>
      <c r="AB110" s="9" t="str">
        <f>IFERROR(MID(VLOOKUP($B110,Seqs!$A:$B,2,0),AC110,1),"")</f>
        <v>G</v>
      </c>
      <c r="AC110" s="9">
        <v>149</v>
      </c>
      <c r="AD110" s="9" t="str">
        <f>IFERROR(MID(VLOOKUP($B110,Seqs!$A:$B,2,0),AE110,1),"")</f>
        <v>R</v>
      </c>
      <c r="AE110" s="9">
        <v>175</v>
      </c>
      <c r="AF110" s="9" t="str">
        <f>IFERROR(MID(VLOOKUP($B110,Seqs!$A:$B,2,0),AG110,1),"")</f>
        <v>C</v>
      </c>
      <c r="AG110" s="9">
        <v>188</v>
      </c>
      <c r="AH110" s="9" t="str">
        <f>IFERROR(MID(VLOOKUP($B110,Seqs!$A:$B,2,0),AI110,1),"")</f>
        <v>V</v>
      </c>
      <c r="AI110" s="9">
        <v>190</v>
      </c>
      <c r="AJ110" s="9" t="str">
        <f>IFERROR(MID(VLOOKUP($B110,Seqs!$A:$B,2,0),AK110,1),"")</f>
        <v>D</v>
      </c>
      <c r="AK110" s="9">
        <v>195</v>
      </c>
      <c r="AL110" s="9" t="str">
        <f>IFERROR(MID(VLOOKUP($B110,Seqs!$A:$B,2,0),AM110,1),"")</f>
        <v>R</v>
      </c>
      <c r="AM110" s="9">
        <v>232</v>
      </c>
      <c r="AN110" s="9" t="str">
        <f>IFERROR(MID(VLOOKUP($B110,Seqs!$A:$B,2,0),AO110,1),"")</f>
        <v>T</v>
      </c>
      <c r="AO110" s="9">
        <v>238</v>
      </c>
      <c r="AP110" s="9" t="str">
        <f>IFERROR(MID(VLOOKUP($B110,Seqs!$A:$B,2,0),AQ110,1),"")</f>
        <v>L</v>
      </c>
      <c r="AQ110" s="9">
        <v>268</v>
      </c>
      <c r="AR110" s="9" t="str">
        <f>IFERROR(MID(VLOOKUP($B110,Seqs!$A:$B,2,0),AS110,1),"")</f>
        <v>S</v>
      </c>
      <c r="AS110" s="9">
        <v>272</v>
      </c>
      <c r="AT110" s="9" t="str">
        <f>IFERROR(MID(VLOOKUP($B110,Seqs!$A:$B,2,0),AU110,1),"")</f>
        <v>F</v>
      </c>
      <c r="AU110" s="9">
        <v>307</v>
      </c>
      <c r="AV110" s="9" t="str">
        <f>IFERROR(MID(VLOOKUP($B110,Seqs!$A:$B,2,0),AW110,1),"")</f>
        <v/>
      </c>
      <c r="AW110" s="9" t="s">
        <v>23</v>
      </c>
      <c r="AX110" s="9" t="str">
        <f>IFERROR(MID(VLOOKUP($B110,Seqs!$A:$B,2,0),AY110,1),"")</f>
        <v/>
      </c>
      <c r="AY110" s="9" t="s">
        <v>23</v>
      </c>
      <c r="AZ110" s="111" t="str">
        <f>VLOOKUP(B110,Classification!A:D,2,0)</f>
        <v>A</v>
      </c>
      <c r="BA110" s="99" t="str">
        <f>VLOOKUP(B110,Classification!A:D,4,0)</f>
        <v>Complementpeptide</v>
      </c>
      <c r="BB110" s="36" t="b">
        <f t="shared" ref="BB110" si="981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10">
        <f t="shared" ref="BC110" si="982">_xlfn.AGGREGATE(9,6,CH110:CS110)-_xlfn.AGGREGATE(9,6,BV110:CG110)+12</f>
        <v>248</v>
      </c>
      <c r="BD110" s="40" t="s">
        <v>1383</v>
      </c>
      <c r="BE110" s="9" t="s">
        <v>1381</v>
      </c>
      <c r="BF110" s="121">
        <v>2.7</v>
      </c>
      <c r="BG110" s="51" t="s">
        <v>1</v>
      </c>
      <c r="BH110" s="51" t="s">
        <v>1</v>
      </c>
      <c r="BJ110" s="112" t="s">
        <v>1293</v>
      </c>
      <c r="BK110" s="113" t="s">
        <v>1293</v>
      </c>
      <c r="BL110" s="113" t="s">
        <v>1293</v>
      </c>
      <c r="BM110" s="113" t="s">
        <v>1293</v>
      </c>
      <c r="BN110" s="113" t="s">
        <v>1293</v>
      </c>
      <c r="BO110" s="113" t="s">
        <v>1293</v>
      </c>
      <c r="BP110" s="113" t="s">
        <v>1293</v>
      </c>
      <c r="BQ110" s="113" t="s">
        <v>1293</v>
      </c>
      <c r="BR110" s="113" t="s">
        <v>1293</v>
      </c>
      <c r="BS110" s="113" t="s">
        <v>1293</v>
      </c>
      <c r="BT110" s="113" t="s">
        <v>1293</v>
      </c>
      <c r="BU110" s="113" t="s">
        <v>1293</v>
      </c>
      <c r="BV110" s="112">
        <f t="shared" ref="BV110" si="983">E110</f>
        <v>34</v>
      </c>
      <c r="BW110" s="114" t="str">
        <f t="shared" ref="BW110" si="984">I110</f>
        <v>-</v>
      </c>
      <c r="BX110" s="115">
        <f t="shared" ref="BX110" si="985">M110</f>
        <v>69</v>
      </c>
      <c r="BY110" s="114">
        <f t="shared" ref="BY110" si="986">Q110</f>
        <v>101</v>
      </c>
      <c r="BZ110" s="115">
        <f t="shared" ref="BZ110" si="987">U110</f>
        <v>105</v>
      </c>
      <c r="CA110" s="114">
        <f t="shared" ref="CA110" si="988">Y110</f>
        <v>141</v>
      </c>
      <c r="CB110" s="115">
        <f t="shared" ref="CB110" si="989">AC110</f>
        <v>149</v>
      </c>
      <c r="CC110" s="114">
        <f t="shared" ref="CC110" si="990">AG110</f>
        <v>188</v>
      </c>
      <c r="CD110" s="115">
        <f t="shared" ref="CD110" si="991">AK110</f>
        <v>195</v>
      </c>
      <c r="CE110" s="114">
        <f t="shared" ref="CE110" si="992">AO110</f>
        <v>238</v>
      </c>
      <c r="CF110" s="115">
        <f t="shared" ref="CF110" si="993">AS110</f>
        <v>272</v>
      </c>
      <c r="CG110" s="114" t="str">
        <f t="shared" ref="CG110" si="994">AW110</f>
        <v>-</v>
      </c>
      <c r="CH110" s="112">
        <f t="shared" ref="CH110" si="995">G110</f>
        <v>65</v>
      </c>
      <c r="CI110" s="114" t="str">
        <f t="shared" ref="CI110" si="996">K110</f>
        <v>-</v>
      </c>
      <c r="CJ110" s="115">
        <f t="shared" ref="CJ110" si="997">O110</f>
        <v>99</v>
      </c>
      <c r="CK110" s="115">
        <f t="shared" ref="CK110" si="998">S110</f>
        <v>104</v>
      </c>
      <c r="CL110" s="115">
        <f t="shared" ref="CL110" si="999">W110</f>
        <v>140</v>
      </c>
      <c r="CM110" s="115">
        <f t="shared" ref="CM110" si="1000">AA110</f>
        <v>148</v>
      </c>
      <c r="CN110" s="115">
        <f t="shared" ref="CN110" si="1001">AE110</f>
        <v>175</v>
      </c>
      <c r="CO110" s="115">
        <f t="shared" ref="CO110" si="1002">AI110</f>
        <v>190</v>
      </c>
      <c r="CP110" s="115">
        <f t="shared" ref="CP110" si="1003">AM110</f>
        <v>232</v>
      </c>
      <c r="CQ110" s="115">
        <f t="shared" ref="CQ110" si="1004">AQ110</f>
        <v>268</v>
      </c>
      <c r="CR110" s="115">
        <f t="shared" ref="CR110" si="1005">AU110</f>
        <v>307</v>
      </c>
      <c r="CS110" s="115" t="str">
        <f t="shared" ref="CS110" si="1006">AY110</f>
        <v>-</v>
      </c>
      <c r="CT110" s="110" t="e">
        <f t="shared" ref="CT110" si="1007">M110-K110</f>
        <v>#VALUE!</v>
      </c>
    </row>
    <row r="111" spans="1:1030" x14ac:dyDescent="0.2">
      <c r="A111" s="3" t="str">
        <f t="shared" si="810"/>
        <v>ccr2_human__wt</v>
      </c>
      <c r="B111" s="3" t="s">
        <v>170</v>
      </c>
      <c r="C111" s="3" t="s">
        <v>100</v>
      </c>
      <c r="D111" s="3" t="str">
        <f>IFERROR(MID(VLOOKUP($B111,Seqs!$A:$B,2,0),E111,1),"")</f>
        <v>V</v>
      </c>
      <c r="E111" s="3">
        <v>37</v>
      </c>
      <c r="F111" s="3" t="str">
        <f>IFERROR(MID(VLOOKUP($B111,Seqs!$A:$B,2,0),G111,1),"")</f>
        <v>C</v>
      </c>
      <c r="G111" s="3">
        <v>70</v>
      </c>
      <c r="H111" s="3" t="str">
        <f>IFERROR(MID(VLOOKUP($B111,Seqs!$A:$B,2,0),I111,1),"")</f>
        <v>K</v>
      </c>
      <c r="I111" s="23">
        <v>71</v>
      </c>
      <c r="J111" s="3" t="str">
        <f>IFERROR(MID(VLOOKUP($B111,Seqs!$A:$B,2,0),K111,1),"")</f>
        <v>K</v>
      </c>
      <c r="K111" s="23">
        <v>74</v>
      </c>
      <c r="L111" s="3" t="str">
        <f>IFERROR(MID(VLOOKUP($B111,Seqs!$A:$B,2,0),M111,1),"")</f>
        <v>C</v>
      </c>
      <c r="M111" s="3">
        <v>75</v>
      </c>
      <c r="N111" s="3" t="str">
        <f>IFERROR(MID(VLOOKUP($B111,Seqs!$A:$B,2,0),O111,1),"")</f>
        <v>N</v>
      </c>
      <c r="O111" s="3">
        <v>104</v>
      </c>
      <c r="P111" s="3" t="str">
        <f>IFERROR(MID(VLOOKUP($B111,Seqs!$A:$B,2,0),Q111,1),"")</f>
        <v>E</v>
      </c>
      <c r="Q111" s="3">
        <v>105</v>
      </c>
      <c r="R111" s="3" t="str">
        <f>IFERROR(MID(VLOOKUP($B111,Seqs!$A:$B,2,0),S111,1),"")</f>
        <v>F</v>
      </c>
      <c r="S111" s="3">
        <v>108</v>
      </c>
      <c r="T111" s="3" t="str">
        <f>IFERROR(MID(VLOOKUP($B111,Seqs!$A:$B,2,0),U111,1),"")</f>
        <v>G</v>
      </c>
      <c r="U111" s="3">
        <v>109</v>
      </c>
      <c r="V111" s="3" t="str">
        <f>IFERROR(MID(VLOOKUP($B111,Seqs!$A:$B,2,0),W111,1),"")</f>
        <v>H</v>
      </c>
      <c r="W111" s="3">
        <v>144</v>
      </c>
      <c r="X111" s="3" t="str">
        <f>IFERROR(MID(VLOOKUP($B111,Seqs!$A:$B,2,0),Y111,1),"")</f>
        <v>A</v>
      </c>
      <c r="Y111" s="3">
        <v>145</v>
      </c>
      <c r="Z111" s="3" t="str">
        <f>IFERROR(MID(VLOOKUP($B111,Seqs!$A:$B,2,0),AA111,1),"")</f>
        <v>R</v>
      </c>
      <c r="AA111" s="3">
        <v>152</v>
      </c>
      <c r="AB111" s="3" t="str">
        <f>IFERROR(MID(VLOOKUP($B111,Seqs!$A:$B,2,0),AC111,1),"")</f>
        <v>T</v>
      </c>
      <c r="AC111" s="9">
        <v>153</v>
      </c>
      <c r="AD111" s="3" t="str">
        <f>IFERROR(MID(VLOOKUP($B111,Seqs!$A:$B,2,0),AE111,1),"")</f>
        <v>T</v>
      </c>
      <c r="AE111" s="3">
        <v>179</v>
      </c>
      <c r="AF111" s="3" t="str">
        <f>IFERROR(MID(VLOOKUP($B111,Seqs!$A:$B,2,0),AG111,1),"")</f>
        <v>C</v>
      </c>
      <c r="AG111" s="3">
        <v>190</v>
      </c>
      <c r="AH111" s="3" t="str">
        <f>IFERROR(MID(VLOOKUP($B111,Seqs!$A:$B,2,0),AI111,1),"")</f>
        <v>P</v>
      </c>
      <c r="AI111" s="3">
        <v>192</v>
      </c>
      <c r="AJ111" s="3" t="str">
        <f>IFERROR(MID(VLOOKUP($B111,Seqs!$A:$B,2,0),AK111,1),"")</f>
        <v>P</v>
      </c>
      <c r="AK111" s="3">
        <v>195</v>
      </c>
      <c r="AL111" s="3" t="str">
        <f>IFERROR(MID(VLOOKUP($B111,Seqs!$A:$B,2,0),AM111,1),"")</f>
        <v>C</v>
      </c>
      <c r="AM111" s="3">
        <v>232</v>
      </c>
      <c r="AN111" s="3" t="str">
        <f>IFERROR(MID(VLOOKUP($B111,Seqs!$A:$B,2,0),AO111,1),"")</f>
        <v>K</v>
      </c>
      <c r="AO111" s="3">
        <v>236</v>
      </c>
      <c r="AP111" s="3" t="str">
        <f>IFERROR(MID(VLOOKUP($B111,Seqs!$A:$B,2,0),AQ111,1),"")</f>
        <v>G</v>
      </c>
      <c r="AQ111" s="3">
        <v>273</v>
      </c>
      <c r="AR111" s="3" t="str">
        <f>IFERROR(MID(VLOOKUP($B111,Seqs!$A:$B,2,0),AS111,1),"")</f>
        <v>E</v>
      </c>
      <c r="AS111" s="3">
        <v>278</v>
      </c>
      <c r="AT111" s="3" t="str">
        <f>IFERROR(MID(VLOOKUP($B111,Seqs!$A:$B,2,0),AU111,1),"")</f>
        <v>V</v>
      </c>
      <c r="AU111" s="3">
        <v>308</v>
      </c>
      <c r="AV111" s="3" t="str">
        <f>IFERROR(MID(VLOOKUP($B111,Seqs!$A:$B,2,0),AW111,1),"")</f>
        <v>G</v>
      </c>
      <c r="AW111" s="3">
        <v>309</v>
      </c>
      <c r="AX111" s="3" t="str">
        <f>IFERROR(MID(VLOOKUP($B111,Seqs!$A:$B,2,0),AY111,1),"")</f>
        <v>L</v>
      </c>
      <c r="AY111" s="3">
        <v>320</v>
      </c>
      <c r="AZ111" s="78" t="str">
        <f>VLOOKUP(B111,Classification!A:D,2,0)</f>
        <v>A</v>
      </c>
      <c r="BA111" s="95" t="str">
        <f>VLOOKUP(B111,Classification!A:D,4,0)</f>
        <v>Chemokine</v>
      </c>
      <c r="BB111" s="27" t="b">
        <f t="shared" si="811"/>
        <v>1</v>
      </c>
      <c r="BC111" s="23">
        <f t="shared" si="784"/>
        <v>265</v>
      </c>
      <c r="BD111" s="2" t="s">
        <v>23</v>
      </c>
      <c r="BE111" s="3" t="s">
        <v>23</v>
      </c>
      <c r="BF111" s="120" t="s">
        <v>23</v>
      </c>
      <c r="BG111" s="49" t="s">
        <v>1379</v>
      </c>
      <c r="BH111" s="49" t="s">
        <v>1384</v>
      </c>
      <c r="BI111" s="1"/>
      <c r="BJ111" s="71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1">
        <f t="shared" si="785"/>
        <v>37</v>
      </c>
      <c r="BW111" s="72">
        <f t="shared" si="786"/>
        <v>71</v>
      </c>
      <c r="BX111" s="73">
        <f t="shared" si="787"/>
        <v>75</v>
      </c>
      <c r="BY111" s="72">
        <f t="shared" si="788"/>
        <v>105</v>
      </c>
      <c r="BZ111" s="73">
        <f t="shared" si="789"/>
        <v>109</v>
      </c>
      <c r="CA111" s="72">
        <f t="shared" si="790"/>
        <v>145</v>
      </c>
      <c r="CB111" s="73">
        <f t="shared" si="791"/>
        <v>153</v>
      </c>
      <c r="CC111" s="72">
        <f t="shared" si="792"/>
        <v>190</v>
      </c>
      <c r="CD111" s="73">
        <f t="shared" si="793"/>
        <v>195</v>
      </c>
      <c r="CE111" s="72">
        <f t="shared" si="794"/>
        <v>236</v>
      </c>
      <c r="CF111" s="73">
        <f t="shared" si="795"/>
        <v>278</v>
      </c>
      <c r="CG111" s="72">
        <f t="shared" si="796"/>
        <v>309</v>
      </c>
      <c r="CH111" s="71">
        <f t="shared" si="797"/>
        <v>70</v>
      </c>
      <c r="CI111" s="72">
        <f t="shared" si="798"/>
        <v>74</v>
      </c>
      <c r="CJ111" s="73">
        <f t="shared" si="799"/>
        <v>104</v>
      </c>
      <c r="CK111" s="73">
        <f t="shared" si="800"/>
        <v>108</v>
      </c>
      <c r="CL111" s="73">
        <f t="shared" si="801"/>
        <v>144</v>
      </c>
      <c r="CM111" s="73">
        <f t="shared" si="802"/>
        <v>152</v>
      </c>
      <c r="CN111" s="73">
        <f t="shared" si="803"/>
        <v>179</v>
      </c>
      <c r="CO111" s="73">
        <f t="shared" si="804"/>
        <v>192</v>
      </c>
      <c r="CP111" s="73">
        <f t="shared" si="805"/>
        <v>232</v>
      </c>
      <c r="CQ111" s="73">
        <f t="shared" si="806"/>
        <v>273</v>
      </c>
      <c r="CR111" s="73">
        <f t="shared" si="807"/>
        <v>308</v>
      </c>
      <c r="CS111" s="73">
        <f t="shared" si="808"/>
        <v>320</v>
      </c>
      <c r="CT111" s="23">
        <f t="shared" si="809"/>
        <v>1</v>
      </c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</row>
    <row r="112" spans="1:1030" x14ac:dyDescent="0.2">
      <c r="A112" s="3" t="str">
        <f t="shared" si="810"/>
        <v>ccr2_human_5T1A</v>
      </c>
      <c r="B112" s="3" t="s">
        <v>170</v>
      </c>
      <c r="C112" s="3" t="s">
        <v>1385</v>
      </c>
      <c r="D112" s="3" t="str">
        <f>IFERROR(MID(VLOOKUP($B112,Seqs!$A:$B,2,0),E112,1),"")</f>
        <v>V</v>
      </c>
      <c r="E112" s="3">
        <v>37</v>
      </c>
      <c r="F112" s="3" t="str">
        <f>IFERROR(MID(VLOOKUP($B112,Seqs!$A:$B,2,0),G112,1),"")</f>
        <v>C</v>
      </c>
      <c r="G112" s="3">
        <v>70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C</v>
      </c>
      <c r="M112" s="3">
        <v>75</v>
      </c>
      <c r="N112" s="3" t="str">
        <f>IFERROR(MID(VLOOKUP($B112,Seqs!$A:$B,2,0),O112,1),"")</f>
        <v>N</v>
      </c>
      <c r="O112" s="3">
        <v>104</v>
      </c>
      <c r="P112" s="3" t="str">
        <f>IFERROR(MID(VLOOKUP($B112,Seqs!$A:$B,2,0),Q112,1),"")</f>
        <v>E</v>
      </c>
      <c r="Q112" s="3">
        <v>105</v>
      </c>
      <c r="R112" s="3" t="str">
        <f>IFERROR(MID(VLOOKUP($B112,Seqs!$A:$B,2,0),S112,1),"")</f>
        <v>F</v>
      </c>
      <c r="S112" s="3">
        <v>108</v>
      </c>
      <c r="T112" s="3" t="str">
        <f>IFERROR(MID(VLOOKUP($B112,Seqs!$A:$B,2,0),U112,1),"")</f>
        <v>G</v>
      </c>
      <c r="U112" s="3">
        <v>109</v>
      </c>
      <c r="V112" s="3" t="str">
        <f>IFERROR(MID(VLOOKUP($B112,Seqs!$A:$B,2,0),W112,1),"")</f>
        <v>H</v>
      </c>
      <c r="W112" s="3">
        <v>144</v>
      </c>
      <c r="X112" s="3" t="str">
        <f>IFERROR(MID(VLOOKUP($B112,Seqs!$A:$B,2,0),Y112,1),"")</f>
        <v>A</v>
      </c>
      <c r="Y112" s="3">
        <v>145</v>
      </c>
      <c r="Z112" s="3" t="str">
        <f>IFERROR(MID(VLOOKUP($B112,Seqs!$A:$B,2,0),AA112,1),"")</f>
        <v>R</v>
      </c>
      <c r="AA112" s="3">
        <v>152</v>
      </c>
      <c r="AB112" s="3" t="str">
        <f>IFERROR(MID(VLOOKUP($B112,Seqs!$A:$B,2,0),AC112,1),"")</f>
        <v>T</v>
      </c>
      <c r="AC112" s="9">
        <v>153</v>
      </c>
      <c r="AD112" s="3" t="str">
        <f>IFERROR(MID(VLOOKUP($B112,Seqs!$A:$B,2,0),AE112,1),"")</f>
        <v>T</v>
      </c>
      <c r="AE112" s="3">
        <v>179</v>
      </c>
      <c r="AF112" s="3" t="str">
        <f>IFERROR(MID(VLOOKUP($B112,Seqs!$A:$B,2,0),AG112,1),"")</f>
        <v>C</v>
      </c>
      <c r="AG112" s="3">
        <v>190</v>
      </c>
      <c r="AH112" s="3" t="str">
        <f>IFERROR(MID(VLOOKUP($B112,Seqs!$A:$B,2,0),AI112,1),"")</f>
        <v>P</v>
      </c>
      <c r="AI112" s="3">
        <v>192</v>
      </c>
      <c r="AJ112" s="3" t="str">
        <f>IFERROR(MID(VLOOKUP($B112,Seqs!$A:$B,2,0),AK112,1),"")</f>
        <v>P</v>
      </c>
      <c r="AK112" s="3">
        <v>195</v>
      </c>
      <c r="AL112" s="3" t="str">
        <f>IFERROR(MID(VLOOKUP($B112,Seqs!$A:$B,2,0),AM112,1),"")</f>
        <v>T</v>
      </c>
      <c r="AM112" s="3">
        <v>228</v>
      </c>
      <c r="AN112" s="3" t="str">
        <f>IFERROR(MID(VLOOKUP($B112,Seqs!$A:$B,2,0),AO112,1),"")</f>
        <v>K</v>
      </c>
      <c r="AO112" s="3">
        <v>236</v>
      </c>
      <c r="AP112" s="3" t="str">
        <f>IFERROR(MID(VLOOKUP($B112,Seqs!$A:$B,2,0),AQ112,1),"")</f>
        <v>G</v>
      </c>
      <c r="AQ112" s="3">
        <v>273</v>
      </c>
      <c r="AR112" s="3" t="str">
        <f>IFERROR(MID(VLOOKUP($B112,Seqs!$A:$B,2,0),AS112,1),"")</f>
        <v>E</v>
      </c>
      <c r="AS112" s="3">
        <v>278</v>
      </c>
      <c r="AT112" s="3" t="str">
        <f>IFERROR(MID(VLOOKUP($B112,Seqs!$A:$B,2,0),AU112,1),"")</f>
        <v>V</v>
      </c>
      <c r="AU112" s="3">
        <v>308</v>
      </c>
      <c r="AV112" s="3" t="str">
        <f>IFERROR(MID(VLOOKUP($B112,Seqs!$A:$B,2,0),AW112,1),"")</f>
        <v>G</v>
      </c>
      <c r="AW112" s="3">
        <v>309</v>
      </c>
      <c r="AX112" s="3" t="str">
        <f>IFERROR(MID(VLOOKUP($B112,Seqs!$A:$B,2,0),AY112,1),"")</f>
        <v>L</v>
      </c>
      <c r="AY112" s="3">
        <v>320</v>
      </c>
      <c r="AZ112" s="78" t="str">
        <f>VLOOKUP(B112,Classification!A:D,2,0)</f>
        <v>A</v>
      </c>
      <c r="BA112" s="95" t="str">
        <f>VLOOKUP(B112,Classification!A:D,4,0)</f>
        <v>Chemokine</v>
      </c>
      <c r="BB112" s="27" t="b">
        <f t="shared" si="811"/>
        <v>1</v>
      </c>
      <c r="BC112" s="23">
        <f t="shared" si="784"/>
        <v>258</v>
      </c>
      <c r="BD112" s="16" t="s">
        <v>1383</v>
      </c>
      <c r="BE112" s="3" t="s">
        <v>1381</v>
      </c>
      <c r="BF112" s="120">
        <v>2.81</v>
      </c>
      <c r="BG112" s="49" t="s">
        <v>1</v>
      </c>
      <c r="BH112" s="49" t="s">
        <v>1384</v>
      </c>
      <c r="BI112" s="1"/>
      <c r="BJ112" s="71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1">
        <f t="shared" si="785"/>
        <v>37</v>
      </c>
      <c r="BW112" s="72" t="str">
        <f t="shared" si="786"/>
        <v>-</v>
      </c>
      <c r="BX112" s="73">
        <f t="shared" si="787"/>
        <v>75</v>
      </c>
      <c r="BY112" s="72">
        <f t="shared" si="788"/>
        <v>105</v>
      </c>
      <c r="BZ112" s="73">
        <f t="shared" si="789"/>
        <v>109</v>
      </c>
      <c r="CA112" s="72">
        <f t="shared" si="790"/>
        <v>145</v>
      </c>
      <c r="CB112" s="73">
        <f t="shared" si="791"/>
        <v>153</v>
      </c>
      <c r="CC112" s="72">
        <f t="shared" si="792"/>
        <v>190</v>
      </c>
      <c r="CD112" s="73">
        <f t="shared" si="793"/>
        <v>195</v>
      </c>
      <c r="CE112" s="72">
        <f t="shared" si="794"/>
        <v>236</v>
      </c>
      <c r="CF112" s="73">
        <f t="shared" si="795"/>
        <v>278</v>
      </c>
      <c r="CG112" s="72">
        <f t="shared" si="796"/>
        <v>309</v>
      </c>
      <c r="CH112" s="71">
        <f t="shared" si="797"/>
        <v>70</v>
      </c>
      <c r="CI112" s="72" t="str">
        <f t="shared" si="798"/>
        <v>-</v>
      </c>
      <c r="CJ112" s="73">
        <f t="shared" si="799"/>
        <v>104</v>
      </c>
      <c r="CK112" s="73">
        <f t="shared" si="800"/>
        <v>108</v>
      </c>
      <c r="CL112" s="73">
        <f t="shared" si="801"/>
        <v>144</v>
      </c>
      <c r="CM112" s="73">
        <f t="shared" si="802"/>
        <v>152</v>
      </c>
      <c r="CN112" s="73">
        <f t="shared" si="803"/>
        <v>179</v>
      </c>
      <c r="CO112" s="73">
        <f t="shared" si="804"/>
        <v>192</v>
      </c>
      <c r="CP112" s="73">
        <f t="shared" si="805"/>
        <v>228</v>
      </c>
      <c r="CQ112" s="73">
        <f t="shared" si="806"/>
        <v>273</v>
      </c>
      <c r="CR112" s="73">
        <f t="shared" si="807"/>
        <v>308</v>
      </c>
      <c r="CS112" s="73">
        <f t="shared" si="808"/>
        <v>320</v>
      </c>
      <c r="CT112" s="23" t="e">
        <f t="shared" si="809"/>
        <v>#VALUE!</v>
      </c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</row>
    <row r="113" spans="1:1030" x14ac:dyDescent="0.2">
      <c r="A113" s="3" t="str">
        <f t="shared" si="810"/>
        <v>ccr5_human__wt</v>
      </c>
      <c r="B113" s="3" t="s">
        <v>173</v>
      </c>
      <c r="C113" s="3" t="s">
        <v>100</v>
      </c>
      <c r="D113" s="3" t="str">
        <f>IFERROR(MID(VLOOKUP($B113,Seqs!$A:$B,2,0),E113,1),"")</f>
        <v>K</v>
      </c>
      <c r="E113" s="3">
        <v>22</v>
      </c>
      <c r="F113" s="3" t="str">
        <f>IFERROR(MID(VLOOKUP($B113,Seqs!$A:$B,2,0),G113,1),"")</f>
        <v>C</v>
      </c>
      <c r="G113" s="3">
        <v>58</v>
      </c>
      <c r="H113" s="3" t="str">
        <f>IFERROR(MID(VLOOKUP($B113,Seqs!$A:$B,2,0),I113,1),"")</f>
        <v>K</v>
      </c>
      <c r="I113" s="23">
        <v>59</v>
      </c>
      <c r="J113" s="3" t="str">
        <f>IFERROR(MID(VLOOKUP($B113,Seqs!$A:$B,2,0),K113,1),"")</f>
        <v>K</v>
      </c>
      <c r="K113" s="23">
        <v>62</v>
      </c>
      <c r="L113" s="3" t="str">
        <f>IFERROR(MID(VLOOKUP($B113,Seqs!$A:$B,2,0),M113,1),"")</f>
        <v>S</v>
      </c>
      <c r="M113" s="3">
        <v>63</v>
      </c>
      <c r="N113" s="3" t="str">
        <f>IFERROR(MID(VLOOKUP($B113,Seqs!$A:$B,2,0),O113,1),"")</f>
        <v>A</v>
      </c>
      <c r="O113" s="3">
        <v>92</v>
      </c>
      <c r="P113" s="3" t="str">
        <f>IFERROR(MID(VLOOKUP($B113,Seqs!$A:$B,2,0),Q113,1),"")</f>
        <v>Q</v>
      </c>
      <c r="Q113" s="3">
        <v>93</v>
      </c>
      <c r="R113" s="3" t="str">
        <f>IFERROR(MID(VLOOKUP($B113,Seqs!$A:$B,2,0),S113,1),"")</f>
        <v>F</v>
      </c>
      <c r="S113" s="3">
        <v>96</v>
      </c>
      <c r="T113" s="3" t="str">
        <f>IFERROR(MID(VLOOKUP($B113,Seqs!$A:$B,2,0),U113,1),"")</f>
        <v>G</v>
      </c>
      <c r="U113" s="3">
        <v>97</v>
      </c>
      <c r="V113" s="3" t="str">
        <f>IFERROR(MID(VLOOKUP($B113,Seqs!$A:$B,2,0),W113,1),"")</f>
        <v>H</v>
      </c>
      <c r="W113" s="3">
        <v>132</v>
      </c>
      <c r="X113" s="3" t="str">
        <f>IFERROR(MID(VLOOKUP($B113,Seqs!$A:$B,2,0),Y113,1),"")</f>
        <v>A</v>
      </c>
      <c r="Y113" s="3">
        <v>133</v>
      </c>
      <c r="Z113" s="3" t="str">
        <f>IFERROR(MID(VLOOKUP($B113,Seqs!$A:$B,2,0),AA113,1),"")</f>
        <v>R</v>
      </c>
      <c r="AA113" s="3">
        <v>140</v>
      </c>
      <c r="AB113" s="3" t="str">
        <f>IFERROR(MID(VLOOKUP($B113,Seqs!$A:$B,2,0),AC113,1),"")</f>
        <v>T</v>
      </c>
      <c r="AC113" s="9">
        <v>141</v>
      </c>
      <c r="AD113" s="3" t="str">
        <f>IFERROR(MID(VLOOKUP($B113,Seqs!$A:$B,2,0),AE113,1),"")</f>
        <v>T</v>
      </c>
      <c r="AE113" s="3">
        <v>167</v>
      </c>
      <c r="AF113" s="3" t="str">
        <f>IFERROR(MID(VLOOKUP($B113,Seqs!$A:$B,2,0),AG113,1),"")</f>
        <v>C</v>
      </c>
      <c r="AG113" s="3">
        <v>178</v>
      </c>
      <c r="AH113" s="3" t="str">
        <f>IFERROR(MID(VLOOKUP($B113,Seqs!$A:$B,2,0),AI113,1),"")</f>
        <v>S</v>
      </c>
      <c r="AI113" s="3">
        <v>180</v>
      </c>
      <c r="AJ113" s="3" t="str">
        <f>IFERROR(MID(VLOOKUP($B113,Seqs!$A:$B,2,0),AK113,1),"")</f>
        <v>Q</v>
      </c>
      <c r="AK113" s="3">
        <v>186</v>
      </c>
      <c r="AL113" s="3" t="str">
        <f>IFERROR(MID(VLOOKUP($B113,Seqs!$A:$B,2,0),AM113,1),"")</f>
        <v>C</v>
      </c>
      <c r="AM113" s="3">
        <v>224</v>
      </c>
      <c r="AN113" s="3" t="str">
        <f>IFERROR(MID(VLOOKUP($B113,Seqs!$A:$B,2,0),AO113,1),"")</f>
        <v>K</v>
      </c>
      <c r="AO113" s="3">
        <v>228</v>
      </c>
      <c r="AP113" s="3" t="str">
        <f>IFERROR(MID(VLOOKUP($B113,Seqs!$A:$B,2,0),AQ113,1),"")</f>
        <v>G</v>
      </c>
      <c r="AQ113" s="3">
        <v>265</v>
      </c>
      <c r="AR113" s="3" t="str">
        <f>IFERROR(MID(VLOOKUP($B113,Seqs!$A:$B,2,0),AS113,1),"")</f>
        <v>N</v>
      </c>
      <c r="AS113" s="3">
        <v>268</v>
      </c>
      <c r="AT113" s="3" t="str">
        <f>IFERROR(MID(VLOOKUP($B113,Seqs!$A:$B,2,0),AU113,1),"")</f>
        <v>V</v>
      </c>
      <c r="AU113" s="3">
        <v>300</v>
      </c>
      <c r="AV113" s="3" t="str">
        <f>IFERROR(MID(VLOOKUP($B113,Seqs!$A:$B,2,0),AW113,1),"")</f>
        <v>G</v>
      </c>
      <c r="AW113" s="3">
        <v>301</v>
      </c>
      <c r="AX113" s="3" t="str">
        <f>IFERROR(MID(VLOOKUP($B113,Seqs!$A:$B,2,0),AY113,1),"")</f>
        <v>Q</v>
      </c>
      <c r="AY113" s="3">
        <v>313</v>
      </c>
      <c r="AZ113" s="78" t="str">
        <f>VLOOKUP(B113,Classification!A:D,2,0)</f>
        <v>A</v>
      </c>
      <c r="BA113" s="95" t="str">
        <f>VLOOKUP(B113,Classification!A:D,4,0)</f>
        <v>Chemokine</v>
      </c>
      <c r="BB113" s="27" t="b">
        <f t="shared" si="811"/>
        <v>1</v>
      </c>
      <c r="BC113" s="23">
        <f t="shared" si="784"/>
        <v>272</v>
      </c>
      <c r="BD113" s="34" t="s">
        <v>1379</v>
      </c>
      <c r="BE113" s="3" t="s">
        <v>23</v>
      </c>
      <c r="BF113" s="120" t="s">
        <v>23</v>
      </c>
      <c r="BG113" s="49" t="s">
        <v>1379</v>
      </c>
      <c r="BH113" s="49" t="s">
        <v>1384</v>
      </c>
      <c r="BI113" s="1"/>
      <c r="BJ113" s="71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1">
        <f t="shared" si="785"/>
        <v>22</v>
      </c>
      <c r="BW113" s="72">
        <f t="shared" si="786"/>
        <v>59</v>
      </c>
      <c r="BX113" s="73">
        <f t="shared" si="787"/>
        <v>63</v>
      </c>
      <c r="BY113" s="72">
        <f t="shared" si="788"/>
        <v>93</v>
      </c>
      <c r="BZ113" s="73">
        <f t="shared" si="789"/>
        <v>97</v>
      </c>
      <c r="CA113" s="72">
        <f t="shared" si="790"/>
        <v>133</v>
      </c>
      <c r="CB113" s="73">
        <f t="shared" si="791"/>
        <v>141</v>
      </c>
      <c r="CC113" s="72">
        <f t="shared" si="792"/>
        <v>178</v>
      </c>
      <c r="CD113" s="73">
        <f t="shared" si="793"/>
        <v>186</v>
      </c>
      <c r="CE113" s="72">
        <f t="shared" si="794"/>
        <v>228</v>
      </c>
      <c r="CF113" s="73">
        <f t="shared" si="795"/>
        <v>268</v>
      </c>
      <c r="CG113" s="72">
        <f t="shared" si="796"/>
        <v>301</v>
      </c>
      <c r="CH113" s="71">
        <f t="shared" si="797"/>
        <v>58</v>
      </c>
      <c r="CI113" s="72">
        <f t="shared" si="798"/>
        <v>62</v>
      </c>
      <c r="CJ113" s="73">
        <f t="shared" si="799"/>
        <v>92</v>
      </c>
      <c r="CK113" s="73">
        <f t="shared" si="800"/>
        <v>96</v>
      </c>
      <c r="CL113" s="73">
        <f t="shared" si="801"/>
        <v>132</v>
      </c>
      <c r="CM113" s="73">
        <f t="shared" si="802"/>
        <v>140</v>
      </c>
      <c r="CN113" s="73">
        <f t="shared" si="803"/>
        <v>167</v>
      </c>
      <c r="CO113" s="73">
        <f t="shared" si="804"/>
        <v>180</v>
      </c>
      <c r="CP113" s="73">
        <f t="shared" si="805"/>
        <v>224</v>
      </c>
      <c r="CQ113" s="73">
        <f t="shared" si="806"/>
        <v>265</v>
      </c>
      <c r="CR113" s="73">
        <f t="shared" si="807"/>
        <v>300</v>
      </c>
      <c r="CS113" s="73">
        <f t="shared" si="808"/>
        <v>313</v>
      </c>
      <c r="CT113" s="23">
        <f t="shared" si="809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810"/>
        <v>ccr5_human_4MBS</v>
      </c>
      <c r="B114" s="3" t="s">
        <v>173</v>
      </c>
      <c r="C114" s="3" t="s">
        <v>74</v>
      </c>
      <c r="D114" s="3" t="str">
        <f>IFERROR(MID(VLOOKUP($B114,Seqs!$A:$B,2,0),E114,1),"")</f>
        <v>V</v>
      </c>
      <c r="E114" s="3">
        <v>25</v>
      </c>
      <c r="F114" s="3" t="str">
        <f>IFERROR(MID(VLOOKUP($B114,Seqs!$A:$B,2,0),G114,1),"")</f>
        <v>C</v>
      </c>
      <c r="G114" s="3">
        <v>58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63</v>
      </c>
      <c r="N114" s="3" t="str">
        <f>IFERROR(MID(VLOOKUP($B114,Seqs!$A:$B,2,0),O114,1),"")</f>
        <v>A</v>
      </c>
      <c r="O114" s="3">
        <v>92</v>
      </c>
      <c r="P114" s="3" t="str">
        <f>IFERROR(MID(VLOOKUP($B114,Seqs!$A:$B,2,0),Q114,1),"")</f>
        <v>Q</v>
      </c>
      <c r="Q114" s="3">
        <v>93</v>
      </c>
      <c r="R114" s="3" t="str">
        <f>IFERROR(MID(VLOOKUP($B114,Seqs!$A:$B,2,0),S114,1),"")</f>
        <v>F</v>
      </c>
      <c r="S114" s="3">
        <v>96</v>
      </c>
      <c r="T114" s="3" t="str">
        <f>IFERROR(MID(VLOOKUP($B114,Seqs!$A:$B,2,0),U114,1),"")</f>
        <v>G</v>
      </c>
      <c r="U114" s="3">
        <v>97</v>
      </c>
      <c r="V114" s="3" t="str">
        <f>IFERROR(MID(VLOOKUP($B114,Seqs!$A:$B,2,0),W114,1),"")</f>
        <v>H</v>
      </c>
      <c r="W114" s="3">
        <v>132</v>
      </c>
      <c r="X114" s="3" t="str">
        <f>IFERROR(MID(VLOOKUP($B114,Seqs!$A:$B,2,0),Y114,1),"")</f>
        <v>A</v>
      </c>
      <c r="Y114" s="3">
        <v>133</v>
      </c>
      <c r="Z114" s="3" t="str">
        <f>IFERROR(MID(VLOOKUP($B114,Seqs!$A:$B,2,0),AA114,1),"")</f>
        <v>R</v>
      </c>
      <c r="AA114" s="3">
        <v>140</v>
      </c>
      <c r="AB114" s="3" t="str">
        <f>IFERROR(MID(VLOOKUP($B114,Seqs!$A:$B,2,0),AC114,1),"")</f>
        <v>T</v>
      </c>
      <c r="AC114" s="9">
        <v>141</v>
      </c>
      <c r="AD114" s="3" t="str">
        <f>IFERROR(MID(VLOOKUP($B114,Seqs!$A:$B,2,0),AE114,1),"")</f>
        <v>T</v>
      </c>
      <c r="AE114" s="3">
        <v>167</v>
      </c>
      <c r="AF114" s="3" t="str">
        <f>IFERROR(MID(VLOOKUP($B114,Seqs!$A:$B,2,0),AG114,1),"")</f>
        <v>C</v>
      </c>
      <c r="AG114" s="3">
        <v>178</v>
      </c>
      <c r="AH114" s="3" t="str">
        <f>IFERROR(MID(VLOOKUP($B114,Seqs!$A:$B,2,0),AI114,1),"")</f>
        <v>S</v>
      </c>
      <c r="AI114" s="3">
        <v>180</v>
      </c>
      <c r="AJ114" s="3" t="str">
        <f>IFERROR(MID(VLOOKUP($B114,Seqs!$A:$B,2,0),AK114,1),"")</f>
        <v>Q</v>
      </c>
      <c r="AK114" s="3">
        <v>186</v>
      </c>
      <c r="AL114" s="3" t="str">
        <f>IFERROR(MID(VLOOKUP($B114,Seqs!$A:$B,2,0),AM114,1),"")</f>
        <v>R</v>
      </c>
      <c r="AM114" s="3">
        <v>223</v>
      </c>
      <c r="AN114" s="3" t="str">
        <f>IFERROR(MID(VLOOKUP($B114,Seqs!$A:$B,2,0),AO114,1),"")</f>
        <v>K</v>
      </c>
      <c r="AO114" s="3">
        <v>228</v>
      </c>
      <c r="AP114" s="3" t="str">
        <f>IFERROR(MID(VLOOKUP($B114,Seqs!$A:$B,2,0),AQ114,1),"")</f>
        <v>G</v>
      </c>
      <c r="AQ114" s="3">
        <v>265</v>
      </c>
      <c r="AR114" s="3" t="str">
        <f>IFERROR(MID(VLOOKUP($B114,Seqs!$A:$B,2,0),AS114,1),"")</f>
        <v>N</v>
      </c>
      <c r="AS114" s="3">
        <v>268</v>
      </c>
      <c r="AT114" s="3" t="str">
        <f>IFERROR(MID(VLOOKUP($B114,Seqs!$A:$B,2,0),AU114,1),"")</f>
        <v>V</v>
      </c>
      <c r="AU114" s="3">
        <v>300</v>
      </c>
      <c r="AV114" s="3" t="str">
        <f>IFERROR(MID(VLOOKUP($B114,Seqs!$A:$B,2,0),AW114,1),"")</f>
        <v>G</v>
      </c>
      <c r="AW114" s="3">
        <v>301</v>
      </c>
      <c r="AX114" s="3" t="str">
        <f>IFERROR(MID(VLOOKUP($B114,Seqs!$A:$B,2,0),AY114,1),"")</f>
        <v>Q</v>
      </c>
      <c r="AY114" s="3">
        <v>313</v>
      </c>
      <c r="AZ114" s="78" t="str">
        <f>VLOOKUP(B114,Classification!A:D,2,0)</f>
        <v>A</v>
      </c>
      <c r="BA114" s="95" t="str">
        <f>VLOOKUP(B114,Classification!A:D,4,0)</f>
        <v>Chemokine</v>
      </c>
      <c r="BB114" s="27" t="b">
        <f t="shared" si="811"/>
        <v>1</v>
      </c>
      <c r="BC114" s="23">
        <f t="shared" si="784"/>
        <v>265</v>
      </c>
      <c r="BD114" s="2" t="s">
        <v>23</v>
      </c>
      <c r="BE114" s="3" t="s">
        <v>1381</v>
      </c>
      <c r="BF114" s="120">
        <v>2.71</v>
      </c>
      <c r="BG114" s="49" t="s">
        <v>1384</v>
      </c>
      <c r="BH114" s="49" t="s">
        <v>1384</v>
      </c>
      <c r="BI114" s="1"/>
      <c r="BJ114" s="71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1">
        <f t="shared" si="785"/>
        <v>25</v>
      </c>
      <c r="BW114" s="72" t="str">
        <f t="shared" si="786"/>
        <v>-</v>
      </c>
      <c r="BX114" s="73">
        <f t="shared" si="787"/>
        <v>63</v>
      </c>
      <c r="BY114" s="72">
        <f t="shared" si="788"/>
        <v>93</v>
      </c>
      <c r="BZ114" s="73">
        <f t="shared" si="789"/>
        <v>97</v>
      </c>
      <c r="CA114" s="72">
        <f t="shared" si="790"/>
        <v>133</v>
      </c>
      <c r="CB114" s="73">
        <f t="shared" si="791"/>
        <v>141</v>
      </c>
      <c r="CC114" s="72">
        <f t="shared" si="792"/>
        <v>178</v>
      </c>
      <c r="CD114" s="73">
        <f t="shared" si="793"/>
        <v>186</v>
      </c>
      <c r="CE114" s="72">
        <f t="shared" si="794"/>
        <v>228</v>
      </c>
      <c r="CF114" s="73">
        <f t="shared" si="795"/>
        <v>268</v>
      </c>
      <c r="CG114" s="72">
        <f t="shared" si="796"/>
        <v>301</v>
      </c>
      <c r="CH114" s="71">
        <f t="shared" si="797"/>
        <v>58</v>
      </c>
      <c r="CI114" s="72" t="str">
        <f t="shared" si="798"/>
        <v>-</v>
      </c>
      <c r="CJ114" s="73">
        <f t="shared" si="799"/>
        <v>92</v>
      </c>
      <c r="CK114" s="73">
        <f t="shared" si="800"/>
        <v>96</v>
      </c>
      <c r="CL114" s="73">
        <f t="shared" si="801"/>
        <v>132</v>
      </c>
      <c r="CM114" s="73">
        <f t="shared" si="802"/>
        <v>140</v>
      </c>
      <c r="CN114" s="73">
        <f t="shared" si="803"/>
        <v>167</v>
      </c>
      <c r="CO114" s="73">
        <f t="shared" si="804"/>
        <v>180</v>
      </c>
      <c r="CP114" s="73">
        <f t="shared" si="805"/>
        <v>223</v>
      </c>
      <c r="CQ114" s="73">
        <f t="shared" si="806"/>
        <v>265</v>
      </c>
      <c r="CR114" s="73">
        <f t="shared" si="807"/>
        <v>300</v>
      </c>
      <c r="CS114" s="73">
        <f t="shared" si="808"/>
        <v>313</v>
      </c>
      <c r="CT114" s="23" t="e">
        <f t="shared" si="809"/>
        <v>#VALUE!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ref="A115" si="1008">CONCATENATE(B115,"_",C115)</f>
        <v>ccr5_human_5UIW</v>
      </c>
      <c r="B115" s="3" t="s">
        <v>173</v>
      </c>
      <c r="C115" s="3" t="s">
        <v>1434</v>
      </c>
      <c r="D115" s="3" t="str">
        <f>IFERROR(MID(VLOOKUP($B115,Seqs!$A:$B,2,0),E115,1),"")</f>
        <v>K</v>
      </c>
      <c r="E115" s="3">
        <v>22</v>
      </c>
      <c r="F115" s="3" t="str">
        <f>IFERROR(MID(VLOOKUP($B115,Seqs!$A:$B,2,0),G115,1),"")</f>
        <v>C</v>
      </c>
      <c r="G115" s="3">
        <v>58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S</v>
      </c>
      <c r="M115" s="3">
        <v>63</v>
      </c>
      <c r="N115" s="3" t="str">
        <f>IFERROR(MID(VLOOKUP($B115,Seqs!$A:$B,2,0),O115,1),"")</f>
        <v>A</v>
      </c>
      <c r="O115" s="3">
        <v>92</v>
      </c>
      <c r="P115" s="3" t="str">
        <f>IFERROR(MID(VLOOKUP($B115,Seqs!$A:$B,2,0),Q115,1),"")</f>
        <v>Q</v>
      </c>
      <c r="Q115" s="3">
        <v>93</v>
      </c>
      <c r="R115" s="3" t="str">
        <f>IFERROR(MID(VLOOKUP($B115,Seqs!$A:$B,2,0),S115,1),"")</f>
        <v>F</v>
      </c>
      <c r="S115" s="3">
        <v>96</v>
      </c>
      <c r="T115" s="3" t="str">
        <f>IFERROR(MID(VLOOKUP($B115,Seqs!$A:$B,2,0),U115,1),"")</f>
        <v>G</v>
      </c>
      <c r="U115" s="3">
        <v>97</v>
      </c>
      <c r="V115" s="3" t="str">
        <f>IFERROR(MID(VLOOKUP($B115,Seqs!$A:$B,2,0),W115,1),"")</f>
        <v>H</v>
      </c>
      <c r="W115" s="3">
        <v>132</v>
      </c>
      <c r="X115" s="3" t="str">
        <f>IFERROR(MID(VLOOKUP($B115,Seqs!$A:$B,2,0),Y115,1),"")</f>
        <v>A</v>
      </c>
      <c r="Y115" s="3">
        <v>133</v>
      </c>
      <c r="Z115" s="3" t="str">
        <f>IFERROR(MID(VLOOKUP($B115,Seqs!$A:$B,2,0),AA115,1),"")</f>
        <v>R</v>
      </c>
      <c r="AA115" s="3">
        <v>140</v>
      </c>
      <c r="AB115" s="3" t="str">
        <f>IFERROR(MID(VLOOKUP($B115,Seqs!$A:$B,2,0),AC115,1),"")</f>
        <v>T</v>
      </c>
      <c r="AC115" s="3">
        <v>141</v>
      </c>
      <c r="AD115" s="3" t="str">
        <f>IFERROR(MID(VLOOKUP($B115,Seqs!$A:$B,2,0),AE115,1),"")</f>
        <v>T</v>
      </c>
      <c r="AE115" s="3">
        <v>167</v>
      </c>
      <c r="AF115" s="3" t="str">
        <f>IFERROR(MID(VLOOKUP($B115,Seqs!$A:$B,2,0),AG115,1),"")</f>
        <v>C</v>
      </c>
      <c r="AG115" s="3">
        <v>178</v>
      </c>
      <c r="AH115" s="3" t="str">
        <f>IFERROR(MID(VLOOKUP($B115,Seqs!$A:$B,2,0),AI115,1),"")</f>
        <v>S</v>
      </c>
      <c r="AI115" s="3">
        <v>180</v>
      </c>
      <c r="AJ115" s="3" t="str">
        <f>IFERROR(MID(VLOOKUP($B115,Seqs!$A:$B,2,0),AK115,1),"")</f>
        <v>Q</v>
      </c>
      <c r="AK115" s="3">
        <v>186</v>
      </c>
      <c r="AL115" s="3" t="str">
        <f>IFERROR(MID(VLOOKUP($B115,Seqs!$A:$B,2,0),AM115,1),"")</f>
        <v>R</v>
      </c>
      <c r="AM115" s="3">
        <v>223</v>
      </c>
      <c r="AN115" s="3" t="str">
        <f>IFERROR(MID(VLOOKUP($B115,Seqs!$A:$B,2,0),AO115,1),"")</f>
        <v>E</v>
      </c>
      <c r="AO115" s="3">
        <v>227</v>
      </c>
      <c r="AP115" s="3" t="str">
        <f>IFERROR(MID(VLOOKUP($B115,Seqs!$A:$B,2,0),AQ115,1),"")</f>
        <v>Q</v>
      </c>
      <c r="AQ115" s="3">
        <v>261</v>
      </c>
      <c r="AR115" s="3" t="str">
        <f>IFERROR(MID(VLOOKUP($B115,Seqs!$A:$B,2,0),AS115,1),"")</f>
        <v>N</v>
      </c>
      <c r="AS115" s="3">
        <v>268</v>
      </c>
      <c r="AT115" s="3" t="str">
        <f>IFERROR(MID(VLOOKUP($B115,Seqs!$A:$B,2,0),AU115,1),"")</f>
        <v>V</v>
      </c>
      <c r="AU115" s="3">
        <v>300</v>
      </c>
      <c r="AV115" s="3" t="str">
        <f>IFERROR(MID(VLOOKUP($B115,Seqs!$A:$B,2,0),AW115,1),"")</f>
        <v>G</v>
      </c>
      <c r="AW115" s="3">
        <v>301</v>
      </c>
      <c r="AX115" s="3" t="str">
        <f>IFERROR(MID(VLOOKUP($B115,Seqs!$A:$B,2,0),AY115,1),"")</f>
        <v>I</v>
      </c>
      <c r="AY115" s="3">
        <v>316</v>
      </c>
      <c r="AZ115" s="78" t="str">
        <f>VLOOKUP(B115,Classification!A:D,2,0)</f>
        <v>A</v>
      </c>
      <c r="BA115" s="95" t="str">
        <f>VLOOKUP(B115,Classification!A:D,4,0)</f>
        <v>Chemokine</v>
      </c>
      <c r="BB115" s="27" t="b">
        <f t="shared" ref="BB115" si="1009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>_xlfn.AGGREGATE(9,6,CH115:CS115)-_xlfn.AGGREGATE(9,6,BV115:CG115)+12</f>
        <v>268</v>
      </c>
      <c r="BD115" s="2" t="s">
        <v>1383</v>
      </c>
      <c r="BE115" s="3" t="s">
        <v>1381</v>
      </c>
      <c r="BF115" s="120">
        <v>2.2000000000000002</v>
      </c>
      <c r="BG115" s="49" t="s">
        <v>1384</v>
      </c>
      <c r="BH115" s="49" t="s">
        <v>1384</v>
      </c>
      <c r="BI115" s="1"/>
      <c r="BJ115" s="71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1">
        <f t="shared" ref="BV115" si="1010">E115</f>
        <v>22</v>
      </c>
      <c r="BW115" s="72" t="str">
        <f t="shared" ref="BW115" si="1011">I115</f>
        <v>-</v>
      </c>
      <c r="BX115" s="73">
        <f t="shared" ref="BX115" si="1012">M115</f>
        <v>63</v>
      </c>
      <c r="BY115" s="72">
        <f t="shared" ref="BY115" si="1013">Q115</f>
        <v>93</v>
      </c>
      <c r="BZ115" s="73">
        <f t="shared" ref="BZ115" si="1014">U115</f>
        <v>97</v>
      </c>
      <c r="CA115" s="72">
        <f t="shared" ref="CA115" si="1015">Y115</f>
        <v>133</v>
      </c>
      <c r="CB115" s="73">
        <f t="shared" ref="CB115" si="1016">AC115</f>
        <v>141</v>
      </c>
      <c r="CC115" s="72">
        <f t="shared" ref="CC115" si="1017">AG115</f>
        <v>178</v>
      </c>
      <c r="CD115" s="73">
        <f t="shared" ref="CD115" si="1018">AK115</f>
        <v>186</v>
      </c>
      <c r="CE115" s="72">
        <f t="shared" ref="CE115" si="1019">AO115</f>
        <v>227</v>
      </c>
      <c r="CF115" s="73">
        <f t="shared" ref="CF115" si="1020">AS115</f>
        <v>268</v>
      </c>
      <c r="CG115" s="72">
        <f t="shared" ref="CG115" si="1021">AW115</f>
        <v>301</v>
      </c>
      <c r="CH115" s="71">
        <f t="shared" ref="CH115" si="1022">G115</f>
        <v>58</v>
      </c>
      <c r="CI115" s="72" t="str">
        <f t="shared" ref="CI115" si="1023">K115</f>
        <v>-</v>
      </c>
      <c r="CJ115" s="73">
        <f t="shared" ref="CJ115" si="1024">O115</f>
        <v>92</v>
      </c>
      <c r="CK115" s="73">
        <f t="shared" ref="CK115" si="1025">S115</f>
        <v>96</v>
      </c>
      <c r="CL115" s="73">
        <f t="shared" ref="CL115" si="1026">W115</f>
        <v>132</v>
      </c>
      <c r="CM115" s="73">
        <f t="shared" ref="CM115" si="1027">AA115</f>
        <v>140</v>
      </c>
      <c r="CN115" s="73">
        <f t="shared" ref="CN115" si="1028">AE115</f>
        <v>167</v>
      </c>
      <c r="CO115" s="73">
        <f t="shared" ref="CO115" si="1029">AI115</f>
        <v>180</v>
      </c>
      <c r="CP115" s="73">
        <f t="shared" ref="CP115" si="1030">AM115</f>
        <v>223</v>
      </c>
      <c r="CQ115" s="73">
        <f t="shared" ref="CQ115" si="1031">AQ115</f>
        <v>261</v>
      </c>
      <c r="CR115" s="73">
        <f t="shared" ref="CR115" si="1032">AU115</f>
        <v>300</v>
      </c>
      <c r="CS115" s="73">
        <f t="shared" ref="CS115" si="1033">AY115</f>
        <v>316</v>
      </c>
      <c r="CT115" s="23" t="e">
        <f t="shared" ref="CT115" si="1034">M115-K115</f>
        <v>#VALUE!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810"/>
        <v>ccr9_human__wt</v>
      </c>
      <c r="B116" s="3" t="s">
        <v>177</v>
      </c>
      <c r="C116" s="3" t="s">
        <v>100</v>
      </c>
      <c r="D116" s="3" t="str">
        <f>IFERROR(MID(VLOOKUP($B116,Seqs!$A:$B,2,0),E116,1),"")</f>
        <v>V</v>
      </c>
      <c r="E116" s="3">
        <v>43</v>
      </c>
      <c r="F116" s="3" t="str">
        <f>IFERROR(MID(VLOOKUP($B116,Seqs!$A:$B,2,0),G116,1),"")</f>
        <v>C</v>
      </c>
      <c r="G116" s="3">
        <v>76</v>
      </c>
      <c r="H116" s="3" t="str">
        <f>IFERROR(MID(VLOOKUP($B116,Seqs!$A:$B,2,0),I116,1),"")</f>
        <v>T</v>
      </c>
      <c r="I116" s="23">
        <v>77</v>
      </c>
      <c r="J116" s="3" t="str">
        <f>IFERROR(MID(VLOOKUP($B116,Seqs!$A:$B,2,0),K116,1),"")</f>
        <v>K</v>
      </c>
      <c r="K116" s="23">
        <v>80</v>
      </c>
      <c r="L116" s="3" t="str">
        <f>IFERROR(MID(VLOOKUP($B116,Seqs!$A:$B,2,0),M116,1),"")</f>
        <v>T</v>
      </c>
      <c r="M116" s="3">
        <v>81</v>
      </c>
      <c r="N116" s="3" t="str">
        <f>IFERROR(MID(VLOOKUP($B116,Seqs!$A:$B,2,0),O116,1),"")</f>
        <v>D</v>
      </c>
      <c r="O116" s="3">
        <v>110</v>
      </c>
      <c r="P116" s="3" t="str">
        <f>IFERROR(MID(VLOOKUP($B116,Seqs!$A:$B,2,0),Q116,1),"")</f>
        <v>Q</v>
      </c>
      <c r="Q116" s="3">
        <v>111</v>
      </c>
      <c r="R116" s="3" t="str">
        <f>IFERROR(MID(VLOOKUP($B116,Seqs!$A:$B,2,0),S116,1),"")</f>
        <v>F</v>
      </c>
      <c r="S116" s="3">
        <v>114</v>
      </c>
      <c r="T116" s="3" t="str">
        <f>IFERROR(MID(VLOOKUP($B116,Seqs!$A:$B,2,0),U116,1),"")</f>
        <v>Q</v>
      </c>
      <c r="U116" s="3">
        <v>115</v>
      </c>
      <c r="V116" s="3" t="str">
        <f>IFERROR(MID(VLOOKUP($B116,Seqs!$A:$B,2,0),W116,1),"")</f>
        <v>Q</v>
      </c>
      <c r="W116" s="3">
        <v>150</v>
      </c>
      <c r="X116" s="3" t="str">
        <f>IFERROR(MID(VLOOKUP($B116,Seqs!$A:$B,2,0),Y116,1),"")</f>
        <v>A</v>
      </c>
      <c r="Y116" s="3">
        <v>151</v>
      </c>
      <c r="Z116" s="3" t="str">
        <f>IFERROR(MID(VLOOKUP($B116,Seqs!$A:$B,2,0),AA116,1),"")</f>
        <v>W</v>
      </c>
      <c r="AA116" s="3">
        <v>157</v>
      </c>
      <c r="AB116" s="3" t="str">
        <f>IFERROR(MID(VLOOKUP($B116,Seqs!$A:$B,2,0),AC116,1),"")</f>
        <v>R</v>
      </c>
      <c r="AC116" s="9">
        <v>158</v>
      </c>
      <c r="AD116" s="3" t="str">
        <f>IFERROR(MID(VLOOKUP($B116,Seqs!$A:$B,2,0),AE116,1),"")</f>
        <v>S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M</v>
      </c>
      <c r="AI116" s="3">
        <v>200</v>
      </c>
      <c r="AJ116" s="3" t="str">
        <f>IFERROR(MID(VLOOKUP($B116,Seqs!$A:$B,2,0),AK116,1),"")</f>
        <v>K</v>
      </c>
      <c r="AK116" s="3">
        <v>209</v>
      </c>
      <c r="AL116" s="3" t="str">
        <f>IFERROR(MID(VLOOKUP($B116,Seqs!$A:$B,2,0),AM116,1),"")</f>
        <v>A</v>
      </c>
      <c r="AM116" s="3">
        <v>244</v>
      </c>
      <c r="AN116" s="3" t="str">
        <f>IFERROR(MID(VLOOKUP($B116,Seqs!$A:$B,2,0),AO116,1),"")</f>
        <v>S</v>
      </c>
      <c r="AO116" s="3">
        <v>247</v>
      </c>
      <c r="AP116" s="3" t="str">
        <f>IFERROR(MID(VLOOKUP($B116,Seqs!$A:$B,2,0),AQ116,1),"")</f>
        <v>M</v>
      </c>
      <c r="AQ116" s="3">
        <v>284</v>
      </c>
      <c r="AR116" s="3" t="str">
        <f>IFERROR(MID(VLOOKUP($B116,Seqs!$A:$B,2,0),AS116,1),"")</f>
        <v>N</v>
      </c>
      <c r="AS116" s="3">
        <v>288</v>
      </c>
      <c r="AT116" s="3" t="str">
        <f>IFERROR(MID(VLOOKUP($B116,Seqs!$A:$B,2,0),AU116,1),"")</f>
        <v>V</v>
      </c>
      <c r="AU116" s="3">
        <v>320</v>
      </c>
      <c r="AV116" s="3" t="str">
        <f>IFERROR(MID(VLOOKUP($B116,Seqs!$A:$B,2,0),AW116,1),"")</f>
        <v>G</v>
      </c>
      <c r="AW116" s="3">
        <v>321</v>
      </c>
      <c r="AX116" s="3" t="str">
        <f>IFERROR(MID(VLOOKUP($B116,Seqs!$A:$B,2,0),AY116,1),"")</f>
        <v>A</v>
      </c>
      <c r="AY116" s="3">
        <v>341</v>
      </c>
      <c r="AZ116" s="78" t="str">
        <f>VLOOKUP(B116,Classification!A:D,2,0)</f>
        <v>A</v>
      </c>
      <c r="BA116" s="95" t="str">
        <f>VLOOKUP(B116,Classification!A:D,4,0)</f>
        <v>Chemokine</v>
      </c>
      <c r="BB116" s="27" t="b">
        <f t="shared" si="811"/>
        <v>1</v>
      </c>
      <c r="BC116" s="23">
        <f t="shared" si="784"/>
        <v>276</v>
      </c>
      <c r="BD116" s="56" t="s">
        <v>1379</v>
      </c>
      <c r="BE116" s="3" t="s">
        <v>23</v>
      </c>
      <c r="BF116" s="120" t="s">
        <v>23</v>
      </c>
      <c r="BG116" s="49" t="s">
        <v>1379</v>
      </c>
      <c r="BH116" s="49" t="s">
        <v>1384</v>
      </c>
      <c r="BI116" s="1"/>
      <c r="BJ116" s="71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1">
        <f t="shared" si="785"/>
        <v>43</v>
      </c>
      <c r="BW116" s="72">
        <f t="shared" si="786"/>
        <v>77</v>
      </c>
      <c r="BX116" s="73">
        <f t="shared" si="787"/>
        <v>81</v>
      </c>
      <c r="BY116" s="72">
        <f t="shared" si="788"/>
        <v>111</v>
      </c>
      <c r="BZ116" s="73">
        <f t="shared" si="789"/>
        <v>115</v>
      </c>
      <c r="CA116" s="72">
        <f t="shared" si="790"/>
        <v>151</v>
      </c>
      <c r="CB116" s="73">
        <f t="shared" si="791"/>
        <v>158</v>
      </c>
      <c r="CC116" s="72">
        <f t="shared" si="792"/>
        <v>198</v>
      </c>
      <c r="CD116" s="73">
        <f t="shared" si="793"/>
        <v>209</v>
      </c>
      <c r="CE116" s="72">
        <f t="shared" si="794"/>
        <v>247</v>
      </c>
      <c r="CF116" s="73">
        <f t="shared" si="795"/>
        <v>288</v>
      </c>
      <c r="CG116" s="72">
        <f t="shared" si="796"/>
        <v>321</v>
      </c>
      <c r="CH116" s="71">
        <f t="shared" si="797"/>
        <v>76</v>
      </c>
      <c r="CI116" s="72">
        <f t="shared" si="798"/>
        <v>80</v>
      </c>
      <c r="CJ116" s="73">
        <f t="shared" si="799"/>
        <v>110</v>
      </c>
      <c r="CK116" s="73">
        <f t="shared" si="800"/>
        <v>114</v>
      </c>
      <c r="CL116" s="73">
        <f t="shared" si="801"/>
        <v>150</v>
      </c>
      <c r="CM116" s="73">
        <f t="shared" si="802"/>
        <v>157</v>
      </c>
      <c r="CN116" s="73">
        <f t="shared" si="803"/>
        <v>187</v>
      </c>
      <c r="CO116" s="73">
        <f t="shared" si="804"/>
        <v>200</v>
      </c>
      <c r="CP116" s="73">
        <f t="shared" si="805"/>
        <v>244</v>
      </c>
      <c r="CQ116" s="73">
        <f t="shared" si="806"/>
        <v>284</v>
      </c>
      <c r="CR116" s="73">
        <f t="shared" si="807"/>
        <v>320</v>
      </c>
      <c r="CS116" s="73">
        <f t="shared" si="808"/>
        <v>341</v>
      </c>
      <c r="CT116" s="23">
        <f t="shared" si="809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810"/>
        <v>ccr9_human_5LWE</v>
      </c>
      <c r="B117" s="3" t="s">
        <v>177</v>
      </c>
      <c r="C117" s="3" t="s">
        <v>1372</v>
      </c>
      <c r="D117" s="3" t="str">
        <f>IFERROR(MID(VLOOKUP($B117,Seqs!$A:$B,2,0),E117,1),"")</f>
        <v>V</v>
      </c>
      <c r="E117" s="3">
        <v>43</v>
      </c>
      <c r="F117" s="3" t="str">
        <f>IFERROR(MID(VLOOKUP($B117,Seqs!$A:$B,2,0),G117,1),"")</f>
        <v>C</v>
      </c>
      <c r="G117" s="3">
        <v>76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T</v>
      </c>
      <c r="M117" s="3">
        <v>81</v>
      </c>
      <c r="N117" s="3" t="str">
        <f>IFERROR(MID(VLOOKUP($B117,Seqs!$A:$B,2,0),O117,1),"")</f>
        <v>A</v>
      </c>
      <c r="O117" s="3">
        <v>108</v>
      </c>
      <c r="P117" s="3" t="str">
        <f>IFERROR(MID(VLOOKUP($B117,Seqs!$A:$B,2,0),Q117,1),"")</f>
        <v/>
      </c>
      <c r="Q117" s="3" t="s">
        <v>23</v>
      </c>
      <c r="R117" s="3" t="str">
        <f>IFERROR(MID(VLOOKUP($B117,Seqs!$A:$B,2,0),S117,1),"")</f>
        <v/>
      </c>
      <c r="S117" s="3" t="s">
        <v>23</v>
      </c>
      <c r="T117" s="3" t="str">
        <f>IFERROR(MID(VLOOKUP($B117,Seqs!$A:$B,2,0),U117,1),"")</f>
        <v>C</v>
      </c>
      <c r="U117" s="3">
        <v>119</v>
      </c>
      <c r="V117" s="3" t="str">
        <f>IFERROR(MID(VLOOKUP($B117,Seqs!$A:$B,2,0),W117,1),"")</f>
        <v>Q</v>
      </c>
      <c r="W117" s="3">
        <v>150</v>
      </c>
      <c r="X117" s="3" t="str">
        <f>IFERROR(MID(VLOOKUP($B117,Seqs!$A:$B,2,0),Y117,1),"")</f>
        <v>A</v>
      </c>
      <c r="Y117" s="3">
        <v>151</v>
      </c>
      <c r="Z117" s="3" t="str">
        <f>IFERROR(MID(VLOOKUP($B117,Seqs!$A:$B,2,0),AA117,1),"")</f>
        <v>W</v>
      </c>
      <c r="AA117" s="3">
        <v>157</v>
      </c>
      <c r="AB117" s="3" t="str">
        <f>IFERROR(MID(VLOOKUP($B117,Seqs!$A:$B,2,0),AC117,1),"")</f>
        <v>R</v>
      </c>
      <c r="AC117" s="9">
        <v>158</v>
      </c>
      <c r="AD117" s="3" t="str">
        <f>IFERROR(MID(VLOOKUP($B117,Seqs!$A:$B,2,0),AE117,1),"")</f>
        <v>I</v>
      </c>
      <c r="AE117" s="3">
        <v>184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/>
      </c>
      <c r="AK117" s="3" t="s">
        <v>23</v>
      </c>
      <c r="AL117" s="3" t="str">
        <f>IFERROR(MID(VLOOKUP($B117,Seqs!$A:$B,2,0),AM117,1),"")</f>
        <v/>
      </c>
      <c r="AM117" s="3" t="s">
        <v>23</v>
      </c>
      <c r="AN117" s="3" t="str">
        <f>IFERROR(MID(VLOOKUP($B117,Seqs!$A:$B,2,0),AO117,1),"")</f>
        <v>S</v>
      </c>
      <c r="AO117" s="3">
        <v>247</v>
      </c>
      <c r="AP117" s="3" t="str">
        <f>IFERROR(MID(VLOOKUP($B117,Seqs!$A:$B,2,0),AQ117,1),"")</f>
        <v>M</v>
      </c>
      <c r="AQ117" s="3">
        <v>284</v>
      </c>
      <c r="AR117" s="3" t="str">
        <f>IFERROR(MID(VLOOKUP($B117,Seqs!$A:$B,2,0),AS117,1),"")</f>
        <v>N</v>
      </c>
      <c r="AS117" s="3">
        <v>288</v>
      </c>
      <c r="AT117" s="3" t="str">
        <f>IFERROR(MID(VLOOKUP($B117,Seqs!$A:$B,2,0),AU117,1),"")</f>
        <v>V</v>
      </c>
      <c r="AU117" s="3">
        <v>320</v>
      </c>
      <c r="AV117" s="3" t="str">
        <f>IFERROR(MID(VLOOKUP($B117,Seqs!$A:$B,2,0),AW117,1),"")</f>
        <v>G</v>
      </c>
      <c r="AW117" s="3">
        <v>321</v>
      </c>
      <c r="AX117" s="3" t="str">
        <f>IFERROR(MID(VLOOKUP($B117,Seqs!$A:$B,2,0),AY117,1),"")</f>
        <v>A</v>
      </c>
      <c r="AY117" s="3">
        <v>341</v>
      </c>
      <c r="AZ117" s="78" t="str">
        <f>VLOOKUP(B117,Classification!A:D,2,0)</f>
        <v>A</v>
      </c>
      <c r="BA117" s="95" t="str">
        <f>VLOOKUP(B117,Classification!A:D,4,0)</f>
        <v>Chemokine</v>
      </c>
      <c r="BB117" s="27" t="b">
        <f t="shared" si="811"/>
        <v>0</v>
      </c>
      <c r="BC117" s="23">
        <f t="shared" si="784"/>
        <v>224</v>
      </c>
      <c r="BD117" s="16" t="s">
        <v>1383</v>
      </c>
      <c r="BE117" s="3" t="s">
        <v>1381</v>
      </c>
      <c r="BF117" s="120">
        <v>2.8</v>
      </c>
      <c r="BG117" s="49" t="s">
        <v>1384</v>
      </c>
      <c r="BH117" s="49" t="s">
        <v>1384</v>
      </c>
      <c r="BI117" s="1"/>
      <c r="BJ117" s="71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1">
        <f t="shared" si="785"/>
        <v>43</v>
      </c>
      <c r="BW117" s="72" t="str">
        <f t="shared" si="786"/>
        <v>-</v>
      </c>
      <c r="BX117" s="73">
        <f t="shared" si="787"/>
        <v>81</v>
      </c>
      <c r="BY117" s="72" t="str">
        <f t="shared" si="788"/>
        <v>-</v>
      </c>
      <c r="BZ117" s="73">
        <f t="shared" si="789"/>
        <v>119</v>
      </c>
      <c r="CA117" s="72">
        <f t="shared" si="790"/>
        <v>151</v>
      </c>
      <c r="CB117" s="73">
        <f t="shared" si="791"/>
        <v>158</v>
      </c>
      <c r="CC117" s="72" t="str">
        <f t="shared" si="792"/>
        <v>-</v>
      </c>
      <c r="CD117" s="73" t="str">
        <f t="shared" si="793"/>
        <v>-</v>
      </c>
      <c r="CE117" s="72">
        <f t="shared" si="794"/>
        <v>247</v>
      </c>
      <c r="CF117" s="73">
        <f t="shared" si="795"/>
        <v>288</v>
      </c>
      <c r="CG117" s="72">
        <f t="shared" si="796"/>
        <v>321</v>
      </c>
      <c r="CH117" s="71">
        <f t="shared" si="797"/>
        <v>76</v>
      </c>
      <c r="CI117" s="72" t="str">
        <f t="shared" si="798"/>
        <v>-</v>
      </c>
      <c r="CJ117" s="73">
        <f t="shared" si="799"/>
        <v>108</v>
      </c>
      <c r="CK117" s="73" t="str">
        <f t="shared" si="800"/>
        <v>-</v>
      </c>
      <c r="CL117" s="73">
        <f t="shared" si="801"/>
        <v>150</v>
      </c>
      <c r="CM117" s="73">
        <f t="shared" si="802"/>
        <v>157</v>
      </c>
      <c r="CN117" s="73">
        <f t="shared" si="803"/>
        <v>184</v>
      </c>
      <c r="CO117" s="73" t="str">
        <f t="shared" si="804"/>
        <v>-</v>
      </c>
      <c r="CP117" s="73" t="str">
        <f t="shared" si="805"/>
        <v>-</v>
      </c>
      <c r="CQ117" s="73">
        <f t="shared" si="806"/>
        <v>284</v>
      </c>
      <c r="CR117" s="73">
        <f t="shared" si="807"/>
        <v>320</v>
      </c>
      <c r="CS117" s="73">
        <f t="shared" si="808"/>
        <v>341</v>
      </c>
      <c r="CT117" s="23" t="e">
        <f t="shared" si="809"/>
        <v>#VALUE!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ref="A118" si="1035">CONCATENATE(B118,"_",C118)</f>
        <v>ccr9_human_5LWE_dist</v>
      </c>
      <c r="B118" s="3" t="s">
        <v>177</v>
      </c>
      <c r="C118" s="3" t="s">
        <v>1391</v>
      </c>
      <c r="D118" s="3" t="str">
        <f>IFERROR(MID(VLOOKUP($B118,Seqs!$A:$B,2,0),E118,1),"")</f>
        <v>V</v>
      </c>
      <c r="E118" s="3">
        <v>43</v>
      </c>
      <c r="F118" s="3" t="str">
        <f>IFERROR(MID(VLOOKUP($B118,Seqs!$A:$B,2,0),G118,1),"")</f>
        <v>C</v>
      </c>
      <c r="G118" s="3">
        <v>76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T</v>
      </c>
      <c r="M118" s="3">
        <v>81</v>
      </c>
      <c r="N118" s="3" t="str">
        <f>IFERROR(MID(VLOOKUP($B118,Seqs!$A:$B,2,0),O118,1),"")</f>
        <v>A</v>
      </c>
      <c r="O118" s="3">
        <v>108</v>
      </c>
      <c r="P118" s="3" t="str">
        <f>IFERROR(MID(VLOOKUP($B118,Seqs!$A:$B,2,0),Q118,1),"")</f>
        <v/>
      </c>
      <c r="Q118" s="3" t="s">
        <v>23</v>
      </c>
      <c r="R118" s="3" t="str">
        <f>IFERROR(MID(VLOOKUP($B118,Seqs!$A:$B,2,0),S118,1),"")</f>
        <v/>
      </c>
      <c r="S118" s="3" t="s">
        <v>23</v>
      </c>
      <c r="T118" s="3" t="str">
        <f>IFERROR(MID(VLOOKUP($B118,Seqs!$A:$B,2,0),U118,1),"")</f>
        <v>C</v>
      </c>
      <c r="U118" s="3">
        <v>119</v>
      </c>
      <c r="V118" s="3" t="str">
        <f>IFERROR(MID(VLOOKUP($B118,Seqs!$A:$B,2,0),W118,1),"")</f>
        <v>Q</v>
      </c>
      <c r="W118" s="3">
        <v>150</v>
      </c>
      <c r="X118" s="3" t="str">
        <f>IFERROR(MID(VLOOKUP($B118,Seqs!$A:$B,2,0),Y118,1),"")</f>
        <v>A</v>
      </c>
      <c r="Y118" s="3">
        <v>151</v>
      </c>
      <c r="Z118" s="3" t="str">
        <f>IFERROR(MID(VLOOKUP($B118,Seqs!$A:$B,2,0),AA118,1),"")</f>
        <v>W</v>
      </c>
      <c r="AA118" s="3">
        <v>157</v>
      </c>
      <c r="AB118" s="3" t="str">
        <f>IFERROR(MID(VLOOKUP($B118,Seqs!$A:$B,2,0),AC118,1),"")</f>
        <v>R</v>
      </c>
      <c r="AC118" s="9">
        <v>158</v>
      </c>
      <c r="AD118" s="3" t="str">
        <f>IFERROR(MID(VLOOKUP($B118,Seqs!$A:$B,2,0),AE118,1),"")</f>
        <v>I</v>
      </c>
      <c r="AE118" s="3">
        <v>184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K</v>
      </c>
      <c r="AK118" s="3">
        <v>209</v>
      </c>
      <c r="AL118" s="3" t="str">
        <f>IFERROR(MID(VLOOKUP($B118,Seqs!$A:$B,2,0),AM118,1),"")</f>
        <v>A</v>
      </c>
      <c r="AM118" s="3">
        <v>244</v>
      </c>
      <c r="AN118" s="3" t="str">
        <f>IFERROR(MID(VLOOKUP($B118,Seqs!$A:$B,2,0),AO118,1),"")</f>
        <v>S</v>
      </c>
      <c r="AO118" s="3">
        <v>247</v>
      </c>
      <c r="AP118" s="3" t="str">
        <f>IFERROR(MID(VLOOKUP($B118,Seqs!$A:$B,2,0),AQ118,1),"")</f>
        <v>M</v>
      </c>
      <c r="AQ118" s="3">
        <v>284</v>
      </c>
      <c r="AR118" s="3" t="str">
        <f>IFERROR(MID(VLOOKUP($B118,Seqs!$A:$B,2,0),AS118,1),"")</f>
        <v>N</v>
      </c>
      <c r="AS118" s="3">
        <v>288</v>
      </c>
      <c r="AT118" s="3" t="str">
        <f>IFERROR(MID(VLOOKUP($B118,Seqs!$A:$B,2,0),AU118,1),"")</f>
        <v>V</v>
      </c>
      <c r="AU118" s="3">
        <v>320</v>
      </c>
      <c r="AV118" s="3" t="str">
        <f>IFERROR(MID(VLOOKUP($B118,Seqs!$A:$B,2,0),AW118,1),"")</f>
        <v>G</v>
      </c>
      <c r="AW118" s="3">
        <v>321</v>
      </c>
      <c r="AX118" s="3" t="str">
        <f>IFERROR(MID(VLOOKUP($B118,Seqs!$A:$B,2,0),AY118,1),"")</f>
        <v>A</v>
      </c>
      <c r="AY118" s="3">
        <v>341</v>
      </c>
      <c r="AZ118" s="78" t="str">
        <f>VLOOKUP(B118,Classification!A:D,2,0)</f>
        <v>A</v>
      </c>
      <c r="BA118" s="95" t="str">
        <f>VLOOKUP(B118,Classification!A:D,4,0)</f>
        <v>Chemokine</v>
      </c>
      <c r="BB118" s="27" t="b">
        <f t="shared" ref="BB118" si="1036"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23">
        <f t="shared" ref="BC118" si="1037">_xlfn.AGGREGATE(9,6,CH118:CS118)-_xlfn.AGGREGATE(9,6,BV118:CG118)+12</f>
        <v>259</v>
      </c>
      <c r="BD118" s="16" t="s">
        <v>23</v>
      </c>
      <c r="BE118" s="3" t="s">
        <v>1381</v>
      </c>
      <c r="BF118" s="120">
        <v>2.8</v>
      </c>
      <c r="BG118" s="49" t="s">
        <v>1384</v>
      </c>
      <c r="BH118" s="49" t="s">
        <v>1384</v>
      </c>
      <c r="BI118" s="1"/>
      <c r="BJ118" s="71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1">
        <f t="shared" ref="BV118" si="1038">E118</f>
        <v>43</v>
      </c>
      <c r="BW118" s="72" t="str">
        <f t="shared" ref="BW118" si="1039">I118</f>
        <v>-</v>
      </c>
      <c r="BX118" s="73">
        <f t="shared" ref="BX118" si="1040">M118</f>
        <v>81</v>
      </c>
      <c r="BY118" s="72" t="str">
        <f t="shared" ref="BY118" si="1041">Q118</f>
        <v>-</v>
      </c>
      <c r="BZ118" s="73">
        <f t="shared" ref="BZ118" si="1042">U118</f>
        <v>119</v>
      </c>
      <c r="CA118" s="72">
        <f t="shared" ref="CA118" si="1043">Y118</f>
        <v>151</v>
      </c>
      <c r="CB118" s="73">
        <f t="shared" ref="CB118" si="1044">AC118</f>
        <v>158</v>
      </c>
      <c r="CC118" s="72" t="str">
        <f t="shared" ref="CC118" si="1045">AG118</f>
        <v>-</v>
      </c>
      <c r="CD118" s="73">
        <f t="shared" ref="CD118" si="1046">AK118</f>
        <v>209</v>
      </c>
      <c r="CE118" s="72">
        <f t="shared" ref="CE118" si="1047">AO118</f>
        <v>247</v>
      </c>
      <c r="CF118" s="73">
        <f t="shared" ref="CF118" si="1048">AS118</f>
        <v>288</v>
      </c>
      <c r="CG118" s="72">
        <f t="shared" ref="CG118" si="1049">AW118</f>
        <v>321</v>
      </c>
      <c r="CH118" s="71">
        <f t="shared" ref="CH118" si="1050">G118</f>
        <v>76</v>
      </c>
      <c r="CI118" s="72" t="str">
        <f t="shared" ref="CI118" si="1051">K118</f>
        <v>-</v>
      </c>
      <c r="CJ118" s="73">
        <f t="shared" ref="CJ118" si="1052">O118</f>
        <v>108</v>
      </c>
      <c r="CK118" s="73" t="str">
        <f t="shared" ref="CK118" si="1053">S118</f>
        <v>-</v>
      </c>
      <c r="CL118" s="73">
        <f t="shared" ref="CL118" si="1054">W118</f>
        <v>150</v>
      </c>
      <c r="CM118" s="73">
        <f t="shared" ref="CM118" si="1055">AA118</f>
        <v>157</v>
      </c>
      <c r="CN118" s="73">
        <f t="shared" ref="CN118" si="1056">AE118</f>
        <v>184</v>
      </c>
      <c r="CO118" s="73" t="str">
        <f t="shared" ref="CO118" si="1057">AI118</f>
        <v>-</v>
      </c>
      <c r="CP118" s="73">
        <f t="shared" ref="CP118" si="1058">AM118</f>
        <v>244</v>
      </c>
      <c r="CQ118" s="73">
        <f t="shared" ref="CQ118" si="1059">AQ118</f>
        <v>284</v>
      </c>
      <c r="CR118" s="73">
        <f t="shared" ref="CR118" si="1060">AU118</f>
        <v>320</v>
      </c>
      <c r="CS118" s="73">
        <f t="shared" ref="CS118" si="1061">AY118</f>
        <v>341</v>
      </c>
      <c r="CT118" s="23" t="e">
        <f t="shared" ref="CT118" si="1062">M118-K118</f>
        <v>#VALUE!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810"/>
        <v>cnr1_human__wt</v>
      </c>
      <c r="B119" s="3" t="s">
        <v>182</v>
      </c>
      <c r="C119" s="3" t="s">
        <v>100</v>
      </c>
      <c r="D119" s="3" t="str">
        <f>IFERROR(MID(VLOOKUP($B119,Seqs!$A:$B,2,0),E119,1),"")</f>
        <v>N</v>
      </c>
      <c r="E119" s="3">
        <v>112</v>
      </c>
      <c r="F119" s="3" t="str">
        <f>IFERROR(MID(VLOOKUP($B119,Seqs!$A:$B,2,0),G119,1),"")</f>
        <v>S</v>
      </c>
      <c r="G119" s="3">
        <v>144</v>
      </c>
      <c r="H119" s="3" t="str">
        <f>IFERROR(MID(VLOOKUP($B119,Seqs!$A:$B,2,0),I119,1),"")</f>
        <v>R</v>
      </c>
      <c r="I119" s="23">
        <v>145</v>
      </c>
      <c r="J119" s="3" t="str">
        <f>IFERROR(MID(VLOOKUP($B119,Seqs!$A:$B,2,0),K119,1),"")</f>
        <v>R</v>
      </c>
      <c r="K119" s="23">
        <v>148</v>
      </c>
      <c r="L119" s="3" t="str">
        <f>IFERROR(MID(VLOOKUP($B119,Seqs!$A:$B,2,0),M119,1),"")</f>
        <v>R</v>
      </c>
      <c r="M119" s="3">
        <v>150</v>
      </c>
      <c r="N119" s="3" t="str">
        <f>IFERROR(MID(VLOOKUP($B119,Seqs!$A:$B,2,0),O119,1),"")</f>
        <v>V</v>
      </c>
      <c r="O119" s="3">
        <v>179</v>
      </c>
      <c r="P119" s="3" t="str">
        <f>IFERROR(MID(VLOOKUP($B119,Seqs!$A:$B,2,0),Q119,1),"")</f>
        <v/>
      </c>
      <c r="Q119" s="3" t="s">
        <v>23</v>
      </c>
      <c r="R119" s="3" t="str">
        <f>IFERROR(MID(VLOOKUP($B119,Seqs!$A:$B,2,0),S119,1),"")</f>
        <v/>
      </c>
      <c r="S119" s="3" t="s">
        <v>23</v>
      </c>
      <c r="T119" s="3" t="str">
        <f>IFERROR(MID(VLOOKUP($B119,Seqs!$A:$B,2,0),U119,1),"")</f>
        <v>S</v>
      </c>
      <c r="U119" s="3">
        <v>185</v>
      </c>
      <c r="V119" s="3" t="str">
        <f>IFERROR(MID(VLOOKUP($B119,Seqs!$A:$B,2,0),W119,1),"")</f>
        <v>R</v>
      </c>
      <c r="W119" s="3">
        <v>220</v>
      </c>
      <c r="X119" s="3" t="str">
        <f>IFERROR(MID(VLOOKUP($B119,Seqs!$A:$B,2,0),Y119,1),"")</f>
        <v>P</v>
      </c>
      <c r="Y119" s="3">
        <v>221</v>
      </c>
      <c r="Z119" s="3" t="str">
        <f>IFERROR(MID(VLOOKUP($B119,Seqs!$A:$B,2,0),AA119,1),"")</f>
        <v>V</v>
      </c>
      <c r="AA119" s="3">
        <v>228</v>
      </c>
      <c r="AB119" s="3" t="str">
        <f>IFERROR(MID(VLOOKUP($B119,Seqs!$A:$B,2,0),AC119,1),"")</f>
        <v>T</v>
      </c>
      <c r="AC119" s="9">
        <v>229</v>
      </c>
      <c r="AD119" s="3" t="str">
        <f>IFERROR(MID(VLOOKUP($B119,Seqs!$A:$B,2,0),AE119,1),"")</f>
        <v>G</v>
      </c>
      <c r="AE119" s="3">
        <v>254</v>
      </c>
      <c r="AF119" s="3" t="str">
        <f>IFERROR(MID(VLOOKUP($B119,Seqs!$A:$B,2,0),AG119,1),"")</f>
        <v/>
      </c>
      <c r="AG119" s="3" t="s">
        <v>23</v>
      </c>
      <c r="AH119" s="3" t="str">
        <f>IFERROR(MID(VLOOKUP($B119,Seqs!$A:$B,2,0),AI119,1),"")</f>
        <v/>
      </c>
      <c r="AI119" s="3" t="s">
        <v>23</v>
      </c>
      <c r="AJ119" s="3" t="str">
        <f>IFERROR(MID(VLOOKUP($B119,Seqs!$A:$B,2,0),AK119,1),"")</f>
        <v>D</v>
      </c>
      <c r="AK119" s="3">
        <v>272</v>
      </c>
      <c r="AL119" s="3" t="str">
        <f>IFERROR(MID(VLOOKUP($B119,Seqs!$A:$B,2,0),AM119,1),"")</f>
        <v>G</v>
      </c>
      <c r="AM119" s="3">
        <v>312</v>
      </c>
      <c r="AN119" s="3" t="str">
        <f>IFERROR(MID(VLOOKUP($B119,Seqs!$A:$B,2,0),AO119,1),"")</f>
        <v>P</v>
      </c>
      <c r="AO119" s="3">
        <v>332</v>
      </c>
      <c r="AP119" s="3" t="str">
        <f>IFERROR(MID(VLOOKUP($B119,Seqs!$A:$B,2,0),AQ119,1),"")</f>
        <v>G</v>
      </c>
      <c r="AQ119" s="3">
        <v>369</v>
      </c>
      <c r="AR119" s="3" t="str">
        <f>IFERROR(MID(VLOOKUP($B119,Seqs!$A:$B,2,0),AS119,1),"")</f>
        <v>N</v>
      </c>
      <c r="AS119" s="3">
        <v>372</v>
      </c>
      <c r="AT119" s="3" t="str">
        <f>IFERROR(MID(VLOOKUP($B119,Seqs!$A:$B,2,0),AU119,1),"")</f>
        <v>R</v>
      </c>
      <c r="AU119" s="3">
        <v>400</v>
      </c>
      <c r="AV119" s="3" t="str">
        <f>IFERROR(MID(VLOOKUP($B119,Seqs!$A:$B,2,0),AW119,1),"")</f>
        <v>S</v>
      </c>
      <c r="AW119" s="3">
        <v>401</v>
      </c>
      <c r="AX119" s="3" t="str">
        <f>IFERROR(MID(VLOOKUP($B119,Seqs!$A:$B,2,0),AY119,1),"")</f>
        <v>P</v>
      </c>
      <c r="AY119" s="3">
        <v>413</v>
      </c>
      <c r="AZ119" s="78" t="str">
        <f>VLOOKUP(B119,Classification!A:D,2,0)</f>
        <v>A</v>
      </c>
      <c r="BA119" s="95" t="str">
        <f>VLOOKUP(B119,Classification!A:D,4,0)</f>
        <v>Cannabinoid</v>
      </c>
      <c r="BB119" s="27" t="b">
        <f t="shared" si="811"/>
        <v>1</v>
      </c>
      <c r="BC119" s="23">
        <f t="shared" si="784"/>
        <v>260</v>
      </c>
      <c r="BD119" s="56" t="s">
        <v>1379</v>
      </c>
      <c r="BE119" s="3" t="s">
        <v>23</v>
      </c>
      <c r="BF119" s="120" t="s">
        <v>23</v>
      </c>
      <c r="BG119" s="49" t="s">
        <v>1379</v>
      </c>
      <c r="BH119" s="49" t="s">
        <v>1384</v>
      </c>
      <c r="BJ119" s="71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1">
        <f t="shared" si="785"/>
        <v>112</v>
      </c>
      <c r="BW119" s="72">
        <f t="shared" si="786"/>
        <v>145</v>
      </c>
      <c r="BX119" s="73">
        <f t="shared" si="787"/>
        <v>150</v>
      </c>
      <c r="BY119" s="72" t="str">
        <f t="shared" si="788"/>
        <v>-</v>
      </c>
      <c r="BZ119" s="73">
        <f t="shared" si="789"/>
        <v>185</v>
      </c>
      <c r="CA119" s="72">
        <f t="shared" si="790"/>
        <v>221</v>
      </c>
      <c r="CB119" s="73">
        <f t="shared" si="791"/>
        <v>229</v>
      </c>
      <c r="CC119" s="72" t="str">
        <f t="shared" si="792"/>
        <v>-</v>
      </c>
      <c r="CD119" s="73">
        <f t="shared" si="793"/>
        <v>272</v>
      </c>
      <c r="CE119" s="72">
        <f t="shared" si="794"/>
        <v>332</v>
      </c>
      <c r="CF119" s="73">
        <f t="shared" si="795"/>
        <v>372</v>
      </c>
      <c r="CG119" s="72">
        <f t="shared" si="796"/>
        <v>401</v>
      </c>
      <c r="CH119" s="71">
        <f t="shared" si="797"/>
        <v>144</v>
      </c>
      <c r="CI119" s="72">
        <f t="shared" si="798"/>
        <v>148</v>
      </c>
      <c r="CJ119" s="73">
        <f t="shared" si="799"/>
        <v>179</v>
      </c>
      <c r="CK119" s="73" t="str">
        <f t="shared" si="800"/>
        <v>-</v>
      </c>
      <c r="CL119" s="73">
        <f t="shared" si="801"/>
        <v>220</v>
      </c>
      <c r="CM119" s="73">
        <f t="shared" si="802"/>
        <v>228</v>
      </c>
      <c r="CN119" s="73">
        <f t="shared" si="803"/>
        <v>254</v>
      </c>
      <c r="CO119" s="73" t="str">
        <f t="shared" si="804"/>
        <v>-</v>
      </c>
      <c r="CP119" s="73">
        <f t="shared" si="805"/>
        <v>312</v>
      </c>
      <c r="CQ119" s="73">
        <f t="shared" si="806"/>
        <v>369</v>
      </c>
      <c r="CR119" s="73">
        <f t="shared" si="807"/>
        <v>400</v>
      </c>
      <c r="CS119" s="73">
        <f t="shared" si="808"/>
        <v>413</v>
      </c>
      <c r="CT119" s="23">
        <f t="shared" si="809"/>
        <v>2</v>
      </c>
    </row>
    <row r="120" spans="1:1030" s="3" customFormat="1" x14ac:dyDescent="0.2">
      <c r="A120" s="3" t="str">
        <f t="shared" si="810"/>
        <v>cnr1_human_5TGZ</v>
      </c>
      <c r="B120" s="3" t="s">
        <v>182</v>
      </c>
      <c r="C120" s="3" t="s">
        <v>1365</v>
      </c>
      <c r="D120" s="3" t="str">
        <f>IFERROR(MID(VLOOKUP($B120,Seqs!$A:$B,2,0),E120,1),"")</f>
        <v>P</v>
      </c>
      <c r="E120" s="3">
        <v>113</v>
      </c>
      <c r="F120" s="3" t="str">
        <f>IFERROR(MID(VLOOKUP($B120,Seqs!$A:$B,2,0),G120,1),"")</f>
        <v>S</v>
      </c>
      <c r="G120" s="3">
        <v>144</v>
      </c>
      <c r="H120" s="3" t="str">
        <f>IFERROR(MID(VLOOKUP($B120,Seqs!$A:$B,2,0),I120,1),"")</f>
        <v>R</v>
      </c>
      <c r="I120" s="23">
        <v>145</v>
      </c>
      <c r="J120" s="3" t="str">
        <f>IFERROR(MID(VLOOKUP($B120,Seqs!$A:$B,2,0),K120,1),"")</f>
        <v>R</v>
      </c>
      <c r="K120" s="23">
        <v>148</v>
      </c>
      <c r="L120" s="3" t="str">
        <f>IFERROR(MID(VLOOKUP($B120,Seqs!$A:$B,2,0),M120,1),"")</f>
        <v>R</v>
      </c>
      <c r="M120" s="3">
        <v>150</v>
      </c>
      <c r="N120" s="3" t="str">
        <f>IFERROR(MID(VLOOKUP($B120,Seqs!$A:$B,2,0),O120,1),"")</f>
        <v>V</v>
      </c>
      <c r="O120" s="3">
        <v>179</v>
      </c>
      <c r="P120" s="3" t="str">
        <f>IFERROR(MID(VLOOKUP($B120,Seqs!$A:$B,2,0),Q120,1),"")</f>
        <v/>
      </c>
      <c r="Q120" s="3" t="s">
        <v>23</v>
      </c>
      <c r="R120" s="3" t="str">
        <f>IFERROR(MID(VLOOKUP($B120,Seqs!$A:$B,2,0),S120,1),"")</f>
        <v/>
      </c>
      <c r="S120" s="3" t="s">
        <v>23</v>
      </c>
      <c r="T120" s="3" t="str">
        <f>IFERROR(MID(VLOOKUP($B120,Seqs!$A:$B,2,0),U120,1),"")</f>
        <v>S</v>
      </c>
      <c r="U120" s="3">
        <v>185</v>
      </c>
      <c r="V120" s="3" t="str">
        <f>IFERROR(MID(VLOOKUP($B120,Seqs!$A:$B,2,0),W120,1),"")</f>
        <v>R</v>
      </c>
      <c r="W120" s="3">
        <v>220</v>
      </c>
      <c r="X120" s="3" t="str">
        <f>IFERROR(MID(VLOOKUP($B120,Seqs!$A:$B,2,0),Y120,1),"")</f>
        <v>P</v>
      </c>
      <c r="Y120" s="3">
        <v>221</v>
      </c>
      <c r="Z120" s="3" t="str">
        <f>IFERROR(MID(VLOOKUP($B120,Seqs!$A:$B,2,0),AA120,1),"")</f>
        <v>V</v>
      </c>
      <c r="AA120" s="3">
        <v>228</v>
      </c>
      <c r="AB120" s="3" t="str">
        <f>IFERROR(MID(VLOOKUP($B120,Seqs!$A:$B,2,0),AC120,1),"")</f>
        <v>T</v>
      </c>
      <c r="AC120" s="9">
        <v>229</v>
      </c>
      <c r="AD120" s="3" t="str">
        <f>IFERROR(MID(VLOOKUP($B120,Seqs!$A:$B,2,0),AE120,1),"")</f>
        <v>G</v>
      </c>
      <c r="AE120" s="3">
        <v>254</v>
      </c>
      <c r="AF120" s="3" t="str">
        <f>IFERROR(MID(VLOOKUP($B120,Seqs!$A:$B,2,0),AG120,1),"")</f>
        <v/>
      </c>
      <c r="AG120" s="3" t="s">
        <v>23</v>
      </c>
      <c r="AH120" s="3" t="str">
        <f>IFERROR(MID(VLOOKUP($B120,Seqs!$A:$B,2,0),AI120,1),"")</f>
        <v/>
      </c>
      <c r="AI120" s="3" t="s">
        <v>23</v>
      </c>
      <c r="AJ120" s="3" t="str">
        <f>IFERROR(MID(VLOOKUP($B120,Seqs!$A:$B,2,0),AK120,1),"")</f>
        <v>D</v>
      </c>
      <c r="AK120" s="3">
        <v>272</v>
      </c>
      <c r="AL120" s="3" t="str">
        <f>IFERROR(MID(VLOOKUP($B120,Seqs!$A:$B,2,0),AM120,1),"")</f>
        <v>H</v>
      </c>
      <c r="AM120" s="3">
        <v>304</v>
      </c>
      <c r="AN120" s="3" t="str">
        <f>IFERROR(MID(VLOOKUP($B120,Seqs!$A:$B,2,0),AO120,1),"")</f>
        <v>P</v>
      </c>
      <c r="AO120" s="3">
        <v>332</v>
      </c>
      <c r="AP120" s="3" t="str">
        <f>IFERROR(MID(VLOOKUP($B120,Seqs!$A:$B,2,0),AQ120,1),"")</f>
        <v>F</v>
      </c>
      <c r="AQ120" s="3">
        <v>368</v>
      </c>
      <c r="AR120" s="3" t="str">
        <f>IFERROR(MID(VLOOKUP($B120,Seqs!$A:$B,2,0),AS120,1),"")</f>
        <v>N</v>
      </c>
      <c r="AS120" s="3">
        <v>372</v>
      </c>
      <c r="AT120" s="3" t="str">
        <f>IFERROR(MID(VLOOKUP($B120,Seqs!$A:$B,2,0),AU120,1),"")</f>
        <v>R</v>
      </c>
      <c r="AU120" s="3">
        <v>400</v>
      </c>
      <c r="AV120" s="3" t="str">
        <f>IFERROR(MID(VLOOKUP($B120,Seqs!$A:$B,2,0),AW120,1),"")</f>
        <v>S</v>
      </c>
      <c r="AW120" s="3">
        <v>401</v>
      </c>
      <c r="AX120" s="3" t="str">
        <f>IFERROR(MID(VLOOKUP($B120,Seqs!$A:$B,2,0),AY120,1),"")</f>
        <v>M</v>
      </c>
      <c r="AY120" s="3">
        <v>411</v>
      </c>
      <c r="AZ120" s="78" t="str">
        <f>VLOOKUP(B120,Classification!A:D,2,0)</f>
        <v>A</v>
      </c>
      <c r="BA120" s="95" t="str">
        <f>VLOOKUP(B120,Classification!A:D,4,0)</f>
        <v>Cannabinoid</v>
      </c>
      <c r="BB120" s="27" t="b">
        <f t="shared" si="811"/>
        <v>1</v>
      </c>
      <c r="BC120" s="23">
        <f t="shared" si="784"/>
        <v>248</v>
      </c>
      <c r="BD120" s="16" t="s">
        <v>1383</v>
      </c>
      <c r="BE120" s="3" t="s">
        <v>1381</v>
      </c>
      <c r="BF120" s="120">
        <v>2.8</v>
      </c>
      <c r="BG120" s="49" t="s">
        <v>1384</v>
      </c>
      <c r="BH120" s="49" t="s">
        <v>1384</v>
      </c>
      <c r="BJ120" s="71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1">
        <f t="shared" si="785"/>
        <v>113</v>
      </c>
      <c r="BW120" s="72">
        <f t="shared" si="786"/>
        <v>145</v>
      </c>
      <c r="BX120" s="73">
        <f t="shared" si="787"/>
        <v>150</v>
      </c>
      <c r="BY120" s="72" t="str">
        <f t="shared" si="788"/>
        <v>-</v>
      </c>
      <c r="BZ120" s="73">
        <f t="shared" si="789"/>
        <v>185</v>
      </c>
      <c r="CA120" s="72">
        <f t="shared" si="790"/>
        <v>221</v>
      </c>
      <c r="CB120" s="73">
        <f t="shared" si="791"/>
        <v>229</v>
      </c>
      <c r="CC120" s="72" t="str">
        <f t="shared" si="792"/>
        <v>-</v>
      </c>
      <c r="CD120" s="73">
        <f t="shared" si="793"/>
        <v>272</v>
      </c>
      <c r="CE120" s="72">
        <f t="shared" si="794"/>
        <v>332</v>
      </c>
      <c r="CF120" s="73">
        <f t="shared" si="795"/>
        <v>372</v>
      </c>
      <c r="CG120" s="72">
        <f t="shared" si="796"/>
        <v>401</v>
      </c>
      <c r="CH120" s="71">
        <f t="shared" si="797"/>
        <v>144</v>
      </c>
      <c r="CI120" s="72">
        <f t="shared" si="798"/>
        <v>148</v>
      </c>
      <c r="CJ120" s="73">
        <f t="shared" si="799"/>
        <v>179</v>
      </c>
      <c r="CK120" s="73" t="str">
        <f t="shared" si="800"/>
        <v>-</v>
      </c>
      <c r="CL120" s="73">
        <f t="shared" si="801"/>
        <v>220</v>
      </c>
      <c r="CM120" s="73">
        <f t="shared" si="802"/>
        <v>228</v>
      </c>
      <c r="CN120" s="73">
        <f t="shared" si="803"/>
        <v>254</v>
      </c>
      <c r="CO120" s="73" t="str">
        <f t="shared" si="804"/>
        <v>-</v>
      </c>
      <c r="CP120" s="73">
        <f t="shared" si="805"/>
        <v>304</v>
      </c>
      <c r="CQ120" s="73">
        <f t="shared" si="806"/>
        <v>368</v>
      </c>
      <c r="CR120" s="73">
        <f t="shared" si="807"/>
        <v>400</v>
      </c>
      <c r="CS120" s="73">
        <f t="shared" si="808"/>
        <v>411</v>
      </c>
      <c r="CT120" s="23">
        <f t="shared" si="809"/>
        <v>2</v>
      </c>
      <c r="AMP120" s="1"/>
    </row>
    <row r="121" spans="1:1030" x14ac:dyDescent="0.2">
      <c r="A121" s="3" t="str">
        <f t="shared" si="810"/>
        <v>cnr1_human_5U09</v>
      </c>
      <c r="B121" s="3" t="s">
        <v>182</v>
      </c>
      <c r="C121" s="3" t="s">
        <v>1371</v>
      </c>
      <c r="D121" s="3" t="str">
        <f>IFERROR(MID(VLOOKUP($B121,Seqs!$A:$B,2,0),E121,1),"")</f>
        <v>N</v>
      </c>
      <c r="E121" s="3">
        <v>112</v>
      </c>
      <c r="F121" s="3" t="str">
        <f>IFERROR(MID(VLOOKUP($B121,Seqs!$A:$B,2,0),G121,1),"")</f>
        <v>S</v>
      </c>
      <c r="G121" s="3">
        <v>144</v>
      </c>
      <c r="H121" s="3" t="str">
        <f>IFERROR(MID(VLOOKUP($B121,Seqs!$A:$B,2,0),I121,1),"")</f>
        <v>R</v>
      </c>
      <c r="I121" s="23">
        <v>145</v>
      </c>
      <c r="J121" s="3" t="str">
        <f>IFERROR(MID(VLOOKUP($B121,Seqs!$A:$B,2,0),K121,1),"")</f>
        <v>R</v>
      </c>
      <c r="K121" s="23">
        <v>148</v>
      </c>
      <c r="L121" s="3" t="str">
        <f>IFERROR(MID(VLOOKUP($B121,Seqs!$A:$B,2,0),M121,1),"")</f>
        <v>R</v>
      </c>
      <c r="M121" s="3">
        <v>150</v>
      </c>
      <c r="N121" s="3" t="str">
        <f>IFERROR(MID(VLOOKUP($B121,Seqs!$A:$B,2,0),O121,1),"")</f>
        <v>V</v>
      </c>
      <c r="O121" s="3">
        <v>179</v>
      </c>
      <c r="P121" s="3" t="str">
        <f>IFERROR(MID(VLOOKUP($B121,Seqs!$A:$B,2,0),Q121,1),"")</f>
        <v/>
      </c>
      <c r="Q121" s="3" t="s">
        <v>23</v>
      </c>
      <c r="R121" s="3" t="str">
        <f>IFERROR(MID(VLOOKUP($B121,Seqs!$A:$B,2,0),S121,1),"")</f>
        <v/>
      </c>
      <c r="S121" s="3" t="s">
        <v>23</v>
      </c>
      <c r="T121" s="3" t="str">
        <f>IFERROR(MID(VLOOKUP($B121,Seqs!$A:$B,2,0),U121,1),"")</f>
        <v>S</v>
      </c>
      <c r="U121" s="3">
        <v>185</v>
      </c>
      <c r="V121" s="3" t="str">
        <f>IFERROR(MID(VLOOKUP($B121,Seqs!$A:$B,2,0),W121,1),"")</f>
        <v>R</v>
      </c>
      <c r="W121" s="3">
        <v>220</v>
      </c>
      <c r="X121" s="3" t="str">
        <f>IFERROR(MID(VLOOKUP($B121,Seqs!$A:$B,2,0),Y121,1),"")</f>
        <v>P</v>
      </c>
      <c r="Y121" s="3">
        <v>221</v>
      </c>
      <c r="Z121" s="3" t="str">
        <f>IFERROR(MID(VLOOKUP($B121,Seqs!$A:$B,2,0),AA121,1),"")</f>
        <v>V</v>
      </c>
      <c r="AA121" s="3">
        <v>228</v>
      </c>
      <c r="AB121" s="3" t="str">
        <f>IFERROR(MID(VLOOKUP($B121,Seqs!$A:$B,2,0),AC121,1),"")</f>
        <v>T</v>
      </c>
      <c r="AC121" s="9">
        <v>229</v>
      </c>
      <c r="AD121" s="3" t="str">
        <f>IFERROR(MID(VLOOKUP($B121,Seqs!$A:$B,2,0),AE121,1),"")</f>
        <v>G</v>
      </c>
      <c r="AE121" s="3">
        <v>254</v>
      </c>
      <c r="AF121" s="3" t="str">
        <f>IFERROR(MID(VLOOKUP($B121,Seqs!$A:$B,2,0),AG121,1),"")</f>
        <v/>
      </c>
      <c r="AG121" s="3" t="s">
        <v>23</v>
      </c>
      <c r="AH121" s="3" t="str">
        <f>IFERROR(MID(VLOOKUP($B121,Seqs!$A:$B,2,0),AI121,1),"")</f>
        <v/>
      </c>
      <c r="AI121" s="3" t="s">
        <v>23</v>
      </c>
      <c r="AJ121" s="3" t="str">
        <f>IFERROR(MID(VLOOKUP($B121,Seqs!$A:$B,2,0),AK121,1),"")</f>
        <v>D</v>
      </c>
      <c r="AK121" s="3">
        <v>272</v>
      </c>
      <c r="AL121" s="3" t="str">
        <f>IFERROR(MID(VLOOKUP($B121,Seqs!$A:$B,2,0),AM121,1),"")</f>
        <v>A</v>
      </c>
      <c r="AM121" s="3">
        <v>301</v>
      </c>
      <c r="AN121" s="3" t="str">
        <f>IFERROR(MID(VLOOKUP($B121,Seqs!$A:$B,2,0),AO121,1),"")</f>
        <v>D</v>
      </c>
      <c r="AO121" s="3">
        <v>333</v>
      </c>
      <c r="AP121" s="3" t="str">
        <f>IFERROR(MID(VLOOKUP($B121,Seqs!$A:$B,2,0),AQ121,1),"")</f>
        <v>F</v>
      </c>
      <c r="AQ121" s="3">
        <v>368</v>
      </c>
      <c r="AR121" s="3" t="str">
        <f>IFERROR(MID(VLOOKUP($B121,Seqs!$A:$B,2,0),AS121,1),"")</f>
        <v>L</v>
      </c>
      <c r="AS121" s="3">
        <v>374</v>
      </c>
      <c r="AT121" s="3" t="str">
        <f>IFERROR(MID(VLOOKUP($B121,Seqs!$A:$B,2,0),AU121,1),"")</f>
        <v>R</v>
      </c>
      <c r="AU121" s="3">
        <v>400</v>
      </c>
      <c r="AV121" s="3" t="str">
        <f>IFERROR(MID(VLOOKUP($B121,Seqs!$A:$B,2,0),AW121,1),"")</f>
        <v>S</v>
      </c>
      <c r="AW121" s="3">
        <v>401</v>
      </c>
      <c r="AX121" s="3" t="str">
        <f>IFERROR(MID(VLOOKUP($B121,Seqs!$A:$B,2,0),AY121,1),"")</f>
        <v>M</v>
      </c>
      <c r="AY121" s="3">
        <v>411</v>
      </c>
      <c r="AZ121" s="78" t="str">
        <f>VLOOKUP(B121,Classification!A:D,2,0)</f>
        <v>A</v>
      </c>
      <c r="BA121" s="95" t="str">
        <f>VLOOKUP(B121,Classification!A:D,4,0)</f>
        <v>Cannabinoid</v>
      </c>
      <c r="BB121" s="27" t="b">
        <f t="shared" si="811"/>
        <v>1</v>
      </c>
      <c r="BC121" s="23">
        <f t="shared" si="784"/>
        <v>243</v>
      </c>
      <c r="BD121" s="2" t="s">
        <v>23</v>
      </c>
      <c r="BE121" s="3" t="s">
        <v>1381</v>
      </c>
      <c r="BF121" s="120">
        <v>2.6</v>
      </c>
      <c r="BG121" s="49" t="s">
        <v>1384</v>
      </c>
      <c r="BH121" s="49" t="s">
        <v>1384</v>
      </c>
      <c r="BJ121" s="71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1">
        <f t="shared" si="785"/>
        <v>112</v>
      </c>
      <c r="BW121" s="72">
        <f t="shared" si="786"/>
        <v>145</v>
      </c>
      <c r="BX121" s="73">
        <f t="shared" si="787"/>
        <v>150</v>
      </c>
      <c r="BY121" s="72" t="str">
        <f t="shared" si="788"/>
        <v>-</v>
      </c>
      <c r="BZ121" s="73">
        <f t="shared" si="789"/>
        <v>185</v>
      </c>
      <c r="CA121" s="72">
        <f t="shared" si="790"/>
        <v>221</v>
      </c>
      <c r="CB121" s="73">
        <f t="shared" si="791"/>
        <v>229</v>
      </c>
      <c r="CC121" s="72" t="str">
        <f t="shared" si="792"/>
        <v>-</v>
      </c>
      <c r="CD121" s="73">
        <f t="shared" si="793"/>
        <v>272</v>
      </c>
      <c r="CE121" s="72">
        <f t="shared" si="794"/>
        <v>333</v>
      </c>
      <c r="CF121" s="73">
        <f t="shared" si="795"/>
        <v>374</v>
      </c>
      <c r="CG121" s="72">
        <f t="shared" si="796"/>
        <v>401</v>
      </c>
      <c r="CH121" s="71">
        <f t="shared" si="797"/>
        <v>144</v>
      </c>
      <c r="CI121" s="72">
        <f t="shared" si="798"/>
        <v>148</v>
      </c>
      <c r="CJ121" s="73">
        <f t="shared" si="799"/>
        <v>179</v>
      </c>
      <c r="CK121" s="73" t="str">
        <f t="shared" si="800"/>
        <v>-</v>
      </c>
      <c r="CL121" s="73">
        <f t="shared" si="801"/>
        <v>220</v>
      </c>
      <c r="CM121" s="73">
        <f t="shared" si="802"/>
        <v>228</v>
      </c>
      <c r="CN121" s="73">
        <f t="shared" si="803"/>
        <v>254</v>
      </c>
      <c r="CO121" s="73" t="str">
        <f t="shared" si="804"/>
        <v>-</v>
      </c>
      <c r="CP121" s="73">
        <f t="shared" si="805"/>
        <v>301</v>
      </c>
      <c r="CQ121" s="73">
        <f t="shared" si="806"/>
        <v>368</v>
      </c>
      <c r="CR121" s="73">
        <f t="shared" si="807"/>
        <v>400</v>
      </c>
      <c r="CS121" s="73">
        <f t="shared" si="808"/>
        <v>411</v>
      </c>
      <c r="CT121" s="23">
        <f t="shared" si="809"/>
        <v>2</v>
      </c>
    </row>
    <row r="122" spans="1:1030" x14ac:dyDescent="0.2">
      <c r="A122" s="3" t="str">
        <f t="shared" ref="A122" si="1063">CONCATENATE(B122,"_",C122)</f>
        <v>cnr1_human_5XR8</v>
      </c>
      <c r="B122" s="3" t="s">
        <v>182</v>
      </c>
      <c r="C122" s="3" t="s">
        <v>1435</v>
      </c>
      <c r="D122" s="3" t="str">
        <f>IFERROR(MID(VLOOKUP($B122,Seqs!$A:$B,2,0),E122,1),"")</f>
        <v>N</v>
      </c>
      <c r="E122" s="3">
        <v>112</v>
      </c>
      <c r="F122" s="3" t="str">
        <f>IFERROR(MID(VLOOKUP($B122,Seqs!$A:$B,2,0),G122,1),"")</f>
        <v>S</v>
      </c>
      <c r="G122" s="3">
        <v>146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Y</v>
      </c>
      <c r="M122" s="3">
        <v>153</v>
      </c>
      <c r="N122" s="3" t="str">
        <f>IFERROR(MID(VLOOKUP($B122,Seqs!$A:$B,2,0),O122,1),"")</f>
        <v>F</v>
      </c>
      <c r="O122" s="3">
        <v>180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S</v>
      </c>
      <c r="U122" s="3">
        <v>185</v>
      </c>
      <c r="V122" s="3" t="str">
        <f>IFERROR(MID(VLOOKUP($B122,Seqs!$A:$B,2,0),W122,1),"")</f>
        <v>R</v>
      </c>
      <c r="W122" s="3">
        <v>220</v>
      </c>
      <c r="X122" s="3" t="str">
        <f>IFERROR(MID(VLOOKUP($B122,Seqs!$A:$B,2,0),Y122,1),"")</f>
        <v>P</v>
      </c>
      <c r="Y122" s="3">
        <v>221</v>
      </c>
      <c r="Z122" s="3" t="str">
        <f>IFERROR(MID(VLOOKUP($B122,Seqs!$A:$B,2,0),AA122,1),"")</f>
        <v>V</v>
      </c>
      <c r="AA122" s="3">
        <v>228</v>
      </c>
      <c r="AB122" s="3" t="str">
        <f>IFERROR(MID(VLOOKUP($B122,Seqs!$A:$B,2,0),AC122,1),"")</f>
        <v>T</v>
      </c>
      <c r="AC122" s="3">
        <v>229</v>
      </c>
      <c r="AD122" s="3" t="str">
        <f>IFERROR(MID(VLOOKUP($B122,Seqs!$A:$B,2,0),AE122,1),"")</f>
        <v>G</v>
      </c>
      <c r="AE122" s="3">
        <v>254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>D</v>
      </c>
      <c r="AK122" s="3">
        <v>272</v>
      </c>
      <c r="AL122" s="3" t="str">
        <f>IFERROR(MID(VLOOKUP($B122,Seqs!$A:$B,2,0),AM122,1),"")</f>
        <v>S</v>
      </c>
      <c r="AM122" s="3">
        <v>303</v>
      </c>
      <c r="AN122" s="3" t="str">
        <f>IFERROR(MID(VLOOKUP($B122,Seqs!$A:$B,2,0),AO122,1),"")</f>
        <v>D</v>
      </c>
      <c r="AO122" s="3">
        <v>338</v>
      </c>
      <c r="AP122" s="3" t="str">
        <f>IFERROR(MID(VLOOKUP($B122,Seqs!$A:$B,2,0),AQ122,1),"")</f>
        <v>F</v>
      </c>
      <c r="AQ122" s="3">
        <v>368</v>
      </c>
      <c r="AR122" s="3" t="str">
        <f>IFERROR(MID(VLOOKUP($B122,Seqs!$A:$B,2,0),AS122,1),"")</f>
        <v>N</v>
      </c>
      <c r="AS122" s="3">
        <v>372</v>
      </c>
      <c r="AT122" s="3" t="str">
        <f>IFERROR(MID(VLOOKUP($B122,Seqs!$A:$B,2,0),AU122,1),"")</f>
        <v>Y</v>
      </c>
      <c r="AU122" s="3">
        <v>397</v>
      </c>
      <c r="AV122" s="3" t="str">
        <f>IFERROR(MID(VLOOKUP($B122,Seqs!$A:$B,2,0),AW122,1),"")</f>
        <v>S</v>
      </c>
      <c r="AW122" s="3">
        <v>401</v>
      </c>
      <c r="AX122" s="3" t="str">
        <f>IFERROR(MID(VLOOKUP($B122,Seqs!$A:$B,2,0),AY122,1),"")</f>
        <v>F</v>
      </c>
      <c r="AY122" s="3">
        <v>412</v>
      </c>
      <c r="AZ122" s="78" t="str">
        <f>VLOOKUP(B122,Classification!A:D,2,0)</f>
        <v>A</v>
      </c>
      <c r="BA122" s="95" t="str">
        <f>VLOOKUP(B122,Classification!A:D,4,0)</f>
        <v>Cannabinoid</v>
      </c>
      <c r="BB122" s="27" t="b">
        <f t="shared" ref="BB122" si="1064"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 t="shared" ref="BC122" si="1065">_xlfn.AGGREGATE(9,6,CH122:CS122)-_xlfn.AGGREGATE(9,6,BV122:CG122)+12</f>
        <v>237</v>
      </c>
      <c r="BD122" s="2" t="s">
        <v>23</v>
      </c>
      <c r="BE122" s="3" t="s">
        <v>1297</v>
      </c>
      <c r="BF122" s="120">
        <v>2.95</v>
      </c>
      <c r="BG122" s="49" t="s">
        <v>1</v>
      </c>
      <c r="BH122" s="49" t="s">
        <v>1</v>
      </c>
      <c r="BJ122" s="71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1">
        <f t="shared" ref="BV122" si="1066">E122</f>
        <v>112</v>
      </c>
      <c r="BW122" s="72" t="str">
        <f t="shared" ref="BW122" si="1067">I122</f>
        <v>-</v>
      </c>
      <c r="BX122" s="73">
        <f t="shared" ref="BX122" si="1068">M122</f>
        <v>153</v>
      </c>
      <c r="BY122" s="72" t="str">
        <f t="shared" ref="BY122" si="1069">Q122</f>
        <v>-</v>
      </c>
      <c r="BZ122" s="73">
        <f t="shared" ref="BZ122" si="1070">U122</f>
        <v>185</v>
      </c>
      <c r="CA122" s="72">
        <f t="shared" ref="CA122" si="1071">Y122</f>
        <v>221</v>
      </c>
      <c r="CB122" s="73">
        <f t="shared" ref="CB122" si="1072">AC122</f>
        <v>229</v>
      </c>
      <c r="CC122" s="72" t="str">
        <f t="shared" ref="CC122" si="1073">AG122</f>
        <v>-</v>
      </c>
      <c r="CD122" s="73">
        <f t="shared" ref="CD122" si="1074">AK122</f>
        <v>272</v>
      </c>
      <c r="CE122" s="72">
        <f t="shared" ref="CE122" si="1075">AO122</f>
        <v>338</v>
      </c>
      <c r="CF122" s="73">
        <f t="shared" ref="CF122" si="1076">AS122</f>
        <v>372</v>
      </c>
      <c r="CG122" s="72">
        <f t="shared" ref="CG122" si="1077">AW122</f>
        <v>401</v>
      </c>
      <c r="CH122" s="71">
        <f t="shared" ref="CH122" si="1078">G122</f>
        <v>146</v>
      </c>
      <c r="CI122" s="72" t="str">
        <f t="shared" ref="CI122" si="1079">K122</f>
        <v>-</v>
      </c>
      <c r="CJ122" s="73">
        <f t="shared" ref="CJ122" si="1080">O122</f>
        <v>180</v>
      </c>
      <c r="CK122" s="73" t="str">
        <f t="shared" ref="CK122" si="1081">S122</f>
        <v>-</v>
      </c>
      <c r="CL122" s="73">
        <f t="shared" ref="CL122" si="1082">W122</f>
        <v>220</v>
      </c>
      <c r="CM122" s="73">
        <f t="shared" ref="CM122" si="1083">AA122</f>
        <v>228</v>
      </c>
      <c r="CN122" s="73">
        <f t="shared" ref="CN122" si="1084">AE122</f>
        <v>254</v>
      </c>
      <c r="CO122" s="73" t="str">
        <f t="shared" ref="CO122" si="1085">AI122</f>
        <v>-</v>
      </c>
      <c r="CP122" s="73">
        <f t="shared" ref="CP122" si="1086">AM122</f>
        <v>303</v>
      </c>
      <c r="CQ122" s="73">
        <f t="shared" ref="CQ122" si="1087">AQ122</f>
        <v>368</v>
      </c>
      <c r="CR122" s="73">
        <f t="shared" ref="CR122" si="1088">AU122</f>
        <v>397</v>
      </c>
      <c r="CS122" s="73">
        <f t="shared" ref="CS122" si="1089">AY122</f>
        <v>412</v>
      </c>
      <c r="CT122" s="23" t="e">
        <f t="shared" ref="CT122" si="1090">M122-K122</f>
        <v>#VALUE!</v>
      </c>
    </row>
    <row r="123" spans="1:1030" x14ac:dyDescent="0.2">
      <c r="A123" s="3" t="str">
        <f t="shared" ref="A123" si="1091">CONCATENATE(B123,"_",C123)</f>
        <v>cnr1_human_5XRA</v>
      </c>
      <c r="B123" s="3" t="s">
        <v>182</v>
      </c>
      <c r="C123" s="3" t="s">
        <v>1436</v>
      </c>
      <c r="D123" s="3" t="str">
        <f>IFERROR(MID(VLOOKUP($B123,Seqs!$A:$B,2,0),E123,1),"")</f>
        <v>N</v>
      </c>
      <c r="E123" s="3">
        <v>112</v>
      </c>
      <c r="F123" s="3" t="str">
        <f>IFERROR(MID(VLOOKUP($B123,Seqs!$A:$B,2,0),G123,1),"")</f>
        <v>S</v>
      </c>
      <c r="G123" s="3">
        <v>146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Y</v>
      </c>
      <c r="M123" s="3">
        <v>153</v>
      </c>
      <c r="N123" s="3" t="str">
        <f>IFERROR(MID(VLOOKUP($B123,Seqs!$A:$B,2,0),O123,1),"")</f>
        <v>F</v>
      </c>
      <c r="O123" s="3">
        <v>180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S</v>
      </c>
      <c r="U123" s="3">
        <v>185</v>
      </c>
      <c r="V123" s="3" t="str">
        <f>IFERROR(MID(VLOOKUP($B123,Seqs!$A:$B,2,0),W123,1),"")</f>
        <v>R</v>
      </c>
      <c r="W123" s="3">
        <v>220</v>
      </c>
      <c r="X123" s="3" t="str">
        <f>IFERROR(MID(VLOOKUP($B123,Seqs!$A:$B,2,0),Y123,1),"")</f>
        <v>P</v>
      </c>
      <c r="Y123" s="3">
        <v>221</v>
      </c>
      <c r="Z123" s="3" t="str">
        <f>IFERROR(MID(VLOOKUP($B123,Seqs!$A:$B,2,0),AA123,1),"")</f>
        <v>V</v>
      </c>
      <c r="AA123" s="3">
        <v>228</v>
      </c>
      <c r="AB123" s="3" t="str">
        <f>IFERROR(MID(VLOOKUP($B123,Seqs!$A:$B,2,0),AC123,1),"")</f>
        <v>T</v>
      </c>
      <c r="AC123" s="3">
        <v>229</v>
      </c>
      <c r="AD123" s="3" t="str">
        <f>IFERROR(MID(VLOOKUP($B123,Seqs!$A:$B,2,0),AE123,1),"")</f>
        <v>G</v>
      </c>
      <c r="AE123" s="3">
        <v>254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D</v>
      </c>
      <c r="AK123" s="3">
        <v>272</v>
      </c>
      <c r="AL123" s="3" t="str">
        <f>IFERROR(MID(VLOOKUP($B123,Seqs!$A:$B,2,0),AM123,1),"")</f>
        <v>A</v>
      </c>
      <c r="AM123" s="3">
        <v>305</v>
      </c>
      <c r="AN123" s="3" t="str">
        <f>IFERROR(MID(VLOOKUP($B123,Seqs!$A:$B,2,0),AO123,1),"")</f>
        <v>D</v>
      </c>
      <c r="AO123" s="3">
        <v>338</v>
      </c>
      <c r="AP123" s="3" t="str">
        <f>IFERROR(MID(VLOOKUP($B123,Seqs!$A:$B,2,0),AQ123,1),"")</f>
        <v>G</v>
      </c>
      <c r="AQ123" s="3">
        <v>369</v>
      </c>
      <c r="AR123" s="3" t="str">
        <f>IFERROR(MID(VLOOKUP($B123,Seqs!$A:$B,2,0),AS123,1),"")</f>
        <v>N</v>
      </c>
      <c r="AS123" s="3">
        <v>372</v>
      </c>
      <c r="AT123" s="3" t="str">
        <f>IFERROR(MID(VLOOKUP($B123,Seqs!$A:$B,2,0),AU123,1),"")</f>
        <v>Y</v>
      </c>
      <c r="AU123" s="3">
        <v>397</v>
      </c>
      <c r="AV123" s="3" t="str">
        <f>IFERROR(MID(VLOOKUP($B123,Seqs!$A:$B,2,0),AW123,1),"")</f>
        <v>S</v>
      </c>
      <c r="AW123" s="3">
        <v>401</v>
      </c>
      <c r="AX123" s="3" t="str">
        <f>IFERROR(MID(VLOOKUP($B123,Seqs!$A:$B,2,0),AY123,1),"")</f>
        <v>F</v>
      </c>
      <c r="AY123" s="3">
        <v>412</v>
      </c>
      <c r="AZ123" s="78" t="str">
        <f>VLOOKUP(B123,Classification!A:D,2,0)</f>
        <v>A</v>
      </c>
      <c r="BA123" s="95" t="str">
        <f>VLOOKUP(B123,Classification!A:D,4,0)</f>
        <v>Cannabinoid</v>
      </c>
      <c r="BB123" s="27" t="b">
        <f t="shared" ref="BB123" si="1092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93">_xlfn.AGGREGATE(9,6,CH123:CS123)-_xlfn.AGGREGATE(9,6,BV123:CG123)+12</f>
        <v>240</v>
      </c>
      <c r="BD123" s="2" t="s">
        <v>1382</v>
      </c>
      <c r="BE123" s="3" t="s">
        <v>1297</v>
      </c>
      <c r="BF123" s="120">
        <v>2.8</v>
      </c>
      <c r="BG123" s="49" t="s">
        <v>1</v>
      </c>
      <c r="BH123" s="49" t="s">
        <v>1</v>
      </c>
      <c r="BJ123" s="71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1">
        <f t="shared" ref="BV123" si="1094">E123</f>
        <v>112</v>
      </c>
      <c r="BW123" s="72" t="str">
        <f t="shared" ref="BW123" si="1095">I123</f>
        <v>-</v>
      </c>
      <c r="BX123" s="73">
        <f t="shared" ref="BX123" si="1096">M123</f>
        <v>153</v>
      </c>
      <c r="BY123" s="72" t="str">
        <f t="shared" ref="BY123" si="1097">Q123</f>
        <v>-</v>
      </c>
      <c r="BZ123" s="73">
        <f t="shared" ref="BZ123" si="1098">U123</f>
        <v>185</v>
      </c>
      <c r="CA123" s="72">
        <f t="shared" ref="CA123" si="1099">Y123</f>
        <v>221</v>
      </c>
      <c r="CB123" s="73">
        <f t="shared" ref="CB123" si="1100">AC123</f>
        <v>229</v>
      </c>
      <c r="CC123" s="72" t="str">
        <f t="shared" ref="CC123" si="1101">AG123</f>
        <v>-</v>
      </c>
      <c r="CD123" s="73">
        <f t="shared" ref="CD123" si="1102">AK123</f>
        <v>272</v>
      </c>
      <c r="CE123" s="72">
        <f t="shared" ref="CE123" si="1103">AO123</f>
        <v>338</v>
      </c>
      <c r="CF123" s="73">
        <f t="shared" ref="CF123" si="1104">AS123</f>
        <v>372</v>
      </c>
      <c r="CG123" s="72">
        <f t="shared" ref="CG123" si="1105">AW123</f>
        <v>401</v>
      </c>
      <c r="CH123" s="71">
        <f t="shared" ref="CH123" si="1106">G123</f>
        <v>146</v>
      </c>
      <c r="CI123" s="72" t="str">
        <f t="shared" ref="CI123" si="1107">K123</f>
        <v>-</v>
      </c>
      <c r="CJ123" s="73">
        <f t="shared" ref="CJ123" si="1108">O123</f>
        <v>180</v>
      </c>
      <c r="CK123" s="73" t="str">
        <f t="shared" ref="CK123" si="1109">S123</f>
        <v>-</v>
      </c>
      <c r="CL123" s="73">
        <f t="shared" ref="CL123" si="1110">W123</f>
        <v>220</v>
      </c>
      <c r="CM123" s="73">
        <f t="shared" ref="CM123" si="1111">AA123</f>
        <v>228</v>
      </c>
      <c r="CN123" s="73">
        <f t="shared" ref="CN123" si="1112">AE123</f>
        <v>254</v>
      </c>
      <c r="CO123" s="73" t="str">
        <f t="shared" ref="CO123" si="1113">AI123</f>
        <v>-</v>
      </c>
      <c r="CP123" s="73">
        <f t="shared" ref="CP123" si="1114">AM123</f>
        <v>305</v>
      </c>
      <c r="CQ123" s="73">
        <f t="shared" ref="CQ123" si="1115">AQ123</f>
        <v>369</v>
      </c>
      <c r="CR123" s="73">
        <f t="shared" ref="CR123" si="1116">AU123</f>
        <v>397</v>
      </c>
      <c r="CS123" s="73">
        <f t="shared" ref="CS123" si="1117">AY123</f>
        <v>412</v>
      </c>
      <c r="CT123" s="23" t="e">
        <f t="shared" ref="CT123" si="1118">M123-K123</f>
        <v>#VALUE!</v>
      </c>
    </row>
    <row r="124" spans="1:1030" x14ac:dyDescent="0.2">
      <c r="A124" s="3" t="str">
        <f t="shared" si="810"/>
        <v>cxcr4_human__wt</v>
      </c>
      <c r="B124" s="3" t="s">
        <v>1172</v>
      </c>
      <c r="C124" s="3" t="s">
        <v>100</v>
      </c>
      <c r="D124" s="3" t="str">
        <f>IFERROR(MID(VLOOKUP($B124,Seqs!$A:$B,2,0),E124,1),"")</f>
        <v>R</v>
      </c>
      <c r="E124" s="3">
        <v>30</v>
      </c>
      <c r="F124" s="3" t="str">
        <f>IFERROR(MID(VLOOKUP($B124,Seqs!$A:$B,2,0),G124,1),"")</f>
        <v>Q</v>
      </c>
      <c r="G124" s="3">
        <v>66</v>
      </c>
      <c r="H124" s="3" t="str">
        <f>IFERROR(MID(VLOOKUP($B124,Seqs!$A:$B,2,0),I124,1),"")</f>
        <v>K</v>
      </c>
      <c r="I124" s="23">
        <v>67</v>
      </c>
      <c r="J124" s="3" t="str">
        <f>IFERROR(MID(VLOOKUP($B124,Seqs!$A:$B,2,0),K124,1),"")</f>
        <v>R</v>
      </c>
      <c r="K124" s="23">
        <v>70</v>
      </c>
      <c r="L124" s="3" t="str">
        <f>IFERROR(MID(VLOOKUP($B124,Seqs!$A:$B,2,0),M124,1),"")</f>
        <v>S</v>
      </c>
      <c r="M124" s="3">
        <v>71</v>
      </c>
      <c r="N124" s="3" t="str">
        <f>IFERROR(MID(VLOOKUP($B124,Seqs!$A:$B,2,0),O124,1),"")</f>
        <v>A</v>
      </c>
      <c r="O124" s="3">
        <v>100</v>
      </c>
      <c r="P124" s="3" t="str">
        <f>IFERROR(MID(VLOOKUP($B124,Seqs!$A:$B,2,0),Q124,1),"")</f>
        <v>N</v>
      </c>
      <c r="Q124" s="3">
        <v>101</v>
      </c>
      <c r="R124" s="3" t="str">
        <f>IFERROR(MID(VLOOKUP($B124,Seqs!$A:$B,2,0),S124,1),"")</f>
        <v>F</v>
      </c>
      <c r="S124" s="3">
        <v>104</v>
      </c>
      <c r="T124" s="3" t="str">
        <f>IFERROR(MID(VLOOKUP($B124,Seqs!$A:$B,2,0),U124,1),"")</f>
        <v>G</v>
      </c>
      <c r="U124" s="3">
        <v>105</v>
      </c>
      <c r="V124" s="3" t="str">
        <f>IFERROR(MID(VLOOKUP($B124,Seqs!$A:$B,2,0),W124,1),"")</f>
        <v>H</v>
      </c>
      <c r="W124" s="3">
        <v>140</v>
      </c>
      <c r="X124" s="3" t="str">
        <f>IFERROR(MID(VLOOKUP($B124,Seqs!$A:$B,2,0),Y124,1),"")</f>
        <v>A</v>
      </c>
      <c r="Y124" s="3">
        <v>141</v>
      </c>
      <c r="Z124" s="3" t="str">
        <f>IFERROR(MID(VLOOKUP($B124,Seqs!$A:$B,2,0),AA124,1),"")</f>
        <v>R</v>
      </c>
      <c r="AA124" s="3">
        <v>148</v>
      </c>
      <c r="AB124" s="3" t="str">
        <f>IFERROR(MID(VLOOKUP($B124,Seqs!$A:$B,2,0),AC124,1),"")</f>
        <v>K</v>
      </c>
      <c r="AC124" s="9">
        <v>149</v>
      </c>
      <c r="AD124" s="3" t="str">
        <f>IFERROR(MID(VLOOKUP($B124,Seqs!$A:$B,2,0),AE124,1),"")</f>
        <v>A</v>
      </c>
      <c r="AE124" s="3">
        <v>175</v>
      </c>
      <c r="AF124" s="3" t="str">
        <f>IFERROR(MID(VLOOKUP($B124,Seqs!$A:$B,2,0),AG124,1),"")</f>
        <v>C</v>
      </c>
      <c r="AG124" s="3">
        <v>186</v>
      </c>
      <c r="AH124" s="3" t="str">
        <f>IFERROR(MID(VLOOKUP($B124,Seqs!$A:$B,2,0),AI124,1),"")</f>
        <v>R</v>
      </c>
      <c r="AI124" s="3">
        <v>188</v>
      </c>
      <c r="AJ124" s="3" t="str">
        <f>IFERROR(MID(VLOOKUP($B124,Seqs!$A:$B,2,0),AK124,1),"")</f>
        <v>D</v>
      </c>
      <c r="AK124" s="3">
        <v>193</v>
      </c>
      <c r="AL124" s="3" t="str">
        <f>IFERROR(MID(VLOOKUP($B124,Seqs!$A:$B,2,0),AM124,1),"")</f>
        <v>S</v>
      </c>
      <c r="AM124" s="3">
        <v>229</v>
      </c>
      <c r="AN124" s="3" t="str">
        <f>IFERROR(MID(VLOOKUP($B124,Seqs!$A:$B,2,0),AO124,1),"")</f>
        <v>K</v>
      </c>
      <c r="AO124" s="3">
        <v>234</v>
      </c>
      <c r="AP124" s="3" t="str">
        <f>IFERROR(MID(VLOOKUP($B124,Seqs!$A:$B,2,0),AQ124,1),"")</f>
        <v>E</v>
      </c>
      <c r="AQ124" s="3">
        <v>268</v>
      </c>
      <c r="AR124" s="3" t="str">
        <f>IFERROR(MID(VLOOKUP($B124,Seqs!$A:$B,2,0),AS124,1),"")</f>
        <v>G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T</v>
      </c>
      <c r="AY124" s="3">
        <v>318</v>
      </c>
      <c r="AZ124" s="78" t="str">
        <f>VLOOKUP(B124,Classification!A:D,2,0)</f>
        <v>A</v>
      </c>
      <c r="BA124" s="95" t="str">
        <f>VLOOKUP(B124,Classification!A:D,4,0)</f>
        <v>Chemokine</v>
      </c>
      <c r="BB124" s="27" t="b">
        <f t="shared" si="811"/>
        <v>1</v>
      </c>
      <c r="BC124" s="23">
        <f t="shared" ref="BC124:BC131" si="1119">_xlfn.AGGREGATE(9,6,CH124:CS124)-_xlfn.AGGREGATE(9,6,BV124:CG124)+12</f>
        <v>267</v>
      </c>
      <c r="BD124" s="34" t="s">
        <v>1379</v>
      </c>
      <c r="BE124" s="3" t="s">
        <v>23</v>
      </c>
      <c r="BF124" s="120" t="s">
        <v>23</v>
      </c>
      <c r="BG124" s="49" t="s">
        <v>1379</v>
      </c>
      <c r="BH124" s="49" t="s">
        <v>1384</v>
      </c>
      <c r="BI124" s="1"/>
      <c r="BJ124" s="71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1">
        <f t="shared" ref="BV124:BV131" si="1120">E124</f>
        <v>30</v>
      </c>
      <c r="BW124" s="72">
        <f t="shared" ref="BW124:BW131" si="1121">I124</f>
        <v>67</v>
      </c>
      <c r="BX124" s="73">
        <f t="shared" ref="BX124:BX131" si="1122">M124</f>
        <v>71</v>
      </c>
      <c r="BY124" s="72">
        <f t="shared" ref="BY124:BY131" si="1123">Q124</f>
        <v>101</v>
      </c>
      <c r="BZ124" s="73">
        <f t="shared" ref="BZ124:BZ131" si="1124">U124</f>
        <v>105</v>
      </c>
      <c r="CA124" s="72">
        <f t="shared" ref="CA124:CA131" si="1125">Y124</f>
        <v>141</v>
      </c>
      <c r="CB124" s="73">
        <f t="shared" ref="CB124:CB131" si="1126">AC124</f>
        <v>149</v>
      </c>
      <c r="CC124" s="72">
        <f t="shared" ref="CC124:CC131" si="1127">AG124</f>
        <v>186</v>
      </c>
      <c r="CD124" s="73">
        <f t="shared" ref="CD124:CD131" si="1128">AK124</f>
        <v>193</v>
      </c>
      <c r="CE124" s="72">
        <f t="shared" ref="CE124:CE131" si="1129">AO124</f>
        <v>234</v>
      </c>
      <c r="CF124" s="73">
        <f t="shared" ref="CF124:CF131" si="1130">AS124</f>
        <v>273</v>
      </c>
      <c r="CG124" s="72">
        <f t="shared" ref="CG124:CG131" si="1131">AW124</f>
        <v>306</v>
      </c>
      <c r="CH124" s="71">
        <f t="shared" ref="CH124:CH131" si="1132">G124</f>
        <v>66</v>
      </c>
      <c r="CI124" s="72">
        <f t="shared" ref="CI124:CI131" si="1133">K124</f>
        <v>70</v>
      </c>
      <c r="CJ124" s="73">
        <f t="shared" ref="CJ124:CJ131" si="1134">O124</f>
        <v>100</v>
      </c>
      <c r="CK124" s="73">
        <f t="shared" ref="CK124:CK131" si="1135">S124</f>
        <v>104</v>
      </c>
      <c r="CL124" s="73">
        <f t="shared" ref="CL124:CL131" si="1136">W124</f>
        <v>140</v>
      </c>
      <c r="CM124" s="73">
        <f t="shared" ref="CM124:CM131" si="1137">AA124</f>
        <v>148</v>
      </c>
      <c r="CN124" s="73">
        <f t="shared" ref="CN124:CN131" si="1138">AE124</f>
        <v>175</v>
      </c>
      <c r="CO124" s="73">
        <f t="shared" ref="CO124:CO131" si="1139">AI124</f>
        <v>188</v>
      </c>
      <c r="CP124" s="73">
        <f t="shared" ref="CP124:CP131" si="1140">AM124</f>
        <v>229</v>
      </c>
      <c r="CQ124" s="73">
        <f t="shared" ref="CQ124:CQ131" si="1141">AQ124</f>
        <v>268</v>
      </c>
      <c r="CR124" s="73">
        <f t="shared" ref="CR124:CR131" si="1142">AU124</f>
        <v>305</v>
      </c>
      <c r="CS124" s="73">
        <f t="shared" ref="CS124:CS131" si="1143">AY124</f>
        <v>318</v>
      </c>
      <c r="CT124" s="23">
        <f t="shared" ref="CT124:CT131" si="1144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810"/>
        <v>cxcr4_human_3ODU</v>
      </c>
      <c r="B125" s="3" t="s">
        <v>1172</v>
      </c>
      <c r="C125" s="3" t="s">
        <v>63</v>
      </c>
      <c r="D125" s="3" t="str">
        <f>IFERROR(MID(VLOOKUP($B125,Seqs!$A:$B,2,0),E125,1),"")</f>
        <v>A</v>
      </c>
      <c r="E125" s="3">
        <v>34</v>
      </c>
      <c r="F125" s="3" t="str">
        <f>IFERROR(MID(VLOOKUP($B125,Seqs!$A:$B,2,0),G125,1),"")</f>
        <v>Q</v>
      </c>
      <c r="G125" s="3">
        <v>66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S</v>
      </c>
      <c r="M125" s="3">
        <v>71</v>
      </c>
      <c r="N125" s="3" t="str">
        <f>IFERROR(MID(VLOOKUP($B125,Seqs!$A:$B,2,0),O125,1),"")</f>
        <v>A</v>
      </c>
      <c r="O125" s="3">
        <v>100</v>
      </c>
      <c r="P125" s="3" t="str">
        <f>IFERROR(MID(VLOOKUP($B125,Seqs!$A:$B,2,0),Q125,1),"")</f>
        <v>N</v>
      </c>
      <c r="Q125" s="3">
        <v>101</v>
      </c>
      <c r="R125" s="3" t="str">
        <f>IFERROR(MID(VLOOKUP($B125,Seqs!$A:$B,2,0),S125,1),"")</f>
        <v>F</v>
      </c>
      <c r="S125" s="3">
        <v>104</v>
      </c>
      <c r="T125" s="3" t="str">
        <f>IFERROR(MID(VLOOKUP($B125,Seqs!$A:$B,2,0),U125,1),"")</f>
        <v>G</v>
      </c>
      <c r="U125" s="3">
        <v>105</v>
      </c>
      <c r="V125" s="3" t="str">
        <f>IFERROR(MID(VLOOKUP($B125,Seqs!$A:$B,2,0),W125,1),"")</f>
        <v>H</v>
      </c>
      <c r="W125" s="3">
        <v>140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S</v>
      </c>
      <c r="AC125" s="9">
        <v>144</v>
      </c>
      <c r="AD125" s="3" t="str">
        <f>IFERROR(MID(VLOOKUP($B125,Seqs!$A:$B,2,0),AE125,1),"")</f>
        <v>A</v>
      </c>
      <c r="AE125" s="3">
        <v>175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R</v>
      </c>
      <c r="AI125" s="3">
        <v>188</v>
      </c>
      <c r="AJ125" s="3" t="str">
        <f>IFERROR(MID(VLOOKUP($B125,Seqs!$A:$B,2,0),AK125,1),"")</f>
        <v>D</v>
      </c>
      <c r="AK125" s="3">
        <v>193</v>
      </c>
      <c r="AL125" s="3" t="str">
        <f>IFERROR(MID(VLOOKUP($B125,Seqs!$A:$B,2,0),AM125,1),"")</f>
        <v>K</v>
      </c>
      <c r="AM125" s="3">
        <v>225</v>
      </c>
      <c r="AN125" s="3" t="str">
        <f>IFERROR(MID(VLOOKUP($B125,Seqs!$A:$B,2,0),AO125,1),"")</f>
        <v>G</v>
      </c>
      <c r="AO125" s="3">
        <v>231</v>
      </c>
      <c r="AP125" s="3" t="str">
        <f>IFERROR(MID(VLOOKUP($B125,Seqs!$A:$B,2,0),AQ125,1),"")</f>
        <v>E</v>
      </c>
      <c r="AQ125" s="3">
        <v>268</v>
      </c>
      <c r="AR125" s="3" t="str">
        <f>IFERROR(MID(VLOOKUP($B125,Seqs!$A:$B,2,0),AS125,1),"")</f>
        <v>G</v>
      </c>
      <c r="AS125" s="3">
        <v>273</v>
      </c>
      <c r="AT125" s="3" t="str">
        <f>IFERROR(MID(VLOOKUP($B125,Seqs!$A:$B,2,0),AU125,1),"")</f>
        <v>I</v>
      </c>
      <c r="AU125" s="3">
        <v>300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8" t="str">
        <f>VLOOKUP(B125,Classification!A:D,2,0)</f>
        <v>A</v>
      </c>
      <c r="BA125" s="95" t="str">
        <f>VLOOKUP(B125,Classification!A:D,4,0)</f>
        <v>Chemokine</v>
      </c>
      <c r="BB125" s="27" t="b">
        <f t="shared" si="811"/>
        <v>1</v>
      </c>
      <c r="BC125" s="23">
        <f t="shared" si="1119"/>
        <v>240</v>
      </c>
      <c r="BD125" s="2" t="s">
        <v>1383</v>
      </c>
      <c r="BE125" s="3" t="s">
        <v>1381</v>
      </c>
      <c r="BF125" s="120">
        <v>2.5</v>
      </c>
      <c r="BG125" s="49" t="s">
        <v>1384</v>
      </c>
      <c r="BH125" s="49" t="s">
        <v>1384</v>
      </c>
      <c r="BI125" s="1"/>
      <c r="BJ125" s="71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1">
        <f t="shared" si="1120"/>
        <v>34</v>
      </c>
      <c r="BW125" s="72" t="str">
        <f t="shared" si="1121"/>
        <v>-</v>
      </c>
      <c r="BX125" s="73">
        <f t="shared" si="1122"/>
        <v>71</v>
      </c>
      <c r="BY125" s="72">
        <f t="shared" si="1123"/>
        <v>101</v>
      </c>
      <c r="BZ125" s="73">
        <f t="shared" si="1124"/>
        <v>105</v>
      </c>
      <c r="CA125" s="72" t="str">
        <f t="shared" si="1125"/>
        <v>-</v>
      </c>
      <c r="CB125" s="73">
        <f t="shared" si="1126"/>
        <v>144</v>
      </c>
      <c r="CC125" s="72">
        <f t="shared" si="1127"/>
        <v>186</v>
      </c>
      <c r="CD125" s="73">
        <f t="shared" si="1128"/>
        <v>193</v>
      </c>
      <c r="CE125" s="72">
        <f t="shared" si="1129"/>
        <v>231</v>
      </c>
      <c r="CF125" s="73">
        <f t="shared" si="1130"/>
        <v>273</v>
      </c>
      <c r="CG125" s="72" t="str">
        <f t="shared" si="1131"/>
        <v>-</v>
      </c>
      <c r="CH125" s="71">
        <f t="shared" si="1132"/>
        <v>66</v>
      </c>
      <c r="CI125" s="72" t="str">
        <f t="shared" si="1133"/>
        <v>-</v>
      </c>
      <c r="CJ125" s="73">
        <f t="shared" si="1134"/>
        <v>100</v>
      </c>
      <c r="CK125" s="73">
        <f t="shared" si="1135"/>
        <v>104</v>
      </c>
      <c r="CL125" s="73">
        <f t="shared" si="1136"/>
        <v>140</v>
      </c>
      <c r="CM125" s="73" t="str">
        <f t="shared" si="1137"/>
        <v>-</v>
      </c>
      <c r="CN125" s="73">
        <f t="shared" si="1138"/>
        <v>175</v>
      </c>
      <c r="CO125" s="73">
        <f t="shared" si="1139"/>
        <v>188</v>
      </c>
      <c r="CP125" s="73">
        <f t="shared" si="1140"/>
        <v>225</v>
      </c>
      <c r="CQ125" s="73">
        <f t="shared" si="1141"/>
        <v>268</v>
      </c>
      <c r="CR125" s="73">
        <f t="shared" si="1142"/>
        <v>300</v>
      </c>
      <c r="CS125" s="73" t="str">
        <f t="shared" si="1143"/>
        <v>-</v>
      </c>
      <c r="CT125" s="23" t="e">
        <f t="shared" si="1144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810"/>
        <v>cxcr4_human_3OE0</v>
      </c>
      <c r="B126" s="3" t="s">
        <v>1172</v>
      </c>
      <c r="C126" s="3" t="s">
        <v>1032</v>
      </c>
      <c r="D126" s="3" t="str">
        <f>IFERROR(MID(VLOOKUP($B126,Seqs!$A:$B,2,0),E126,1),"")</f>
        <v>A</v>
      </c>
      <c r="E126" s="3">
        <v>34</v>
      </c>
      <c r="F126" s="3" t="str">
        <f>IFERROR(MID(VLOOKUP($B126,Seqs!$A:$B,2,0),G126,1),"")</f>
        <v>Q</v>
      </c>
      <c r="G126" s="3">
        <v>66</v>
      </c>
      <c r="H126" s="3" t="str">
        <f>IFERROR(MID(VLOOKUP($B126,Seqs!$A:$B,2,0),I126,1),"")</f>
        <v/>
      </c>
      <c r="I126" s="23" t="s">
        <v>23</v>
      </c>
      <c r="J126" s="3" t="str">
        <f>IFERROR(MID(VLOOKUP($B126,Seqs!$A:$B,2,0),K126,1),"")</f>
        <v/>
      </c>
      <c r="K126" s="23" t="s">
        <v>23</v>
      </c>
      <c r="L126" s="3" t="str">
        <f>IFERROR(MID(VLOOKUP($B126,Seqs!$A:$B,2,0),M126,1),"")</f>
        <v>S</v>
      </c>
      <c r="M126" s="3">
        <v>71</v>
      </c>
      <c r="N126" s="3" t="str">
        <f>IFERROR(MID(VLOOKUP($B126,Seqs!$A:$B,2,0),O126,1),"")</f>
        <v>A</v>
      </c>
      <c r="O126" s="3">
        <v>100</v>
      </c>
      <c r="P126" s="3" t="str">
        <f>IFERROR(MID(VLOOKUP($B126,Seqs!$A:$B,2,0),Q126,1),"")</f>
        <v>N</v>
      </c>
      <c r="Q126" s="3">
        <v>101</v>
      </c>
      <c r="R126" s="3" t="str">
        <f>IFERROR(MID(VLOOKUP($B126,Seqs!$A:$B,2,0),S126,1),"")</f>
        <v>F</v>
      </c>
      <c r="S126" s="3">
        <v>104</v>
      </c>
      <c r="T126" s="3" t="str">
        <f>IFERROR(MID(VLOOKUP($B126,Seqs!$A:$B,2,0),U126,1),"")</f>
        <v>G</v>
      </c>
      <c r="U126" s="3">
        <v>105</v>
      </c>
      <c r="V126" s="3" t="str">
        <f>IFERROR(MID(VLOOKUP($B126,Seqs!$A:$B,2,0),W126,1),"")</f>
        <v>H</v>
      </c>
      <c r="W126" s="3">
        <v>140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S</v>
      </c>
      <c r="AC126" s="9">
        <v>144</v>
      </c>
      <c r="AD126" s="3" t="str">
        <f>IFERROR(MID(VLOOKUP($B126,Seqs!$A:$B,2,0),AE126,1),"")</f>
        <v>A</v>
      </c>
      <c r="AE126" s="3">
        <v>175</v>
      </c>
      <c r="AF126" s="3" t="str">
        <f>IFERROR(MID(VLOOKUP($B126,Seqs!$A:$B,2,0),AG126,1),"")</f>
        <v>C</v>
      </c>
      <c r="AG126" s="3">
        <v>186</v>
      </c>
      <c r="AH126" s="3" t="str">
        <f>IFERROR(MID(VLOOKUP($B126,Seqs!$A:$B,2,0),AI126,1),"")</f>
        <v>R</v>
      </c>
      <c r="AI126" s="3">
        <v>188</v>
      </c>
      <c r="AJ126" s="3" t="str">
        <f>IFERROR(MID(VLOOKUP($B126,Seqs!$A:$B,2,0),AK126,1),"")</f>
        <v>D</v>
      </c>
      <c r="AK126" s="3">
        <v>193</v>
      </c>
      <c r="AL126" s="3" t="str">
        <f>IFERROR(MID(VLOOKUP($B126,Seqs!$A:$B,2,0),AM126,1),"")</f>
        <v>H</v>
      </c>
      <c r="AM126" s="3">
        <v>228</v>
      </c>
      <c r="AN126" s="3" t="str">
        <f>IFERROR(MID(VLOOKUP($B126,Seqs!$A:$B,2,0),AO126,1),"")</f>
        <v>K</v>
      </c>
      <c r="AO126" s="3">
        <v>239</v>
      </c>
      <c r="AP126" s="3" t="str">
        <f>IFERROR(MID(VLOOKUP($B126,Seqs!$A:$B,2,0),AQ126,1),"")</f>
        <v>E</v>
      </c>
      <c r="AQ126" s="3">
        <v>268</v>
      </c>
      <c r="AR126" s="3" t="str">
        <f>IFERROR(MID(VLOOKUP($B126,Seqs!$A:$B,2,0),AS126,1),"")</f>
        <v>G</v>
      </c>
      <c r="AS126" s="3">
        <v>273</v>
      </c>
      <c r="AT126" s="3" t="str">
        <f>IFERROR(MID(VLOOKUP($B126,Seqs!$A:$B,2,0),AU126,1),"")</f>
        <v>I</v>
      </c>
      <c r="AU126" s="3">
        <v>300</v>
      </c>
      <c r="AV126" s="3" t="str">
        <f>IFERROR(MID(VLOOKUP($B126,Seqs!$A:$B,2,0),AW126,1),"")</f>
        <v/>
      </c>
      <c r="AW126" s="3" t="s">
        <v>23</v>
      </c>
      <c r="AX126" s="3" t="str">
        <f>IFERROR(MID(VLOOKUP($B126,Seqs!$A:$B,2,0),AY126,1),"")</f>
        <v/>
      </c>
      <c r="AY126" s="3" t="s">
        <v>23</v>
      </c>
      <c r="AZ126" s="78" t="str">
        <f>VLOOKUP(B126,Classification!A:D,2,0)</f>
        <v>A</v>
      </c>
      <c r="BA126" s="95" t="str">
        <f>VLOOKUP(B126,Classification!A:D,4,0)</f>
        <v>Chemokine</v>
      </c>
      <c r="BB126" s="27" t="b">
        <f t="shared" si="811"/>
        <v>1</v>
      </c>
      <c r="BC126" s="23">
        <f t="shared" si="1119"/>
        <v>235</v>
      </c>
      <c r="BD126" s="4" t="s">
        <v>23</v>
      </c>
      <c r="BE126" s="3" t="s">
        <v>1381</v>
      </c>
      <c r="BF126" s="120">
        <v>2.9</v>
      </c>
      <c r="BG126" s="49" t="s">
        <v>1384</v>
      </c>
      <c r="BH126" s="49" t="s">
        <v>1384</v>
      </c>
      <c r="BI126" s="1"/>
      <c r="BJ126" s="71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1">
        <f t="shared" si="1120"/>
        <v>34</v>
      </c>
      <c r="BW126" s="72" t="str">
        <f t="shared" si="1121"/>
        <v>-</v>
      </c>
      <c r="BX126" s="73">
        <f t="shared" si="1122"/>
        <v>71</v>
      </c>
      <c r="BY126" s="72">
        <f t="shared" si="1123"/>
        <v>101</v>
      </c>
      <c r="BZ126" s="73">
        <f t="shared" si="1124"/>
        <v>105</v>
      </c>
      <c r="CA126" s="72" t="str">
        <f t="shared" si="1125"/>
        <v>-</v>
      </c>
      <c r="CB126" s="73">
        <f t="shared" si="1126"/>
        <v>144</v>
      </c>
      <c r="CC126" s="72">
        <f t="shared" si="1127"/>
        <v>186</v>
      </c>
      <c r="CD126" s="73">
        <f t="shared" si="1128"/>
        <v>193</v>
      </c>
      <c r="CE126" s="72">
        <f t="shared" si="1129"/>
        <v>239</v>
      </c>
      <c r="CF126" s="73">
        <f t="shared" si="1130"/>
        <v>273</v>
      </c>
      <c r="CG126" s="72" t="str">
        <f t="shared" si="1131"/>
        <v>-</v>
      </c>
      <c r="CH126" s="71">
        <f t="shared" si="1132"/>
        <v>66</v>
      </c>
      <c r="CI126" s="72" t="str">
        <f t="shared" si="1133"/>
        <v>-</v>
      </c>
      <c r="CJ126" s="73">
        <f t="shared" si="1134"/>
        <v>100</v>
      </c>
      <c r="CK126" s="73">
        <f t="shared" si="1135"/>
        <v>104</v>
      </c>
      <c r="CL126" s="73">
        <f t="shared" si="1136"/>
        <v>140</v>
      </c>
      <c r="CM126" s="73" t="str">
        <f t="shared" si="1137"/>
        <v>-</v>
      </c>
      <c r="CN126" s="73">
        <f t="shared" si="1138"/>
        <v>175</v>
      </c>
      <c r="CO126" s="73">
        <f t="shared" si="1139"/>
        <v>188</v>
      </c>
      <c r="CP126" s="73">
        <f t="shared" si="1140"/>
        <v>228</v>
      </c>
      <c r="CQ126" s="73">
        <f t="shared" si="1141"/>
        <v>268</v>
      </c>
      <c r="CR126" s="73">
        <f t="shared" si="1142"/>
        <v>300</v>
      </c>
      <c r="CS126" s="73" t="str">
        <f t="shared" si="1143"/>
        <v>-</v>
      </c>
      <c r="CT126" s="23" t="e">
        <f t="shared" si="1144"/>
        <v>#VALUE!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x14ac:dyDescent="0.2">
      <c r="A127" s="3" t="str">
        <f t="shared" si="810"/>
        <v>cxcr4_human_4RWS</v>
      </c>
      <c r="B127" s="3" t="s">
        <v>1172</v>
      </c>
      <c r="C127" s="3" t="s">
        <v>1053</v>
      </c>
      <c r="D127" s="3" t="str">
        <f>IFERROR(MID(VLOOKUP($B127,Seqs!$A:$B,2,0),E127,1),"")</f>
        <v>R</v>
      </c>
      <c r="E127" s="3">
        <v>30</v>
      </c>
      <c r="F127" s="3" t="str">
        <f>IFERROR(MID(VLOOKUP($B127,Seqs!$A:$B,2,0),G127,1),"")</f>
        <v>Q</v>
      </c>
      <c r="G127" s="3">
        <v>66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S</v>
      </c>
      <c r="M127" s="3">
        <v>71</v>
      </c>
      <c r="N127" s="3" t="str">
        <f>IFERROR(MID(VLOOKUP($B127,Seqs!$A:$B,2,0),O127,1),"")</f>
        <v>A</v>
      </c>
      <c r="O127" s="3">
        <v>100</v>
      </c>
      <c r="P127" s="3" t="str">
        <f>IFERROR(MID(VLOOKUP($B127,Seqs!$A:$B,2,0),Q127,1),"")</f>
        <v>N</v>
      </c>
      <c r="Q127" s="3">
        <v>101</v>
      </c>
      <c r="R127" s="3" t="str">
        <f>IFERROR(MID(VLOOKUP($B127,Seqs!$A:$B,2,0),S127,1),"")</f>
        <v>F</v>
      </c>
      <c r="S127" s="3">
        <v>104</v>
      </c>
      <c r="T127" s="3" t="str">
        <f>IFERROR(MID(VLOOKUP($B127,Seqs!$A:$B,2,0),U127,1),"")</f>
        <v>G</v>
      </c>
      <c r="U127" s="3">
        <v>105</v>
      </c>
      <c r="V127" s="3" t="str">
        <f>IFERROR(MID(VLOOKUP($B127,Seqs!$A:$B,2,0),W127,1),"")</f>
        <v>H</v>
      </c>
      <c r="W127" s="3">
        <v>140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S</v>
      </c>
      <c r="AC127" s="9">
        <v>144</v>
      </c>
      <c r="AD127" s="3" t="str">
        <f>IFERROR(MID(VLOOKUP($B127,Seqs!$A:$B,2,0),AE127,1),"")</f>
        <v>A</v>
      </c>
      <c r="AE127" s="3">
        <v>175</v>
      </c>
      <c r="AF127" s="3" t="str">
        <f>IFERROR(MID(VLOOKUP($B127,Seqs!$A:$B,2,0),AG127,1),"")</f>
        <v>C</v>
      </c>
      <c r="AG127" s="3">
        <v>186</v>
      </c>
      <c r="AH127" s="3" t="str">
        <f>IFERROR(MID(VLOOKUP($B127,Seqs!$A:$B,2,0),AI127,1),"")</f>
        <v>R</v>
      </c>
      <c r="AI127" s="3">
        <v>188</v>
      </c>
      <c r="AJ127" s="3" t="str">
        <f>IFERROR(MID(VLOOKUP($B127,Seqs!$A:$B,2,0),AK127,1),"")</f>
        <v>D</v>
      </c>
      <c r="AK127" s="3">
        <v>193</v>
      </c>
      <c r="AL127" s="3" t="str">
        <f>IFERROR(MID(VLOOKUP($B127,Seqs!$A:$B,2,0),AM127,1),"")</f>
        <v>S</v>
      </c>
      <c r="AM127" s="3">
        <v>227</v>
      </c>
      <c r="AN127" s="3" t="str">
        <f>IFERROR(MID(VLOOKUP($B127,Seqs!$A:$B,2,0),AO127,1),"")</f>
        <v>K</v>
      </c>
      <c r="AO127" s="3">
        <v>239</v>
      </c>
      <c r="AP127" s="3" t="str">
        <f>IFERROR(MID(VLOOKUP($B127,Seqs!$A:$B,2,0),AQ127,1),"")</f>
        <v>E</v>
      </c>
      <c r="AQ127" s="3">
        <v>268</v>
      </c>
      <c r="AR127" s="3" t="str">
        <f>IFERROR(MID(VLOOKUP($B127,Seqs!$A:$B,2,0),AS127,1),"")</f>
        <v>G</v>
      </c>
      <c r="AS127" s="3">
        <v>273</v>
      </c>
      <c r="AT127" s="3" t="str">
        <f>IFERROR(MID(VLOOKUP($B127,Seqs!$A:$B,2,0),AU127,1),"")</f>
        <v>I</v>
      </c>
      <c r="AU127" s="3">
        <v>300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8" t="str">
        <f>VLOOKUP(B127,Classification!A:D,2,0)</f>
        <v>A</v>
      </c>
      <c r="BA127" s="95" t="str">
        <f>VLOOKUP(B127,Classification!A:D,4,0)</f>
        <v>Chemokine</v>
      </c>
      <c r="BB127" s="27" t="b">
        <f t="shared" si="811"/>
        <v>1</v>
      </c>
      <c r="BC127" s="23">
        <f t="shared" si="1119"/>
        <v>238</v>
      </c>
      <c r="BD127" s="5" t="s">
        <v>23</v>
      </c>
      <c r="BE127" s="3" t="s">
        <v>1381</v>
      </c>
      <c r="BF127" s="120">
        <v>3.1</v>
      </c>
      <c r="BG127" s="49" t="s">
        <v>1384</v>
      </c>
      <c r="BH127" s="49" t="s">
        <v>1384</v>
      </c>
      <c r="BI127" s="1"/>
      <c r="BJ127" s="71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1">
        <f t="shared" si="1120"/>
        <v>30</v>
      </c>
      <c r="BW127" s="72" t="str">
        <f t="shared" si="1121"/>
        <v>-</v>
      </c>
      <c r="BX127" s="73">
        <f t="shared" si="1122"/>
        <v>71</v>
      </c>
      <c r="BY127" s="72">
        <f t="shared" si="1123"/>
        <v>101</v>
      </c>
      <c r="BZ127" s="73">
        <f t="shared" si="1124"/>
        <v>105</v>
      </c>
      <c r="CA127" s="72" t="str">
        <f t="shared" si="1125"/>
        <v>-</v>
      </c>
      <c r="CB127" s="73">
        <f t="shared" si="1126"/>
        <v>144</v>
      </c>
      <c r="CC127" s="72">
        <f t="shared" si="1127"/>
        <v>186</v>
      </c>
      <c r="CD127" s="73">
        <f t="shared" si="1128"/>
        <v>193</v>
      </c>
      <c r="CE127" s="72">
        <f t="shared" si="1129"/>
        <v>239</v>
      </c>
      <c r="CF127" s="73">
        <f t="shared" si="1130"/>
        <v>273</v>
      </c>
      <c r="CG127" s="72" t="str">
        <f t="shared" si="1131"/>
        <v>-</v>
      </c>
      <c r="CH127" s="71">
        <f t="shared" si="1132"/>
        <v>66</v>
      </c>
      <c r="CI127" s="72" t="str">
        <f t="shared" si="1133"/>
        <v>-</v>
      </c>
      <c r="CJ127" s="73">
        <f t="shared" si="1134"/>
        <v>100</v>
      </c>
      <c r="CK127" s="73">
        <f t="shared" si="1135"/>
        <v>104</v>
      </c>
      <c r="CL127" s="73">
        <f t="shared" si="1136"/>
        <v>140</v>
      </c>
      <c r="CM127" s="73" t="str">
        <f t="shared" si="1137"/>
        <v>-</v>
      </c>
      <c r="CN127" s="73">
        <f t="shared" si="1138"/>
        <v>175</v>
      </c>
      <c r="CO127" s="73">
        <f t="shared" si="1139"/>
        <v>188</v>
      </c>
      <c r="CP127" s="73">
        <f t="shared" si="1140"/>
        <v>227</v>
      </c>
      <c r="CQ127" s="73">
        <f t="shared" si="1141"/>
        <v>268</v>
      </c>
      <c r="CR127" s="73">
        <f t="shared" si="1142"/>
        <v>300</v>
      </c>
      <c r="CS127" s="73" t="str">
        <f t="shared" si="1143"/>
        <v>-</v>
      </c>
      <c r="CT127" s="23" t="e">
        <f t="shared" si="1144"/>
        <v>#VALUE!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30" s="12" customFormat="1" x14ac:dyDescent="0.2">
      <c r="A128" s="9" t="str">
        <f t="shared" ref="A128" si="1145">CONCATENATE(B128,"_",C128)</f>
        <v>drd2_human__wt</v>
      </c>
      <c r="B128" s="9" t="s">
        <v>191</v>
      </c>
      <c r="C128" s="9" t="s">
        <v>100</v>
      </c>
      <c r="D128" s="9" t="str">
        <f>IFERROR(MID(VLOOKUP($B128,Seqs!$A:$B,2,0),E128,1),"")</f>
        <v>R</v>
      </c>
      <c r="E128" s="9">
        <v>31</v>
      </c>
      <c r="F128" s="9" t="str">
        <f>IFERROR(MID(VLOOKUP($B128,Seqs!$A:$B,2,0),G128,1),"")</f>
        <v>E</v>
      </c>
      <c r="G128" s="9">
        <v>62</v>
      </c>
      <c r="H128" s="9" t="str">
        <f>IFERROR(MID(VLOOKUP($B128,Seqs!$A:$B,2,0),I128,1),"")</f>
        <v>K</v>
      </c>
      <c r="I128" s="110">
        <v>63</v>
      </c>
      <c r="J128" s="9" t="str">
        <f>IFERROR(MID(VLOOKUP($B128,Seqs!$A:$B,2,0),K128,1),"")</f>
        <v>Q</v>
      </c>
      <c r="K128" s="110">
        <v>66</v>
      </c>
      <c r="L128" s="9" t="str">
        <f>IFERROR(MID(VLOOKUP($B128,Seqs!$A:$B,2,0),M128,1),"")</f>
        <v>T</v>
      </c>
      <c r="M128" s="9">
        <v>67</v>
      </c>
      <c r="N128" s="9" t="str">
        <f>IFERROR(MID(VLOOKUP($B128,Seqs!$A:$B,2,0),O128,1),"")</f>
        <v>G</v>
      </c>
      <c r="O128" s="9">
        <v>98</v>
      </c>
      <c r="P128" s="9" t="str">
        <f>IFERROR(MID(VLOOKUP($B128,Seqs!$A:$B,2,0),Q128,1),"")</f>
        <v>E</v>
      </c>
      <c r="Q128" s="9">
        <v>99</v>
      </c>
      <c r="R128" s="9" t="str">
        <f>IFERROR(MID(VLOOKUP($B128,Seqs!$A:$B,2,0),S128,1),"")</f>
        <v>F</v>
      </c>
      <c r="S128" s="9">
        <v>102</v>
      </c>
      <c r="T128" s="9" t="str">
        <f>IFERROR(MID(VLOOKUP($B128,Seqs!$A:$B,2,0),U128,1),"")</f>
        <v>S</v>
      </c>
      <c r="U128" s="9">
        <v>103</v>
      </c>
      <c r="V128" s="9" t="str">
        <f>IFERROR(MID(VLOOKUP($B128,Seqs!$A:$B,2,0),W128,1),"")</f>
        <v>M</v>
      </c>
      <c r="W128" s="9">
        <v>138</v>
      </c>
      <c r="X128" s="9" t="str">
        <f>IFERROR(MID(VLOOKUP($B128,Seqs!$A:$B,2,0),Y128,1),"")</f>
        <v>P</v>
      </c>
      <c r="Y128" s="9">
        <v>139</v>
      </c>
      <c r="Z128" s="9" t="str">
        <f>IFERROR(MID(VLOOKUP($B128,Seqs!$A:$B,2,0),AA128,1),"")</f>
        <v>S</v>
      </c>
      <c r="AA128" s="9">
        <v>147</v>
      </c>
      <c r="AB128" s="9" t="str">
        <f>IFERROR(MID(VLOOKUP($B128,Seqs!$A:$B,2,0),AC128,1),"")</f>
        <v>S</v>
      </c>
      <c r="AC128" s="9">
        <v>148</v>
      </c>
      <c r="AD128" s="9" t="str">
        <f>IFERROR(MID(VLOOKUP($B128,Seqs!$A:$B,2,0),AE128,1),"")</f>
        <v>F</v>
      </c>
      <c r="AE128" s="9">
        <v>172</v>
      </c>
      <c r="AF128" s="9" t="str">
        <f>IFERROR(MID(VLOOKUP($B128,Seqs!$A:$B,2,0),AG128,1),"")</f>
        <v>C</v>
      </c>
      <c r="AG128" s="9">
        <v>182</v>
      </c>
      <c r="AH128" s="9" t="str">
        <f>IFERROR(MID(VLOOKUP($B128,Seqs!$A:$B,2,0),AI128,1),"")</f>
        <v>I</v>
      </c>
      <c r="AI128" s="9">
        <v>184</v>
      </c>
      <c r="AJ128" s="9" t="str">
        <f>IFERROR(MID(VLOOKUP($B128,Seqs!$A:$B,2,0),AK128,1),"")</f>
        <v>N</v>
      </c>
      <c r="AK128" s="9">
        <v>186</v>
      </c>
      <c r="AL128" s="9" t="str">
        <f>IFERROR(MID(VLOOKUP($B128,Seqs!$A:$B,2,0),AM128,1),"")</f>
        <v>K</v>
      </c>
      <c r="AM128" s="9">
        <v>226</v>
      </c>
      <c r="AN128" s="9" t="str">
        <f>IFERROR(MID(VLOOKUP($B128,Seqs!$A:$B,2,0),AO128,1),"")</f>
        <v>K</v>
      </c>
      <c r="AO128" s="9">
        <v>362</v>
      </c>
      <c r="AP128" s="9" t="str">
        <f>IFERROR(MID(VLOOKUP($B128,Seqs!$A:$B,2,0),AQ128,1),"")</f>
        <v>C</v>
      </c>
      <c r="AQ128" s="9">
        <v>399</v>
      </c>
      <c r="AR128" s="9" t="str">
        <f>IFERROR(MID(VLOOKUP($B128,Seqs!$A:$B,2,0),AS128,1),"")</f>
        <v>P</v>
      </c>
      <c r="AS128" s="9">
        <v>404</v>
      </c>
      <c r="AT128" s="9" t="str">
        <f>IFERROR(MID(VLOOKUP($B128,Seqs!$A:$B,2,0),AU128,1),"")</f>
        <v>F</v>
      </c>
      <c r="AU128" s="9">
        <v>429</v>
      </c>
      <c r="AV128" s="9" t="str">
        <f>IFERROR(MID(VLOOKUP($B128,Seqs!$A:$B,2,0),AW128,1),"")</f>
        <v>N</v>
      </c>
      <c r="AW128" s="9">
        <v>430</v>
      </c>
      <c r="AX128" s="9" t="str">
        <f>IFERROR(MID(VLOOKUP($B128,Seqs!$A:$B,2,0),AY128,1),"")</f>
        <v>H</v>
      </c>
      <c r="AY128" s="9">
        <v>442</v>
      </c>
      <c r="AZ128" s="111" t="str">
        <f>VLOOKUP(B128,Classification!A:D,2,0)</f>
        <v>A</v>
      </c>
      <c r="BA128" s="99" t="str">
        <f>VLOOKUP(B128,Classification!A:D,4,0)</f>
        <v>Dopamine</v>
      </c>
      <c r="BB128" s="36" t="b">
        <f t="shared" ref="BB128" si="1146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10">
        <f t="shared" ref="BC128" si="1147">_xlfn.AGGREGATE(9,6,CH128:CS128)-_xlfn.AGGREGATE(9,6,BV128:CG128)+12</f>
        <v>263</v>
      </c>
      <c r="BD128" s="125" t="s">
        <v>1379</v>
      </c>
      <c r="BE128" s="9" t="s">
        <v>23</v>
      </c>
      <c r="BF128" s="121" t="s">
        <v>23</v>
      </c>
      <c r="BG128" s="51" t="s">
        <v>1379</v>
      </c>
      <c r="BH128" s="51" t="s">
        <v>1384</v>
      </c>
      <c r="BJ128" s="112" t="s">
        <v>1293</v>
      </c>
      <c r="BK128" s="113" t="s">
        <v>1293</v>
      </c>
      <c r="BL128" s="113" t="s">
        <v>1293</v>
      </c>
      <c r="BM128" s="113" t="s">
        <v>1293</v>
      </c>
      <c r="BN128" s="113" t="s">
        <v>1293</v>
      </c>
      <c r="BO128" s="113" t="s">
        <v>1293</v>
      </c>
      <c r="BP128" s="113" t="s">
        <v>1293</v>
      </c>
      <c r="BQ128" s="113" t="s">
        <v>1293</v>
      </c>
      <c r="BR128" s="113" t="s">
        <v>1293</v>
      </c>
      <c r="BS128" s="113" t="s">
        <v>1293</v>
      </c>
      <c r="BT128" s="113" t="s">
        <v>1293</v>
      </c>
      <c r="BU128" s="113" t="s">
        <v>1293</v>
      </c>
      <c r="BV128" s="112">
        <f t="shared" ref="BV128" si="1148">E128</f>
        <v>31</v>
      </c>
      <c r="BW128" s="114">
        <f t="shared" ref="BW128" si="1149">I128</f>
        <v>63</v>
      </c>
      <c r="BX128" s="115">
        <f t="shared" ref="BX128" si="1150">M128</f>
        <v>67</v>
      </c>
      <c r="BY128" s="114">
        <f t="shared" ref="BY128" si="1151">Q128</f>
        <v>99</v>
      </c>
      <c r="BZ128" s="115">
        <f t="shared" ref="BZ128" si="1152">U128</f>
        <v>103</v>
      </c>
      <c r="CA128" s="114">
        <f t="shared" ref="CA128" si="1153">Y128</f>
        <v>139</v>
      </c>
      <c r="CB128" s="115">
        <f t="shared" ref="CB128" si="1154">AC128</f>
        <v>148</v>
      </c>
      <c r="CC128" s="114">
        <f t="shared" ref="CC128" si="1155">AG128</f>
        <v>182</v>
      </c>
      <c r="CD128" s="115">
        <f t="shared" ref="CD128" si="1156">AK128</f>
        <v>186</v>
      </c>
      <c r="CE128" s="114">
        <f t="shared" ref="CE128" si="1157">AO128</f>
        <v>362</v>
      </c>
      <c r="CF128" s="115">
        <f t="shared" ref="CF128" si="1158">AS128</f>
        <v>404</v>
      </c>
      <c r="CG128" s="114">
        <f t="shared" ref="CG128" si="1159">AW128</f>
        <v>430</v>
      </c>
      <c r="CH128" s="112">
        <f t="shared" ref="CH128" si="1160">G128</f>
        <v>62</v>
      </c>
      <c r="CI128" s="114">
        <f t="shared" ref="CI128" si="1161">K128</f>
        <v>66</v>
      </c>
      <c r="CJ128" s="115">
        <f t="shared" ref="CJ128" si="1162">O128</f>
        <v>98</v>
      </c>
      <c r="CK128" s="115">
        <f t="shared" ref="CK128" si="1163">S128</f>
        <v>102</v>
      </c>
      <c r="CL128" s="115">
        <f t="shared" ref="CL128" si="1164">W128</f>
        <v>138</v>
      </c>
      <c r="CM128" s="115">
        <f t="shared" ref="CM128" si="1165">AA128</f>
        <v>147</v>
      </c>
      <c r="CN128" s="115">
        <f t="shared" ref="CN128" si="1166">AE128</f>
        <v>172</v>
      </c>
      <c r="CO128" s="115">
        <f t="shared" ref="CO128" si="1167">AI128</f>
        <v>184</v>
      </c>
      <c r="CP128" s="115">
        <f t="shared" ref="CP128" si="1168">AM128</f>
        <v>226</v>
      </c>
      <c r="CQ128" s="115">
        <f t="shared" ref="CQ128" si="1169">AQ128</f>
        <v>399</v>
      </c>
      <c r="CR128" s="115">
        <f t="shared" ref="CR128" si="1170">AU128</f>
        <v>429</v>
      </c>
      <c r="CS128" s="115">
        <f t="shared" ref="CS128" si="1171">AY128</f>
        <v>442</v>
      </c>
      <c r="CT128" s="110">
        <f t="shared" ref="CT128" si="1172">M128-K128</f>
        <v>1</v>
      </c>
    </row>
    <row r="129" spans="1:1029" s="12" customFormat="1" x14ac:dyDescent="0.2">
      <c r="A129" s="9" t="str">
        <f t="shared" ref="A129" si="1173">CONCATENATE(B129,"_",C129)</f>
        <v>drd2_human_6CM4</v>
      </c>
      <c r="B129" s="9" t="s">
        <v>191</v>
      </c>
      <c r="C129" s="9" t="s">
        <v>1489</v>
      </c>
      <c r="D129" s="9" t="str">
        <f>IFERROR(MID(VLOOKUP($B129,Seqs!$A:$B,2,0),E129,1),"")</f>
        <v>N</v>
      </c>
      <c r="E129" s="9">
        <v>35</v>
      </c>
      <c r="F129" s="9" t="str">
        <f>IFERROR(MID(VLOOKUP($B129,Seqs!$A:$B,2,0),G129,1),"")</f>
        <v>E</v>
      </c>
      <c r="G129" s="9">
        <v>62</v>
      </c>
      <c r="H129" s="9" t="str">
        <f>IFERROR(MID(VLOOKUP($B129,Seqs!$A:$B,2,0),I129,1),"")</f>
        <v>K</v>
      </c>
      <c r="I129" s="110">
        <v>63</v>
      </c>
      <c r="J129" s="9" t="str">
        <f>IFERROR(MID(VLOOKUP($B129,Seqs!$A:$B,2,0),K129,1),"")</f>
        <v>Q</v>
      </c>
      <c r="K129" s="110">
        <v>66</v>
      </c>
      <c r="L129" s="9" t="str">
        <f>IFERROR(MID(VLOOKUP($B129,Seqs!$A:$B,2,0),M129,1),"")</f>
        <v>T</v>
      </c>
      <c r="M129" s="9">
        <v>67</v>
      </c>
      <c r="N129" s="9" t="str">
        <f>IFERROR(MID(VLOOKUP($B129,Seqs!$A:$B,2,0),O129,1),"")</f>
        <v>G</v>
      </c>
      <c r="O129" s="9">
        <v>98</v>
      </c>
      <c r="P129" s="9" t="str">
        <f>IFERROR(MID(VLOOKUP($B129,Seqs!$A:$B,2,0),Q129,1),"")</f>
        <v>E</v>
      </c>
      <c r="Q129" s="9">
        <v>99</v>
      </c>
      <c r="R129" s="9" t="str">
        <f>IFERROR(MID(VLOOKUP($B129,Seqs!$A:$B,2,0),S129,1),"")</f>
        <v>F</v>
      </c>
      <c r="S129" s="9">
        <v>102</v>
      </c>
      <c r="T129" s="9" t="str">
        <f>IFERROR(MID(VLOOKUP($B129,Seqs!$A:$B,2,0),U129,1),"")</f>
        <v>S</v>
      </c>
      <c r="U129" s="9">
        <v>103</v>
      </c>
      <c r="V129" s="9" t="str">
        <f>IFERROR(MID(VLOOKUP($B129,Seqs!$A:$B,2,0),W129,1),"")</f>
        <v>M</v>
      </c>
      <c r="W129" s="9">
        <v>138</v>
      </c>
      <c r="X129" s="9" t="str">
        <f>IFERROR(MID(VLOOKUP($B129,Seqs!$A:$B,2,0),Y129,1),"")</f>
        <v/>
      </c>
      <c r="Y129" s="9" t="s">
        <v>23</v>
      </c>
      <c r="Z129" s="9" t="str">
        <f>IFERROR(MID(VLOOKUP($B129,Seqs!$A:$B,2,0),AA129,1),"")</f>
        <v/>
      </c>
      <c r="AA129" s="9" t="s">
        <v>23</v>
      </c>
      <c r="AB129" s="9" t="str">
        <f>IFERROR(MID(VLOOKUP($B129,Seqs!$A:$B,2,0),AC129,1),"")</f>
        <v>Y</v>
      </c>
      <c r="AC129" s="9">
        <v>146</v>
      </c>
      <c r="AD129" s="9" t="str">
        <f>IFERROR(MID(VLOOKUP($B129,Seqs!$A:$B,2,0),AE129,1),"")</f>
        <v>F</v>
      </c>
      <c r="AE129" s="9">
        <v>172</v>
      </c>
      <c r="AF129" s="9" t="str">
        <f>IFERROR(MID(VLOOKUP($B129,Seqs!$A:$B,2,0),AG129,1),"")</f>
        <v>C</v>
      </c>
      <c r="AG129" s="9">
        <v>182</v>
      </c>
      <c r="AH129" s="9" t="str">
        <f>IFERROR(MID(VLOOKUP($B129,Seqs!$A:$B,2,0),AI129,1),"")</f>
        <v>I</v>
      </c>
      <c r="AI129" s="9">
        <v>184</v>
      </c>
      <c r="AJ129" s="9" t="str">
        <f>IFERROR(MID(VLOOKUP($B129,Seqs!$A:$B,2,0),AK129,1),"")</f>
        <v>A</v>
      </c>
      <c r="AK129" s="9">
        <v>188</v>
      </c>
      <c r="AL129" s="9" t="str">
        <f>IFERROR(MID(VLOOKUP($B129,Seqs!$A:$B,2,0),AM129,1),"")</f>
        <v>R</v>
      </c>
      <c r="AM129" s="9">
        <v>222</v>
      </c>
      <c r="AN129" s="9" t="str">
        <f>IFERROR(MID(VLOOKUP($B129,Seqs!$A:$B,2,0),AO129,1),"")</f>
        <v>E</v>
      </c>
      <c r="AO129" s="9">
        <v>368</v>
      </c>
      <c r="AP129" s="9" t="str">
        <f>IFERROR(MID(VLOOKUP($B129,Seqs!$A:$B,2,0),AQ129,1),"")</f>
        <v>C</v>
      </c>
      <c r="AQ129" s="9">
        <v>399</v>
      </c>
      <c r="AR129" s="9" t="str">
        <f>IFERROR(MID(VLOOKUP($B129,Seqs!$A:$B,2,0),AS129,1),"")</f>
        <v>P</v>
      </c>
      <c r="AS129" s="9">
        <v>404</v>
      </c>
      <c r="AT129" s="9" t="str">
        <f>IFERROR(MID(VLOOKUP($B129,Seqs!$A:$B,2,0),AU129,1),"")</f>
        <v>F</v>
      </c>
      <c r="AU129" s="9">
        <v>429</v>
      </c>
      <c r="AV129" s="9" t="str">
        <f>IFERROR(MID(VLOOKUP($B129,Seqs!$A:$B,2,0),AW129,1),"")</f>
        <v>N</v>
      </c>
      <c r="AW129" s="9">
        <v>430</v>
      </c>
      <c r="AX129" s="9" t="str">
        <f>IFERROR(MID(VLOOKUP($B129,Seqs!$A:$B,2,0),AY129,1),"")</f>
        <v>H</v>
      </c>
      <c r="AY129" s="9">
        <v>442</v>
      </c>
      <c r="AZ129" s="111" t="str">
        <f>VLOOKUP(B129,Classification!A:D,2,0)</f>
        <v>A</v>
      </c>
      <c r="BA129" s="99" t="str">
        <f>VLOOKUP(B129,Classification!A:D,4,0)</f>
        <v>Dopamine</v>
      </c>
      <c r="BB129" s="36" t="b">
        <f t="shared" ref="BB129" si="1174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10">
        <f t="shared" ref="BC129" si="1175">_xlfn.AGGREGATE(9,6,CH129:CS129)-_xlfn.AGGREGATE(9,6,BV129:CG129)+12</f>
        <v>241</v>
      </c>
      <c r="BD129" s="125" t="s">
        <v>1383</v>
      </c>
      <c r="BE129" s="9" t="s">
        <v>1381</v>
      </c>
      <c r="BF129" s="121">
        <v>2.87</v>
      </c>
      <c r="BG129" s="51" t="s">
        <v>1</v>
      </c>
      <c r="BH129" s="51" t="s">
        <v>1</v>
      </c>
      <c r="BJ129" s="112" t="s">
        <v>1293</v>
      </c>
      <c r="BK129" s="113" t="s">
        <v>1293</v>
      </c>
      <c r="BL129" s="113" t="s">
        <v>1293</v>
      </c>
      <c r="BM129" s="113" t="s">
        <v>1293</v>
      </c>
      <c r="BN129" s="113" t="s">
        <v>1293</v>
      </c>
      <c r="BO129" s="113" t="s">
        <v>1293</v>
      </c>
      <c r="BP129" s="113" t="s">
        <v>1293</v>
      </c>
      <c r="BQ129" s="113" t="s">
        <v>1293</v>
      </c>
      <c r="BR129" s="113" t="s">
        <v>1293</v>
      </c>
      <c r="BS129" s="113" t="s">
        <v>1293</v>
      </c>
      <c r="BT129" s="113" t="s">
        <v>1293</v>
      </c>
      <c r="BU129" s="113" t="s">
        <v>1293</v>
      </c>
      <c r="BV129" s="112">
        <f t="shared" ref="BV129" si="1176">E129</f>
        <v>35</v>
      </c>
      <c r="BW129" s="114">
        <f t="shared" ref="BW129" si="1177">I129</f>
        <v>63</v>
      </c>
      <c r="BX129" s="115">
        <f t="shared" ref="BX129" si="1178">M129</f>
        <v>67</v>
      </c>
      <c r="BY129" s="114">
        <f t="shared" ref="BY129" si="1179">Q129</f>
        <v>99</v>
      </c>
      <c r="BZ129" s="115">
        <f t="shared" ref="BZ129" si="1180">U129</f>
        <v>103</v>
      </c>
      <c r="CA129" s="114" t="str">
        <f t="shared" ref="CA129" si="1181">Y129</f>
        <v>-</v>
      </c>
      <c r="CB129" s="115">
        <f t="shared" ref="CB129" si="1182">AC129</f>
        <v>146</v>
      </c>
      <c r="CC129" s="114">
        <f t="shared" ref="CC129" si="1183">AG129</f>
        <v>182</v>
      </c>
      <c r="CD129" s="115">
        <f t="shared" ref="CD129" si="1184">AK129</f>
        <v>188</v>
      </c>
      <c r="CE129" s="114">
        <f t="shared" ref="CE129" si="1185">AO129</f>
        <v>368</v>
      </c>
      <c r="CF129" s="115">
        <f t="shared" ref="CF129" si="1186">AS129</f>
        <v>404</v>
      </c>
      <c r="CG129" s="114">
        <f t="shared" ref="CG129" si="1187">AW129</f>
        <v>430</v>
      </c>
      <c r="CH129" s="112">
        <f t="shared" ref="CH129" si="1188">G129</f>
        <v>62</v>
      </c>
      <c r="CI129" s="114">
        <f t="shared" ref="CI129" si="1189">K129</f>
        <v>66</v>
      </c>
      <c r="CJ129" s="115">
        <f t="shared" ref="CJ129" si="1190">O129</f>
        <v>98</v>
      </c>
      <c r="CK129" s="115">
        <f t="shared" ref="CK129" si="1191">S129</f>
        <v>102</v>
      </c>
      <c r="CL129" s="115">
        <f t="shared" ref="CL129" si="1192">W129</f>
        <v>138</v>
      </c>
      <c r="CM129" s="115" t="str">
        <f t="shared" ref="CM129" si="1193">AA129</f>
        <v>-</v>
      </c>
      <c r="CN129" s="115">
        <f t="shared" ref="CN129" si="1194">AE129</f>
        <v>172</v>
      </c>
      <c r="CO129" s="115">
        <f t="shared" ref="CO129" si="1195">AI129</f>
        <v>184</v>
      </c>
      <c r="CP129" s="115">
        <f t="shared" ref="CP129" si="1196">AM129</f>
        <v>222</v>
      </c>
      <c r="CQ129" s="115">
        <f t="shared" ref="CQ129" si="1197">AQ129</f>
        <v>399</v>
      </c>
      <c r="CR129" s="115">
        <f t="shared" ref="CR129" si="1198">AU129</f>
        <v>429</v>
      </c>
      <c r="CS129" s="115">
        <f t="shared" ref="CS129" si="1199">AY129</f>
        <v>442</v>
      </c>
      <c r="CT129" s="110">
        <f t="shared" ref="CT129" si="1200">M129-K129</f>
        <v>1</v>
      </c>
    </row>
    <row r="130" spans="1:1029" x14ac:dyDescent="0.2">
      <c r="A130" s="3" t="str">
        <f t="shared" si="810"/>
        <v>drd3_human__wt</v>
      </c>
      <c r="B130" s="3" t="s">
        <v>192</v>
      </c>
      <c r="C130" s="3" t="s">
        <v>100</v>
      </c>
      <c r="D130" s="3" t="str">
        <f>IFERROR(MID(VLOOKUP($B130,Seqs!$A:$B,2,0),E130,1),"")</f>
        <v>A</v>
      </c>
      <c r="E130" s="3">
        <v>26</v>
      </c>
      <c r="F130" s="3" t="str">
        <f>IFERROR(MID(VLOOKUP($B130,Seqs!$A:$B,2,0),G130,1),"")</f>
        <v>E</v>
      </c>
      <c r="G130" s="3">
        <v>57</v>
      </c>
      <c r="H130" s="3" t="str">
        <f>IFERROR(MID(VLOOKUP($B130,Seqs!$A:$B,2,0),I130,1),"")</f>
        <v>R</v>
      </c>
      <c r="I130" s="23">
        <v>58</v>
      </c>
      <c r="J130" s="3" t="str">
        <f>IFERROR(MID(VLOOKUP($B130,Seqs!$A:$B,2,0),K130,1),"")</f>
        <v>Q</v>
      </c>
      <c r="K130" s="23">
        <v>61</v>
      </c>
      <c r="L130" s="3" t="str">
        <f>IFERROR(MID(VLOOKUP($B130,Seqs!$A:$B,2,0),M130,1),"")</f>
        <v>T</v>
      </c>
      <c r="M130" s="3">
        <v>62</v>
      </c>
      <c r="N130" s="3" t="str">
        <f>IFERROR(MID(VLOOKUP($B130,Seqs!$A:$B,2,0),O130,1),"")</f>
        <v>T</v>
      </c>
      <c r="O130" s="3">
        <v>92</v>
      </c>
      <c r="P130" s="3" t="str">
        <f>IFERROR(MID(VLOOKUP($B130,Seqs!$A:$B,2,0),Q130,1),"")</f>
        <v>V</v>
      </c>
      <c r="Q130" s="3">
        <v>95</v>
      </c>
      <c r="R130" s="3" t="str">
        <f>IFERROR(MID(VLOOKUP($B130,Seqs!$A:$B,2,0),S130,1),"")</f>
        <v>F</v>
      </c>
      <c r="S130" s="3">
        <v>98</v>
      </c>
      <c r="T130" s="3" t="str">
        <f>IFERROR(MID(VLOOKUP($B130,Seqs!$A:$B,2,0),U130,1),"")</f>
        <v>S</v>
      </c>
      <c r="U130" s="3">
        <v>99</v>
      </c>
      <c r="V130" s="3" t="str">
        <f>IFERROR(MID(VLOOKUP($B130,Seqs!$A:$B,2,0),W130,1),"")</f>
        <v>M</v>
      </c>
      <c r="W130" s="3">
        <v>134</v>
      </c>
      <c r="X130" s="3" t="str">
        <f>IFERROR(MID(VLOOKUP($B130,Seqs!$A:$B,2,0),Y130,1),"")</f>
        <v>P</v>
      </c>
      <c r="Y130" s="3">
        <v>135</v>
      </c>
      <c r="Z130" s="3" t="str">
        <f>IFERROR(MID(VLOOKUP($B130,Seqs!$A:$B,2,0),AA130,1),"")</f>
        <v>G</v>
      </c>
      <c r="AA130" s="3">
        <v>143</v>
      </c>
      <c r="AB130" s="3" t="str">
        <f>IFERROR(MID(VLOOKUP($B130,Seqs!$A:$B,2,0),AC130,1),"")</f>
        <v>S</v>
      </c>
      <c r="AC130" s="9">
        <v>146</v>
      </c>
      <c r="AD130" s="3" t="str">
        <f>IFERROR(MID(VLOOKUP($B130,Seqs!$A:$B,2,0),AE130,1),"")</f>
        <v>G</v>
      </c>
      <c r="AE130" s="3">
        <v>171</v>
      </c>
      <c r="AF130" s="3" t="str">
        <f>IFERROR(MID(VLOOKUP($B130,Seqs!$A:$B,2,0),AG130,1),"")</f>
        <v>C</v>
      </c>
      <c r="AG130" s="3">
        <v>181</v>
      </c>
      <c r="AH130" s="3" t="str">
        <f>IFERROR(MID(VLOOKUP($B130,Seqs!$A:$B,2,0),AI130,1),"")</f>
        <v>I</v>
      </c>
      <c r="AI130" s="3">
        <v>183</v>
      </c>
      <c r="AJ130" s="3" t="str">
        <f>IFERROR(MID(VLOOKUP($B130,Seqs!$A:$B,2,0),AK130,1),"")</f>
        <v>N</v>
      </c>
      <c r="AK130" s="3">
        <v>185</v>
      </c>
      <c r="AL130" s="3" t="str">
        <f>IFERROR(MID(VLOOKUP($B130,Seqs!$A:$B,2,0),AM130,1),"")</f>
        <v>R</v>
      </c>
      <c r="AM130" s="3">
        <v>226</v>
      </c>
      <c r="AN130" s="3" t="str">
        <f>IFERROR(MID(VLOOKUP($B130,Seqs!$A:$B,2,0),AO130,1),"")</f>
        <v>R</v>
      </c>
      <c r="AO130" s="3">
        <v>318</v>
      </c>
      <c r="AP130" s="3" t="str">
        <f>IFERROR(MID(VLOOKUP($B130,Seqs!$A:$B,2,0),AQ130,1),"")</f>
        <v>H</v>
      </c>
      <c r="AQ130" s="3">
        <v>354</v>
      </c>
      <c r="AR130" s="3" t="str">
        <f>IFERROR(MID(VLOOKUP($B130,Seqs!$A:$B,2,0),AS130,1),"")</f>
        <v>S</v>
      </c>
      <c r="AS130" s="3">
        <v>361</v>
      </c>
      <c r="AT130" s="3" t="str">
        <f>IFERROR(MID(VLOOKUP($B130,Seqs!$A:$B,2,0),AU130,1),"")</f>
        <v>F</v>
      </c>
      <c r="AU130" s="3">
        <v>386</v>
      </c>
      <c r="AV130" s="3" t="str">
        <f>IFERROR(MID(VLOOKUP($B130,Seqs!$A:$B,2,0),AW130,1),"")</f>
        <v>N</v>
      </c>
      <c r="AW130" s="3">
        <v>387</v>
      </c>
      <c r="AX130" s="3" t="str">
        <f>IFERROR(MID(VLOOKUP($B130,Seqs!$A:$B,2,0),AY130,1),"")</f>
        <v>S</v>
      </c>
      <c r="AY130" s="3">
        <v>399</v>
      </c>
      <c r="AZ130" s="78" t="str">
        <f>VLOOKUP(B130,Classification!A:D,2,0)</f>
        <v>A</v>
      </c>
      <c r="BA130" s="95" t="str">
        <f>VLOOKUP(B130,Classification!A:D,4,0)</f>
        <v>Dopamine</v>
      </c>
      <c r="BB130" s="27" t="b">
        <f t="shared" si="811"/>
        <v>1</v>
      </c>
      <c r="BC130" s="23">
        <f t="shared" si="1119"/>
        <v>263</v>
      </c>
      <c r="BD130" s="56" t="s">
        <v>1379</v>
      </c>
      <c r="BE130" s="3" t="s">
        <v>23</v>
      </c>
      <c r="BF130" s="120" t="s">
        <v>23</v>
      </c>
      <c r="BG130" s="49" t="s">
        <v>1379</v>
      </c>
      <c r="BH130" s="49" t="s">
        <v>1384</v>
      </c>
      <c r="BI130" s="1"/>
      <c r="BJ130" s="71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1">
        <f t="shared" si="1120"/>
        <v>26</v>
      </c>
      <c r="BW130" s="72">
        <f t="shared" si="1121"/>
        <v>58</v>
      </c>
      <c r="BX130" s="73">
        <f t="shared" si="1122"/>
        <v>62</v>
      </c>
      <c r="BY130" s="72">
        <f t="shared" si="1123"/>
        <v>95</v>
      </c>
      <c r="BZ130" s="73">
        <f t="shared" si="1124"/>
        <v>99</v>
      </c>
      <c r="CA130" s="72">
        <f t="shared" si="1125"/>
        <v>135</v>
      </c>
      <c r="CB130" s="73">
        <f t="shared" si="1126"/>
        <v>146</v>
      </c>
      <c r="CC130" s="72">
        <f t="shared" si="1127"/>
        <v>181</v>
      </c>
      <c r="CD130" s="73">
        <f t="shared" si="1128"/>
        <v>185</v>
      </c>
      <c r="CE130" s="72">
        <f t="shared" si="1129"/>
        <v>318</v>
      </c>
      <c r="CF130" s="73">
        <f t="shared" si="1130"/>
        <v>361</v>
      </c>
      <c r="CG130" s="72">
        <f t="shared" si="1131"/>
        <v>387</v>
      </c>
      <c r="CH130" s="71">
        <f t="shared" si="1132"/>
        <v>57</v>
      </c>
      <c r="CI130" s="72">
        <f t="shared" si="1133"/>
        <v>61</v>
      </c>
      <c r="CJ130" s="73">
        <f t="shared" si="1134"/>
        <v>92</v>
      </c>
      <c r="CK130" s="73">
        <f t="shared" si="1135"/>
        <v>98</v>
      </c>
      <c r="CL130" s="73">
        <f t="shared" si="1136"/>
        <v>134</v>
      </c>
      <c r="CM130" s="73">
        <f t="shared" si="1137"/>
        <v>143</v>
      </c>
      <c r="CN130" s="73">
        <f t="shared" si="1138"/>
        <v>171</v>
      </c>
      <c r="CO130" s="73">
        <f t="shared" si="1139"/>
        <v>183</v>
      </c>
      <c r="CP130" s="73">
        <f t="shared" si="1140"/>
        <v>226</v>
      </c>
      <c r="CQ130" s="73">
        <f t="shared" si="1141"/>
        <v>354</v>
      </c>
      <c r="CR130" s="73">
        <f t="shared" si="1142"/>
        <v>386</v>
      </c>
      <c r="CS130" s="73">
        <f t="shared" si="1143"/>
        <v>399</v>
      </c>
      <c r="CT130" s="23">
        <f t="shared" si="114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810"/>
        <v>drd3_human_3PBL</v>
      </c>
      <c r="B131" s="3" t="s">
        <v>192</v>
      </c>
      <c r="C131" s="3" t="s">
        <v>72</v>
      </c>
      <c r="D131" s="3" t="str">
        <f>IFERROR(MID(VLOOKUP($B131,Seqs!$A:$B,2,0),E131,1),"")</f>
        <v>Y</v>
      </c>
      <c r="E131" s="3">
        <v>32</v>
      </c>
      <c r="F131" s="3" t="str">
        <f>IFERROR(MID(VLOOKUP($B131,Seqs!$A:$B,2,0),G131,1),"")</f>
        <v>E</v>
      </c>
      <c r="G131" s="3">
        <v>57</v>
      </c>
      <c r="H131" s="3" t="str">
        <f>IFERROR(MID(VLOOKUP($B131,Seqs!$A:$B,2,0),I131,1),"")</f>
        <v>R</v>
      </c>
      <c r="I131" s="23">
        <v>58</v>
      </c>
      <c r="J131" s="3" t="str">
        <f>IFERROR(MID(VLOOKUP($B131,Seqs!$A:$B,2,0),K131,1),"")</f>
        <v>Q</v>
      </c>
      <c r="K131" s="23">
        <v>61</v>
      </c>
      <c r="L131" s="3" t="str">
        <f>IFERROR(MID(VLOOKUP($B131,Seqs!$A:$B,2,0),M131,1),"")</f>
        <v>T</v>
      </c>
      <c r="M131" s="3">
        <v>62</v>
      </c>
      <c r="N131" s="3" t="str">
        <f>IFERROR(MID(VLOOKUP($B131,Seqs!$A:$B,2,0),O131,1),"")</f>
        <v>T</v>
      </c>
      <c r="O131" s="3">
        <v>92</v>
      </c>
      <c r="P131" s="3" t="str">
        <f>IFERROR(MID(VLOOKUP($B131,Seqs!$A:$B,2,0),Q131,1),"")</f>
        <v>V</v>
      </c>
      <c r="Q131" s="3">
        <v>95</v>
      </c>
      <c r="R131" s="3" t="str">
        <f>IFERROR(MID(VLOOKUP($B131,Seqs!$A:$B,2,0),S131,1),"")</f>
        <v>F</v>
      </c>
      <c r="S131" s="3">
        <v>98</v>
      </c>
      <c r="T131" s="3" t="str">
        <f>IFERROR(MID(VLOOKUP($B131,Seqs!$A:$B,2,0),U131,1),"")</f>
        <v>S</v>
      </c>
      <c r="U131" s="3">
        <v>99</v>
      </c>
      <c r="V131" s="3" t="str">
        <f>IFERROR(MID(VLOOKUP($B131,Seqs!$A:$B,2,0),W131,1),"")</f>
        <v>M</v>
      </c>
      <c r="W131" s="3">
        <v>134</v>
      </c>
      <c r="X131" s="3" t="str">
        <f>IFERROR(MID(VLOOKUP($B131,Seqs!$A:$B,2,0),Y131,1),"")</f>
        <v>P</v>
      </c>
      <c r="Y131" s="3">
        <v>135</v>
      </c>
      <c r="Z131" s="3" t="str">
        <f>IFERROR(MID(VLOOKUP($B131,Seqs!$A:$B,2,0),AA131,1),"")</f>
        <v>G</v>
      </c>
      <c r="AA131" s="3">
        <v>143</v>
      </c>
      <c r="AB131" s="3" t="str">
        <f>IFERROR(MID(VLOOKUP($B131,Seqs!$A:$B,2,0),AC131,1),"")</f>
        <v>S</v>
      </c>
      <c r="AC131" s="9">
        <v>146</v>
      </c>
      <c r="AD131" s="3" t="str">
        <f>IFERROR(MID(VLOOKUP($B131,Seqs!$A:$B,2,0),AE131,1),"")</f>
        <v>G</v>
      </c>
      <c r="AE131" s="3">
        <v>171</v>
      </c>
      <c r="AF131" s="3" t="str">
        <f>IFERROR(MID(VLOOKUP($B131,Seqs!$A:$B,2,0),AG131,1),"")</f>
        <v>C</v>
      </c>
      <c r="AG131" s="3">
        <v>181</v>
      </c>
      <c r="AH131" s="3" t="str">
        <f>IFERROR(MID(VLOOKUP($B131,Seqs!$A:$B,2,0),AI131,1),"")</f>
        <v>I</v>
      </c>
      <c r="AI131" s="3">
        <v>183</v>
      </c>
      <c r="AJ131" s="3" t="str">
        <f>IFERROR(MID(VLOOKUP($B131,Seqs!$A:$B,2,0),AK131,1),"")</f>
        <v>N</v>
      </c>
      <c r="AK131" s="3">
        <v>185</v>
      </c>
      <c r="AL131" s="3" t="str">
        <f>IFERROR(MID(VLOOKUP($B131,Seqs!$A:$B,2,0),AM131,1),"")</f>
        <v>K</v>
      </c>
      <c r="AM131" s="3">
        <v>216</v>
      </c>
      <c r="AN131" s="3" t="str">
        <f>IFERROR(MID(VLOOKUP($B131,Seqs!$A:$B,2,0),AO131,1),"")</f>
        <v>R</v>
      </c>
      <c r="AO131" s="3">
        <v>323</v>
      </c>
      <c r="AP131" s="3" t="str">
        <f>IFERROR(MID(VLOOKUP($B131,Seqs!$A:$B,2,0),AQ131,1),"")</f>
        <v>H</v>
      </c>
      <c r="AQ131" s="3">
        <v>354</v>
      </c>
      <c r="AR131" s="3" t="str">
        <f>IFERROR(MID(VLOOKUP($B131,Seqs!$A:$B,2,0),AS131,1),"")</f>
        <v>S</v>
      </c>
      <c r="AS131" s="3">
        <v>361</v>
      </c>
      <c r="AT131" s="3" t="str">
        <f>IFERROR(MID(VLOOKUP($B131,Seqs!$A:$B,2,0),AU131,1),"")</f>
        <v>F</v>
      </c>
      <c r="AU131" s="3">
        <v>386</v>
      </c>
      <c r="AV131" s="3" t="str">
        <f>IFERROR(MID(VLOOKUP($B131,Seqs!$A:$B,2,0),AW131,1),"")</f>
        <v>N</v>
      </c>
      <c r="AW131" s="3">
        <v>387</v>
      </c>
      <c r="AX131" s="3" t="str">
        <f>IFERROR(MID(VLOOKUP($B131,Seqs!$A:$B,2,0),AY131,1),"")</f>
        <v>S</v>
      </c>
      <c r="AY131" s="3">
        <v>399</v>
      </c>
      <c r="AZ131" s="78" t="str">
        <f>VLOOKUP(B131,Classification!A:D,2,0)</f>
        <v>A</v>
      </c>
      <c r="BA131" s="95" t="str">
        <f>VLOOKUP(B131,Classification!A:D,4,0)</f>
        <v>Dopamine</v>
      </c>
      <c r="BB131" s="27" t="b">
        <f t="shared" si="811"/>
        <v>1</v>
      </c>
      <c r="BC131" s="23">
        <f t="shared" si="1119"/>
        <v>242</v>
      </c>
      <c r="BD131" s="2" t="s">
        <v>1383</v>
      </c>
      <c r="BE131" s="3" t="s">
        <v>1381</v>
      </c>
      <c r="BF131" s="120">
        <v>2.89</v>
      </c>
      <c r="BG131" s="49" t="s">
        <v>1384</v>
      </c>
      <c r="BH131" s="49" t="s">
        <v>1384</v>
      </c>
      <c r="BI131" s="1"/>
      <c r="BJ131" s="71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1">
        <f t="shared" si="1120"/>
        <v>32</v>
      </c>
      <c r="BW131" s="72">
        <f t="shared" si="1121"/>
        <v>58</v>
      </c>
      <c r="BX131" s="73">
        <f t="shared" si="1122"/>
        <v>62</v>
      </c>
      <c r="BY131" s="72">
        <f t="shared" si="1123"/>
        <v>95</v>
      </c>
      <c r="BZ131" s="73">
        <f t="shared" si="1124"/>
        <v>99</v>
      </c>
      <c r="CA131" s="72">
        <f t="shared" si="1125"/>
        <v>135</v>
      </c>
      <c r="CB131" s="73">
        <f t="shared" si="1126"/>
        <v>146</v>
      </c>
      <c r="CC131" s="72">
        <f t="shared" si="1127"/>
        <v>181</v>
      </c>
      <c r="CD131" s="73">
        <f t="shared" si="1128"/>
        <v>185</v>
      </c>
      <c r="CE131" s="72">
        <f t="shared" si="1129"/>
        <v>323</v>
      </c>
      <c r="CF131" s="73">
        <f t="shared" si="1130"/>
        <v>361</v>
      </c>
      <c r="CG131" s="72">
        <f t="shared" si="1131"/>
        <v>387</v>
      </c>
      <c r="CH131" s="71">
        <f t="shared" si="1132"/>
        <v>57</v>
      </c>
      <c r="CI131" s="72">
        <f t="shared" si="1133"/>
        <v>61</v>
      </c>
      <c r="CJ131" s="73">
        <f t="shared" si="1134"/>
        <v>92</v>
      </c>
      <c r="CK131" s="73">
        <f t="shared" si="1135"/>
        <v>98</v>
      </c>
      <c r="CL131" s="73">
        <f t="shared" si="1136"/>
        <v>134</v>
      </c>
      <c r="CM131" s="73">
        <f t="shared" si="1137"/>
        <v>143</v>
      </c>
      <c r="CN131" s="73">
        <f t="shared" si="1138"/>
        <v>171</v>
      </c>
      <c r="CO131" s="73">
        <f t="shared" si="1139"/>
        <v>183</v>
      </c>
      <c r="CP131" s="73">
        <f t="shared" si="1140"/>
        <v>216</v>
      </c>
      <c r="CQ131" s="73">
        <f t="shared" si="1141"/>
        <v>354</v>
      </c>
      <c r="CR131" s="73">
        <f t="shared" si="1142"/>
        <v>386</v>
      </c>
      <c r="CS131" s="73">
        <f t="shared" si="1143"/>
        <v>399</v>
      </c>
      <c r="CT131" s="23">
        <f t="shared" si="114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s="12" customFormat="1" x14ac:dyDescent="0.2">
      <c r="A132" s="9" t="str">
        <f t="shared" ref="A132:A133" si="1201">CONCATENATE(B132,"_",C132)</f>
        <v>drd4_human__wt</v>
      </c>
      <c r="B132" s="9" t="s">
        <v>193</v>
      </c>
      <c r="C132" s="9" t="s">
        <v>100</v>
      </c>
      <c r="D132" s="9" t="str">
        <f>IFERROR(MID(VLOOKUP($B132,Seqs!$A:$B,2,0),E132,1),"")</f>
        <v>A</v>
      </c>
      <c r="E132" s="9">
        <v>31</v>
      </c>
      <c r="F132" s="9" t="str">
        <f>IFERROR(MID(VLOOKUP($B132,Seqs!$A:$B,2,0),G132,1),"")</f>
        <v>E</v>
      </c>
      <c r="G132" s="9">
        <v>62</v>
      </c>
      <c r="H132" s="9" t="str">
        <f>IFERROR(MID(VLOOKUP($B132,Seqs!$A:$B,2,0),I132,1),"")</f>
        <v>R</v>
      </c>
      <c r="I132" s="110">
        <v>63</v>
      </c>
      <c r="J132" s="9" t="str">
        <f>IFERROR(MID(VLOOKUP($B132,Seqs!$A:$B,2,0),K132,1),"")</f>
        <v>Q</v>
      </c>
      <c r="K132" s="110">
        <v>66</v>
      </c>
      <c r="L132" s="9" t="str">
        <f>IFERROR(MID(VLOOKUP($B132,Seqs!$A:$B,2,0),M132,1),"")</f>
        <v>T</v>
      </c>
      <c r="M132" s="9">
        <v>67</v>
      </c>
      <c r="N132" s="9" t="str">
        <f>IFERROR(MID(VLOOKUP($B132,Seqs!$A:$B,2,0),O132,1),"")</f>
        <v>Q</v>
      </c>
      <c r="O132" s="9">
        <v>97</v>
      </c>
      <c r="P132" s="9" t="str">
        <f>IFERROR(MID(VLOOKUP($B132,Seqs!$A:$B,2,0),Q132,1),"")</f>
        <v>A</v>
      </c>
      <c r="Q132" s="9">
        <v>100</v>
      </c>
      <c r="R132" s="9" t="str">
        <f>IFERROR(MID(VLOOKUP($B132,Seqs!$A:$B,2,0),S132,1),"")</f>
        <v>L</v>
      </c>
      <c r="S132" s="9">
        <v>103</v>
      </c>
      <c r="T132" s="9" t="str">
        <f>IFERROR(MID(VLOOKUP($B132,Seqs!$A:$B,2,0),U132,1),"")</f>
        <v>S</v>
      </c>
      <c r="U132" s="9">
        <v>104</v>
      </c>
      <c r="V132" s="9" t="str">
        <f>IFERROR(MID(VLOOKUP($B132,Seqs!$A:$B,2,0),W132,1),"")</f>
        <v>V</v>
      </c>
      <c r="W132" s="9">
        <v>139</v>
      </c>
      <c r="X132" s="9" t="str">
        <f>IFERROR(MID(VLOOKUP($B132,Seqs!$A:$B,2,0),Y132,1),"")</f>
        <v>P</v>
      </c>
      <c r="Y132" s="9">
        <v>140</v>
      </c>
      <c r="Z132" s="9" t="str">
        <f>IFERROR(MID(VLOOKUP($B132,Seqs!$A:$B,2,0),AA132,1),"")</f>
        <v>G</v>
      </c>
      <c r="AA132" s="9">
        <v>147</v>
      </c>
      <c r="AB132" s="9" t="str">
        <f>IFERROR(MID(VLOOKUP($B132,Seqs!$A:$B,2,0),AC132,1),"")</f>
        <v>G</v>
      </c>
      <c r="AC132" s="9">
        <v>148</v>
      </c>
      <c r="AD132" s="9" t="str">
        <f>IFERROR(MID(VLOOKUP($B132,Seqs!$A:$B,2,0),AE132,1),"")</f>
        <v>G</v>
      </c>
      <c r="AE132" s="9">
        <v>173</v>
      </c>
      <c r="AF132" s="9" t="str">
        <f>IFERROR(MID(VLOOKUP($B132,Seqs!$A:$B,2,0),AG132,1),"")</f>
        <v>C</v>
      </c>
      <c r="AG132" s="9">
        <v>185</v>
      </c>
      <c r="AH132" s="9" t="str">
        <f>IFERROR(MID(VLOOKUP($B132,Seqs!$A:$B,2,0),AI132,1),"")</f>
        <v>L</v>
      </c>
      <c r="AI132" s="9">
        <v>187</v>
      </c>
      <c r="AJ132" s="9" t="str">
        <f>IFERROR(MID(VLOOKUP($B132,Seqs!$A:$B,2,0),AK132,1),"")</f>
        <v>D</v>
      </c>
      <c r="AK132" s="9">
        <v>189</v>
      </c>
      <c r="AL132" s="9" t="str">
        <f>IFERROR(MID(VLOOKUP($B132,Seqs!$A:$B,2,0),AM132,1),"")</f>
        <v>K</v>
      </c>
      <c r="AM132" s="9">
        <v>229</v>
      </c>
      <c r="AN132" s="9" t="str">
        <f>IFERROR(MID(VLOOKUP($B132,Seqs!$A:$B,2,0),AO132,1),"")</f>
        <v>A</v>
      </c>
      <c r="AO132" s="9">
        <v>383</v>
      </c>
      <c r="AP132" s="9" t="str">
        <f>IFERROR(MID(VLOOKUP($B132,Seqs!$A:$B,2,0),AQ132,1),"")</f>
        <v>C</v>
      </c>
      <c r="AQ132" s="9">
        <v>420</v>
      </c>
      <c r="AR132" s="9" t="str">
        <f>IFERROR(MID(VLOOKUP($B132,Seqs!$A:$B,2,0),AS132,1),"")</f>
        <v>P</v>
      </c>
      <c r="AS132" s="9">
        <v>426</v>
      </c>
      <c r="AT132" s="9" t="str">
        <f>IFERROR(MID(VLOOKUP($B132,Seqs!$A:$B,2,0),AU132,1),"")</f>
        <v>F</v>
      </c>
      <c r="AU132" s="9">
        <v>451</v>
      </c>
      <c r="AV132" s="9" t="str">
        <f>IFERROR(MID(VLOOKUP($B132,Seqs!$A:$B,2,0),AW132,1),"")</f>
        <v>N</v>
      </c>
      <c r="AW132" s="9">
        <v>452</v>
      </c>
      <c r="AX132" s="9" t="str">
        <f>IFERROR(MID(VLOOKUP($B132,Seqs!$A:$B,2,0),AY132,1),"")</f>
        <v>R</v>
      </c>
      <c r="AY132" s="9">
        <v>464</v>
      </c>
      <c r="AZ132" s="111" t="str">
        <f>VLOOKUP(B132,Classification!A:D,2,0)</f>
        <v>A</v>
      </c>
      <c r="BA132" s="99" t="str">
        <f>VLOOKUP(B132,Classification!A:D,4,0)</f>
        <v>Dopamine</v>
      </c>
      <c r="BB132" s="36" t="b">
        <f t="shared" ref="BB132:BB133" si="1202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110">
        <f t="shared" ref="BC132:BC133" si="1203">_xlfn.AGGREGATE(9,6,CH132:CS132)-_xlfn.AGGREGATE(9,6,BV132:CG132)+12</f>
        <v>262</v>
      </c>
      <c r="BD132" s="40" t="s">
        <v>23</v>
      </c>
      <c r="BE132" s="9" t="s">
        <v>1381</v>
      </c>
      <c r="BF132" s="121" t="s">
        <v>23</v>
      </c>
      <c r="BG132" s="51" t="s">
        <v>1384</v>
      </c>
      <c r="BH132" s="51" t="s">
        <v>1384</v>
      </c>
      <c r="BJ132" s="112" t="s">
        <v>1293</v>
      </c>
      <c r="BK132" s="113" t="s">
        <v>1293</v>
      </c>
      <c r="BL132" s="113" t="s">
        <v>1293</v>
      </c>
      <c r="BM132" s="113" t="s">
        <v>1293</v>
      </c>
      <c r="BN132" s="113" t="s">
        <v>1293</v>
      </c>
      <c r="BO132" s="113" t="s">
        <v>1293</v>
      </c>
      <c r="BP132" s="113" t="s">
        <v>1293</v>
      </c>
      <c r="BQ132" s="113" t="s">
        <v>1293</v>
      </c>
      <c r="BR132" s="113" t="s">
        <v>1293</v>
      </c>
      <c r="BS132" s="113" t="s">
        <v>1293</v>
      </c>
      <c r="BT132" s="113" t="s">
        <v>1293</v>
      </c>
      <c r="BU132" s="113" t="s">
        <v>1293</v>
      </c>
      <c r="BV132" s="112">
        <f t="shared" ref="BV132:BV133" si="1204">E132</f>
        <v>31</v>
      </c>
      <c r="BW132" s="114">
        <f t="shared" ref="BW132:BW133" si="1205">I132</f>
        <v>63</v>
      </c>
      <c r="BX132" s="115">
        <f t="shared" ref="BX132:BX133" si="1206">M132</f>
        <v>67</v>
      </c>
      <c r="BY132" s="114">
        <f t="shared" ref="BY132:BY133" si="1207">Q132</f>
        <v>100</v>
      </c>
      <c r="BZ132" s="115">
        <f t="shared" ref="BZ132:BZ133" si="1208">U132</f>
        <v>104</v>
      </c>
      <c r="CA132" s="114">
        <f t="shared" ref="CA132:CA133" si="1209">Y132</f>
        <v>140</v>
      </c>
      <c r="CB132" s="115">
        <f t="shared" ref="CB132:CB133" si="1210">AC132</f>
        <v>148</v>
      </c>
      <c r="CC132" s="114">
        <f t="shared" ref="CC132:CC133" si="1211">AG132</f>
        <v>185</v>
      </c>
      <c r="CD132" s="115">
        <f t="shared" ref="CD132:CD133" si="1212">AK132</f>
        <v>189</v>
      </c>
      <c r="CE132" s="114">
        <f t="shared" ref="CE132:CE133" si="1213">AO132</f>
        <v>383</v>
      </c>
      <c r="CF132" s="115">
        <f t="shared" ref="CF132:CF133" si="1214">AS132</f>
        <v>426</v>
      </c>
      <c r="CG132" s="114">
        <f t="shared" ref="CG132:CG133" si="1215">AW132</f>
        <v>452</v>
      </c>
      <c r="CH132" s="112">
        <f t="shared" ref="CH132:CH133" si="1216">G132</f>
        <v>62</v>
      </c>
      <c r="CI132" s="114">
        <f t="shared" ref="CI132:CI133" si="1217">K132</f>
        <v>66</v>
      </c>
      <c r="CJ132" s="115">
        <f t="shared" ref="CJ132:CJ133" si="1218">O132</f>
        <v>97</v>
      </c>
      <c r="CK132" s="115">
        <f t="shared" ref="CK132:CK133" si="1219">S132</f>
        <v>103</v>
      </c>
      <c r="CL132" s="115">
        <f t="shared" ref="CL132:CL133" si="1220">W132</f>
        <v>139</v>
      </c>
      <c r="CM132" s="115">
        <f t="shared" ref="CM132:CM133" si="1221">AA132</f>
        <v>147</v>
      </c>
      <c r="CN132" s="115">
        <f t="shared" ref="CN132:CN133" si="1222">AE132</f>
        <v>173</v>
      </c>
      <c r="CO132" s="115">
        <f t="shared" ref="CO132:CO133" si="1223">AI132</f>
        <v>187</v>
      </c>
      <c r="CP132" s="115">
        <f t="shared" ref="CP132:CP133" si="1224">AM132</f>
        <v>229</v>
      </c>
      <c r="CQ132" s="115">
        <f t="shared" ref="CQ132:CQ133" si="1225">AQ132</f>
        <v>420</v>
      </c>
      <c r="CR132" s="115">
        <f t="shared" ref="CR132:CR133" si="1226">AU132</f>
        <v>451</v>
      </c>
      <c r="CS132" s="115">
        <f t="shared" ref="CS132:CS133" si="1227">AY132</f>
        <v>464</v>
      </c>
      <c r="CT132" s="110">
        <f t="shared" ref="CT132:CT133" si="1228">M132-K132</f>
        <v>1</v>
      </c>
    </row>
    <row r="133" spans="1:1029" s="12" customFormat="1" x14ac:dyDescent="0.2">
      <c r="A133" s="9" t="str">
        <f t="shared" si="1201"/>
        <v>drd4_human_5WIU</v>
      </c>
      <c r="B133" s="9" t="s">
        <v>193</v>
      </c>
      <c r="C133" s="9" t="s">
        <v>1456</v>
      </c>
      <c r="D133" s="9" t="str">
        <f>IFERROR(MID(VLOOKUP($B133,Seqs!$A:$B,2,0),E133,1),"")</f>
        <v>G</v>
      </c>
      <c r="E133" s="9">
        <v>34</v>
      </c>
      <c r="F133" s="9" t="str">
        <f>IFERROR(MID(VLOOKUP($B133,Seqs!$A:$B,2,0),G133,1),"")</f>
        <v>E</v>
      </c>
      <c r="G133" s="9">
        <v>62</v>
      </c>
      <c r="H133" s="9" t="str">
        <f>IFERROR(MID(VLOOKUP($B133,Seqs!$A:$B,2,0),I133,1),"")</f>
        <v>R</v>
      </c>
      <c r="I133" s="110">
        <v>63</v>
      </c>
      <c r="J133" s="9" t="str">
        <f>IFERROR(MID(VLOOKUP($B133,Seqs!$A:$B,2,0),K133,1),"")</f>
        <v>Q</v>
      </c>
      <c r="K133" s="110">
        <v>66</v>
      </c>
      <c r="L133" s="9" t="str">
        <f>IFERROR(MID(VLOOKUP($B133,Seqs!$A:$B,2,0),M133,1),"")</f>
        <v>T</v>
      </c>
      <c r="M133" s="9">
        <v>67</v>
      </c>
      <c r="N133" s="9" t="str">
        <f>IFERROR(MID(VLOOKUP($B133,Seqs!$A:$B,2,0),O133,1),"")</f>
        <v>Q</v>
      </c>
      <c r="O133" s="9">
        <v>97</v>
      </c>
      <c r="P133" s="9" t="str">
        <f>IFERROR(MID(VLOOKUP($B133,Seqs!$A:$B,2,0),Q133,1),"")</f>
        <v>A</v>
      </c>
      <c r="Q133" s="9">
        <v>100</v>
      </c>
      <c r="R133" s="9" t="str">
        <f>IFERROR(MID(VLOOKUP($B133,Seqs!$A:$B,2,0),S133,1),"")</f>
        <v>L</v>
      </c>
      <c r="S133" s="9">
        <v>103</v>
      </c>
      <c r="T133" s="9" t="str">
        <f>IFERROR(MID(VLOOKUP($B133,Seqs!$A:$B,2,0),U133,1),"")</f>
        <v>S</v>
      </c>
      <c r="U133" s="9">
        <v>104</v>
      </c>
      <c r="V133" s="9" t="str">
        <f>IFERROR(MID(VLOOKUP($B133,Seqs!$A:$B,2,0),W133,1),"")</f>
        <v>V</v>
      </c>
      <c r="W133" s="9">
        <v>139</v>
      </c>
      <c r="X133" s="9" t="str">
        <f>IFERROR(MID(VLOOKUP($B133,Seqs!$A:$B,2,0),Y133,1),"")</f>
        <v/>
      </c>
      <c r="Y133" s="9" t="s">
        <v>23</v>
      </c>
      <c r="Z133" s="9" t="str">
        <f>IFERROR(MID(VLOOKUP($B133,Seqs!$A:$B,2,0),AA133,1),"")</f>
        <v/>
      </c>
      <c r="AA133" s="9" t="s">
        <v>23</v>
      </c>
      <c r="AB133" s="9" t="str">
        <f>IFERROR(MID(VLOOKUP($B133,Seqs!$A:$B,2,0),AC133,1),"")</f>
        <v>R</v>
      </c>
      <c r="AC133" s="9">
        <v>150</v>
      </c>
      <c r="AD133" s="9" t="str">
        <f>IFERROR(MID(VLOOKUP($B133,Seqs!$A:$B,2,0),AE133,1),"")</f>
        <v>G</v>
      </c>
      <c r="AE133" s="9">
        <v>173</v>
      </c>
      <c r="AF133" s="9" t="str">
        <f>IFERROR(MID(VLOOKUP($B133,Seqs!$A:$B,2,0),AG133,1),"")</f>
        <v>C</v>
      </c>
      <c r="AG133" s="9">
        <v>185</v>
      </c>
      <c r="AH133" s="9" t="str">
        <f>IFERROR(MID(VLOOKUP($B133,Seqs!$A:$B,2,0),AI133,1),"")</f>
        <v>L</v>
      </c>
      <c r="AI133" s="9">
        <v>187</v>
      </c>
      <c r="AJ133" s="9" t="str">
        <f>IFERROR(MID(VLOOKUP($B133,Seqs!$A:$B,2,0),AK133,1),"")</f>
        <v>D</v>
      </c>
      <c r="AK133" s="9">
        <v>189</v>
      </c>
      <c r="AL133" s="9" t="str">
        <f>IFERROR(MID(VLOOKUP($B133,Seqs!$A:$B,2,0),AM133,1),"")</f>
        <v>W</v>
      </c>
      <c r="AM133" s="9">
        <v>222</v>
      </c>
      <c r="AN133" s="9" t="str">
        <f>IFERROR(MID(VLOOKUP($B133,Seqs!$A:$B,2,0),AO133,1),"")</f>
        <v>V</v>
      </c>
      <c r="AO133" s="9">
        <v>395</v>
      </c>
      <c r="AP133" s="9" t="str">
        <f>IFERROR(MID(VLOOKUP($B133,Seqs!$A:$B,2,0),AQ133,1),"")</f>
        <v>C</v>
      </c>
      <c r="AQ133" s="9">
        <v>420</v>
      </c>
      <c r="AR133" s="9" t="str">
        <f>IFERROR(MID(VLOOKUP($B133,Seqs!$A:$B,2,0),AS133,1),"")</f>
        <v>P</v>
      </c>
      <c r="AS133" s="9">
        <v>426</v>
      </c>
      <c r="AT133" s="9" t="str">
        <f>IFERROR(MID(VLOOKUP($B133,Seqs!$A:$B,2,0),AU133,1),"")</f>
        <v>F</v>
      </c>
      <c r="AU133" s="9">
        <v>451</v>
      </c>
      <c r="AV133" s="9" t="str">
        <f>IFERROR(MID(VLOOKUP($B133,Seqs!$A:$B,2,0),AW133,1),"")</f>
        <v>N</v>
      </c>
      <c r="AW133" s="9">
        <v>452</v>
      </c>
      <c r="AX133" s="9" t="str">
        <f>IFERROR(MID(VLOOKUP($B133,Seqs!$A:$B,2,0),AY133,1),"")</f>
        <v>R</v>
      </c>
      <c r="AY133" s="9">
        <v>460</v>
      </c>
      <c r="AZ133" s="111" t="str">
        <f>VLOOKUP(B133,Classification!A:D,2,0)</f>
        <v>A</v>
      </c>
      <c r="BA133" s="99" t="str">
        <f>VLOOKUP(B133,Classification!A:D,4,0)</f>
        <v>Dopamine</v>
      </c>
      <c r="BB133" s="36" t="b">
        <f t="shared" si="1202"/>
        <v>1</v>
      </c>
      <c r="BC133" s="110">
        <f t="shared" si="1203"/>
        <v>227</v>
      </c>
      <c r="BD133" s="40" t="s">
        <v>23</v>
      </c>
      <c r="BE133" s="9" t="s">
        <v>1381</v>
      </c>
      <c r="BF133" s="121">
        <v>1.96</v>
      </c>
      <c r="BG133" s="51" t="s">
        <v>1</v>
      </c>
      <c r="BH133" s="51" t="s">
        <v>1384</v>
      </c>
      <c r="BJ133" s="112" t="s">
        <v>1293</v>
      </c>
      <c r="BK133" s="113" t="s">
        <v>1293</v>
      </c>
      <c r="BL133" s="113" t="s">
        <v>1293</v>
      </c>
      <c r="BM133" s="113" t="s">
        <v>1293</v>
      </c>
      <c r="BN133" s="113" t="s">
        <v>1293</v>
      </c>
      <c r="BO133" s="113" t="s">
        <v>1293</v>
      </c>
      <c r="BP133" s="113" t="s">
        <v>1293</v>
      </c>
      <c r="BQ133" s="113" t="s">
        <v>1293</v>
      </c>
      <c r="BR133" s="113" t="s">
        <v>1293</v>
      </c>
      <c r="BS133" s="113" t="s">
        <v>1293</v>
      </c>
      <c r="BT133" s="113" t="s">
        <v>1293</v>
      </c>
      <c r="BU133" s="113" t="s">
        <v>1293</v>
      </c>
      <c r="BV133" s="112">
        <f t="shared" si="1204"/>
        <v>34</v>
      </c>
      <c r="BW133" s="114">
        <f t="shared" si="1205"/>
        <v>63</v>
      </c>
      <c r="BX133" s="115">
        <f t="shared" si="1206"/>
        <v>67</v>
      </c>
      <c r="BY133" s="114">
        <f t="shared" si="1207"/>
        <v>100</v>
      </c>
      <c r="BZ133" s="115">
        <f t="shared" si="1208"/>
        <v>104</v>
      </c>
      <c r="CA133" s="114" t="str">
        <f t="shared" si="1209"/>
        <v>-</v>
      </c>
      <c r="CB133" s="115">
        <f t="shared" si="1210"/>
        <v>150</v>
      </c>
      <c r="CC133" s="114">
        <f t="shared" si="1211"/>
        <v>185</v>
      </c>
      <c r="CD133" s="115">
        <f t="shared" si="1212"/>
        <v>189</v>
      </c>
      <c r="CE133" s="114">
        <f t="shared" si="1213"/>
        <v>395</v>
      </c>
      <c r="CF133" s="115">
        <f t="shared" si="1214"/>
        <v>426</v>
      </c>
      <c r="CG133" s="114">
        <f t="shared" si="1215"/>
        <v>452</v>
      </c>
      <c r="CH133" s="112">
        <f t="shared" si="1216"/>
        <v>62</v>
      </c>
      <c r="CI133" s="114">
        <f t="shared" si="1217"/>
        <v>66</v>
      </c>
      <c r="CJ133" s="115">
        <f t="shared" si="1218"/>
        <v>97</v>
      </c>
      <c r="CK133" s="115">
        <f t="shared" si="1219"/>
        <v>103</v>
      </c>
      <c r="CL133" s="115">
        <f t="shared" si="1220"/>
        <v>139</v>
      </c>
      <c r="CM133" s="115" t="str">
        <f t="shared" si="1221"/>
        <v>-</v>
      </c>
      <c r="CN133" s="115">
        <f t="shared" si="1222"/>
        <v>173</v>
      </c>
      <c r="CO133" s="115">
        <f t="shared" si="1223"/>
        <v>187</v>
      </c>
      <c r="CP133" s="115">
        <f t="shared" si="1224"/>
        <v>222</v>
      </c>
      <c r="CQ133" s="115">
        <f t="shared" si="1225"/>
        <v>420</v>
      </c>
      <c r="CR133" s="115">
        <f t="shared" si="1226"/>
        <v>451</v>
      </c>
      <c r="CS133" s="115">
        <f t="shared" si="1227"/>
        <v>460</v>
      </c>
      <c r="CT133" s="110">
        <f t="shared" si="1228"/>
        <v>1</v>
      </c>
    </row>
    <row r="134" spans="1:1029" s="12" customFormat="1" x14ac:dyDescent="0.2">
      <c r="A134" s="9" t="str">
        <f t="shared" ref="A134" si="1229">CONCATENATE(B134,"_",C134)</f>
        <v>drd4_human_5WIV</v>
      </c>
      <c r="B134" s="9" t="s">
        <v>193</v>
      </c>
      <c r="C134" s="9" t="s">
        <v>1458</v>
      </c>
      <c r="D134" s="9" t="str">
        <f>IFERROR(MID(VLOOKUP($B134,Seqs!$A:$B,2,0),E134,1),"")</f>
        <v>G</v>
      </c>
      <c r="E134" s="9">
        <v>32</v>
      </c>
      <c r="F134" s="9" t="str">
        <f>IFERROR(MID(VLOOKUP($B134,Seqs!$A:$B,2,0),G134,1),"")</f>
        <v>E</v>
      </c>
      <c r="G134" s="9">
        <v>62</v>
      </c>
      <c r="H134" s="9" t="str">
        <f>IFERROR(MID(VLOOKUP($B134,Seqs!$A:$B,2,0),I134,1),"")</f>
        <v>R</v>
      </c>
      <c r="I134" s="110">
        <v>63</v>
      </c>
      <c r="J134" s="9" t="str">
        <f>IFERROR(MID(VLOOKUP($B134,Seqs!$A:$B,2,0),K134,1),"")</f>
        <v>Q</v>
      </c>
      <c r="K134" s="110">
        <v>66</v>
      </c>
      <c r="L134" s="9" t="str">
        <f>IFERROR(MID(VLOOKUP($B134,Seqs!$A:$B,2,0),M134,1),"")</f>
        <v>T</v>
      </c>
      <c r="M134" s="9">
        <v>67</v>
      </c>
      <c r="N134" s="9" t="str">
        <f>IFERROR(MID(VLOOKUP($B134,Seqs!$A:$B,2,0),O134,1),"")</f>
        <v>Q</v>
      </c>
      <c r="O134" s="9">
        <v>97</v>
      </c>
      <c r="P134" s="9" t="str">
        <f>IFERROR(MID(VLOOKUP($B134,Seqs!$A:$B,2,0),Q134,1),"")</f>
        <v>A</v>
      </c>
      <c r="Q134" s="9">
        <v>100</v>
      </c>
      <c r="R134" s="9" t="str">
        <f>IFERROR(MID(VLOOKUP($B134,Seqs!$A:$B,2,0),S134,1),"")</f>
        <v>L</v>
      </c>
      <c r="S134" s="9">
        <v>103</v>
      </c>
      <c r="T134" s="9" t="str">
        <f>IFERROR(MID(VLOOKUP($B134,Seqs!$A:$B,2,0),U134,1),"")</f>
        <v>S</v>
      </c>
      <c r="U134" s="9">
        <v>104</v>
      </c>
      <c r="V134" s="9" t="str">
        <f>IFERROR(MID(VLOOKUP($B134,Seqs!$A:$B,2,0),W134,1),"")</f>
        <v>V</v>
      </c>
      <c r="W134" s="9">
        <v>139</v>
      </c>
      <c r="X134" s="9" t="str">
        <f>IFERROR(MID(VLOOKUP($B134,Seqs!$A:$B,2,0),Y134,1),"")</f>
        <v/>
      </c>
      <c r="Y134" s="9" t="s">
        <v>23</v>
      </c>
      <c r="Z134" s="9" t="str">
        <f>IFERROR(MID(VLOOKUP($B134,Seqs!$A:$B,2,0),AA134,1),"")</f>
        <v/>
      </c>
      <c r="AA134" s="9" t="s">
        <v>23</v>
      </c>
      <c r="AB134" s="9" t="str">
        <f>IFERROR(MID(VLOOKUP($B134,Seqs!$A:$B,2,0),AC134,1),"")</f>
        <v>R</v>
      </c>
      <c r="AC134" s="9">
        <v>150</v>
      </c>
      <c r="AD134" s="9" t="str">
        <f>IFERROR(MID(VLOOKUP($B134,Seqs!$A:$B,2,0),AE134,1),"")</f>
        <v>G</v>
      </c>
      <c r="AE134" s="9">
        <v>173</v>
      </c>
      <c r="AF134" s="9" t="str">
        <f>IFERROR(MID(VLOOKUP($B134,Seqs!$A:$B,2,0),AG134,1),"")</f>
        <v>C</v>
      </c>
      <c r="AG134" s="9">
        <v>185</v>
      </c>
      <c r="AH134" s="9" t="str">
        <f>IFERROR(MID(VLOOKUP($B134,Seqs!$A:$B,2,0),AI134,1),"")</f>
        <v>L</v>
      </c>
      <c r="AI134" s="9">
        <v>187</v>
      </c>
      <c r="AJ134" s="9" t="str">
        <f>IFERROR(MID(VLOOKUP($B134,Seqs!$A:$B,2,0),AK134,1),"")</f>
        <v>D</v>
      </c>
      <c r="AK134" s="9">
        <v>189</v>
      </c>
      <c r="AL134" s="9" t="str">
        <f>IFERROR(MID(VLOOKUP($B134,Seqs!$A:$B,2,0),AM134,1),"")</f>
        <v>W</v>
      </c>
      <c r="AM134" s="9">
        <v>222</v>
      </c>
      <c r="AN134" s="9" t="str">
        <f>IFERROR(MID(VLOOKUP($B134,Seqs!$A:$B,2,0),AO134,1),"")</f>
        <v>V</v>
      </c>
      <c r="AO134" s="9">
        <v>395</v>
      </c>
      <c r="AP134" s="9" t="str">
        <f>IFERROR(MID(VLOOKUP($B134,Seqs!$A:$B,2,0),AQ134,1),"")</f>
        <v>C</v>
      </c>
      <c r="AQ134" s="9">
        <v>420</v>
      </c>
      <c r="AR134" s="9" t="str">
        <f>IFERROR(MID(VLOOKUP($B134,Seqs!$A:$B,2,0),AS134,1),"")</f>
        <v>P</v>
      </c>
      <c r="AS134" s="9">
        <v>426</v>
      </c>
      <c r="AT134" s="9" t="str">
        <f>IFERROR(MID(VLOOKUP($B134,Seqs!$A:$B,2,0),AU134,1),"")</f>
        <v>F</v>
      </c>
      <c r="AU134" s="9">
        <v>451</v>
      </c>
      <c r="AV134" s="9" t="str">
        <f>IFERROR(MID(VLOOKUP($B134,Seqs!$A:$B,2,0),AW134,1),"")</f>
        <v>N</v>
      </c>
      <c r="AW134" s="9">
        <v>452</v>
      </c>
      <c r="AX134" s="9" t="str">
        <f>IFERROR(MID(VLOOKUP($B134,Seqs!$A:$B,2,0),AY134,1),"")</f>
        <v>A</v>
      </c>
      <c r="AY134" s="9">
        <v>462</v>
      </c>
      <c r="AZ134" s="111" t="str">
        <f>VLOOKUP(B134,Classification!A:D,2,0)</f>
        <v>A</v>
      </c>
      <c r="BA134" s="99" t="str">
        <f>VLOOKUP(B134,Classification!A:D,4,0)</f>
        <v>Dopamine</v>
      </c>
      <c r="BB134" s="36" t="b">
        <f t="shared" ref="BB134" si="1230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110">
        <f t="shared" ref="BC134" si="1231">_xlfn.AGGREGATE(9,6,CH134:CS134)-_xlfn.AGGREGATE(9,6,BV134:CG134)+12</f>
        <v>231</v>
      </c>
      <c r="BD134" s="40" t="s">
        <v>1383</v>
      </c>
      <c r="BE134" s="9" t="s">
        <v>1381</v>
      </c>
      <c r="BF134" s="121">
        <v>2.14</v>
      </c>
      <c r="BG134" s="51" t="s">
        <v>1</v>
      </c>
      <c r="BH134" s="51" t="s">
        <v>1384</v>
      </c>
      <c r="BJ134" s="112" t="s">
        <v>1293</v>
      </c>
      <c r="BK134" s="113" t="s">
        <v>1293</v>
      </c>
      <c r="BL134" s="113" t="s">
        <v>1293</v>
      </c>
      <c r="BM134" s="113" t="s">
        <v>1293</v>
      </c>
      <c r="BN134" s="113" t="s">
        <v>1293</v>
      </c>
      <c r="BO134" s="113" t="s">
        <v>1293</v>
      </c>
      <c r="BP134" s="113" t="s">
        <v>1293</v>
      </c>
      <c r="BQ134" s="113" t="s">
        <v>1293</v>
      </c>
      <c r="BR134" s="113" t="s">
        <v>1293</v>
      </c>
      <c r="BS134" s="113" t="s">
        <v>1293</v>
      </c>
      <c r="BT134" s="113" t="s">
        <v>1293</v>
      </c>
      <c r="BU134" s="113" t="s">
        <v>1293</v>
      </c>
      <c r="BV134" s="112">
        <f t="shared" ref="BV134" si="1232">E134</f>
        <v>32</v>
      </c>
      <c r="BW134" s="114">
        <f t="shared" ref="BW134" si="1233">I134</f>
        <v>63</v>
      </c>
      <c r="BX134" s="115">
        <f t="shared" ref="BX134" si="1234">M134</f>
        <v>67</v>
      </c>
      <c r="BY134" s="114">
        <f t="shared" ref="BY134" si="1235">Q134</f>
        <v>100</v>
      </c>
      <c r="BZ134" s="115">
        <f t="shared" ref="BZ134" si="1236">U134</f>
        <v>104</v>
      </c>
      <c r="CA134" s="114" t="str">
        <f t="shared" ref="CA134" si="1237">Y134</f>
        <v>-</v>
      </c>
      <c r="CB134" s="115">
        <f t="shared" ref="CB134" si="1238">AC134</f>
        <v>150</v>
      </c>
      <c r="CC134" s="114">
        <f t="shared" ref="CC134" si="1239">AG134</f>
        <v>185</v>
      </c>
      <c r="CD134" s="115">
        <f t="shared" ref="CD134" si="1240">AK134</f>
        <v>189</v>
      </c>
      <c r="CE134" s="114">
        <f t="shared" ref="CE134" si="1241">AO134</f>
        <v>395</v>
      </c>
      <c r="CF134" s="115">
        <f t="shared" ref="CF134" si="1242">AS134</f>
        <v>426</v>
      </c>
      <c r="CG134" s="114">
        <f t="shared" ref="CG134" si="1243">AW134</f>
        <v>452</v>
      </c>
      <c r="CH134" s="112">
        <f t="shared" ref="CH134" si="1244">G134</f>
        <v>62</v>
      </c>
      <c r="CI134" s="114">
        <f t="shared" ref="CI134" si="1245">K134</f>
        <v>66</v>
      </c>
      <c r="CJ134" s="115">
        <f t="shared" ref="CJ134" si="1246">O134</f>
        <v>97</v>
      </c>
      <c r="CK134" s="115">
        <f t="shared" ref="CK134" si="1247">S134</f>
        <v>103</v>
      </c>
      <c r="CL134" s="115">
        <f t="shared" ref="CL134" si="1248">W134</f>
        <v>139</v>
      </c>
      <c r="CM134" s="115" t="str">
        <f t="shared" ref="CM134" si="1249">AA134</f>
        <v>-</v>
      </c>
      <c r="CN134" s="115">
        <f t="shared" ref="CN134" si="1250">AE134</f>
        <v>173</v>
      </c>
      <c r="CO134" s="115">
        <f t="shared" ref="CO134" si="1251">AI134</f>
        <v>187</v>
      </c>
      <c r="CP134" s="115">
        <f t="shared" ref="CP134" si="1252">AM134</f>
        <v>222</v>
      </c>
      <c r="CQ134" s="115">
        <f t="shared" ref="CQ134" si="1253">AQ134</f>
        <v>420</v>
      </c>
      <c r="CR134" s="115">
        <f t="shared" ref="CR134" si="1254">AU134</f>
        <v>451</v>
      </c>
      <c r="CS134" s="115">
        <f t="shared" ref="CS134" si="1255">AY134</f>
        <v>462</v>
      </c>
      <c r="CT134" s="110">
        <f t="shared" ref="CT134" si="1256">M134-K134</f>
        <v>1</v>
      </c>
    </row>
    <row r="135" spans="1:1029" x14ac:dyDescent="0.2">
      <c r="A135" s="3" t="str">
        <f t="shared" si="810"/>
        <v>ednrb_human__wt</v>
      </c>
      <c r="B135" s="2" t="s">
        <v>196</v>
      </c>
      <c r="C135" s="2" t="s">
        <v>100</v>
      </c>
      <c r="D135" s="3" t="str">
        <f>IFERROR(MID(VLOOKUP($B135,Seqs!$A:$B,2,0),E135,1),"")</f>
        <v>Q</v>
      </c>
      <c r="E135" s="2">
        <v>91</v>
      </c>
      <c r="F135" s="3" t="str">
        <f>IFERROR(MID(VLOOKUP($B135,Seqs!$A:$B,2,0),G135,1),"")</f>
        <v>N</v>
      </c>
      <c r="G135" s="2">
        <v>129</v>
      </c>
      <c r="H135" s="3" t="str">
        <f>IFERROR(MID(VLOOKUP($B135,Seqs!$A:$B,2,0),I135,1),"")</f>
        <v>K</v>
      </c>
      <c r="I135" s="56">
        <v>130</v>
      </c>
      <c r="J135" s="3" t="str">
        <f>IFERROR(MID(VLOOKUP($B135,Seqs!$A:$B,2,0),K135,1),"")</f>
        <v>N</v>
      </c>
      <c r="K135" s="56">
        <v>134</v>
      </c>
      <c r="L135" s="3" t="str">
        <f>IFERROR(MID(VLOOKUP($B135,Seqs!$A:$B,2,0),M135,1),"")</f>
        <v>G</v>
      </c>
      <c r="M135" s="2">
        <v>135</v>
      </c>
      <c r="N135" s="3" t="str">
        <f>IFERROR(MID(VLOOKUP($B135,Seqs!$A:$B,2,0),O135,1),"")</f>
        <v>A</v>
      </c>
      <c r="O135" s="2">
        <v>164</v>
      </c>
      <c r="P135" s="3" t="str">
        <f>IFERROR(MID(VLOOKUP($B135,Seqs!$A:$B,2,0),Q135,1),"")</f>
        <v>D</v>
      </c>
      <c r="Q135" s="2">
        <v>166</v>
      </c>
      <c r="R135" s="3" t="str">
        <f>IFERROR(MID(VLOOKUP($B135,Seqs!$A:$B,2,0),S135,1),"")</f>
        <v>F</v>
      </c>
      <c r="S135" s="2">
        <v>169</v>
      </c>
      <c r="T135" s="3" t="str">
        <f>IFERROR(MID(VLOOKUP($B135,Seqs!$A:$B,2,0),U135,1),"")</f>
        <v>G</v>
      </c>
      <c r="U135" s="4">
        <v>170</v>
      </c>
      <c r="V135" s="3" t="str">
        <f>IFERROR(MID(VLOOKUP($B135,Seqs!$A:$B,2,0),W135,1),"")</f>
        <v>S</v>
      </c>
      <c r="W135" s="2">
        <v>205</v>
      </c>
      <c r="X135" s="3" t="str">
        <f>IFERROR(MID(VLOOKUP($B135,Seqs!$A:$B,2,0),Y135,1),"")</f>
        <v>W</v>
      </c>
      <c r="Y135" s="2">
        <v>206</v>
      </c>
      <c r="Z135" s="3" t="str">
        <f>IFERROR(MID(VLOOKUP($B135,Seqs!$A:$B,2,0),AA135,1),"")</f>
        <v>G</v>
      </c>
      <c r="AA135" s="2">
        <v>213</v>
      </c>
      <c r="AB135" s="3" t="str">
        <f>IFERROR(MID(VLOOKUP($B135,Seqs!$A:$B,2,0),AC135,1),"")</f>
        <v>V</v>
      </c>
      <c r="AC135" s="40">
        <v>214</v>
      </c>
      <c r="AD135" s="3" t="str">
        <f>IFERROR(MID(VLOOKUP($B135,Seqs!$A:$B,2,0),AE135,1),"")</f>
        <v>F</v>
      </c>
      <c r="AE135" s="2">
        <v>240</v>
      </c>
      <c r="AF135" s="3" t="str">
        <f>IFERROR(MID(VLOOKUP($B135,Seqs!$A:$B,2,0),AG135,1),"")</f>
        <v>C</v>
      </c>
      <c r="AG135" s="2">
        <v>255</v>
      </c>
      <c r="AH135" s="3" t="str">
        <f>IFERROR(MID(VLOOKUP($B135,Seqs!$A:$B,2,0),AI135,1),"")</f>
        <v>L</v>
      </c>
      <c r="AI135" s="2">
        <v>257</v>
      </c>
      <c r="AJ135" s="3" t="str">
        <f>IFERROR(MID(VLOOKUP($B135,Seqs!$A:$B,2,0),AK135,1),"")</f>
        <v>T</v>
      </c>
      <c r="AK135" s="2">
        <v>263</v>
      </c>
      <c r="AL135" s="3" t="str">
        <f>IFERROR(MID(VLOOKUP($B135,Seqs!$A:$B,2,0),AM135,1),"")</f>
        <v>M</v>
      </c>
      <c r="AM135" s="2">
        <v>307</v>
      </c>
      <c r="AN135" s="3" t="str">
        <f>IFERROR(MID(VLOOKUP($B135,Seqs!$A:$B,2,0),AO135,1),"")</f>
        <v>N</v>
      </c>
      <c r="AO135" s="2">
        <v>312</v>
      </c>
      <c r="AP135" s="3" t="str">
        <f>IFERROR(MID(VLOOKUP($B135,Seqs!$A:$B,2,0),AQ135,1),"")</f>
        <v>Y</v>
      </c>
      <c r="AQ135" s="2">
        <v>350</v>
      </c>
      <c r="AR135" s="3" t="str">
        <f>IFERROR(MID(VLOOKUP($B135,Seqs!$A:$B,2,0),AS135,1),"")</f>
        <v>R</v>
      </c>
      <c r="AS135" s="2">
        <v>357</v>
      </c>
      <c r="AT135" s="3" t="str">
        <f>IFERROR(MID(VLOOKUP($B135,Seqs!$A:$B,2,0),AU135,1),"")</f>
        <v>V</v>
      </c>
      <c r="AU135" s="2">
        <v>389</v>
      </c>
      <c r="AV135" s="3" t="str">
        <f>IFERROR(MID(VLOOKUP($B135,Seqs!$A:$B,2,0),AW135,1),"")</f>
        <v>S</v>
      </c>
      <c r="AW135" s="2">
        <v>390</v>
      </c>
      <c r="AX135" s="3" t="str">
        <f>IFERROR(MID(VLOOKUP($B135,Seqs!$A:$B,2,0),AY135,1),"")</f>
        <v>C</v>
      </c>
      <c r="AY135" s="2">
        <v>403</v>
      </c>
      <c r="AZ135" s="78" t="str">
        <f>VLOOKUP(B135,Classification!A:D,2,0)</f>
        <v>A</v>
      </c>
      <c r="BA135" s="95" t="str">
        <f>VLOOKUP(B135,Classification!A:D,4,0)</f>
        <v>Endothelin</v>
      </c>
      <c r="BB135" s="27" t="b">
        <f t="shared" si="811"/>
        <v>1</v>
      </c>
      <c r="BC135" s="2"/>
      <c r="BD135" s="34" t="s">
        <v>1379</v>
      </c>
      <c r="BE135" s="3" t="s">
        <v>23</v>
      </c>
      <c r="BF135" s="120" t="s">
        <v>23</v>
      </c>
      <c r="BG135" s="49" t="s">
        <v>1379</v>
      </c>
      <c r="BH135" s="49" t="s">
        <v>1384</v>
      </c>
      <c r="BI135" s="2"/>
      <c r="BJ135" s="71"/>
      <c r="BU135" s="57"/>
      <c r="BV135" s="71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71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  <c r="CT135" s="2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810"/>
        <v>ednrb_human_5GLH</v>
      </c>
      <c r="B136" s="2" t="s">
        <v>196</v>
      </c>
      <c r="C136" s="2" t="s">
        <v>1334</v>
      </c>
      <c r="D136" s="3" t="str">
        <f>IFERROR(MID(VLOOKUP($B136,Seqs!$A:$B,2,0),E136,1),"")</f>
        <v>K</v>
      </c>
      <c r="E136" s="2">
        <v>97</v>
      </c>
      <c r="F136" s="3" t="str">
        <f>IFERROR(MID(VLOOKUP($B136,Seqs!$A:$B,2,0),G136,1),"")</f>
        <v>N</v>
      </c>
      <c r="G136" s="2">
        <v>129</v>
      </c>
      <c r="H136" s="3" t="str">
        <f>IFERROR(MID(VLOOKUP($B136,Seqs!$A:$B,2,0),I136,1),"")</f>
        <v/>
      </c>
      <c r="I136" s="56" t="s">
        <v>23</v>
      </c>
      <c r="J136" s="3" t="str">
        <f>IFERROR(MID(VLOOKUP($B136,Seqs!$A:$B,2,0),K136,1),"")</f>
        <v/>
      </c>
      <c r="K136" s="56" t="s">
        <v>23</v>
      </c>
      <c r="L136" s="3" t="str">
        <f>IFERROR(MID(VLOOKUP($B136,Seqs!$A:$B,2,0),M136,1),"")</f>
        <v>P</v>
      </c>
      <c r="M136" s="2">
        <v>136</v>
      </c>
      <c r="N136" s="3" t="str">
        <f>IFERROR(MID(VLOOKUP($B136,Seqs!$A:$B,2,0),O136,1),"")</f>
        <v>A</v>
      </c>
      <c r="O136" s="2">
        <v>164</v>
      </c>
      <c r="P136" s="3" t="str">
        <f>IFERROR(MID(VLOOKUP($B136,Seqs!$A:$B,2,0),Q136,1),"")</f>
        <v>D</v>
      </c>
      <c r="Q136" s="2">
        <v>166</v>
      </c>
      <c r="R136" s="3" t="str">
        <f>IFERROR(MID(VLOOKUP($B136,Seqs!$A:$B,2,0),S136,1),"")</f>
        <v>F</v>
      </c>
      <c r="S136" s="2">
        <v>169</v>
      </c>
      <c r="T136" s="3" t="str">
        <f>IFERROR(MID(VLOOKUP($B136,Seqs!$A:$B,2,0),U136,1),"")</f>
        <v>G</v>
      </c>
      <c r="U136" s="4">
        <v>170</v>
      </c>
      <c r="V136" s="3" t="str">
        <f>IFERROR(MID(VLOOKUP($B136,Seqs!$A:$B,2,0),W136,1),"")</f>
        <v>S</v>
      </c>
      <c r="W136" s="2">
        <v>205</v>
      </c>
      <c r="X136" s="3" t="str">
        <f>IFERROR(MID(VLOOKUP($B136,Seqs!$A:$B,2,0),Y136,1),"")</f>
        <v/>
      </c>
      <c r="Y136" s="2" t="s">
        <v>23</v>
      </c>
      <c r="Z136" s="3" t="str">
        <f>IFERROR(MID(VLOOKUP($B136,Seqs!$A:$B,2,0),AA136,1),"")</f>
        <v/>
      </c>
      <c r="AA136" s="2" t="s">
        <v>23</v>
      </c>
      <c r="AB136" s="3" t="str">
        <f>IFERROR(MID(VLOOKUP($B136,Seqs!$A:$B,2,0),AC136,1),"")</f>
        <v>T</v>
      </c>
      <c r="AC136" s="40">
        <v>218</v>
      </c>
      <c r="AD136" s="3" t="str">
        <f>IFERROR(MID(VLOOKUP($B136,Seqs!$A:$B,2,0),AE136,1),"")</f>
        <v>F</v>
      </c>
      <c r="AE136" s="2">
        <v>240</v>
      </c>
      <c r="AF136" s="3" t="str">
        <f>IFERROR(MID(VLOOKUP($B136,Seqs!$A:$B,2,0),AG136,1),"")</f>
        <v>C</v>
      </c>
      <c r="AG136" s="2">
        <v>255</v>
      </c>
      <c r="AH136" s="3" t="str">
        <f>IFERROR(MID(VLOOKUP($B136,Seqs!$A:$B,2,0),AI136,1),"")</f>
        <v>L</v>
      </c>
      <c r="AI136" s="2">
        <v>257</v>
      </c>
      <c r="AJ136" s="3" t="str">
        <f>IFERROR(MID(VLOOKUP($B136,Seqs!$A:$B,2,0),AK136,1),"")</f>
        <v>T</v>
      </c>
      <c r="AK136" s="2">
        <v>263</v>
      </c>
      <c r="AL136" s="3" t="str">
        <f>IFERROR(MID(VLOOKUP($B136,Seqs!$A:$B,2,0),AM136,1),"")</f>
        <v>K</v>
      </c>
      <c r="AM136" s="2">
        <v>303</v>
      </c>
      <c r="AN136" s="3" t="str">
        <f>IFERROR(MID(VLOOKUP($B136,Seqs!$A:$B,2,0),AO136,1),"")</f>
        <v>N</v>
      </c>
      <c r="AO136" s="2">
        <v>312</v>
      </c>
      <c r="AP136" s="3" t="str">
        <f>IFERROR(MID(VLOOKUP($B136,Seqs!$A:$B,2,0),AQ136,1),"")</f>
        <v>Y</v>
      </c>
      <c r="AQ136" s="2">
        <v>350</v>
      </c>
      <c r="AR136" s="3" t="str">
        <f>IFERROR(MID(VLOOKUP($B136,Seqs!$A:$B,2,0),AS136,1),"")</f>
        <v>R</v>
      </c>
      <c r="AS136" s="2">
        <v>357</v>
      </c>
      <c r="AT136" s="3" t="str">
        <f>IFERROR(MID(VLOOKUP($B136,Seqs!$A:$B,2,0),AU136,1),"")</f>
        <v>V</v>
      </c>
      <c r="AU136" s="2">
        <v>389</v>
      </c>
      <c r="AV136" s="3" t="str">
        <f>IFERROR(MID(VLOOKUP($B136,Seqs!$A:$B,2,0),AW136,1),"")</f>
        <v>S</v>
      </c>
      <c r="AW136" s="2">
        <v>390</v>
      </c>
      <c r="AX136" s="3" t="str">
        <f>IFERROR(MID(VLOOKUP($B136,Seqs!$A:$B,2,0),AY136,1),"")</f>
        <v>L</v>
      </c>
      <c r="AY136" s="2">
        <v>401</v>
      </c>
      <c r="AZ136" s="78" t="str">
        <f>VLOOKUP(B136,Classification!A:D,2,0)</f>
        <v>A</v>
      </c>
      <c r="BA136" s="95" t="str">
        <f>VLOOKUP(B136,Classification!A:D,4,0)</f>
        <v>Endothelin</v>
      </c>
      <c r="BB136" s="27" t="b">
        <f t="shared" si="811"/>
        <v>1</v>
      </c>
      <c r="BC136" s="23">
        <f t="shared" ref="BC136:BC173" si="1257">_xlfn.AGGREGATE(9,6,CH136:CS136)-_xlfn.AGGREGATE(9,6,BV136:CG136)+12</f>
        <v>255</v>
      </c>
      <c r="BD136" s="2" t="s">
        <v>23</v>
      </c>
      <c r="BE136" s="3" t="s">
        <v>1381</v>
      </c>
      <c r="BF136" s="120">
        <v>2.8</v>
      </c>
      <c r="BG136" s="49" t="s">
        <v>1384</v>
      </c>
      <c r="BH136" s="49" t="s">
        <v>1384</v>
      </c>
      <c r="BI136" s="2"/>
      <c r="BJ136" s="71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1">
        <f t="shared" ref="BV136:BV173" si="1258">E136</f>
        <v>97</v>
      </c>
      <c r="BW136" s="72" t="str">
        <f t="shared" ref="BW136:BW173" si="1259">I136</f>
        <v>-</v>
      </c>
      <c r="BX136" s="73">
        <f t="shared" ref="BX136:BX173" si="1260">M136</f>
        <v>136</v>
      </c>
      <c r="BY136" s="72">
        <f t="shared" ref="BY136:BY173" si="1261">Q136</f>
        <v>166</v>
      </c>
      <c r="BZ136" s="73">
        <f t="shared" ref="BZ136:BZ173" si="1262">U136</f>
        <v>170</v>
      </c>
      <c r="CA136" s="72" t="str">
        <f t="shared" ref="CA136:CA173" si="1263">Y136</f>
        <v>-</v>
      </c>
      <c r="CB136" s="73">
        <f t="shared" ref="CB136:CB173" si="1264">AC136</f>
        <v>218</v>
      </c>
      <c r="CC136" s="72">
        <f t="shared" ref="CC136:CC173" si="1265">AG136</f>
        <v>255</v>
      </c>
      <c r="CD136" s="73">
        <f t="shared" ref="CD136:CD173" si="1266">AK136</f>
        <v>263</v>
      </c>
      <c r="CE136" s="72">
        <f t="shared" ref="CE136:CE173" si="1267">AO136</f>
        <v>312</v>
      </c>
      <c r="CF136" s="73">
        <f t="shared" ref="CF136:CF173" si="1268">AS136</f>
        <v>357</v>
      </c>
      <c r="CG136" s="72">
        <f t="shared" ref="CG136:CG173" si="1269">AW136</f>
        <v>390</v>
      </c>
      <c r="CH136" s="71">
        <f t="shared" ref="CH136:CH173" si="1270">G136</f>
        <v>129</v>
      </c>
      <c r="CI136" s="72" t="str">
        <f t="shared" ref="CI136:CI173" si="1271">K136</f>
        <v>-</v>
      </c>
      <c r="CJ136" s="73">
        <f t="shared" ref="CJ136:CJ173" si="1272">O136</f>
        <v>164</v>
      </c>
      <c r="CK136" s="73">
        <f t="shared" ref="CK136:CK173" si="1273">S136</f>
        <v>169</v>
      </c>
      <c r="CL136" s="73">
        <f t="shared" ref="CL136:CL173" si="1274">W136</f>
        <v>205</v>
      </c>
      <c r="CM136" s="73" t="str">
        <f t="shared" ref="CM136:CM173" si="1275">AA136</f>
        <v>-</v>
      </c>
      <c r="CN136" s="73">
        <f t="shared" ref="CN136:CN173" si="1276">AE136</f>
        <v>240</v>
      </c>
      <c r="CO136" s="73">
        <f t="shared" ref="CO136:CO173" si="1277">AI136</f>
        <v>257</v>
      </c>
      <c r="CP136" s="73">
        <f t="shared" ref="CP136:CP173" si="1278">AM136</f>
        <v>303</v>
      </c>
      <c r="CQ136" s="73">
        <f t="shared" ref="CQ136:CQ173" si="1279">AQ136</f>
        <v>350</v>
      </c>
      <c r="CR136" s="73">
        <f t="shared" ref="CR136:CR173" si="1280">AU136</f>
        <v>389</v>
      </c>
      <c r="CS136" s="73">
        <f t="shared" ref="CS136:CS173" si="1281">AY136</f>
        <v>401</v>
      </c>
      <c r="CT136" s="23" t="e">
        <f t="shared" ref="CT136:CT173" si="1282">M136-K136</f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810"/>
        <v>ednrb_human_5GLI</v>
      </c>
      <c r="B137" s="2" t="s">
        <v>196</v>
      </c>
      <c r="C137" s="2" t="s">
        <v>1333</v>
      </c>
      <c r="D137" s="3" t="str">
        <f>IFERROR(MID(VLOOKUP($B137,Seqs!$A:$B,2,0),E137,1),"")</f>
        <v>Q</v>
      </c>
      <c r="E137" s="2">
        <v>91</v>
      </c>
      <c r="F137" s="3" t="str">
        <f>IFERROR(MID(VLOOKUP($B137,Seqs!$A:$B,2,0),G137,1),"")</f>
        <v>N</v>
      </c>
      <c r="G137" s="2">
        <v>129</v>
      </c>
      <c r="H137" s="3" t="str">
        <f>IFERROR(MID(VLOOKUP($B137,Seqs!$A:$B,2,0),I137,1),"")</f>
        <v>K</v>
      </c>
      <c r="I137" s="56">
        <v>130</v>
      </c>
      <c r="J137" s="3" t="str">
        <f>IFERROR(MID(VLOOKUP($B137,Seqs!$A:$B,2,0),K137,1),"")</f>
        <v>N</v>
      </c>
      <c r="K137" s="56">
        <v>134</v>
      </c>
      <c r="L137" s="3" t="str">
        <f>IFERROR(MID(VLOOKUP($B137,Seqs!$A:$B,2,0),M137,1),"")</f>
        <v>G</v>
      </c>
      <c r="M137" s="2">
        <v>135</v>
      </c>
      <c r="N137" s="3" t="str">
        <f>IFERROR(MID(VLOOKUP($B137,Seqs!$A:$B,2,0),O137,1),"")</f>
        <v>A</v>
      </c>
      <c r="O137" s="2">
        <v>164</v>
      </c>
      <c r="P137" s="3" t="str">
        <f>IFERROR(MID(VLOOKUP($B137,Seqs!$A:$B,2,0),Q137,1),"")</f>
        <v>D</v>
      </c>
      <c r="Q137" s="2">
        <v>166</v>
      </c>
      <c r="R137" s="3" t="str">
        <f>IFERROR(MID(VLOOKUP($B137,Seqs!$A:$B,2,0),S137,1),"")</f>
        <v>F</v>
      </c>
      <c r="S137" s="2">
        <v>169</v>
      </c>
      <c r="T137" s="3" t="str">
        <f>IFERROR(MID(VLOOKUP($B137,Seqs!$A:$B,2,0),U137,1),"")</f>
        <v>G</v>
      </c>
      <c r="U137" s="4">
        <v>170</v>
      </c>
      <c r="V137" s="3" t="str">
        <f>IFERROR(MID(VLOOKUP($B137,Seqs!$A:$B,2,0),W137,1),"")</f>
        <v>S</v>
      </c>
      <c r="W137" s="2">
        <v>205</v>
      </c>
      <c r="X137" s="3" t="str">
        <f>IFERROR(MID(VLOOKUP($B137,Seqs!$A:$B,2,0),Y137,1),"")</f>
        <v/>
      </c>
      <c r="Y137" s="2" t="s">
        <v>23</v>
      </c>
      <c r="Z137" s="3" t="str">
        <f>IFERROR(MID(VLOOKUP($B137,Seqs!$A:$B,2,0),AA137,1),"")</f>
        <v/>
      </c>
      <c r="AA137" s="2" t="s">
        <v>23</v>
      </c>
      <c r="AB137" s="3" t="str">
        <f>IFERROR(MID(VLOOKUP($B137,Seqs!$A:$B,2,0),AC137,1),"")</f>
        <v>K</v>
      </c>
      <c r="AC137" s="40">
        <v>216</v>
      </c>
      <c r="AD137" s="3" t="str">
        <f>IFERROR(MID(VLOOKUP($B137,Seqs!$A:$B,2,0),AE137,1),"")</f>
        <v>F</v>
      </c>
      <c r="AE137" s="2">
        <v>240</v>
      </c>
      <c r="AF137" s="3" t="str">
        <f>IFERROR(MID(VLOOKUP($B137,Seqs!$A:$B,2,0),AG137,1),"")</f>
        <v>C</v>
      </c>
      <c r="AG137" s="2">
        <v>255</v>
      </c>
      <c r="AH137" s="3" t="str">
        <f>IFERROR(MID(VLOOKUP($B137,Seqs!$A:$B,2,0),AI137,1),"")</f>
        <v>L</v>
      </c>
      <c r="AI137" s="2">
        <v>257</v>
      </c>
      <c r="AJ137" s="3" t="str">
        <f>IFERROR(MID(VLOOKUP($B137,Seqs!$A:$B,2,0),AK137,1),"")</f>
        <v>T</v>
      </c>
      <c r="AK137" s="2">
        <v>263</v>
      </c>
      <c r="AL137" s="3" t="str">
        <f>IFERROR(MID(VLOOKUP($B137,Seqs!$A:$B,2,0),AM137,1),"")</f>
        <v>K</v>
      </c>
      <c r="AM137" s="2">
        <v>303</v>
      </c>
      <c r="AN137" s="3" t="str">
        <f>IFERROR(MID(VLOOKUP($B137,Seqs!$A:$B,2,0),AO137,1),"")</f>
        <v>N</v>
      </c>
      <c r="AO137" s="2">
        <v>312</v>
      </c>
      <c r="AP137" s="3" t="str">
        <f>IFERROR(MID(VLOOKUP($B137,Seqs!$A:$B,2,0),AQ137,1),"")</f>
        <v>Y</v>
      </c>
      <c r="AQ137" s="2">
        <v>350</v>
      </c>
      <c r="AR137" s="3" t="str">
        <f>IFERROR(MID(VLOOKUP($B137,Seqs!$A:$B,2,0),AS137,1),"")</f>
        <v>R</v>
      </c>
      <c r="AS137" s="2">
        <v>357</v>
      </c>
      <c r="AT137" s="3" t="str">
        <f>IFERROR(MID(VLOOKUP($B137,Seqs!$A:$B,2,0),AU137,1),"")</f>
        <v>V</v>
      </c>
      <c r="AU137" s="2">
        <v>389</v>
      </c>
      <c r="AV137" s="3" t="str">
        <f>IFERROR(MID(VLOOKUP($B137,Seqs!$A:$B,2,0),AW137,1),"")</f>
        <v>S</v>
      </c>
      <c r="AW137" s="2">
        <v>390</v>
      </c>
      <c r="AX137" s="3" t="str">
        <f>IFERROR(MID(VLOOKUP($B137,Seqs!$A:$B,2,0),AY137,1),"")</f>
        <v>C</v>
      </c>
      <c r="AY137" s="2">
        <v>403</v>
      </c>
      <c r="AZ137" s="78" t="str">
        <f>VLOOKUP(B137,Classification!A:D,2,0)</f>
        <v>A</v>
      </c>
      <c r="BA137" s="95" t="str">
        <f>VLOOKUP(B137,Classification!A:D,4,0)</f>
        <v>Endothelin</v>
      </c>
      <c r="BB137" s="27" t="b">
        <f t="shared" si="811"/>
        <v>1</v>
      </c>
      <c r="BC137" s="23">
        <f t="shared" si="1257"/>
        <v>270</v>
      </c>
      <c r="BD137" s="2" t="s">
        <v>23</v>
      </c>
      <c r="BE137" s="3" t="s">
        <v>1381</v>
      </c>
      <c r="BF137" s="120">
        <v>2.5</v>
      </c>
      <c r="BG137" s="49" t="s">
        <v>1384</v>
      </c>
      <c r="BH137" s="49" t="s">
        <v>1384</v>
      </c>
      <c r="BI137" s="2"/>
      <c r="BJ137" s="71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1">
        <f t="shared" si="1258"/>
        <v>91</v>
      </c>
      <c r="BW137" s="72">
        <f t="shared" si="1259"/>
        <v>130</v>
      </c>
      <c r="BX137" s="73">
        <f t="shared" si="1260"/>
        <v>135</v>
      </c>
      <c r="BY137" s="72">
        <f t="shared" si="1261"/>
        <v>166</v>
      </c>
      <c r="BZ137" s="73">
        <f t="shared" si="1262"/>
        <v>170</v>
      </c>
      <c r="CA137" s="72" t="str">
        <f t="shared" si="1263"/>
        <v>-</v>
      </c>
      <c r="CB137" s="73">
        <f t="shared" si="1264"/>
        <v>216</v>
      </c>
      <c r="CC137" s="72">
        <f t="shared" si="1265"/>
        <v>255</v>
      </c>
      <c r="CD137" s="73">
        <f t="shared" si="1266"/>
        <v>263</v>
      </c>
      <c r="CE137" s="72">
        <f t="shared" si="1267"/>
        <v>312</v>
      </c>
      <c r="CF137" s="73">
        <f t="shared" si="1268"/>
        <v>357</v>
      </c>
      <c r="CG137" s="72">
        <f t="shared" si="1269"/>
        <v>390</v>
      </c>
      <c r="CH137" s="71">
        <f t="shared" si="1270"/>
        <v>129</v>
      </c>
      <c r="CI137" s="72">
        <f t="shared" si="1271"/>
        <v>134</v>
      </c>
      <c r="CJ137" s="73">
        <f t="shared" si="1272"/>
        <v>164</v>
      </c>
      <c r="CK137" s="73">
        <f t="shared" si="1273"/>
        <v>169</v>
      </c>
      <c r="CL137" s="73">
        <f t="shared" si="1274"/>
        <v>205</v>
      </c>
      <c r="CM137" s="73" t="str">
        <f t="shared" si="1275"/>
        <v>-</v>
      </c>
      <c r="CN137" s="73">
        <f t="shared" si="1276"/>
        <v>240</v>
      </c>
      <c r="CO137" s="73">
        <f t="shared" si="1277"/>
        <v>257</v>
      </c>
      <c r="CP137" s="73">
        <f t="shared" si="1278"/>
        <v>303</v>
      </c>
      <c r="CQ137" s="73">
        <f t="shared" si="1279"/>
        <v>350</v>
      </c>
      <c r="CR137" s="73">
        <f t="shared" si="1280"/>
        <v>389</v>
      </c>
      <c r="CS137" s="73">
        <f t="shared" si="1281"/>
        <v>403</v>
      </c>
      <c r="CT137" s="23">
        <f t="shared" si="1282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 t="shared" ref="A138" si="1283">CONCATENATE(B138,"_",C138)</f>
        <v>ednrb_human_5X93</v>
      </c>
      <c r="B138" s="2" t="s">
        <v>196</v>
      </c>
      <c r="C138" s="2" t="s">
        <v>1449</v>
      </c>
      <c r="D138" s="3" t="str">
        <f>IFERROR(MID(VLOOKUP($B138,Seqs!$A:$B,2,0),E138,1),"")</f>
        <v>Q</v>
      </c>
      <c r="E138" s="2">
        <v>91</v>
      </c>
      <c r="F138" s="3" t="str">
        <f>IFERROR(MID(VLOOKUP($B138,Seqs!$A:$B,2,0),G138,1),"")</f>
        <v>N</v>
      </c>
      <c r="G138" s="2">
        <v>129</v>
      </c>
      <c r="H138" s="3" t="str">
        <f>IFERROR(MID(VLOOKUP($B138,Seqs!$A:$B,2,0),I138,1),"")</f>
        <v>K</v>
      </c>
      <c r="I138" s="56">
        <v>130</v>
      </c>
      <c r="J138" s="3" t="str">
        <f>IFERROR(MID(VLOOKUP($B138,Seqs!$A:$B,2,0),K138,1),"")</f>
        <v>N</v>
      </c>
      <c r="K138" s="56">
        <v>134</v>
      </c>
      <c r="L138" s="3" t="str">
        <f>IFERROR(MID(VLOOKUP($B138,Seqs!$A:$B,2,0),M138,1),"")</f>
        <v>G</v>
      </c>
      <c r="M138" s="2">
        <v>135</v>
      </c>
      <c r="N138" s="3" t="str">
        <f>IFERROR(MID(VLOOKUP($B138,Seqs!$A:$B,2,0),O138,1),"")</f>
        <v>A</v>
      </c>
      <c r="O138" s="2">
        <v>164</v>
      </c>
      <c r="P138" s="3" t="str">
        <f>IFERROR(MID(VLOOKUP($B138,Seqs!$A:$B,2,0),Q138,1),"")</f>
        <v>D</v>
      </c>
      <c r="Q138" s="2">
        <v>166</v>
      </c>
      <c r="R138" s="3" t="str">
        <f>IFERROR(MID(VLOOKUP($B138,Seqs!$A:$B,2,0),S138,1),"")</f>
        <v>F</v>
      </c>
      <c r="S138" s="2">
        <v>169</v>
      </c>
      <c r="T138" s="3" t="str">
        <f>IFERROR(MID(VLOOKUP($B138,Seqs!$A:$B,2,0),U138,1),"")</f>
        <v>G</v>
      </c>
      <c r="U138" s="4">
        <v>170</v>
      </c>
      <c r="V138" s="3" t="str">
        <f>IFERROR(MID(VLOOKUP($B138,Seqs!$A:$B,2,0),W138,1),"")</f>
        <v>S</v>
      </c>
      <c r="W138" s="2">
        <v>205</v>
      </c>
      <c r="X138" s="3" t="str">
        <f>IFERROR(MID(VLOOKUP($B138,Seqs!$A:$B,2,0),Y138,1),"")</f>
        <v/>
      </c>
      <c r="Y138" s="2" t="s">
        <v>23</v>
      </c>
      <c r="Z138" s="3" t="str">
        <f>IFERROR(MID(VLOOKUP($B138,Seqs!$A:$B,2,0),AA138,1),"")</f>
        <v/>
      </c>
      <c r="AA138" s="2" t="s">
        <v>23</v>
      </c>
      <c r="AB138" s="3" t="str">
        <f>IFERROR(MID(VLOOKUP($B138,Seqs!$A:$B,2,0),AC138,1),"")</f>
        <v>K</v>
      </c>
      <c r="AC138" s="2">
        <v>216</v>
      </c>
      <c r="AD138" s="3" t="str">
        <f>IFERROR(MID(VLOOKUP($B138,Seqs!$A:$B,2,0),AE138,1),"")</f>
        <v>F</v>
      </c>
      <c r="AE138" s="2">
        <v>240</v>
      </c>
      <c r="AF138" s="3" t="str">
        <f>IFERROR(MID(VLOOKUP($B138,Seqs!$A:$B,2,0),AG138,1),"")</f>
        <v>C</v>
      </c>
      <c r="AG138" s="2">
        <v>255</v>
      </c>
      <c r="AH138" s="3" t="str">
        <f>IFERROR(MID(VLOOKUP($B138,Seqs!$A:$B,2,0),AI138,1),"")</f>
        <v>L</v>
      </c>
      <c r="AI138" s="2">
        <v>257</v>
      </c>
      <c r="AJ138" s="3" t="str">
        <f>IFERROR(MID(VLOOKUP($B138,Seqs!$A:$B,2,0),AK138,1),"")</f>
        <v>T</v>
      </c>
      <c r="AK138" s="2">
        <v>263</v>
      </c>
      <c r="AL138" s="3" t="str">
        <f>IFERROR(MID(VLOOKUP($B138,Seqs!$A:$B,2,0),AM138,1),"")</f>
        <v>K</v>
      </c>
      <c r="AM138" s="2">
        <v>303</v>
      </c>
      <c r="AN138" s="3" t="str">
        <f>IFERROR(MID(VLOOKUP($B138,Seqs!$A:$B,2,0),AO138,1),"")</f>
        <v>N</v>
      </c>
      <c r="AO138" s="2">
        <v>312</v>
      </c>
      <c r="AP138" s="3" t="str">
        <f>IFERROR(MID(VLOOKUP($B138,Seqs!$A:$B,2,0),AQ138,1),"")</f>
        <v>Y</v>
      </c>
      <c r="AQ138" s="2">
        <v>350</v>
      </c>
      <c r="AR138" s="3" t="str">
        <f>IFERROR(MID(VLOOKUP($B138,Seqs!$A:$B,2,0),AS138,1),"")</f>
        <v>R</v>
      </c>
      <c r="AS138" s="2">
        <v>357</v>
      </c>
      <c r="AT138" s="3" t="str">
        <f>IFERROR(MID(VLOOKUP($B138,Seqs!$A:$B,2,0),AU138,1),"")</f>
        <v>V</v>
      </c>
      <c r="AU138" s="2">
        <v>389</v>
      </c>
      <c r="AV138" s="3" t="str">
        <f>IFERROR(MID(VLOOKUP($B138,Seqs!$A:$B,2,0),AW138,1),"")</f>
        <v>S</v>
      </c>
      <c r="AW138" s="2">
        <v>390</v>
      </c>
      <c r="AX138" s="3" t="str">
        <f>IFERROR(MID(VLOOKUP($B138,Seqs!$A:$B,2,0),AY138,1),"")</f>
        <v>C</v>
      </c>
      <c r="AY138" s="2">
        <v>403</v>
      </c>
      <c r="AZ138" s="78" t="str">
        <f>VLOOKUP(B138,Classification!A:D,2,0)</f>
        <v>A</v>
      </c>
      <c r="BA138" s="95" t="str">
        <f>VLOOKUP(B138,Classification!A:D,4,0)</f>
        <v>Endothelin</v>
      </c>
      <c r="BB138" s="27" t="b">
        <f t="shared" ref="BB138" si="1284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 t="shared" ref="BC138" si="1285">_xlfn.AGGREGATE(9,6,CH138:CS138)-_xlfn.AGGREGATE(9,6,BV138:CG138)+12</f>
        <v>270</v>
      </c>
      <c r="BD138" s="2" t="s">
        <v>1383</v>
      </c>
      <c r="BE138" s="3" t="s">
        <v>1381</v>
      </c>
      <c r="BF138" s="120">
        <v>2.2000000000000002</v>
      </c>
      <c r="BG138" s="49" t="s">
        <v>1</v>
      </c>
      <c r="BH138" s="49" t="s">
        <v>1</v>
      </c>
      <c r="BI138" s="2"/>
      <c r="BJ138" s="71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1">
        <f t="shared" ref="BV138" si="1286">E138</f>
        <v>91</v>
      </c>
      <c r="BW138" s="72">
        <f t="shared" ref="BW138" si="1287">I138</f>
        <v>130</v>
      </c>
      <c r="BX138" s="73">
        <f t="shared" ref="BX138" si="1288">M138</f>
        <v>135</v>
      </c>
      <c r="BY138" s="72">
        <f t="shared" ref="BY138" si="1289">Q138</f>
        <v>166</v>
      </c>
      <c r="BZ138" s="73">
        <f t="shared" ref="BZ138" si="1290">U138</f>
        <v>170</v>
      </c>
      <c r="CA138" s="72" t="str">
        <f t="shared" ref="CA138" si="1291">Y138</f>
        <v>-</v>
      </c>
      <c r="CB138" s="73">
        <f t="shared" ref="CB138" si="1292">AC138</f>
        <v>216</v>
      </c>
      <c r="CC138" s="72">
        <f t="shared" ref="CC138" si="1293">AG138</f>
        <v>255</v>
      </c>
      <c r="CD138" s="73">
        <f t="shared" ref="CD138" si="1294">AK138</f>
        <v>263</v>
      </c>
      <c r="CE138" s="72">
        <f t="shared" ref="CE138" si="1295">AO138</f>
        <v>312</v>
      </c>
      <c r="CF138" s="73">
        <f t="shared" ref="CF138" si="1296">AS138</f>
        <v>357</v>
      </c>
      <c r="CG138" s="72">
        <f t="shared" ref="CG138" si="1297">AW138</f>
        <v>390</v>
      </c>
      <c r="CH138" s="71">
        <f t="shared" ref="CH138" si="1298">G138</f>
        <v>129</v>
      </c>
      <c r="CI138" s="72">
        <f t="shared" ref="CI138" si="1299">K138</f>
        <v>134</v>
      </c>
      <c r="CJ138" s="73">
        <f t="shared" ref="CJ138" si="1300">O138</f>
        <v>164</v>
      </c>
      <c r="CK138" s="73">
        <f t="shared" ref="CK138" si="1301">S138</f>
        <v>169</v>
      </c>
      <c r="CL138" s="73">
        <f t="shared" ref="CL138" si="1302">W138</f>
        <v>205</v>
      </c>
      <c r="CM138" s="73" t="str">
        <f t="shared" ref="CM138" si="1303">AA138</f>
        <v>-</v>
      </c>
      <c r="CN138" s="73">
        <f t="shared" ref="CN138" si="1304">AE138</f>
        <v>240</v>
      </c>
      <c r="CO138" s="73">
        <f t="shared" ref="CO138" si="1305">AI138</f>
        <v>257</v>
      </c>
      <c r="CP138" s="73">
        <f t="shared" ref="CP138" si="1306">AM138</f>
        <v>303</v>
      </c>
      <c r="CQ138" s="73">
        <f t="shared" ref="CQ138" si="1307">AQ138</f>
        <v>350</v>
      </c>
      <c r="CR138" s="73">
        <f t="shared" ref="CR138" si="1308">AU138</f>
        <v>389</v>
      </c>
      <c r="CS138" s="73">
        <f t="shared" ref="CS138" si="1309">AY138</f>
        <v>403</v>
      </c>
      <c r="CT138" s="23">
        <f t="shared" ref="CT138" si="1310"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 t="shared" ref="A139" si="1311">CONCATENATE(B139,"_",C139)</f>
        <v>ednrb_human_5XPR</v>
      </c>
      <c r="B139" s="2" t="s">
        <v>196</v>
      </c>
      <c r="C139" s="2" t="s">
        <v>1450</v>
      </c>
      <c r="D139" s="3" t="str">
        <f>IFERROR(MID(VLOOKUP($B139,Seqs!$A:$B,2,0),E139,1),"")</f>
        <v>G</v>
      </c>
      <c r="E139" s="2">
        <v>92</v>
      </c>
      <c r="F139" s="3" t="str">
        <f>IFERROR(MID(VLOOKUP($B139,Seqs!$A:$B,2,0),G139,1),"")</f>
        <v>N</v>
      </c>
      <c r="G139" s="2">
        <v>129</v>
      </c>
      <c r="H139" s="3" t="str">
        <f>IFERROR(MID(VLOOKUP($B139,Seqs!$A:$B,2,0),I139,1),"")</f>
        <v>K</v>
      </c>
      <c r="I139" s="56">
        <v>130</v>
      </c>
      <c r="J139" s="3" t="str">
        <f>IFERROR(MID(VLOOKUP($B139,Seqs!$A:$B,2,0),K139,1),"")</f>
        <v>N</v>
      </c>
      <c r="K139" s="56">
        <v>134</v>
      </c>
      <c r="L139" s="3" t="str">
        <f>IFERROR(MID(VLOOKUP($B139,Seqs!$A:$B,2,0),M139,1),"")</f>
        <v>G</v>
      </c>
      <c r="M139" s="2">
        <v>135</v>
      </c>
      <c r="N139" s="3" t="str">
        <f>IFERROR(MID(VLOOKUP($B139,Seqs!$A:$B,2,0),O139,1),"")</f>
        <v>A</v>
      </c>
      <c r="O139" s="2">
        <v>164</v>
      </c>
      <c r="P139" s="3" t="str">
        <f>IFERROR(MID(VLOOKUP($B139,Seqs!$A:$B,2,0),Q139,1),"")</f>
        <v>D</v>
      </c>
      <c r="Q139" s="2">
        <v>166</v>
      </c>
      <c r="R139" s="3" t="str">
        <f>IFERROR(MID(VLOOKUP($B139,Seqs!$A:$B,2,0),S139,1),"")</f>
        <v>F</v>
      </c>
      <c r="S139" s="2">
        <v>169</v>
      </c>
      <c r="T139" s="3" t="str">
        <f>IFERROR(MID(VLOOKUP($B139,Seqs!$A:$B,2,0),U139,1),"")</f>
        <v>A</v>
      </c>
      <c r="U139" s="4">
        <v>171</v>
      </c>
      <c r="V139" s="3" t="str">
        <f>IFERROR(MID(VLOOKUP($B139,Seqs!$A:$B,2,0),W139,1),"")</f>
        <v>A</v>
      </c>
      <c r="W139" s="2">
        <v>202</v>
      </c>
      <c r="X139" s="3" t="str">
        <f>IFERROR(MID(VLOOKUP($B139,Seqs!$A:$B,2,0),Y139,1),"")</f>
        <v/>
      </c>
      <c r="Y139" s="2" t="s">
        <v>23</v>
      </c>
      <c r="Z139" s="3" t="str">
        <f>IFERROR(MID(VLOOKUP($B139,Seqs!$A:$B,2,0),AA139,1),"")</f>
        <v/>
      </c>
      <c r="AA139" s="2" t="s">
        <v>23</v>
      </c>
      <c r="AB139" s="3" t="str">
        <f>IFERROR(MID(VLOOKUP($B139,Seqs!$A:$B,2,0),AC139,1),"")</f>
        <v>K</v>
      </c>
      <c r="AC139" s="2">
        <v>216</v>
      </c>
      <c r="AD139" s="3" t="str">
        <f>IFERROR(MID(VLOOKUP($B139,Seqs!$A:$B,2,0),AE139,1),"")</f>
        <v>F</v>
      </c>
      <c r="AE139" s="2">
        <v>240</v>
      </c>
      <c r="AF139" s="3" t="str">
        <f>IFERROR(MID(VLOOKUP($B139,Seqs!$A:$B,2,0),AG139,1),"")</f>
        <v>C</v>
      </c>
      <c r="AG139" s="2">
        <v>255</v>
      </c>
      <c r="AH139" s="3" t="str">
        <f>IFERROR(MID(VLOOKUP($B139,Seqs!$A:$B,2,0),AI139,1),"")</f>
        <v>L</v>
      </c>
      <c r="AI139" s="2">
        <v>257</v>
      </c>
      <c r="AJ139" s="3" t="str">
        <f>IFERROR(MID(VLOOKUP($B139,Seqs!$A:$B,2,0),AK139,1),"")</f>
        <v>T</v>
      </c>
      <c r="AK139" s="2">
        <v>263</v>
      </c>
      <c r="AL139" s="3" t="str">
        <f>IFERROR(MID(VLOOKUP($B139,Seqs!$A:$B,2,0),AM139,1),"")</f>
        <v>K</v>
      </c>
      <c r="AM139" s="2">
        <v>303</v>
      </c>
      <c r="AN139" s="3" t="str">
        <f>IFERROR(MID(VLOOKUP($B139,Seqs!$A:$B,2,0),AO139,1),"")</f>
        <v>N</v>
      </c>
      <c r="AO139" s="2">
        <v>312</v>
      </c>
      <c r="AP139" s="3" t="str">
        <f>IFERROR(MID(VLOOKUP($B139,Seqs!$A:$B,2,0),AQ139,1),"")</f>
        <v>L</v>
      </c>
      <c r="AQ139" s="2">
        <v>349</v>
      </c>
      <c r="AR139" s="3" t="str">
        <f>IFERROR(MID(VLOOKUP($B139,Seqs!$A:$B,2,0),AS139,1),"")</f>
        <v>N</v>
      </c>
      <c r="AS139" s="2">
        <v>356</v>
      </c>
      <c r="AT139" s="3" t="str">
        <f>IFERROR(MID(VLOOKUP($B139,Seqs!$A:$B,2,0),AU139,1),"")</f>
        <v>V</v>
      </c>
      <c r="AU139" s="2">
        <v>389</v>
      </c>
      <c r="AV139" s="3" t="str">
        <f>IFERROR(MID(VLOOKUP($B139,Seqs!$A:$B,2,0),AW139,1),"")</f>
        <v>S</v>
      </c>
      <c r="AW139" s="2">
        <v>390</v>
      </c>
      <c r="AX139" s="3" t="str">
        <f>IFERROR(MID(VLOOKUP($B139,Seqs!$A:$B,2,0),AY139,1),"")</f>
        <v>C</v>
      </c>
      <c r="AY139" s="2">
        <v>402</v>
      </c>
      <c r="AZ139" s="78" t="str">
        <f>VLOOKUP(B139,Classification!A:D,2,0)</f>
        <v>A</v>
      </c>
      <c r="BA139" s="95" t="str">
        <f>VLOOKUP(B139,Classification!A:D,4,0)</f>
        <v>Endothelin</v>
      </c>
      <c r="BB139" s="27" t="b">
        <f t="shared" ref="BB139" si="131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313">_xlfn.AGGREGATE(9,6,CH139:CS139)-_xlfn.AGGREGATE(9,6,BV139:CG139)+12</f>
        <v>264</v>
      </c>
      <c r="BD139" s="2" t="s">
        <v>23</v>
      </c>
      <c r="BE139" s="3" t="s">
        <v>1381</v>
      </c>
      <c r="BF139" s="120">
        <v>3.6</v>
      </c>
      <c r="BG139" s="49" t="s">
        <v>1</v>
      </c>
      <c r="BH139" s="49" t="s">
        <v>1</v>
      </c>
      <c r="BI139" s="2"/>
      <c r="BJ139" s="71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1">
        <f t="shared" ref="BV139" si="1314">E139</f>
        <v>92</v>
      </c>
      <c r="BW139" s="72">
        <f t="shared" ref="BW139" si="1315">I139</f>
        <v>130</v>
      </c>
      <c r="BX139" s="73">
        <f t="shared" ref="BX139" si="1316">M139</f>
        <v>135</v>
      </c>
      <c r="BY139" s="72">
        <f t="shared" ref="BY139" si="1317">Q139</f>
        <v>166</v>
      </c>
      <c r="BZ139" s="73">
        <f t="shared" ref="BZ139" si="1318">U139</f>
        <v>171</v>
      </c>
      <c r="CA139" s="72" t="str">
        <f t="shared" ref="CA139" si="1319">Y139</f>
        <v>-</v>
      </c>
      <c r="CB139" s="73">
        <f t="shared" ref="CB139" si="1320">AC139</f>
        <v>216</v>
      </c>
      <c r="CC139" s="72">
        <f t="shared" ref="CC139" si="1321">AG139</f>
        <v>255</v>
      </c>
      <c r="CD139" s="73">
        <f t="shared" ref="CD139" si="1322">AK139</f>
        <v>263</v>
      </c>
      <c r="CE139" s="72">
        <f t="shared" ref="CE139" si="1323">AO139</f>
        <v>312</v>
      </c>
      <c r="CF139" s="73">
        <f t="shared" ref="CF139" si="1324">AS139</f>
        <v>356</v>
      </c>
      <c r="CG139" s="72">
        <f t="shared" ref="CG139" si="1325">AW139</f>
        <v>390</v>
      </c>
      <c r="CH139" s="71">
        <f t="shared" ref="CH139" si="1326">G139</f>
        <v>129</v>
      </c>
      <c r="CI139" s="72">
        <f t="shared" ref="CI139" si="1327">K139</f>
        <v>134</v>
      </c>
      <c r="CJ139" s="73">
        <f t="shared" ref="CJ139" si="1328">O139</f>
        <v>164</v>
      </c>
      <c r="CK139" s="73">
        <f t="shared" ref="CK139" si="1329">S139</f>
        <v>169</v>
      </c>
      <c r="CL139" s="73">
        <f t="shared" ref="CL139" si="1330">W139</f>
        <v>202</v>
      </c>
      <c r="CM139" s="73" t="str">
        <f t="shared" ref="CM139" si="1331">AA139</f>
        <v>-</v>
      </c>
      <c r="CN139" s="73">
        <f t="shared" ref="CN139" si="1332">AE139</f>
        <v>240</v>
      </c>
      <c r="CO139" s="73">
        <f t="shared" ref="CO139" si="1333">AI139</f>
        <v>257</v>
      </c>
      <c r="CP139" s="73">
        <f t="shared" ref="CP139" si="1334">AM139</f>
        <v>303</v>
      </c>
      <c r="CQ139" s="73">
        <f t="shared" ref="CQ139" si="1335">AQ139</f>
        <v>349</v>
      </c>
      <c r="CR139" s="73">
        <f t="shared" ref="CR139" si="1336">AU139</f>
        <v>389</v>
      </c>
      <c r="CS139" s="73">
        <f t="shared" ref="CS139" si="1337">AY139</f>
        <v>402</v>
      </c>
      <c r="CT139" s="23">
        <f t="shared" ref="CT139" si="1338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810"/>
        <v>ffar1_human__wt</v>
      </c>
      <c r="B140" s="3" t="s">
        <v>1173</v>
      </c>
      <c r="C140" s="3" t="s">
        <v>100</v>
      </c>
      <c r="D140" s="3" t="str">
        <f>IFERROR(MID(VLOOKUP($B140,Seqs!$A:$B,2,0),E140,1),"")</f>
        <v>P</v>
      </c>
      <c r="E140" s="3">
        <v>4</v>
      </c>
      <c r="F140" s="3" t="str">
        <f>IFERROR(MID(VLOOKUP($B140,Seqs!$A:$B,2,0),G140,1),"")</f>
        <v>R</v>
      </c>
      <c r="G140" s="3">
        <v>37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T</v>
      </c>
      <c r="M140" s="3">
        <v>39</v>
      </c>
      <c r="N140" s="3" t="str">
        <f>IFERROR(MID(VLOOKUP($B140,Seqs!$A:$B,2,0),O140,1),"")</f>
        <v>S</v>
      </c>
      <c r="O140" s="3">
        <v>69</v>
      </c>
      <c r="P140" s="3" t="str">
        <f>IFERROR(MID(VLOOKUP($B140,Seqs!$A:$B,2,0),Q140,1),"")</f>
        <v>A</v>
      </c>
      <c r="Q140" s="3">
        <v>71</v>
      </c>
      <c r="R140" s="3" t="str">
        <f>IFERROR(MID(VLOOKUP($B140,Seqs!$A:$B,2,0),S140,1),"")</f>
        <v>L</v>
      </c>
      <c r="S140" s="3">
        <v>74</v>
      </c>
      <c r="T140" s="3" t="str">
        <f>IFERROR(MID(VLOOKUP($B140,Seqs!$A:$B,2,0),U140,1),"")</f>
        <v>P</v>
      </c>
      <c r="U140" s="3">
        <v>75</v>
      </c>
      <c r="V140" s="3" t="str">
        <f>IFERROR(MID(VLOOKUP($B140,Seqs!$A:$B,2,0),W140,1),"")</f>
        <v>F</v>
      </c>
      <c r="W140" s="3">
        <v>110</v>
      </c>
      <c r="X140" s="3" t="str">
        <f>IFERROR(MID(VLOOKUP($B140,Seqs!$A:$B,2,0),Y140,1),"")</f>
        <v>P</v>
      </c>
      <c r="Y140" s="3">
        <v>111</v>
      </c>
      <c r="Z140" s="3" t="str">
        <f>IFERROR(MID(VLOOKUP($B140,Seqs!$A:$B,2,0),AA140,1),"")</f>
        <v>R</v>
      </c>
      <c r="AA140" s="3">
        <v>118</v>
      </c>
      <c r="AB140" s="3" t="str">
        <f>IFERROR(MID(VLOOKUP($B140,Seqs!$A:$B,2,0),AC140,1),"")</f>
        <v>R</v>
      </c>
      <c r="AC140" s="9">
        <v>119</v>
      </c>
      <c r="AD140" s="3" t="str">
        <f>IFERROR(MID(VLOOKUP($B140,Seqs!$A:$B,2,0),AE140,1),"")</f>
        <v>A</v>
      </c>
      <c r="AE140" s="3">
        <v>146</v>
      </c>
      <c r="AF140" s="3" t="str">
        <f>IFERROR(MID(VLOOKUP($B140,Seqs!$A:$B,2,0),AG140,1),"")</f>
        <v>C</v>
      </c>
      <c r="AG140" s="3">
        <v>170</v>
      </c>
      <c r="AH140" s="3" t="str">
        <f>IFERROR(MID(VLOOKUP($B140,Seqs!$A:$B,2,0),AI140,1),"")</f>
        <v>E</v>
      </c>
      <c r="AI140" s="3">
        <v>172</v>
      </c>
      <c r="AJ140" s="3" t="str">
        <f>IFERROR(MID(VLOOKUP($B140,Seqs!$A:$B,2,0),AK140,1),"")</f>
        <v>D</v>
      </c>
      <c r="AK140" s="3">
        <v>175</v>
      </c>
      <c r="AL140" s="3" t="str">
        <f>IFERROR(MID(VLOOKUP($B140,Seqs!$A:$B,2,0),AM140,1),"")</f>
        <v>R</v>
      </c>
      <c r="AM140" s="3">
        <v>211</v>
      </c>
      <c r="AN140" s="3" t="str">
        <f>IFERROR(MID(VLOOKUP($B140,Seqs!$A:$B,2,0),AO140,1),"")</f>
        <v>R</v>
      </c>
      <c r="AO140" s="3">
        <v>217</v>
      </c>
      <c r="AP140" s="3" t="str">
        <f>IFERROR(MID(VLOOKUP($B140,Seqs!$A:$B,2,0),AQ140,1),"")</f>
        <v>Y</v>
      </c>
      <c r="AQ140" s="3">
        <v>250</v>
      </c>
      <c r="AR140" s="3" t="str">
        <f>IFERROR(MID(VLOOKUP($B140,Seqs!$A:$B,2,0),AS140,1),"")</f>
        <v>G</v>
      </c>
      <c r="AS140" s="3">
        <v>255</v>
      </c>
      <c r="AT140" s="3" t="str">
        <f>IFERROR(MID(VLOOKUP($B140,Seqs!$A:$B,2,0),AU140,1),"")</f>
        <v>L</v>
      </c>
      <c r="AU140" s="3">
        <v>279</v>
      </c>
      <c r="AV140" s="3" t="str">
        <f>IFERROR(MID(VLOOKUP($B140,Seqs!$A:$B,2,0),AW140,1),"")</f>
        <v>G</v>
      </c>
      <c r="AW140" s="3">
        <v>280</v>
      </c>
      <c r="AX140" s="3" t="str">
        <f>IFERROR(MID(VLOOKUP($B140,Seqs!$A:$B,2,0),AY140,1),"")</f>
        <v>Q</v>
      </c>
      <c r="AY140" s="3">
        <v>294</v>
      </c>
      <c r="AZ140" s="78" t="str">
        <f>VLOOKUP(B140,Classification!A:D,2,0)</f>
        <v>A</v>
      </c>
      <c r="BA140" s="95" t="str">
        <f>VLOOKUP(B140,Classification!A:D,4,0)</f>
        <v>Freefattyacid</v>
      </c>
      <c r="BB140" s="27" t="b">
        <f t="shared" si="811"/>
        <v>1</v>
      </c>
      <c r="BC140" s="23">
        <f t="shared" si="1257"/>
        <v>256</v>
      </c>
      <c r="BD140" s="34" t="s">
        <v>1379</v>
      </c>
      <c r="BE140" s="3" t="s">
        <v>23</v>
      </c>
      <c r="BF140" s="120" t="s">
        <v>23</v>
      </c>
      <c r="BG140" s="49" t="s">
        <v>1379</v>
      </c>
      <c r="BH140" s="49" t="s">
        <v>1384</v>
      </c>
      <c r="BI140" s="1"/>
      <c r="BJ140" s="71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1">
        <f t="shared" si="1258"/>
        <v>4</v>
      </c>
      <c r="BW140" s="72" t="str">
        <f t="shared" si="1259"/>
        <v>-</v>
      </c>
      <c r="BX140" s="73">
        <f t="shared" si="1260"/>
        <v>39</v>
      </c>
      <c r="BY140" s="72">
        <f t="shared" si="1261"/>
        <v>71</v>
      </c>
      <c r="BZ140" s="73">
        <f t="shared" si="1262"/>
        <v>75</v>
      </c>
      <c r="CA140" s="72">
        <f t="shared" si="1263"/>
        <v>111</v>
      </c>
      <c r="CB140" s="73">
        <f t="shared" si="1264"/>
        <v>119</v>
      </c>
      <c r="CC140" s="72">
        <f t="shared" si="1265"/>
        <v>170</v>
      </c>
      <c r="CD140" s="73">
        <f t="shared" si="1266"/>
        <v>175</v>
      </c>
      <c r="CE140" s="72">
        <f t="shared" si="1267"/>
        <v>217</v>
      </c>
      <c r="CF140" s="73">
        <f t="shared" si="1268"/>
        <v>255</v>
      </c>
      <c r="CG140" s="72">
        <f t="shared" si="1269"/>
        <v>280</v>
      </c>
      <c r="CH140" s="71">
        <f t="shared" si="1270"/>
        <v>37</v>
      </c>
      <c r="CI140" s="72" t="str">
        <f t="shared" si="1271"/>
        <v>-</v>
      </c>
      <c r="CJ140" s="73">
        <f t="shared" si="1272"/>
        <v>69</v>
      </c>
      <c r="CK140" s="73">
        <f t="shared" si="1273"/>
        <v>74</v>
      </c>
      <c r="CL140" s="73">
        <f t="shared" si="1274"/>
        <v>110</v>
      </c>
      <c r="CM140" s="73">
        <f t="shared" si="1275"/>
        <v>118</v>
      </c>
      <c r="CN140" s="73">
        <f t="shared" si="1276"/>
        <v>146</v>
      </c>
      <c r="CO140" s="73">
        <f t="shared" si="1277"/>
        <v>172</v>
      </c>
      <c r="CP140" s="73">
        <f t="shared" si="1278"/>
        <v>211</v>
      </c>
      <c r="CQ140" s="73">
        <f t="shared" si="1279"/>
        <v>250</v>
      </c>
      <c r="CR140" s="73">
        <f t="shared" si="1280"/>
        <v>279</v>
      </c>
      <c r="CS140" s="73">
        <f t="shared" si="1281"/>
        <v>294</v>
      </c>
      <c r="CT140" s="23" t="e">
        <f t="shared" si="1282"/>
        <v>#VALUE!</v>
      </c>
    </row>
    <row r="141" spans="1:1029" x14ac:dyDescent="0.2">
      <c r="A141" s="3" t="str">
        <f t="shared" si="810"/>
        <v>ffar1_human_4PHU</v>
      </c>
      <c r="B141" s="3" t="s">
        <v>1173</v>
      </c>
      <c r="C141" s="3" t="s">
        <v>52</v>
      </c>
      <c r="D141" s="3" t="str">
        <f>IFERROR(MID(VLOOKUP($B141,Seqs!$A:$B,2,0),E141,1),"")</f>
        <v>P</v>
      </c>
      <c r="E141" s="3">
        <v>4</v>
      </c>
      <c r="F141" s="3" t="str">
        <f>IFERROR(MID(VLOOKUP($B141,Seqs!$A:$B,2,0),G141,1),"")</f>
        <v>R</v>
      </c>
      <c r="G141" s="3">
        <v>37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T</v>
      </c>
      <c r="M141" s="3">
        <v>39</v>
      </c>
      <c r="N141" s="3" t="str">
        <f>IFERROR(MID(VLOOKUP($B141,Seqs!$A:$B,2,0),O141,1),"")</f>
        <v>S</v>
      </c>
      <c r="O141" s="3">
        <v>69</v>
      </c>
      <c r="P141" s="3" t="str">
        <f>IFERROR(MID(VLOOKUP($B141,Seqs!$A:$B,2,0),Q141,1),"")</f>
        <v>A</v>
      </c>
      <c r="Q141" s="3">
        <v>71</v>
      </c>
      <c r="R141" s="3" t="str">
        <f>IFERROR(MID(VLOOKUP($B141,Seqs!$A:$B,2,0),S141,1),"")</f>
        <v>L</v>
      </c>
      <c r="S141" s="3">
        <v>74</v>
      </c>
      <c r="T141" s="3" t="str">
        <f>IFERROR(MID(VLOOKUP($B141,Seqs!$A:$B,2,0),U141,1),"")</f>
        <v>P</v>
      </c>
      <c r="U141" s="3">
        <v>75</v>
      </c>
      <c r="V141" s="3" t="str">
        <f>IFERROR(MID(VLOOKUP($B141,Seqs!$A:$B,2,0),W141,1),"")</f>
        <v>F</v>
      </c>
      <c r="W141" s="3">
        <v>110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C</v>
      </c>
      <c r="AC141" s="9">
        <v>121</v>
      </c>
      <c r="AD141" s="3" t="str">
        <f>IFERROR(MID(VLOOKUP($B141,Seqs!$A:$B,2,0),AE141,1),"")</f>
        <v>A</v>
      </c>
      <c r="AE141" s="3">
        <v>146</v>
      </c>
      <c r="AF141" s="3" t="str">
        <f>IFERROR(MID(VLOOKUP($B141,Seqs!$A:$B,2,0),AG141,1),"")</f>
        <v>C</v>
      </c>
      <c r="AG141" s="3">
        <v>170</v>
      </c>
      <c r="AH141" s="3" t="str">
        <f>IFERROR(MID(VLOOKUP($B141,Seqs!$A:$B,2,0),AI141,1),"")</f>
        <v>E</v>
      </c>
      <c r="AI141" s="3">
        <v>172</v>
      </c>
      <c r="AJ141" s="3" t="str">
        <f>IFERROR(MID(VLOOKUP($B141,Seqs!$A:$B,2,0),AK141,1),"")</f>
        <v>D</v>
      </c>
      <c r="AK141" s="3">
        <v>175</v>
      </c>
      <c r="AL141" s="3" t="str">
        <f>IFERROR(MID(VLOOKUP($B141,Seqs!$A:$B,2,0),AM141,1),"")</f>
        <v>A</v>
      </c>
      <c r="AM141" s="3">
        <v>210</v>
      </c>
      <c r="AN141" s="3" t="str">
        <f>IFERROR(MID(VLOOKUP($B141,Seqs!$A:$B,2,0),AO141,1),"")</f>
        <v>L</v>
      </c>
      <c r="AO141" s="3">
        <v>214</v>
      </c>
      <c r="AP141" s="3" t="str">
        <f>IFERROR(MID(VLOOKUP($B141,Seqs!$A:$B,2,0),AQ141,1),"")</f>
        <v>Y</v>
      </c>
      <c r="AQ141" s="3">
        <v>250</v>
      </c>
      <c r="AR141" s="3" t="str">
        <f>IFERROR(MID(VLOOKUP($B141,Seqs!$A:$B,2,0),AS141,1),"")</f>
        <v>G</v>
      </c>
      <c r="AS141" s="3">
        <v>255</v>
      </c>
      <c r="AT141" s="3" t="str">
        <f>IFERROR(MID(VLOOKUP($B141,Seqs!$A:$B,2,0),AU141,1),"")</f>
        <v>T</v>
      </c>
      <c r="AU141" s="3">
        <v>276</v>
      </c>
      <c r="AV141" s="3" t="str">
        <f>IFERROR(MID(VLOOKUP($B141,Seqs!$A:$B,2,0),AW141,1),"")</f>
        <v/>
      </c>
      <c r="AW141" s="3" t="s">
        <v>23</v>
      </c>
      <c r="AX141" s="3" t="str">
        <f>IFERROR(MID(VLOOKUP($B141,Seqs!$A:$B,2,0),AY141,1),"")</f>
        <v/>
      </c>
      <c r="AY141" s="3" t="s">
        <v>23</v>
      </c>
      <c r="AZ141" s="78" t="str">
        <f>VLOOKUP(B141,Classification!A:D,2,0)</f>
        <v>A</v>
      </c>
      <c r="BA141" s="95" t="str">
        <f>VLOOKUP(B141,Classification!A:D,4,0)</f>
        <v>Freefattyacid</v>
      </c>
      <c r="BB141" s="27" t="b">
        <f t="shared" si="811"/>
        <v>1</v>
      </c>
      <c r="BC141" s="23">
        <f t="shared" si="1257"/>
        <v>232</v>
      </c>
      <c r="BD141" s="16" t="s">
        <v>23</v>
      </c>
      <c r="BE141" s="3" t="s">
        <v>1439</v>
      </c>
      <c r="BF141" s="120">
        <v>2.33</v>
      </c>
      <c r="BG141" s="49" t="s">
        <v>1384</v>
      </c>
      <c r="BH141" s="49" t="s">
        <v>1384</v>
      </c>
      <c r="BI141" s="1"/>
      <c r="BJ141" s="71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1">
        <f t="shared" si="1258"/>
        <v>4</v>
      </c>
      <c r="BW141" s="72" t="str">
        <f t="shared" si="1259"/>
        <v>-</v>
      </c>
      <c r="BX141" s="73">
        <f t="shared" si="1260"/>
        <v>39</v>
      </c>
      <c r="BY141" s="72">
        <f t="shared" si="1261"/>
        <v>71</v>
      </c>
      <c r="BZ141" s="73">
        <f t="shared" si="1262"/>
        <v>75</v>
      </c>
      <c r="CA141" s="72" t="str">
        <f t="shared" si="1263"/>
        <v>-</v>
      </c>
      <c r="CB141" s="73">
        <f t="shared" si="1264"/>
        <v>121</v>
      </c>
      <c r="CC141" s="72">
        <f t="shared" si="1265"/>
        <v>170</v>
      </c>
      <c r="CD141" s="73">
        <f t="shared" si="1266"/>
        <v>175</v>
      </c>
      <c r="CE141" s="72">
        <f t="shared" si="1267"/>
        <v>214</v>
      </c>
      <c r="CF141" s="73">
        <f t="shared" si="1268"/>
        <v>255</v>
      </c>
      <c r="CG141" s="72" t="str">
        <f t="shared" si="1269"/>
        <v>-</v>
      </c>
      <c r="CH141" s="71">
        <f t="shared" si="1270"/>
        <v>37</v>
      </c>
      <c r="CI141" s="72" t="str">
        <f t="shared" si="1271"/>
        <v>-</v>
      </c>
      <c r="CJ141" s="73">
        <f t="shared" si="1272"/>
        <v>69</v>
      </c>
      <c r="CK141" s="73">
        <f t="shared" si="1273"/>
        <v>74</v>
      </c>
      <c r="CL141" s="73">
        <f t="shared" si="1274"/>
        <v>110</v>
      </c>
      <c r="CM141" s="73" t="str">
        <f t="shared" si="1275"/>
        <v>-</v>
      </c>
      <c r="CN141" s="73">
        <f t="shared" si="1276"/>
        <v>146</v>
      </c>
      <c r="CO141" s="73">
        <f t="shared" si="1277"/>
        <v>172</v>
      </c>
      <c r="CP141" s="73">
        <f t="shared" si="1278"/>
        <v>210</v>
      </c>
      <c r="CQ141" s="73">
        <f t="shared" si="1279"/>
        <v>250</v>
      </c>
      <c r="CR141" s="73">
        <f t="shared" si="1280"/>
        <v>276</v>
      </c>
      <c r="CS141" s="73" t="str">
        <f t="shared" si="1281"/>
        <v>-</v>
      </c>
      <c r="CT141" s="23" t="e">
        <f t="shared" si="1282"/>
        <v>#VALUE!</v>
      </c>
    </row>
    <row r="142" spans="1:1029" x14ac:dyDescent="0.2">
      <c r="A142" s="3" t="str">
        <f t="shared" ref="A142" si="1339">CONCATENATE(B142,"_",C142)</f>
        <v>ffar1_human_5TZR</v>
      </c>
      <c r="B142" s="3" t="s">
        <v>1173</v>
      </c>
      <c r="C142" s="3" t="s">
        <v>1426</v>
      </c>
      <c r="D142" s="3" t="str">
        <f>IFERROR(MID(VLOOKUP($B142,Seqs!$A:$B,2,0),E142,1),"")</f>
        <v>P</v>
      </c>
      <c r="E142" s="3">
        <v>4</v>
      </c>
      <c r="F142" s="3" t="str">
        <f>IFERROR(MID(VLOOKUP($B142,Seqs!$A:$B,2,0),G142,1),"")</f>
        <v>R</v>
      </c>
      <c r="G142" s="3">
        <v>37</v>
      </c>
      <c r="H142" s="3" t="str">
        <f>IFERROR(MID(VLOOKUP($B142,Seqs!$A:$B,2,0),I142,1),"")</f>
        <v/>
      </c>
      <c r="I142" s="23" t="s">
        <v>23</v>
      </c>
      <c r="J142" s="3" t="str">
        <f>IFERROR(MID(VLOOKUP($B142,Seqs!$A:$B,2,0),K142,1),"")</f>
        <v/>
      </c>
      <c r="K142" s="23" t="s">
        <v>23</v>
      </c>
      <c r="L142" s="3" t="str">
        <f>IFERROR(MID(VLOOKUP($B142,Seqs!$A:$B,2,0),M142,1),"")</f>
        <v>T</v>
      </c>
      <c r="M142" s="3">
        <v>39</v>
      </c>
      <c r="N142" s="3" t="str">
        <f>IFERROR(MID(VLOOKUP($B142,Seqs!$A:$B,2,0),O142,1),"")</f>
        <v>S</v>
      </c>
      <c r="O142" s="3">
        <v>69</v>
      </c>
      <c r="P142" s="3" t="str">
        <f>IFERROR(MID(VLOOKUP($B142,Seqs!$A:$B,2,0),Q142,1),"")</f>
        <v>A</v>
      </c>
      <c r="Q142" s="3">
        <v>71</v>
      </c>
      <c r="R142" s="3" t="str">
        <f>IFERROR(MID(VLOOKUP($B142,Seqs!$A:$B,2,0),S142,1),"")</f>
        <v>L</v>
      </c>
      <c r="S142" s="3">
        <v>74</v>
      </c>
      <c r="T142" s="3" t="str">
        <f>IFERROR(MID(VLOOKUP($B142,Seqs!$A:$B,2,0),U142,1),"")</f>
        <v>P</v>
      </c>
      <c r="U142" s="3">
        <v>75</v>
      </c>
      <c r="V142" s="3" t="str">
        <f>IFERROR(MID(VLOOKUP($B142,Seqs!$A:$B,2,0),W142,1),"")</f>
        <v>F</v>
      </c>
      <c r="W142" s="3">
        <v>110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C</v>
      </c>
      <c r="AC142" s="3">
        <v>121</v>
      </c>
      <c r="AD142" s="3" t="str">
        <f>IFERROR(MID(VLOOKUP($B142,Seqs!$A:$B,2,0),AE142,1),"")</f>
        <v>A</v>
      </c>
      <c r="AE142" s="3">
        <v>146</v>
      </c>
      <c r="AF142" s="3" t="str">
        <f>IFERROR(MID(VLOOKUP($B142,Seqs!$A:$B,2,0),AG142,1),"")</f>
        <v>C</v>
      </c>
      <c r="AG142" s="3">
        <v>170</v>
      </c>
      <c r="AH142" s="3" t="str">
        <f>IFERROR(MID(VLOOKUP($B142,Seqs!$A:$B,2,0),AI142,1),"")</f>
        <v>E</v>
      </c>
      <c r="AI142" s="3">
        <v>172</v>
      </c>
      <c r="AJ142" s="3" t="str">
        <f>IFERROR(MID(VLOOKUP($B142,Seqs!$A:$B,2,0),AK142,1),"")</f>
        <v>D</v>
      </c>
      <c r="AK142" s="3">
        <v>175</v>
      </c>
      <c r="AL142" s="3" t="str">
        <f>IFERROR(MID(VLOOKUP($B142,Seqs!$A:$B,2,0),AM142,1),"")</f>
        <v>R</v>
      </c>
      <c r="AM142" s="3">
        <v>211</v>
      </c>
      <c r="AN142" s="3" t="str">
        <f>IFERROR(MID(VLOOKUP($B142,Seqs!$A:$B,2,0),AO142,1),"")</f>
        <v>L</v>
      </c>
      <c r="AO142" s="3">
        <v>214</v>
      </c>
      <c r="AP142" s="3" t="str">
        <f>IFERROR(MID(VLOOKUP($B142,Seqs!$A:$B,2,0),AQ142,1),"")</f>
        <v>Y</v>
      </c>
      <c r="AQ142" s="3">
        <v>250</v>
      </c>
      <c r="AR142" s="3" t="str">
        <f>IFERROR(MID(VLOOKUP($B142,Seqs!$A:$B,2,0),AS142,1),"")</f>
        <v>G</v>
      </c>
      <c r="AS142" s="3">
        <v>255</v>
      </c>
      <c r="AT142" s="3" t="str">
        <f>IFERROR(MID(VLOOKUP($B142,Seqs!$A:$B,2,0),AU142,1),"")</f>
        <v>T</v>
      </c>
      <c r="AU142" s="3">
        <v>276</v>
      </c>
      <c r="AV142" s="3" t="str">
        <f>IFERROR(MID(VLOOKUP($B142,Seqs!$A:$B,2,0),AW142,1),"")</f>
        <v/>
      </c>
      <c r="AW142" s="3" t="s">
        <v>23</v>
      </c>
      <c r="AX142" s="3" t="str">
        <f>IFERROR(MID(VLOOKUP($B142,Seqs!$A:$B,2,0),AY142,1),"")</f>
        <v/>
      </c>
      <c r="AY142" s="3" t="s">
        <v>23</v>
      </c>
      <c r="AZ142" s="78" t="str">
        <f>VLOOKUP(B142,Classification!A:D,2,0)</f>
        <v>A</v>
      </c>
      <c r="BA142" s="95" t="str">
        <f>VLOOKUP(B142,Classification!A:D,4,0)</f>
        <v>Freefattyacid</v>
      </c>
      <c r="BB142" s="27" t="b">
        <f t="shared" ref="BB142" si="1340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1341">_xlfn.AGGREGATE(9,6,CH142:CS142)-_xlfn.AGGREGATE(9,6,BV142:CG142)+12</f>
        <v>233</v>
      </c>
      <c r="BD142" s="16" t="s">
        <v>23</v>
      </c>
      <c r="BE142" s="3" t="s">
        <v>1439</v>
      </c>
      <c r="BF142" s="120">
        <v>2.2000000000000002</v>
      </c>
      <c r="BG142" s="49" t="s">
        <v>1</v>
      </c>
      <c r="BH142" s="49" t="s">
        <v>1</v>
      </c>
      <c r="BI142" s="1"/>
      <c r="BJ142" s="71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1">
        <f t="shared" ref="BV142" si="1342">E142</f>
        <v>4</v>
      </c>
      <c r="BW142" s="72" t="str">
        <f t="shared" ref="BW142" si="1343">I142</f>
        <v>-</v>
      </c>
      <c r="BX142" s="73">
        <f t="shared" ref="BX142" si="1344">M142</f>
        <v>39</v>
      </c>
      <c r="BY142" s="72">
        <f t="shared" ref="BY142" si="1345">Q142</f>
        <v>71</v>
      </c>
      <c r="BZ142" s="73">
        <f t="shared" ref="BZ142" si="1346">U142</f>
        <v>75</v>
      </c>
      <c r="CA142" s="72" t="str">
        <f t="shared" ref="CA142" si="1347">Y142</f>
        <v>-</v>
      </c>
      <c r="CB142" s="73">
        <f t="shared" ref="CB142" si="1348">AC142</f>
        <v>121</v>
      </c>
      <c r="CC142" s="72">
        <f t="shared" ref="CC142" si="1349">AG142</f>
        <v>170</v>
      </c>
      <c r="CD142" s="73">
        <f t="shared" ref="CD142" si="1350">AK142</f>
        <v>175</v>
      </c>
      <c r="CE142" s="72">
        <f t="shared" ref="CE142" si="1351">AO142</f>
        <v>214</v>
      </c>
      <c r="CF142" s="73">
        <f t="shared" ref="CF142" si="1352">AS142</f>
        <v>255</v>
      </c>
      <c r="CG142" s="72" t="str">
        <f t="shared" ref="CG142" si="1353">AW142</f>
        <v>-</v>
      </c>
      <c r="CH142" s="71">
        <f t="shared" ref="CH142" si="1354">G142</f>
        <v>37</v>
      </c>
      <c r="CI142" s="72" t="str">
        <f t="shared" ref="CI142" si="1355">K142</f>
        <v>-</v>
      </c>
      <c r="CJ142" s="73">
        <f t="shared" ref="CJ142" si="1356">O142</f>
        <v>69</v>
      </c>
      <c r="CK142" s="73">
        <f t="shared" ref="CK142" si="1357">S142</f>
        <v>74</v>
      </c>
      <c r="CL142" s="73">
        <f t="shared" ref="CL142" si="1358">W142</f>
        <v>110</v>
      </c>
      <c r="CM142" s="73" t="str">
        <f t="shared" ref="CM142" si="1359">AA142</f>
        <v>-</v>
      </c>
      <c r="CN142" s="73">
        <f t="shared" ref="CN142" si="1360">AE142</f>
        <v>146</v>
      </c>
      <c r="CO142" s="73">
        <f t="shared" ref="CO142" si="1361">AI142</f>
        <v>172</v>
      </c>
      <c r="CP142" s="73">
        <f t="shared" ref="CP142" si="1362">AM142</f>
        <v>211</v>
      </c>
      <c r="CQ142" s="73">
        <f t="shared" ref="CQ142" si="1363">AQ142</f>
        <v>250</v>
      </c>
      <c r="CR142" s="73">
        <f t="shared" ref="CR142" si="1364">AU142</f>
        <v>276</v>
      </c>
      <c r="CS142" s="73" t="str">
        <f t="shared" ref="CS142" si="1365">AY142</f>
        <v>-</v>
      </c>
      <c r="CT142" s="23" t="e">
        <f t="shared" ref="CT142" si="1366">M142-K142</f>
        <v>#VALUE!</v>
      </c>
    </row>
    <row r="143" spans="1:1029" x14ac:dyDescent="0.2">
      <c r="A143" s="3" t="str">
        <f t="shared" ref="A143" si="1367">CONCATENATE(B143,"_",C143)</f>
        <v>ffar1_human_5TZY</v>
      </c>
      <c r="B143" s="3" t="s">
        <v>1173</v>
      </c>
      <c r="C143" s="3" t="s">
        <v>1427</v>
      </c>
      <c r="D143" s="3" t="str">
        <f>IFERROR(MID(VLOOKUP($B143,Seqs!$A:$B,2,0),E143,1),"")</f>
        <v>P</v>
      </c>
      <c r="E143" s="3">
        <v>4</v>
      </c>
      <c r="F143" s="3" t="str">
        <f>IFERROR(MID(VLOOKUP($B143,Seqs!$A:$B,2,0),G143,1),"")</f>
        <v>R</v>
      </c>
      <c r="G143" s="3">
        <v>37</v>
      </c>
      <c r="H143" s="3" t="str">
        <f>IFERROR(MID(VLOOKUP($B143,Seqs!$A:$B,2,0),I143,1),"")</f>
        <v/>
      </c>
      <c r="I143" s="23" t="s">
        <v>23</v>
      </c>
      <c r="J143" s="3" t="str">
        <f>IFERROR(MID(VLOOKUP($B143,Seqs!$A:$B,2,0),K143,1),"")</f>
        <v/>
      </c>
      <c r="K143" s="23" t="s">
        <v>23</v>
      </c>
      <c r="L143" s="3" t="str">
        <f>IFERROR(MID(VLOOKUP($B143,Seqs!$A:$B,2,0),M143,1),"")</f>
        <v>T</v>
      </c>
      <c r="M143" s="3">
        <v>39</v>
      </c>
      <c r="N143" s="3" t="str">
        <f>IFERROR(MID(VLOOKUP($B143,Seqs!$A:$B,2,0),O143,1),"")</f>
        <v>A</v>
      </c>
      <c r="O143" s="3">
        <v>68</v>
      </c>
      <c r="P143" s="3" t="str">
        <f>IFERROR(MID(VLOOKUP($B143,Seqs!$A:$B,2,0),Q143,1),"")</f>
        <v>A</v>
      </c>
      <c r="Q143" s="3">
        <v>71</v>
      </c>
      <c r="R143" s="3" t="str">
        <f>IFERROR(MID(VLOOKUP($B143,Seqs!$A:$B,2,0),S143,1),"")</f>
        <v>L</v>
      </c>
      <c r="S143" s="3">
        <v>74</v>
      </c>
      <c r="T143" s="3" t="str">
        <f>IFERROR(MID(VLOOKUP($B143,Seqs!$A:$B,2,0),U143,1),"")</f>
        <v>P</v>
      </c>
      <c r="U143" s="3">
        <v>75</v>
      </c>
      <c r="V143" s="3" t="str">
        <f>IFERROR(MID(VLOOKUP($B143,Seqs!$A:$B,2,0),W143,1),"")</f>
        <v>F</v>
      </c>
      <c r="W143" s="3">
        <v>110</v>
      </c>
      <c r="X143" s="3" t="str">
        <f>IFERROR(MID(VLOOKUP($B143,Seqs!$A:$B,2,0),Y143,1),"")</f>
        <v>P</v>
      </c>
      <c r="Y143" s="3">
        <v>111</v>
      </c>
      <c r="Z143" s="3" t="str">
        <f>IFERROR(MID(VLOOKUP($B143,Seqs!$A:$B,2,0),AA143,1),"")</f>
        <v>R</v>
      </c>
      <c r="AA143" s="3">
        <v>118</v>
      </c>
      <c r="AB143" s="3" t="str">
        <f>IFERROR(MID(VLOOKUP($B143,Seqs!$A:$B,2,0),AC143,1),"")</f>
        <v>R</v>
      </c>
      <c r="AC143" s="3">
        <v>119</v>
      </c>
      <c r="AD143" s="3" t="str">
        <f>IFERROR(MID(VLOOKUP($B143,Seqs!$A:$B,2,0),AE143,1),"")</f>
        <v>A</v>
      </c>
      <c r="AE143" s="3">
        <v>146</v>
      </c>
      <c r="AF143" s="3" t="str">
        <f>IFERROR(MID(VLOOKUP($B143,Seqs!$A:$B,2,0),AG143,1),"")</f>
        <v>C</v>
      </c>
      <c r="AG143" s="3">
        <v>170</v>
      </c>
      <c r="AH143" s="3" t="str">
        <f>IFERROR(MID(VLOOKUP($B143,Seqs!$A:$B,2,0),AI143,1),"")</f>
        <v>E</v>
      </c>
      <c r="AI143" s="3">
        <v>172</v>
      </c>
      <c r="AJ143" s="3" t="str">
        <f>IFERROR(MID(VLOOKUP($B143,Seqs!$A:$B,2,0),AK143,1),"")</f>
        <v>D</v>
      </c>
      <c r="AK143" s="3">
        <v>175</v>
      </c>
      <c r="AL143" s="3" t="str">
        <f>IFERROR(MID(VLOOKUP($B143,Seqs!$A:$B,2,0),AM143,1),"")</f>
        <v>R</v>
      </c>
      <c r="AM143" s="3">
        <v>211</v>
      </c>
      <c r="AN143" s="3" t="str">
        <f>IFERROR(MID(VLOOKUP($B143,Seqs!$A:$B,2,0),AO143,1),"")</f>
        <v>T</v>
      </c>
      <c r="AO143" s="3">
        <v>215</v>
      </c>
      <c r="AP143" s="3" t="str">
        <f>IFERROR(MID(VLOOKUP($B143,Seqs!$A:$B,2,0),AQ143,1),"")</f>
        <v>Y</v>
      </c>
      <c r="AQ143" s="3">
        <v>250</v>
      </c>
      <c r="AR143" s="3" t="str">
        <f>IFERROR(MID(VLOOKUP($B143,Seqs!$A:$B,2,0),AS143,1),"")</f>
        <v>G</v>
      </c>
      <c r="AS143" s="3">
        <v>254</v>
      </c>
      <c r="AT143" s="3" t="str">
        <f>IFERROR(MID(VLOOKUP($B143,Seqs!$A:$B,2,0),AU143,1),"")</f>
        <v>G</v>
      </c>
      <c r="AU143" s="3">
        <v>277</v>
      </c>
      <c r="AV143" s="3" t="str">
        <f>IFERROR(MID(VLOOKUP($B143,Seqs!$A:$B,2,0),AW143,1),"")</f>
        <v/>
      </c>
      <c r="AW143" s="3" t="s">
        <v>23</v>
      </c>
      <c r="AX143" s="3" t="str">
        <f>IFERROR(MID(VLOOKUP($B143,Seqs!$A:$B,2,0),AY143,1),"")</f>
        <v/>
      </c>
      <c r="AY143" s="3" t="s">
        <v>23</v>
      </c>
      <c r="AZ143" s="78" t="str">
        <f>VLOOKUP(B143,Classification!A:D,2,0)</f>
        <v>A</v>
      </c>
      <c r="BA143" s="95" t="str">
        <f>VLOOKUP(B143,Classification!A:D,4,0)</f>
        <v>Freefattyacid</v>
      </c>
      <c r="BB143" s="27" t="b">
        <f t="shared" ref="BB143" si="1368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 t="shared" ref="BC143" si="1369">_xlfn.AGGREGATE(9,6,CH143:CS143)-_xlfn.AGGREGATE(9,6,BV143:CG143)+12</f>
        <v>242</v>
      </c>
      <c r="BD143" s="16" t="s">
        <v>1440</v>
      </c>
      <c r="BE143" s="3" t="s">
        <v>1439</v>
      </c>
      <c r="BF143" s="120">
        <v>3.22</v>
      </c>
      <c r="BG143" s="49" t="s">
        <v>1</v>
      </c>
      <c r="BH143" s="49" t="s">
        <v>1</v>
      </c>
      <c r="BI143" s="1"/>
      <c r="BJ143" s="71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1">
        <f t="shared" ref="BV143" si="1370">E143</f>
        <v>4</v>
      </c>
      <c r="BW143" s="72" t="str">
        <f t="shared" ref="BW143" si="1371">I143</f>
        <v>-</v>
      </c>
      <c r="BX143" s="73">
        <f t="shared" ref="BX143" si="1372">M143</f>
        <v>39</v>
      </c>
      <c r="BY143" s="72">
        <f t="shared" ref="BY143" si="1373">Q143</f>
        <v>71</v>
      </c>
      <c r="BZ143" s="73">
        <f t="shared" ref="BZ143" si="1374">U143</f>
        <v>75</v>
      </c>
      <c r="CA143" s="72">
        <f t="shared" ref="CA143" si="1375">Y143</f>
        <v>111</v>
      </c>
      <c r="CB143" s="73">
        <f t="shared" ref="CB143" si="1376">AC143</f>
        <v>119</v>
      </c>
      <c r="CC143" s="72">
        <f t="shared" ref="CC143" si="1377">AG143</f>
        <v>170</v>
      </c>
      <c r="CD143" s="73">
        <f t="shared" ref="CD143" si="1378">AK143</f>
        <v>175</v>
      </c>
      <c r="CE143" s="72">
        <f t="shared" ref="CE143" si="1379">AO143</f>
        <v>215</v>
      </c>
      <c r="CF143" s="73">
        <f t="shared" ref="CF143" si="1380">AS143</f>
        <v>254</v>
      </c>
      <c r="CG143" s="72" t="str">
        <f t="shared" ref="CG143" si="1381">AW143</f>
        <v>-</v>
      </c>
      <c r="CH143" s="71">
        <f t="shared" ref="CH143" si="1382">G143</f>
        <v>37</v>
      </c>
      <c r="CI143" s="72" t="str">
        <f t="shared" ref="CI143" si="1383">K143</f>
        <v>-</v>
      </c>
      <c r="CJ143" s="73">
        <f t="shared" ref="CJ143" si="1384">O143</f>
        <v>68</v>
      </c>
      <c r="CK143" s="73">
        <f t="shared" ref="CK143" si="1385">S143</f>
        <v>74</v>
      </c>
      <c r="CL143" s="73">
        <f t="shared" ref="CL143" si="1386">W143</f>
        <v>110</v>
      </c>
      <c r="CM143" s="73">
        <f t="shared" ref="CM143" si="1387">AA143</f>
        <v>118</v>
      </c>
      <c r="CN143" s="73">
        <f t="shared" ref="CN143" si="1388">AE143</f>
        <v>146</v>
      </c>
      <c r="CO143" s="73">
        <f t="shared" ref="CO143" si="1389">AI143</f>
        <v>172</v>
      </c>
      <c r="CP143" s="73">
        <f t="shared" ref="CP143" si="1390">AM143</f>
        <v>211</v>
      </c>
      <c r="CQ143" s="73">
        <f t="shared" ref="CQ143" si="1391">AQ143</f>
        <v>250</v>
      </c>
      <c r="CR143" s="73">
        <f t="shared" ref="CR143" si="1392">AU143</f>
        <v>277</v>
      </c>
      <c r="CS143" s="73" t="str">
        <f t="shared" ref="CS143" si="1393">AY143</f>
        <v>-</v>
      </c>
      <c r="CT143" s="23" t="e">
        <f t="shared" ref="CT143" si="1394">M143-K143</f>
        <v>#VALUE!</v>
      </c>
    </row>
    <row r="144" spans="1:1029" x14ac:dyDescent="0.2">
      <c r="A144" s="3" t="str">
        <f t="shared" si="810"/>
        <v>hrh1_human__wt</v>
      </c>
      <c r="B144" s="3" t="s">
        <v>278</v>
      </c>
      <c r="C144" s="3" t="s">
        <v>100</v>
      </c>
      <c r="D144" s="3" t="str">
        <f>IFERROR(MID(VLOOKUP($B144,Seqs!$A:$B,2,0),E144,1),"")</f>
        <v>P</v>
      </c>
      <c r="E144" s="3">
        <v>29</v>
      </c>
      <c r="F144" s="3" t="str">
        <f>IFERROR(MID(VLOOKUP($B144,Seqs!$A:$B,2,0),G144,1),"")</f>
        <v>E</v>
      </c>
      <c r="G144" s="3">
        <v>55</v>
      </c>
      <c r="H144" s="3" t="str">
        <f>IFERROR(MID(VLOOKUP($B144,Seqs!$A:$B,2,0),I144,1),"")</f>
        <v>R</v>
      </c>
      <c r="I144" s="23">
        <v>56</v>
      </c>
      <c r="J144" s="3" t="str">
        <f>IFERROR(MID(VLOOKUP($B144,Seqs!$A:$B,2,0),K144,1),"")</f>
        <v>H</v>
      </c>
      <c r="K144" s="23">
        <v>59</v>
      </c>
      <c r="L144" s="3" t="str">
        <f>IFERROR(MID(VLOOKUP($B144,Seqs!$A:$B,2,0),M144,1),"")</f>
        <v>T</v>
      </c>
      <c r="M144" s="3">
        <v>60</v>
      </c>
      <c r="N144" s="3" t="str">
        <f>IFERROR(MID(VLOOKUP($B144,Seqs!$A:$B,2,0),O144,1),"")</f>
        <v>M</v>
      </c>
      <c r="O144" s="3">
        <v>90</v>
      </c>
      <c r="P144" s="3" t="str">
        <f>IFERROR(MID(VLOOKUP($B144,Seqs!$A:$B,2,0),Q144,1),"")</f>
        <v>K</v>
      </c>
      <c r="Q144" s="3">
        <v>92</v>
      </c>
      <c r="R144" s="3" t="str">
        <f>IFERROR(MID(VLOOKUP($B144,Seqs!$A:$B,2,0),S144,1),"")</f>
        <v>L</v>
      </c>
      <c r="S144" s="3">
        <v>95</v>
      </c>
      <c r="T144" s="3" t="str">
        <f>IFERROR(MID(VLOOKUP($B144,Seqs!$A:$B,2,0),U144,1),"")</f>
        <v>G</v>
      </c>
      <c r="U144" s="3">
        <v>96</v>
      </c>
      <c r="V144" s="3" t="str">
        <f>IFERROR(MID(VLOOKUP($B144,Seqs!$A:$B,2,0),W144,1),"")</f>
        <v>Q</v>
      </c>
      <c r="W144" s="3">
        <v>131</v>
      </c>
      <c r="X144" s="3" t="str">
        <f>IFERROR(MID(VLOOKUP($B144,Seqs!$A:$B,2,0),Y144,1),"")</f>
        <v>P</v>
      </c>
      <c r="Y144" s="3">
        <v>132</v>
      </c>
      <c r="Z144" s="3" t="str">
        <f>IFERROR(MID(VLOOKUP($B144,Seqs!$A:$B,2,0),AA144,1),"")</f>
        <v>R</v>
      </c>
      <c r="AA144" s="3">
        <v>139</v>
      </c>
      <c r="AB144" s="3" t="str">
        <f>IFERROR(MID(VLOOKUP($B144,Seqs!$A:$B,2,0),AC144,1),"")</f>
        <v>T</v>
      </c>
      <c r="AC144" s="9">
        <v>140</v>
      </c>
      <c r="AD144" s="3" t="str">
        <f>IFERROR(MID(VLOOKUP($B144,Seqs!$A:$B,2,0),AE144,1),"")</f>
        <v>G</v>
      </c>
      <c r="AE144" s="3">
        <v>164</v>
      </c>
      <c r="AF144" s="3" t="str">
        <f>IFERROR(MID(VLOOKUP($B144,Seqs!$A:$B,2,0),AG144,1),"")</f>
        <v>C</v>
      </c>
      <c r="AG144" s="3">
        <v>180</v>
      </c>
      <c r="AH144" s="3" t="str">
        <f>IFERROR(MID(VLOOKUP($B144,Seqs!$A:$B,2,0),AI144,1),"")</f>
        <v>T</v>
      </c>
      <c r="AI144" s="3">
        <v>182</v>
      </c>
      <c r="AJ144" s="3" t="str">
        <f>IFERROR(MID(VLOOKUP($B144,Seqs!$A:$B,2,0),AK144,1),"")</f>
        <v>V</v>
      </c>
      <c r="AK144" s="3">
        <v>187</v>
      </c>
      <c r="AL144" s="3" t="str">
        <f>IFERROR(MID(VLOOKUP($B144,Seqs!$A:$B,2,0),AM144,1),"")</f>
        <v>N</v>
      </c>
      <c r="AM144" s="3">
        <v>228</v>
      </c>
      <c r="AN144" s="3" t="str">
        <f>IFERROR(MID(VLOOKUP($B144,Seqs!$A:$B,2,0),AO144,1),"")</f>
        <v>G</v>
      </c>
      <c r="AO144" s="3">
        <v>404</v>
      </c>
      <c r="AP144" s="3" t="str">
        <f>IFERROR(MID(VLOOKUP($B144,Seqs!$A:$B,2,0),AQ144,1),"")</f>
        <v>C</v>
      </c>
      <c r="AQ144" s="3">
        <v>441</v>
      </c>
      <c r="AR144" s="3" t="str">
        <f>IFERROR(MID(VLOOKUP($B144,Seqs!$A:$B,2,0),AS144,1),"")</f>
        <v>N</v>
      </c>
      <c r="AS144" s="3">
        <v>446</v>
      </c>
      <c r="AT144" s="3" t="str">
        <f>IFERROR(MID(VLOOKUP($B144,Seqs!$A:$B,2,0),AU144,1),"")</f>
        <v>C</v>
      </c>
      <c r="AU144" s="3">
        <v>471</v>
      </c>
      <c r="AV144" s="3" t="str">
        <f>IFERROR(MID(VLOOKUP($B144,Seqs!$A:$B,2,0),AW144,1),"")</f>
        <v>N</v>
      </c>
      <c r="AW144" s="3">
        <v>472</v>
      </c>
      <c r="AX144" s="3" t="str">
        <f>IFERROR(MID(VLOOKUP($B144,Seqs!$A:$B,2,0),AY144,1),"")</f>
        <v>H</v>
      </c>
      <c r="AY144" s="3">
        <v>484</v>
      </c>
      <c r="AZ144" s="78" t="str">
        <f>VLOOKUP(B144,Classification!A:D,2,0)</f>
        <v>A</v>
      </c>
      <c r="BA144" s="95" t="str">
        <f>VLOOKUP(B144,Classification!A:D,4,0)</f>
        <v>Histamine</v>
      </c>
      <c r="BB144" s="27" t="b">
        <f t="shared" si="811"/>
        <v>1</v>
      </c>
      <c r="BC144" s="23">
        <f t="shared" si="1257"/>
        <v>257</v>
      </c>
      <c r="BD144" s="34" t="s">
        <v>1379</v>
      </c>
      <c r="BE144" s="3" t="s">
        <v>23</v>
      </c>
      <c r="BF144" s="120" t="s">
        <v>23</v>
      </c>
      <c r="BG144" s="49" t="s">
        <v>1379</v>
      </c>
      <c r="BH144" s="49" t="s">
        <v>1384</v>
      </c>
      <c r="BI144" s="1"/>
      <c r="BJ144" s="71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1">
        <f t="shared" si="1258"/>
        <v>29</v>
      </c>
      <c r="BW144" s="72">
        <f t="shared" si="1259"/>
        <v>56</v>
      </c>
      <c r="BX144" s="73">
        <f t="shared" si="1260"/>
        <v>60</v>
      </c>
      <c r="BY144" s="72">
        <f t="shared" si="1261"/>
        <v>92</v>
      </c>
      <c r="BZ144" s="73">
        <f t="shared" si="1262"/>
        <v>96</v>
      </c>
      <c r="CA144" s="72">
        <f t="shared" si="1263"/>
        <v>132</v>
      </c>
      <c r="CB144" s="73">
        <f t="shared" si="1264"/>
        <v>140</v>
      </c>
      <c r="CC144" s="72">
        <f t="shared" si="1265"/>
        <v>180</v>
      </c>
      <c r="CD144" s="73">
        <f t="shared" si="1266"/>
        <v>187</v>
      </c>
      <c r="CE144" s="72">
        <f t="shared" si="1267"/>
        <v>404</v>
      </c>
      <c r="CF144" s="73">
        <f t="shared" si="1268"/>
        <v>446</v>
      </c>
      <c r="CG144" s="72">
        <f t="shared" si="1269"/>
        <v>472</v>
      </c>
      <c r="CH144" s="71">
        <f t="shared" si="1270"/>
        <v>55</v>
      </c>
      <c r="CI144" s="72">
        <f t="shared" si="1271"/>
        <v>59</v>
      </c>
      <c r="CJ144" s="73">
        <f t="shared" si="1272"/>
        <v>90</v>
      </c>
      <c r="CK144" s="73">
        <f t="shared" si="1273"/>
        <v>95</v>
      </c>
      <c r="CL144" s="73">
        <f t="shared" si="1274"/>
        <v>131</v>
      </c>
      <c r="CM144" s="73">
        <f t="shared" si="1275"/>
        <v>139</v>
      </c>
      <c r="CN144" s="73">
        <f t="shared" si="1276"/>
        <v>164</v>
      </c>
      <c r="CO144" s="73">
        <f t="shared" si="1277"/>
        <v>182</v>
      </c>
      <c r="CP144" s="73">
        <f t="shared" si="1278"/>
        <v>228</v>
      </c>
      <c r="CQ144" s="73">
        <f t="shared" si="1279"/>
        <v>441</v>
      </c>
      <c r="CR144" s="73">
        <f t="shared" si="1280"/>
        <v>471</v>
      </c>
      <c r="CS144" s="73">
        <f t="shared" si="1281"/>
        <v>484</v>
      </c>
      <c r="CT144" s="23">
        <f t="shared" si="128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810"/>
        <v>hrh1_human_3RZE</v>
      </c>
      <c r="B145" s="3" t="s">
        <v>278</v>
      </c>
      <c r="C145" s="3" t="s">
        <v>73</v>
      </c>
      <c r="D145" s="3" t="str">
        <f>IFERROR(MID(VLOOKUP($B145,Seqs!$A:$B,2,0),E145,1),"")</f>
        <v>V</v>
      </c>
      <c r="E145" s="3">
        <v>33</v>
      </c>
      <c r="F145" s="3" t="str">
        <f>IFERROR(MID(VLOOKUP($B145,Seqs!$A:$B,2,0),G145,1),"")</f>
        <v>E</v>
      </c>
      <c r="G145" s="3">
        <v>55</v>
      </c>
      <c r="H145" s="3" t="str">
        <f>IFERROR(MID(VLOOKUP($B145,Seqs!$A:$B,2,0),I145,1),"")</f>
        <v>R</v>
      </c>
      <c r="I145" s="23">
        <v>56</v>
      </c>
      <c r="J145" s="3" t="str">
        <f>IFERROR(MID(VLOOKUP($B145,Seqs!$A:$B,2,0),K145,1),"")</f>
        <v>H</v>
      </c>
      <c r="K145" s="23">
        <v>59</v>
      </c>
      <c r="L145" s="3" t="str">
        <f>IFERROR(MID(VLOOKUP($B145,Seqs!$A:$B,2,0),M145,1),"")</f>
        <v>T</v>
      </c>
      <c r="M145" s="3">
        <v>60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K</v>
      </c>
      <c r="Q145" s="3">
        <v>92</v>
      </c>
      <c r="R145" s="3" t="str">
        <f>IFERROR(MID(VLOOKUP($B145,Seqs!$A:$B,2,0),S145,1),"")</f>
        <v>L</v>
      </c>
      <c r="S145" s="3">
        <v>95</v>
      </c>
      <c r="T145" s="3" t="str">
        <f>IFERROR(MID(VLOOKUP($B145,Seqs!$A:$B,2,0),U145,1),"")</f>
        <v>G</v>
      </c>
      <c r="U145" s="3">
        <v>96</v>
      </c>
      <c r="V145" s="3" t="str">
        <f>IFERROR(MID(VLOOKUP($B145,Seqs!$A:$B,2,0),W145,1),"")</f>
        <v>Q</v>
      </c>
      <c r="W145" s="3">
        <v>131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T</v>
      </c>
      <c r="AC145" s="9">
        <v>140</v>
      </c>
      <c r="AD145" s="3" t="str">
        <f>IFERROR(MID(VLOOKUP($B145,Seqs!$A:$B,2,0),AE145,1),"")</f>
        <v>G</v>
      </c>
      <c r="AE145" s="3">
        <v>164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T</v>
      </c>
      <c r="AI145" s="3">
        <v>182</v>
      </c>
      <c r="AJ145" s="3" t="str">
        <f>IFERROR(MID(VLOOKUP($B145,Seqs!$A:$B,2,0),AK145,1),"")</f>
        <v>V</v>
      </c>
      <c r="AK145" s="3">
        <v>187</v>
      </c>
      <c r="AL145" s="3" t="str">
        <f>IFERROR(MID(VLOOKUP($B145,Seqs!$A:$B,2,0),AM145,1),"")</f>
        <v>V</v>
      </c>
      <c r="AM145" s="3">
        <v>217</v>
      </c>
      <c r="AN145" s="3" t="str">
        <f>IFERROR(MID(VLOOKUP($B145,Seqs!$A:$B,2,0),AO145,1),"")</f>
        <v>N</v>
      </c>
      <c r="AO145" s="3">
        <v>408</v>
      </c>
      <c r="AP145" s="3" t="str">
        <f>IFERROR(MID(VLOOKUP($B145,Seqs!$A:$B,2,0),AQ145,1),"")</f>
        <v>C</v>
      </c>
      <c r="AQ145" s="3">
        <v>441</v>
      </c>
      <c r="AR145" s="3" t="str">
        <f>IFERROR(MID(VLOOKUP($B145,Seqs!$A:$B,2,0),AS145,1),"")</f>
        <v>N</v>
      </c>
      <c r="AS145" s="3">
        <v>446</v>
      </c>
      <c r="AT145" s="3" t="str">
        <f>IFERROR(MID(VLOOKUP($B145,Seqs!$A:$B,2,0),AU145,1),"")</f>
        <v>C</v>
      </c>
      <c r="AU145" s="3">
        <v>471</v>
      </c>
      <c r="AV145" s="3" t="str">
        <f>IFERROR(MID(VLOOKUP($B145,Seqs!$A:$B,2,0),AW145,1),"")</f>
        <v>N</v>
      </c>
      <c r="AW145" s="3">
        <v>472</v>
      </c>
      <c r="AX145" s="3" t="str">
        <f>IFERROR(MID(VLOOKUP($B145,Seqs!$A:$B,2,0),AY145,1),"")</f>
        <v>H</v>
      </c>
      <c r="AY145" s="3">
        <v>484</v>
      </c>
      <c r="AZ145" s="78" t="str">
        <f>VLOOKUP(B145,Classification!A:D,2,0)</f>
        <v>A</v>
      </c>
      <c r="BA145" s="95" t="str">
        <f>VLOOKUP(B145,Classification!A:D,4,0)</f>
        <v>Histamine</v>
      </c>
      <c r="BB145" s="27" t="b">
        <f t="shared" si="811"/>
        <v>1</v>
      </c>
      <c r="BC145" s="23">
        <f t="shared" si="1257"/>
        <v>231</v>
      </c>
      <c r="BD145" s="16" t="s">
        <v>1383</v>
      </c>
      <c r="BE145" s="3" t="s">
        <v>1381</v>
      </c>
      <c r="BF145" s="120">
        <v>3.1</v>
      </c>
      <c r="BG145" s="49" t="s">
        <v>1384</v>
      </c>
      <c r="BH145" s="49" t="s">
        <v>1384</v>
      </c>
      <c r="BI145" s="1"/>
      <c r="BJ145" s="71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1">
        <f t="shared" si="1258"/>
        <v>33</v>
      </c>
      <c r="BW145" s="72">
        <f t="shared" si="1259"/>
        <v>56</v>
      </c>
      <c r="BX145" s="73">
        <f t="shared" si="1260"/>
        <v>60</v>
      </c>
      <c r="BY145" s="72">
        <f t="shared" si="1261"/>
        <v>92</v>
      </c>
      <c r="BZ145" s="73">
        <f t="shared" si="1262"/>
        <v>96</v>
      </c>
      <c r="CA145" s="72" t="str">
        <f t="shared" si="1263"/>
        <v>-</v>
      </c>
      <c r="CB145" s="73">
        <f t="shared" si="1264"/>
        <v>140</v>
      </c>
      <c r="CC145" s="72">
        <f t="shared" si="1265"/>
        <v>180</v>
      </c>
      <c r="CD145" s="73">
        <f t="shared" si="1266"/>
        <v>187</v>
      </c>
      <c r="CE145" s="72">
        <f t="shared" si="1267"/>
        <v>408</v>
      </c>
      <c r="CF145" s="73">
        <f t="shared" si="1268"/>
        <v>446</v>
      </c>
      <c r="CG145" s="72">
        <f t="shared" si="1269"/>
        <v>472</v>
      </c>
      <c r="CH145" s="71">
        <f t="shared" si="1270"/>
        <v>55</v>
      </c>
      <c r="CI145" s="72">
        <f t="shared" si="1271"/>
        <v>59</v>
      </c>
      <c r="CJ145" s="73">
        <f t="shared" si="1272"/>
        <v>90</v>
      </c>
      <c r="CK145" s="73">
        <f t="shared" si="1273"/>
        <v>95</v>
      </c>
      <c r="CL145" s="73">
        <f t="shared" si="1274"/>
        <v>131</v>
      </c>
      <c r="CM145" s="73" t="str">
        <f t="shared" si="1275"/>
        <v>-</v>
      </c>
      <c r="CN145" s="73">
        <f t="shared" si="1276"/>
        <v>164</v>
      </c>
      <c r="CO145" s="73">
        <f t="shared" si="1277"/>
        <v>182</v>
      </c>
      <c r="CP145" s="73">
        <f t="shared" si="1278"/>
        <v>217</v>
      </c>
      <c r="CQ145" s="73">
        <f t="shared" si="1279"/>
        <v>441</v>
      </c>
      <c r="CR145" s="73">
        <f t="shared" si="1280"/>
        <v>471</v>
      </c>
      <c r="CS145" s="73">
        <f t="shared" si="1281"/>
        <v>484</v>
      </c>
      <c r="CT145" s="23">
        <f t="shared" si="1282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ref="A146:A179" si="1395">CONCATENATE(B146,"_",C146)</f>
        <v>lpar1_human__wt</v>
      </c>
      <c r="B146" s="3" t="s">
        <v>103</v>
      </c>
      <c r="C146" s="3" t="s">
        <v>100</v>
      </c>
      <c r="D146" s="3" t="str">
        <f>IFERROR(MID(VLOOKUP($B146,Seqs!$A:$B,2,0),E146,1),"")</f>
        <v>T</v>
      </c>
      <c r="E146" s="3">
        <v>47</v>
      </c>
      <c r="F146" s="3" t="str">
        <f>IFERROR(MID(VLOOKUP($B146,Seqs!$A:$B,2,0),G146,1),"")</f>
        <v>N</v>
      </c>
      <c r="G146" s="3">
        <v>77</v>
      </c>
      <c r="H146" s="3" t="str">
        <f>IFERROR(MID(VLOOKUP($B146,Seqs!$A:$B,2,0),I146,1),"")</f>
        <v>R</v>
      </c>
      <c r="I146" s="23">
        <v>78</v>
      </c>
      <c r="J146" s="3" t="str">
        <f>IFERROR(MID(VLOOKUP($B146,Seqs!$A:$B,2,0),K146,1),"")</f>
        <v>H</v>
      </c>
      <c r="K146" s="23">
        <v>81</v>
      </c>
      <c r="L146" s="3" t="str">
        <f>IFERROR(MID(VLOOKUP($B146,Seqs!$A:$B,2,0),M146,1),"")</f>
        <v>F</v>
      </c>
      <c r="M146" s="3">
        <v>82</v>
      </c>
      <c r="N146" s="3" t="str">
        <f>IFERROR(MID(VLOOKUP($B146,Seqs!$A:$B,2,0),O146,1),"")</f>
        <v>N</v>
      </c>
      <c r="O146" s="3">
        <v>108</v>
      </c>
      <c r="P146" s="3" t="str">
        <f>IFERROR(MID(VLOOKUP($B146,Seqs!$A:$B,2,0),Q146,1),"")</f>
        <v>G</v>
      </c>
      <c r="Q146" s="3">
        <v>110</v>
      </c>
      <c r="R146" s="3" t="str">
        <f>IFERROR(MID(VLOOKUP($B146,Seqs!$A:$B,2,0),S146,1),"")</f>
        <v>L</v>
      </c>
      <c r="S146" s="3">
        <v>116</v>
      </c>
      <c r="T146" s="3" t="str">
        <f>IFERROR(MID(VLOOKUP($B146,Seqs!$A:$B,2,0),U146,1),"")</f>
        <v>T</v>
      </c>
      <c r="U146" s="3">
        <v>117</v>
      </c>
      <c r="V146" s="3" t="str">
        <f>IFERROR(MID(VLOOKUP($B146,Seqs!$A:$B,2,0),W146,1),"")</f>
        <v>R</v>
      </c>
      <c r="W146" s="3">
        <v>152</v>
      </c>
      <c r="X146" s="3" t="str">
        <f>IFERROR(MID(VLOOKUP($B146,Seqs!$A:$B,2,0),Y146,1),"")</f>
        <v>M</v>
      </c>
      <c r="Y146" s="106">
        <v>153</v>
      </c>
      <c r="Z146" s="3" t="str">
        <f>IFERROR(MID(VLOOKUP($B146,Seqs!$A:$B,2,0),AA146,1),"")</f>
        <v>M</v>
      </c>
      <c r="AA146" s="106">
        <v>159</v>
      </c>
      <c r="AB146" s="3" t="str">
        <f>IFERROR(MID(VLOOKUP($B146,Seqs!$A:$B,2,0),AC146,1),"")</f>
        <v>S</v>
      </c>
      <c r="AC146" s="106">
        <v>160</v>
      </c>
      <c r="AD146" s="3" t="str">
        <f>IFERROR(MID(VLOOKUP($B146,Seqs!$A:$B,2,0),AE146,1),"")</f>
        <v>G</v>
      </c>
      <c r="AE146" s="3">
        <v>185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>S</v>
      </c>
      <c r="AK146" s="3">
        <v>203</v>
      </c>
      <c r="AL146" s="3" t="str">
        <f>IFERROR(MID(VLOOKUP($B146,Seqs!$A:$B,2,0),AM146,1),"")</f>
        <v>S</v>
      </c>
      <c r="AM146" s="3">
        <v>240</v>
      </c>
      <c r="AN146" s="3" t="str">
        <f>IFERROR(MID(VLOOKUP($B146,Seqs!$A:$B,2,0),AO146,1),"")</f>
        <v>G</v>
      </c>
      <c r="AO146" s="3">
        <v>245</v>
      </c>
      <c r="AP146" s="3" t="str">
        <f>IFERROR(MID(VLOOKUP($B146,Seqs!$A:$B,2,0),AQ146,1),"")</f>
        <v>C</v>
      </c>
      <c r="AQ146" s="3">
        <v>284</v>
      </c>
      <c r="AR146" s="3" t="str">
        <f>IFERROR(MID(VLOOKUP($B146,Seqs!$A:$B,2,0),AS146,1),"")</f>
        <v>D</v>
      </c>
      <c r="AS146" s="3">
        <v>288</v>
      </c>
      <c r="AT146" s="3" t="str">
        <f>IFERROR(MID(VLOOKUP($B146,Seqs!$A:$B,2,0),AU146,1),"")</f>
        <v>R</v>
      </c>
      <c r="AU146" s="3">
        <v>314</v>
      </c>
      <c r="AV146" s="3" t="str">
        <f>IFERROR(MID(VLOOKUP($B146,Seqs!$A:$B,2,0),AW146,1),"")</f>
        <v>D</v>
      </c>
      <c r="AW146" s="3">
        <v>315</v>
      </c>
      <c r="AX146" s="3" t="str">
        <f>IFERROR(MID(VLOOKUP($B146,Seqs!$A:$B,2,0),AY146,1),"")</f>
        <v>C</v>
      </c>
      <c r="AY146" s="3">
        <v>327</v>
      </c>
      <c r="AZ146" s="78" t="str">
        <f>VLOOKUP(B146,Classification!A:D,2,0)</f>
        <v>A</v>
      </c>
      <c r="BA146" s="95" t="str">
        <f>VLOOKUP(B146,Classification!A:D,4,0)</f>
        <v>Lysophospholipid(LPA)</v>
      </c>
      <c r="BB146" s="27" t="b">
        <f t="shared" ref="BB146:BB179" si="1396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si="1257"/>
        <v>257</v>
      </c>
      <c r="BD146" s="56" t="s">
        <v>1379</v>
      </c>
      <c r="BE146" s="3" t="s">
        <v>23</v>
      </c>
      <c r="BF146" s="120" t="s">
        <v>23</v>
      </c>
      <c r="BG146" s="49" t="s">
        <v>1379</v>
      </c>
      <c r="BH146" s="49" t="s">
        <v>1384</v>
      </c>
      <c r="BI146" s="1"/>
      <c r="BJ146" s="71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1">
        <f t="shared" si="1258"/>
        <v>47</v>
      </c>
      <c r="BW146" s="72">
        <f t="shared" si="1259"/>
        <v>78</v>
      </c>
      <c r="BX146" s="73">
        <f t="shared" si="1260"/>
        <v>82</v>
      </c>
      <c r="BY146" s="72">
        <f t="shared" si="1261"/>
        <v>110</v>
      </c>
      <c r="BZ146" s="73">
        <f t="shared" si="1262"/>
        <v>117</v>
      </c>
      <c r="CA146" s="72">
        <f t="shared" si="1263"/>
        <v>153</v>
      </c>
      <c r="CB146" s="73">
        <f t="shared" si="1264"/>
        <v>160</v>
      </c>
      <c r="CC146" s="72" t="str">
        <f t="shared" si="1265"/>
        <v>-</v>
      </c>
      <c r="CD146" s="73">
        <f t="shared" si="1266"/>
        <v>203</v>
      </c>
      <c r="CE146" s="72">
        <f t="shared" si="1267"/>
        <v>245</v>
      </c>
      <c r="CF146" s="73">
        <f t="shared" si="1268"/>
        <v>288</v>
      </c>
      <c r="CG146" s="72">
        <f t="shared" si="1269"/>
        <v>315</v>
      </c>
      <c r="CH146" s="71">
        <f t="shared" si="1270"/>
        <v>77</v>
      </c>
      <c r="CI146" s="72">
        <f t="shared" si="1271"/>
        <v>81</v>
      </c>
      <c r="CJ146" s="73">
        <f t="shared" si="1272"/>
        <v>108</v>
      </c>
      <c r="CK146" s="73">
        <f t="shared" si="1273"/>
        <v>116</v>
      </c>
      <c r="CL146" s="73">
        <f t="shared" si="1274"/>
        <v>152</v>
      </c>
      <c r="CM146" s="73">
        <f t="shared" si="1275"/>
        <v>159</v>
      </c>
      <c r="CN146" s="73">
        <f t="shared" si="1276"/>
        <v>185</v>
      </c>
      <c r="CO146" s="73" t="str">
        <f t="shared" si="1277"/>
        <v>-</v>
      </c>
      <c r="CP146" s="73">
        <f t="shared" si="1278"/>
        <v>240</v>
      </c>
      <c r="CQ146" s="73">
        <f t="shared" si="1279"/>
        <v>284</v>
      </c>
      <c r="CR146" s="73">
        <f t="shared" si="1280"/>
        <v>314</v>
      </c>
      <c r="CS146" s="73">
        <f t="shared" si="1281"/>
        <v>327</v>
      </c>
      <c r="CT146" s="23">
        <f t="shared" si="1282"/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1395"/>
        <v>lpar1_human_4Z34</v>
      </c>
      <c r="B147" s="3" t="s">
        <v>103</v>
      </c>
      <c r="C147" s="3" t="s">
        <v>1057</v>
      </c>
      <c r="D147" s="3" t="str">
        <f>IFERROR(MID(VLOOKUP($B147,Seqs!$A:$B,2,0),E147,1),"")</f>
        <v>T</v>
      </c>
      <c r="E147" s="3">
        <v>47</v>
      </c>
      <c r="F147" s="3" t="str">
        <f>IFERROR(MID(VLOOKUP($B147,Seqs!$A:$B,2,0),G147,1),"")</f>
        <v>N</v>
      </c>
      <c r="G147" s="3">
        <v>77</v>
      </c>
      <c r="H147" s="3" t="str">
        <f>IFERROR(MID(VLOOKUP($B147,Seqs!$A:$B,2,0),I147,1),"")</f>
        <v>R</v>
      </c>
      <c r="I147" s="23">
        <v>78</v>
      </c>
      <c r="J147" s="3" t="str">
        <f>IFERROR(MID(VLOOKUP($B147,Seqs!$A:$B,2,0),K147,1),"")</f>
        <v>H</v>
      </c>
      <c r="K147" s="23">
        <v>81</v>
      </c>
      <c r="L147" s="3" t="str">
        <f>IFERROR(MID(VLOOKUP($B147,Seqs!$A:$B,2,0),M147,1),"")</f>
        <v>F</v>
      </c>
      <c r="M147" s="3">
        <v>82</v>
      </c>
      <c r="N147" s="3" t="str">
        <f>IFERROR(MID(VLOOKUP($B147,Seqs!$A:$B,2,0),O147,1),"")</f>
        <v>N</v>
      </c>
      <c r="O147" s="3">
        <v>108</v>
      </c>
      <c r="P147" s="3" t="str">
        <f>IFERROR(MID(VLOOKUP($B147,Seqs!$A:$B,2,0),Q147,1),"")</f>
        <v>G</v>
      </c>
      <c r="Q147" s="3">
        <v>110</v>
      </c>
      <c r="R147" s="3" t="str">
        <f>IFERROR(MID(VLOOKUP($B147,Seqs!$A:$B,2,0),S147,1),"")</f>
        <v>L</v>
      </c>
      <c r="S147" s="3">
        <v>116</v>
      </c>
      <c r="T147" s="3" t="str">
        <f>IFERROR(MID(VLOOKUP($B147,Seqs!$A:$B,2,0),U147,1),"")</f>
        <v>T</v>
      </c>
      <c r="U147" s="3">
        <v>117</v>
      </c>
      <c r="V147" s="3" t="str">
        <f>IFERROR(MID(VLOOKUP($B147,Seqs!$A:$B,2,0),W147,1),"")</f>
        <v>R</v>
      </c>
      <c r="W147" s="3">
        <v>152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G</v>
      </c>
      <c r="AE147" s="3">
        <v>185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S</v>
      </c>
      <c r="AK147" s="3">
        <v>203</v>
      </c>
      <c r="AL147" s="3" t="str">
        <f>IFERROR(MID(VLOOKUP($B147,Seqs!$A:$B,2,0),AM147,1),"")</f>
        <v>R</v>
      </c>
      <c r="AM147" s="3">
        <v>235</v>
      </c>
      <c r="AN147" s="3" t="str">
        <f>IFERROR(MID(VLOOKUP($B147,Seqs!$A:$B,2,0),AO147,1),"")</f>
        <v>G</v>
      </c>
      <c r="AO147" s="3">
        <v>245</v>
      </c>
      <c r="AP147" s="3" t="str">
        <f>IFERROR(MID(VLOOKUP($B147,Seqs!$A:$B,2,0),AQ147,1),"")</f>
        <v>C</v>
      </c>
      <c r="AQ147" s="3">
        <v>284</v>
      </c>
      <c r="AR147" s="3" t="str">
        <f>IFERROR(MID(VLOOKUP($B147,Seqs!$A:$B,2,0),AS147,1),"")</f>
        <v>E</v>
      </c>
      <c r="AS147" s="3">
        <v>293</v>
      </c>
      <c r="AT147" s="3" t="str">
        <f>IFERROR(MID(VLOOKUP($B147,Seqs!$A:$B,2,0),AU147,1),"")</f>
        <v>R</v>
      </c>
      <c r="AU147" s="3">
        <v>314</v>
      </c>
      <c r="AV147" s="3" t="str">
        <f>IFERROR(MID(VLOOKUP($B147,Seqs!$A:$B,2,0),AW147,1),"")</f>
        <v>D</v>
      </c>
      <c r="AW147" s="3">
        <v>315</v>
      </c>
      <c r="AX147" s="3" t="str">
        <f>IFERROR(MID(VLOOKUP($B147,Seqs!$A:$B,2,0),AY147,1),"")</f>
        <v>C</v>
      </c>
      <c r="AY147" s="3">
        <v>327</v>
      </c>
      <c r="AZ147" s="78" t="str">
        <f>VLOOKUP(B147,Classification!A:D,2,0)</f>
        <v>A</v>
      </c>
      <c r="BA147" s="95" t="str">
        <f>VLOOKUP(B147,Classification!A:D,4,0)</f>
        <v>Lysophospholipid(LPA)</v>
      </c>
      <c r="BB147" s="27" t="b">
        <f t="shared" si="1396"/>
        <v>1</v>
      </c>
      <c r="BC147" s="23">
        <f t="shared" si="1257"/>
        <v>244</v>
      </c>
      <c r="BD147" s="16" t="s">
        <v>23</v>
      </c>
      <c r="BE147" s="3" t="s">
        <v>1381</v>
      </c>
      <c r="BF147" s="120">
        <v>3</v>
      </c>
      <c r="BG147" s="49" t="s">
        <v>1384</v>
      </c>
      <c r="BH147" s="49" t="s">
        <v>1384</v>
      </c>
      <c r="BI147" s="1"/>
      <c r="BJ147" s="71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1">
        <f t="shared" si="1258"/>
        <v>47</v>
      </c>
      <c r="BW147" s="72">
        <f t="shared" si="1259"/>
        <v>78</v>
      </c>
      <c r="BX147" s="73">
        <f t="shared" si="1260"/>
        <v>82</v>
      </c>
      <c r="BY147" s="72">
        <f t="shared" si="1261"/>
        <v>110</v>
      </c>
      <c r="BZ147" s="73">
        <f t="shared" si="1262"/>
        <v>117</v>
      </c>
      <c r="CA147" s="72" t="str">
        <f t="shared" si="1263"/>
        <v>-</v>
      </c>
      <c r="CB147" s="73">
        <f t="shared" si="1264"/>
        <v>157</v>
      </c>
      <c r="CC147" s="72" t="str">
        <f t="shared" si="1265"/>
        <v>-</v>
      </c>
      <c r="CD147" s="73">
        <f t="shared" si="1266"/>
        <v>203</v>
      </c>
      <c r="CE147" s="72">
        <f t="shared" si="1267"/>
        <v>245</v>
      </c>
      <c r="CF147" s="73">
        <f t="shared" si="1268"/>
        <v>293</v>
      </c>
      <c r="CG147" s="72">
        <f t="shared" si="1269"/>
        <v>315</v>
      </c>
      <c r="CH147" s="71">
        <f t="shared" si="1270"/>
        <v>77</v>
      </c>
      <c r="CI147" s="72">
        <f t="shared" si="1271"/>
        <v>81</v>
      </c>
      <c r="CJ147" s="73">
        <f t="shared" si="1272"/>
        <v>108</v>
      </c>
      <c r="CK147" s="73">
        <f t="shared" si="1273"/>
        <v>116</v>
      </c>
      <c r="CL147" s="73">
        <f t="shared" si="1274"/>
        <v>152</v>
      </c>
      <c r="CM147" s="73" t="str">
        <f t="shared" si="1275"/>
        <v>-</v>
      </c>
      <c r="CN147" s="73">
        <f t="shared" si="1276"/>
        <v>185</v>
      </c>
      <c r="CO147" s="73" t="str">
        <f t="shared" si="1277"/>
        <v>-</v>
      </c>
      <c r="CP147" s="73">
        <f t="shared" si="1278"/>
        <v>235</v>
      </c>
      <c r="CQ147" s="73">
        <f t="shared" si="1279"/>
        <v>284</v>
      </c>
      <c r="CR147" s="73">
        <f t="shared" si="1280"/>
        <v>314</v>
      </c>
      <c r="CS147" s="73">
        <f t="shared" si="1281"/>
        <v>327</v>
      </c>
      <c r="CT147" s="23">
        <f t="shared" si="1282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1395"/>
        <v>lpar1_human_4Z35</v>
      </c>
      <c r="B148" s="3" t="s">
        <v>103</v>
      </c>
      <c r="C148" s="3" t="s">
        <v>89</v>
      </c>
      <c r="D148" s="3" t="str">
        <f>IFERROR(MID(VLOOKUP($B148,Seqs!$A:$B,2,0),E148,1),"")</f>
        <v>T</v>
      </c>
      <c r="E148" s="3">
        <v>47</v>
      </c>
      <c r="F148" s="3" t="str">
        <f>IFERROR(MID(VLOOKUP($B148,Seqs!$A:$B,2,0),G148,1),"")</f>
        <v>N</v>
      </c>
      <c r="G148" s="3">
        <v>77</v>
      </c>
      <c r="H148" s="3" t="str">
        <f>IFERROR(MID(VLOOKUP($B148,Seqs!$A:$B,2,0),I148,1),"")</f>
        <v>R</v>
      </c>
      <c r="I148" s="23">
        <v>78</v>
      </c>
      <c r="J148" s="3" t="str">
        <f>IFERROR(MID(VLOOKUP($B148,Seqs!$A:$B,2,0),K148,1),"")</f>
        <v>H</v>
      </c>
      <c r="K148" s="23">
        <v>81</v>
      </c>
      <c r="L148" s="3" t="str">
        <f>IFERROR(MID(VLOOKUP($B148,Seqs!$A:$B,2,0),M148,1),"")</f>
        <v>F</v>
      </c>
      <c r="M148" s="3">
        <v>82</v>
      </c>
      <c r="N148" s="3" t="str">
        <f>IFERROR(MID(VLOOKUP($B148,Seqs!$A:$B,2,0),O148,1),"")</f>
        <v>N</v>
      </c>
      <c r="O148" s="3">
        <v>108</v>
      </c>
      <c r="P148" s="3" t="str">
        <f>IFERROR(MID(VLOOKUP($B148,Seqs!$A:$B,2,0),Q148,1),"")</f>
        <v>G</v>
      </c>
      <c r="Q148" s="3">
        <v>110</v>
      </c>
      <c r="R148" s="3" t="str">
        <f>IFERROR(MID(VLOOKUP($B148,Seqs!$A:$B,2,0),S148,1),"")</f>
        <v>L</v>
      </c>
      <c r="S148" s="3">
        <v>116</v>
      </c>
      <c r="T148" s="3" t="str">
        <f>IFERROR(MID(VLOOKUP($B148,Seqs!$A:$B,2,0),U148,1),"")</f>
        <v>T</v>
      </c>
      <c r="U148" s="3">
        <v>117</v>
      </c>
      <c r="V148" s="3" t="str">
        <f>IFERROR(MID(VLOOKUP($B148,Seqs!$A:$B,2,0),W148,1),"")</f>
        <v>R</v>
      </c>
      <c r="W148" s="3">
        <v>152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G</v>
      </c>
      <c r="AE148" s="3">
        <v>185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S</v>
      </c>
      <c r="AK148" s="3">
        <v>203</v>
      </c>
      <c r="AL148" s="3" t="str">
        <f>IFERROR(MID(VLOOKUP($B148,Seqs!$A:$B,2,0),AM148,1),"")</f>
        <v>R</v>
      </c>
      <c r="AM148" s="3">
        <v>235</v>
      </c>
      <c r="AN148" s="3" t="str">
        <f>IFERROR(MID(VLOOKUP($B148,Seqs!$A:$B,2,0),AO148,1),"")</f>
        <v>G</v>
      </c>
      <c r="AO148" s="3">
        <v>245</v>
      </c>
      <c r="AP148" s="3" t="str">
        <f>IFERROR(MID(VLOOKUP($B148,Seqs!$A:$B,2,0),AQ148,1),"")</f>
        <v>C</v>
      </c>
      <c r="AQ148" s="3">
        <v>284</v>
      </c>
      <c r="AR148" s="3" t="str">
        <f>IFERROR(MID(VLOOKUP($B148,Seqs!$A:$B,2,0),AS148,1),"")</f>
        <v>E</v>
      </c>
      <c r="AS148" s="3">
        <v>293</v>
      </c>
      <c r="AT148" s="3" t="str">
        <f>IFERROR(MID(VLOOKUP($B148,Seqs!$A:$B,2,0),AU148,1),"")</f>
        <v>R</v>
      </c>
      <c r="AU148" s="3">
        <v>314</v>
      </c>
      <c r="AV148" s="3" t="str">
        <f>IFERROR(MID(VLOOKUP($B148,Seqs!$A:$B,2,0),AW148,1),"")</f>
        <v>D</v>
      </c>
      <c r="AW148" s="3">
        <v>315</v>
      </c>
      <c r="AX148" s="3" t="str">
        <f>IFERROR(MID(VLOOKUP($B148,Seqs!$A:$B,2,0),AY148,1),"")</f>
        <v>C</v>
      </c>
      <c r="AY148" s="3">
        <v>327</v>
      </c>
      <c r="AZ148" s="78" t="str">
        <f>VLOOKUP(B148,Classification!A:D,2,0)</f>
        <v>A</v>
      </c>
      <c r="BA148" s="95" t="str">
        <f>VLOOKUP(B148,Classification!A:D,4,0)</f>
        <v>Lysophospholipid(LPA)</v>
      </c>
      <c r="BB148" s="27" t="b">
        <f t="shared" si="1396"/>
        <v>1</v>
      </c>
      <c r="BC148" s="23">
        <f t="shared" si="1257"/>
        <v>244</v>
      </c>
      <c r="BD148" s="5" t="s">
        <v>1383</v>
      </c>
      <c r="BE148" s="3" t="s">
        <v>1381</v>
      </c>
      <c r="BF148" s="120">
        <v>2.9</v>
      </c>
      <c r="BG148" s="49" t="s">
        <v>1384</v>
      </c>
      <c r="BH148" s="49" t="s">
        <v>1384</v>
      </c>
      <c r="BI148" s="1"/>
      <c r="BJ148" s="71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1">
        <f t="shared" si="1258"/>
        <v>47</v>
      </c>
      <c r="BW148" s="72">
        <f t="shared" si="1259"/>
        <v>78</v>
      </c>
      <c r="BX148" s="73">
        <f t="shared" si="1260"/>
        <v>82</v>
      </c>
      <c r="BY148" s="72">
        <f t="shared" si="1261"/>
        <v>110</v>
      </c>
      <c r="BZ148" s="73">
        <f t="shared" si="1262"/>
        <v>117</v>
      </c>
      <c r="CA148" s="72" t="str">
        <f t="shared" si="1263"/>
        <v>-</v>
      </c>
      <c r="CB148" s="73">
        <f t="shared" si="1264"/>
        <v>157</v>
      </c>
      <c r="CC148" s="72" t="str">
        <f t="shared" si="1265"/>
        <v>-</v>
      </c>
      <c r="CD148" s="73">
        <f t="shared" si="1266"/>
        <v>203</v>
      </c>
      <c r="CE148" s="72">
        <f t="shared" si="1267"/>
        <v>245</v>
      </c>
      <c r="CF148" s="73">
        <f t="shared" si="1268"/>
        <v>293</v>
      </c>
      <c r="CG148" s="72">
        <f t="shared" si="1269"/>
        <v>315</v>
      </c>
      <c r="CH148" s="71">
        <f t="shared" si="1270"/>
        <v>77</v>
      </c>
      <c r="CI148" s="72">
        <f t="shared" si="1271"/>
        <v>81</v>
      </c>
      <c r="CJ148" s="73">
        <f t="shared" si="1272"/>
        <v>108</v>
      </c>
      <c r="CK148" s="73">
        <f t="shared" si="1273"/>
        <v>116</v>
      </c>
      <c r="CL148" s="73">
        <f t="shared" si="1274"/>
        <v>152</v>
      </c>
      <c r="CM148" s="73" t="str">
        <f t="shared" si="1275"/>
        <v>-</v>
      </c>
      <c r="CN148" s="73">
        <f t="shared" si="1276"/>
        <v>185</v>
      </c>
      <c r="CO148" s="73" t="str">
        <f t="shared" si="1277"/>
        <v>-</v>
      </c>
      <c r="CP148" s="73">
        <f t="shared" si="1278"/>
        <v>235</v>
      </c>
      <c r="CQ148" s="73">
        <f t="shared" si="1279"/>
        <v>284</v>
      </c>
      <c r="CR148" s="73">
        <f t="shared" si="1280"/>
        <v>314</v>
      </c>
      <c r="CS148" s="73">
        <f t="shared" si="1281"/>
        <v>327</v>
      </c>
      <c r="CT148" s="23">
        <f t="shared" si="1282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x14ac:dyDescent="0.2">
      <c r="A149" s="3" t="str">
        <f t="shared" si="1395"/>
        <v>lpar1_human_4Z36</v>
      </c>
      <c r="B149" s="3" t="s">
        <v>103</v>
      </c>
      <c r="C149" s="3" t="s">
        <v>1058</v>
      </c>
      <c r="D149" s="3" t="str">
        <f>IFERROR(MID(VLOOKUP($B149,Seqs!$A:$B,2,0),E149,1),"")</f>
        <v>T</v>
      </c>
      <c r="E149" s="3">
        <v>47</v>
      </c>
      <c r="F149" s="3" t="str">
        <f>IFERROR(MID(VLOOKUP($B149,Seqs!$A:$B,2,0),G149,1),"")</f>
        <v>N</v>
      </c>
      <c r="G149" s="3">
        <v>77</v>
      </c>
      <c r="H149" s="3" t="str">
        <f>IFERROR(MID(VLOOKUP($B149,Seqs!$A:$B,2,0),I149,1),"")</f>
        <v>R</v>
      </c>
      <c r="I149" s="23">
        <v>78</v>
      </c>
      <c r="J149" s="3" t="str">
        <f>IFERROR(MID(VLOOKUP($B149,Seqs!$A:$B,2,0),K149,1),"")</f>
        <v>H</v>
      </c>
      <c r="K149" s="23">
        <v>81</v>
      </c>
      <c r="L149" s="3" t="str">
        <f>IFERROR(MID(VLOOKUP($B149,Seqs!$A:$B,2,0),M149,1),"")</f>
        <v>F</v>
      </c>
      <c r="M149" s="3">
        <v>82</v>
      </c>
      <c r="N149" s="3" t="str">
        <f>IFERROR(MID(VLOOKUP($B149,Seqs!$A:$B,2,0),O149,1),"")</f>
        <v>N</v>
      </c>
      <c r="O149" s="3">
        <v>108</v>
      </c>
      <c r="P149" s="3" t="str">
        <f>IFERROR(MID(VLOOKUP($B149,Seqs!$A:$B,2,0),Q149,1),"")</f>
        <v>G</v>
      </c>
      <c r="Q149" s="3">
        <v>110</v>
      </c>
      <c r="R149" s="3" t="str">
        <f>IFERROR(MID(VLOOKUP($B149,Seqs!$A:$B,2,0),S149,1),"")</f>
        <v>L</v>
      </c>
      <c r="S149" s="3">
        <v>116</v>
      </c>
      <c r="T149" s="3" t="str">
        <f>IFERROR(MID(VLOOKUP($B149,Seqs!$A:$B,2,0),U149,1),"")</f>
        <v>T</v>
      </c>
      <c r="U149" s="3">
        <v>117</v>
      </c>
      <c r="V149" s="3" t="str">
        <f>IFERROR(MID(VLOOKUP($B149,Seqs!$A:$B,2,0),W149,1),"")</f>
        <v>R</v>
      </c>
      <c r="W149" s="3">
        <v>152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T</v>
      </c>
      <c r="AC149" s="9">
        <v>157</v>
      </c>
      <c r="AD149" s="3" t="str">
        <f>IFERROR(MID(VLOOKUP($B149,Seqs!$A:$B,2,0),AE149,1),"")</f>
        <v>G</v>
      </c>
      <c r="AE149" s="3">
        <v>185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S</v>
      </c>
      <c r="AK149" s="3">
        <v>203</v>
      </c>
      <c r="AL149" s="3" t="str">
        <f>IFERROR(MID(VLOOKUP($B149,Seqs!$A:$B,2,0),AM149,1),"")</f>
        <v>R</v>
      </c>
      <c r="AM149" s="3">
        <v>235</v>
      </c>
      <c r="AN149" s="3" t="str">
        <f>IFERROR(MID(VLOOKUP($B149,Seqs!$A:$B,2,0),AO149,1),"")</f>
        <v>G</v>
      </c>
      <c r="AO149" s="3">
        <v>245</v>
      </c>
      <c r="AP149" s="3" t="str">
        <f>IFERROR(MID(VLOOKUP($B149,Seqs!$A:$B,2,0),AQ149,1),"")</f>
        <v>C</v>
      </c>
      <c r="AQ149" s="3">
        <v>284</v>
      </c>
      <c r="AR149" s="3" t="str">
        <f>IFERROR(MID(VLOOKUP($B149,Seqs!$A:$B,2,0),AS149,1),"")</f>
        <v>E</v>
      </c>
      <c r="AS149" s="3">
        <v>293</v>
      </c>
      <c r="AT149" s="3" t="str">
        <f>IFERROR(MID(VLOOKUP($B149,Seqs!$A:$B,2,0),AU149,1),"")</f>
        <v>R</v>
      </c>
      <c r="AU149" s="3">
        <v>314</v>
      </c>
      <c r="AV149" s="3" t="str">
        <f>IFERROR(MID(VLOOKUP($B149,Seqs!$A:$B,2,0),AW149,1),"")</f>
        <v>D</v>
      </c>
      <c r="AW149" s="3">
        <v>315</v>
      </c>
      <c r="AX149" s="3" t="str">
        <f>IFERROR(MID(VLOOKUP($B149,Seqs!$A:$B,2,0),AY149,1),"")</f>
        <v>C</v>
      </c>
      <c r="AY149" s="3">
        <v>327</v>
      </c>
      <c r="AZ149" s="78" t="str">
        <f>VLOOKUP(B149,Classification!A:D,2,0)</f>
        <v>A</v>
      </c>
      <c r="BA149" s="95" t="str">
        <f>VLOOKUP(B149,Classification!A:D,4,0)</f>
        <v>Lysophospholipid(LPA)</v>
      </c>
      <c r="BB149" s="27" t="b">
        <f t="shared" si="1396"/>
        <v>1</v>
      </c>
      <c r="BC149" s="23">
        <f t="shared" si="1257"/>
        <v>244</v>
      </c>
      <c r="BD149" s="5" t="s">
        <v>23</v>
      </c>
      <c r="BE149" s="3" t="s">
        <v>1381</v>
      </c>
      <c r="BF149" s="120">
        <v>2.9</v>
      </c>
      <c r="BG149" s="49" t="s">
        <v>1384</v>
      </c>
      <c r="BH149" s="49" t="s">
        <v>1384</v>
      </c>
      <c r="BI149" s="1"/>
      <c r="BJ149" s="71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1">
        <f t="shared" si="1258"/>
        <v>47</v>
      </c>
      <c r="BW149" s="72">
        <f t="shared" si="1259"/>
        <v>78</v>
      </c>
      <c r="BX149" s="73">
        <f t="shared" si="1260"/>
        <v>82</v>
      </c>
      <c r="BY149" s="72">
        <f t="shared" si="1261"/>
        <v>110</v>
      </c>
      <c r="BZ149" s="73">
        <f t="shared" si="1262"/>
        <v>117</v>
      </c>
      <c r="CA149" s="72" t="str">
        <f t="shared" si="1263"/>
        <v>-</v>
      </c>
      <c r="CB149" s="73">
        <f t="shared" si="1264"/>
        <v>157</v>
      </c>
      <c r="CC149" s="72" t="str">
        <f t="shared" si="1265"/>
        <v>-</v>
      </c>
      <c r="CD149" s="73">
        <f t="shared" si="1266"/>
        <v>203</v>
      </c>
      <c r="CE149" s="72">
        <f t="shared" si="1267"/>
        <v>245</v>
      </c>
      <c r="CF149" s="73">
        <f t="shared" si="1268"/>
        <v>293</v>
      </c>
      <c r="CG149" s="72">
        <f t="shared" si="1269"/>
        <v>315</v>
      </c>
      <c r="CH149" s="71">
        <f t="shared" si="1270"/>
        <v>77</v>
      </c>
      <c r="CI149" s="72">
        <f t="shared" si="1271"/>
        <v>81</v>
      </c>
      <c r="CJ149" s="73">
        <f t="shared" si="1272"/>
        <v>108</v>
      </c>
      <c r="CK149" s="73">
        <f t="shared" si="1273"/>
        <v>116</v>
      </c>
      <c r="CL149" s="73">
        <f t="shared" si="1274"/>
        <v>152</v>
      </c>
      <c r="CM149" s="73" t="str">
        <f t="shared" si="1275"/>
        <v>-</v>
      </c>
      <c r="CN149" s="73">
        <f t="shared" si="1276"/>
        <v>185</v>
      </c>
      <c r="CO149" s="73" t="str">
        <f t="shared" si="1277"/>
        <v>-</v>
      </c>
      <c r="CP149" s="73">
        <f t="shared" si="1278"/>
        <v>235</v>
      </c>
      <c r="CQ149" s="73">
        <f t="shared" si="1279"/>
        <v>284</v>
      </c>
      <c r="CR149" s="73">
        <f t="shared" si="1280"/>
        <v>314</v>
      </c>
      <c r="CS149" s="73">
        <f t="shared" si="1281"/>
        <v>327</v>
      </c>
      <c r="CT149" s="23">
        <f t="shared" si="1282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30" x14ac:dyDescent="0.2">
      <c r="A150" s="3" t="str">
        <f t="shared" si="1395"/>
        <v>ntr1_rat__wt</v>
      </c>
      <c r="B150" s="3" t="s">
        <v>914</v>
      </c>
      <c r="C150" s="3" t="s">
        <v>100</v>
      </c>
      <c r="D150" s="3" t="str">
        <f>IFERROR(MID(VLOOKUP($B150,Seqs!$A:$B,2,0),E150,1),"")</f>
        <v>I</v>
      </c>
      <c r="E150" s="3">
        <v>61</v>
      </c>
      <c r="F150" s="3" t="str">
        <f>IFERROR(MID(VLOOKUP($B150,Seqs!$A:$B,2,0),G150,1),"")</f>
        <v>K</v>
      </c>
      <c r="G150" s="3">
        <v>92</v>
      </c>
      <c r="H150" s="3" t="str">
        <f>IFERROR(MID(VLOOKUP($B150,Seqs!$A:$B,2,0),I150,1),"")</f>
        <v>K</v>
      </c>
      <c r="I150" s="23">
        <v>93</v>
      </c>
      <c r="J150" s="3" t="str">
        <f>IFERROR(MID(VLOOKUP($B150,Seqs!$A:$B,2,0),K150,1),"")</f>
        <v>Q</v>
      </c>
      <c r="K150" s="23">
        <v>96</v>
      </c>
      <c r="L150" s="3" t="str">
        <f>IFERROR(MID(VLOOKUP($B150,Seqs!$A:$B,2,0),M150,1),"")</f>
        <v>S</v>
      </c>
      <c r="M150" s="3">
        <v>97</v>
      </c>
      <c r="N150" s="3" t="str">
        <f>IFERROR(MID(VLOOKUP($B150,Seqs!$A:$B,2,0),O150,1),"")</f>
        <v>V</v>
      </c>
      <c r="O150" s="3">
        <v>131</v>
      </c>
      <c r="P150" s="3" t="str">
        <f>IFERROR(MID(VLOOKUP($B150,Seqs!$A:$B,2,0),Q150,1),"")</f>
        <v>P</v>
      </c>
      <c r="Q150" s="3">
        <v>134</v>
      </c>
      <c r="R150" s="3" t="str">
        <f>IFERROR(MID(VLOOKUP($B150,Seqs!$A:$B,2,0),S150,1),"")</f>
        <v>F</v>
      </c>
      <c r="S150" s="3">
        <v>137</v>
      </c>
      <c r="T150" s="3" t="str">
        <f>IFERROR(MID(VLOOKUP($B150,Seqs!$A:$B,2,0),U150,1),"")</f>
        <v>G</v>
      </c>
      <c r="U150" s="3">
        <v>138</v>
      </c>
      <c r="V150" s="3" t="str">
        <f>IFERROR(MID(VLOOKUP($B150,Seqs!$A:$B,2,0),W150,1),"")</f>
        <v>H</v>
      </c>
      <c r="W150" s="3">
        <v>173</v>
      </c>
      <c r="X150" s="3" t="str">
        <f>IFERROR(MID(VLOOKUP($B150,Seqs!$A:$B,2,0),Y150,1),"")</f>
        <v>P</v>
      </c>
      <c r="Y150" s="3">
        <v>174</v>
      </c>
      <c r="Z150" s="3" t="str">
        <f>IFERROR(MID(VLOOKUP($B150,Seqs!$A:$B,2,0),AA150,1),"")</f>
        <v>M</v>
      </c>
      <c r="AA150" s="3">
        <v>181</v>
      </c>
      <c r="AB150" s="3" t="str">
        <f>IFERROR(MID(VLOOKUP($B150,Seqs!$A:$B,2,0),AC150,1),"")</f>
        <v>S</v>
      </c>
      <c r="AC150" s="9">
        <v>182</v>
      </c>
      <c r="AD150" s="3" t="str">
        <f>IFERROR(MID(VLOOKUP($B150,Seqs!$A:$B,2,0),AE150,1),"")</f>
        <v>M</v>
      </c>
      <c r="AE150" s="3">
        <v>208</v>
      </c>
      <c r="AF150" s="3" t="str">
        <f>IFERROR(MID(VLOOKUP($B150,Seqs!$A:$B,2,0),AG150,1),"")</f>
        <v>C</v>
      </c>
      <c r="AG150" s="3">
        <v>225</v>
      </c>
      <c r="AH150" s="3" t="str">
        <f>IFERROR(MID(VLOOKUP($B150,Seqs!$A:$B,2,0),AI150,1),"")</f>
        <v>P</v>
      </c>
      <c r="AI150" s="3">
        <v>227</v>
      </c>
      <c r="AJ150" s="3" t="str">
        <f>IFERROR(MID(VLOOKUP($B150,Seqs!$A:$B,2,0),AK150,1),"")</f>
        <v>T</v>
      </c>
      <c r="AK150" s="3">
        <v>231</v>
      </c>
      <c r="AL150" s="3" t="str">
        <f>IFERROR(MID(VLOOKUP($B150,Seqs!$A:$B,2,0),AM150,1),"")</f>
        <v>G</v>
      </c>
      <c r="AM150" s="3">
        <v>275</v>
      </c>
      <c r="AN150" s="3" t="str">
        <f>IFERROR(MID(VLOOKUP($B150,Seqs!$A:$B,2,0),AO150,1),"")</f>
        <v>P</v>
      </c>
      <c r="AO150" s="3">
        <v>297</v>
      </c>
      <c r="AP150" s="3" t="str">
        <f>IFERROR(MID(VLOOKUP($B150,Seqs!$A:$B,2,0),AQ150,1),"")</f>
        <v>I</v>
      </c>
      <c r="AQ150" s="3">
        <v>334</v>
      </c>
      <c r="AR150" s="3" t="str">
        <f>IFERROR(MID(VLOOKUP($B150,Seqs!$A:$B,2,0),AS150,1),"")</f>
        <v>T</v>
      </c>
      <c r="AS150" s="3">
        <v>340</v>
      </c>
      <c r="AT150" s="3" t="str">
        <f>IFERROR(MID(VLOOKUP($B150,Seqs!$A:$B,2,0),AU150,1),"")</f>
        <v>V</v>
      </c>
      <c r="AU150" s="3">
        <v>372</v>
      </c>
      <c r="AV150" s="3" t="str">
        <f>IFERROR(MID(VLOOKUP($B150,Seqs!$A:$B,2,0),AW150,1),"")</f>
        <v>S</v>
      </c>
      <c r="AW150" s="3">
        <v>373</v>
      </c>
      <c r="AX150" s="3" t="str">
        <f>IFERROR(MID(VLOOKUP($B150,Seqs!$A:$B,2,0),AY150,1),"")</f>
        <v>L</v>
      </c>
      <c r="AY150" s="3">
        <v>384</v>
      </c>
      <c r="AZ150" s="78" t="str">
        <f>VLOOKUP(B150,Classification!A:D,2,0)</f>
        <v>A</v>
      </c>
      <c r="BA150" s="95" t="str">
        <f>VLOOKUP(B150,Classification!A:D,4,0)</f>
        <v>Neurotensin</v>
      </c>
      <c r="BB150" s="27" t="b">
        <f t="shared" si="1396"/>
        <v>1</v>
      </c>
      <c r="BC150" s="23">
        <f t="shared" si="1257"/>
        <v>277</v>
      </c>
      <c r="BD150" s="56" t="s">
        <v>1379</v>
      </c>
      <c r="BE150" s="3" t="s">
        <v>23</v>
      </c>
      <c r="BF150" s="120" t="s">
        <v>23</v>
      </c>
      <c r="BG150" s="49" t="s">
        <v>1379</v>
      </c>
      <c r="BH150" s="49" t="s">
        <v>1384</v>
      </c>
      <c r="BI150" s="3" t="s">
        <v>1170</v>
      </c>
      <c r="BJ150" s="71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1">
        <f t="shared" si="1258"/>
        <v>61</v>
      </c>
      <c r="BW150" s="72">
        <f t="shared" si="1259"/>
        <v>93</v>
      </c>
      <c r="BX150" s="73">
        <f t="shared" si="1260"/>
        <v>97</v>
      </c>
      <c r="BY150" s="72">
        <f t="shared" si="1261"/>
        <v>134</v>
      </c>
      <c r="BZ150" s="73">
        <f t="shared" si="1262"/>
        <v>138</v>
      </c>
      <c r="CA150" s="72">
        <f t="shared" si="1263"/>
        <v>174</v>
      </c>
      <c r="CB150" s="73">
        <f t="shared" si="1264"/>
        <v>182</v>
      </c>
      <c r="CC150" s="72">
        <f t="shared" si="1265"/>
        <v>225</v>
      </c>
      <c r="CD150" s="73">
        <f t="shared" si="1266"/>
        <v>231</v>
      </c>
      <c r="CE150" s="72">
        <f t="shared" si="1267"/>
        <v>297</v>
      </c>
      <c r="CF150" s="73">
        <f t="shared" si="1268"/>
        <v>340</v>
      </c>
      <c r="CG150" s="72">
        <f t="shared" si="1269"/>
        <v>373</v>
      </c>
      <c r="CH150" s="71">
        <f t="shared" si="1270"/>
        <v>92</v>
      </c>
      <c r="CI150" s="72">
        <f t="shared" si="1271"/>
        <v>96</v>
      </c>
      <c r="CJ150" s="73">
        <f t="shared" si="1272"/>
        <v>131</v>
      </c>
      <c r="CK150" s="73">
        <f t="shared" si="1273"/>
        <v>137</v>
      </c>
      <c r="CL150" s="73">
        <f t="shared" si="1274"/>
        <v>173</v>
      </c>
      <c r="CM150" s="73">
        <f t="shared" si="1275"/>
        <v>181</v>
      </c>
      <c r="CN150" s="73">
        <f t="shared" si="1276"/>
        <v>208</v>
      </c>
      <c r="CO150" s="73">
        <f t="shared" si="1277"/>
        <v>227</v>
      </c>
      <c r="CP150" s="73">
        <f t="shared" si="1278"/>
        <v>275</v>
      </c>
      <c r="CQ150" s="73">
        <f t="shared" si="1279"/>
        <v>334</v>
      </c>
      <c r="CR150" s="73">
        <f t="shared" si="1280"/>
        <v>372</v>
      </c>
      <c r="CS150" s="73">
        <f t="shared" si="1281"/>
        <v>384</v>
      </c>
      <c r="CT150" s="23">
        <f t="shared" si="1282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30" x14ac:dyDescent="0.2">
      <c r="A151" s="3" t="str">
        <f t="shared" si="1395"/>
        <v>ntr1_rat_4BUO</v>
      </c>
      <c r="B151" s="3" t="s">
        <v>914</v>
      </c>
      <c r="C151" s="3" t="s">
        <v>1338</v>
      </c>
      <c r="D151" s="3" t="str">
        <f>IFERROR(MID(VLOOKUP($B151,Seqs!$A:$B,2,0),E151,1),"")</f>
        <v>I</v>
      </c>
      <c r="E151" s="3">
        <v>61</v>
      </c>
      <c r="F151" s="3" t="str">
        <f>IFERROR(MID(VLOOKUP($B151,Seqs!$A:$B,2,0),G151,1),"")</f>
        <v>R</v>
      </c>
      <c r="G151" s="3">
        <v>91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97</v>
      </c>
      <c r="N151" s="3" t="str">
        <f>IFERROR(MID(VLOOKUP($B151,Seqs!$A:$B,2,0),O151,1),"")</f>
        <v>V</v>
      </c>
      <c r="O151" s="3">
        <v>131</v>
      </c>
      <c r="P151" s="3" t="str">
        <f>IFERROR(MID(VLOOKUP($B151,Seqs!$A:$B,2,0),Q151,1),"")</f>
        <v>P</v>
      </c>
      <c r="Q151" s="3">
        <v>134</v>
      </c>
      <c r="R151" s="3" t="str">
        <f>IFERROR(MID(VLOOKUP($B151,Seqs!$A:$B,2,0),S151,1),"")</f>
        <v>F</v>
      </c>
      <c r="S151" s="3">
        <v>137</v>
      </c>
      <c r="T151" s="3" t="str">
        <f>IFERROR(MID(VLOOKUP($B151,Seqs!$A:$B,2,0),U151,1),"")</f>
        <v>G</v>
      </c>
      <c r="U151" s="3">
        <v>138</v>
      </c>
      <c r="V151" s="3" t="str">
        <f>IFERROR(MID(VLOOKUP($B151,Seqs!$A:$B,2,0),W151,1),"")</f>
        <v>H</v>
      </c>
      <c r="W151" s="3">
        <v>173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182</v>
      </c>
      <c r="AD151" s="3" t="str">
        <f>IFERROR(MID(VLOOKUP($B151,Seqs!$A:$B,2,0),AE151,1),"")</f>
        <v>M</v>
      </c>
      <c r="AE151" s="3">
        <v>208</v>
      </c>
      <c r="AF151" s="3" t="str">
        <f>IFERROR(MID(VLOOKUP($B151,Seqs!$A:$B,2,0),AG151,1),"")</f>
        <v>C</v>
      </c>
      <c r="AG151" s="3">
        <v>225</v>
      </c>
      <c r="AH151" s="3" t="str">
        <f>IFERROR(MID(VLOOKUP($B151,Seqs!$A:$B,2,0),AI151,1),"")</f>
        <v>P</v>
      </c>
      <c r="AI151" s="3">
        <v>227</v>
      </c>
      <c r="AJ151" s="3" t="str">
        <f>IFERROR(MID(VLOOKUP($B151,Seqs!$A:$B,2,0),AK151,1),"")</f>
        <v>T</v>
      </c>
      <c r="AK151" s="3">
        <v>231</v>
      </c>
      <c r="AL151" s="3" t="str">
        <f>IFERROR(MID(VLOOKUP($B151,Seqs!$A:$B,2,0),AM151,1),"")</f>
        <v>Q</v>
      </c>
      <c r="AM151" s="3">
        <v>270</v>
      </c>
      <c r="AN151" s="3" t="str">
        <f>IFERROR(MID(VLOOKUP($B151,Seqs!$A:$B,2,0),AO151,1),"")</f>
        <v>G</v>
      </c>
      <c r="AO151" s="3">
        <v>298</v>
      </c>
      <c r="AP151" s="3" t="str">
        <f>IFERROR(MID(VLOOKUP($B151,Seqs!$A:$B,2,0),AQ151,1),"")</f>
        <v>I</v>
      </c>
      <c r="AQ151" s="3">
        <v>334</v>
      </c>
      <c r="AR151" s="3" t="str">
        <f>IFERROR(MID(VLOOKUP($B151,Seqs!$A:$B,2,0),AS151,1),"")</f>
        <v>T</v>
      </c>
      <c r="AS151" s="3">
        <v>340</v>
      </c>
      <c r="AT151" s="3" t="str">
        <f>IFERROR(MID(VLOOKUP($B151,Seqs!$A:$B,2,0),AU151,1),"")</f>
        <v>V</v>
      </c>
      <c r="AU151" s="3">
        <v>372</v>
      </c>
      <c r="AV151" s="3" t="str">
        <f>IFERROR(MID(VLOOKUP($B151,Seqs!$A:$B,2,0),AW151,1),"")</f>
        <v>S</v>
      </c>
      <c r="AW151" s="3">
        <v>373</v>
      </c>
      <c r="AX151" s="3" t="str">
        <f>IFERROR(MID(VLOOKUP($B151,Seqs!$A:$B,2,0),AY151,1),"")</f>
        <v>L</v>
      </c>
      <c r="AY151" s="3">
        <v>384</v>
      </c>
      <c r="AZ151" s="78" t="str">
        <f>VLOOKUP(B151,Classification!A:D,2,0)</f>
        <v>A</v>
      </c>
      <c r="BA151" s="95" t="str">
        <f>VLOOKUP(B151,Classification!A:D,4,0)</f>
        <v>Neurotensin</v>
      </c>
      <c r="BB151" s="27" t="b">
        <f t="shared" si="1396"/>
        <v>1</v>
      </c>
      <c r="BC151" s="23">
        <f t="shared" si="1257"/>
        <v>260</v>
      </c>
      <c r="BD151" s="16" t="s">
        <v>1383</v>
      </c>
      <c r="BE151" s="3" t="s">
        <v>1381</v>
      </c>
      <c r="BF151" s="120">
        <v>2.75</v>
      </c>
      <c r="BG151" s="49" t="s">
        <v>1384</v>
      </c>
      <c r="BH151" s="49" t="s">
        <v>1384</v>
      </c>
      <c r="BI151" s="1"/>
      <c r="BJ151" s="71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1">
        <f t="shared" si="1258"/>
        <v>61</v>
      </c>
      <c r="BW151" s="72" t="str">
        <f t="shared" si="1259"/>
        <v>-</v>
      </c>
      <c r="BX151" s="73">
        <f t="shared" si="1260"/>
        <v>97</v>
      </c>
      <c r="BY151" s="72">
        <f t="shared" si="1261"/>
        <v>134</v>
      </c>
      <c r="BZ151" s="73">
        <f t="shared" si="1262"/>
        <v>138</v>
      </c>
      <c r="CA151" s="72" t="str">
        <f t="shared" si="1263"/>
        <v>-</v>
      </c>
      <c r="CB151" s="73">
        <f t="shared" si="1264"/>
        <v>182</v>
      </c>
      <c r="CC151" s="72">
        <f t="shared" si="1265"/>
        <v>225</v>
      </c>
      <c r="CD151" s="73">
        <f t="shared" si="1266"/>
        <v>231</v>
      </c>
      <c r="CE151" s="72">
        <f t="shared" si="1267"/>
        <v>298</v>
      </c>
      <c r="CF151" s="73">
        <f t="shared" si="1268"/>
        <v>340</v>
      </c>
      <c r="CG151" s="72">
        <f t="shared" si="1269"/>
        <v>373</v>
      </c>
      <c r="CH151" s="71">
        <f t="shared" si="1270"/>
        <v>91</v>
      </c>
      <c r="CI151" s="72" t="str">
        <f t="shared" si="1271"/>
        <v>-</v>
      </c>
      <c r="CJ151" s="73">
        <f t="shared" si="1272"/>
        <v>131</v>
      </c>
      <c r="CK151" s="73">
        <f t="shared" si="1273"/>
        <v>137</v>
      </c>
      <c r="CL151" s="73">
        <f t="shared" si="1274"/>
        <v>173</v>
      </c>
      <c r="CM151" s="73" t="str">
        <f t="shared" si="1275"/>
        <v>-</v>
      </c>
      <c r="CN151" s="73">
        <f t="shared" si="1276"/>
        <v>208</v>
      </c>
      <c r="CO151" s="73">
        <f t="shared" si="1277"/>
        <v>227</v>
      </c>
      <c r="CP151" s="73">
        <f t="shared" si="1278"/>
        <v>270</v>
      </c>
      <c r="CQ151" s="73">
        <f t="shared" si="1279"/>
        <v>334</v>
      </c>
      <c r="CR151" s="73">
        <f t="shared" si="1280"/>
        <v>372</v>
      </c>
      <c r="CS151" s="73">
        <f t="shared" si="1281"/>
        <v>384</v>
      </c>
      <c r="CT151" s="23" t="e">
        <f t="shared" si="1282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1395"/>
        <v>ntr1_rat_4GRV</v>
      </c>
      <c r="B152" s="3" t="s">
        <v>914</v>
      </c>
      <c r="C152" s="3" t="s">
        <v>50</v>
      </c>
      <c r="D152" s="3" t="str">
        <f>IFERROR(MID(VLOOKUP($B152,Seqs!$A:$B,2,0),E152,1),"")</f>
        <v>I</v>
      </c>
      <c r="E152" s="3">
        <v>61</v>
      </c>
      <c r="F152" s="3" t="str">
        <f>IFERROR(MID(VLOOKUP($B152,Seqs!$A:$B,2,0),G152,1),"")</f>
        <v>T</v>
      </c>
      <c r="G152" s="3">
        <v>88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Q</v>
      </c>
      <c r="M152" s="3">
        <v>99</v>
      </c>
      <c r="N152" s="3" t="str">
        <f>IFERROR(MID(VLOOKUP($B152,Seqs!$A:$B,2,0),O152,1),"")</f>
        <v>V</v>
      </c>
      <c r="O152" s="3">
        <v>131</v>
      </c>
      <c r="P152" s="3" t="str">
        <f>IFERROR(MID(VLOOKUP($B152,Seqs!$A:$B,2,0),Q152,1),"")</f>
        <v>P</v>
      </c>
      <c r="Q152" s="3">
        <v>134</v>
      </c>
      <c r="R152" s="3" t="str">
        <f>IFERROR(MID(VLOOKUP($B152,Seqs!$A:$B,2,0),S152,1),"")</f>
        <v>F</v>
      </c>
      <c r="S152" s="3">
        <v>137</v>
      </c>
      <c r="T152" s="3" t="str">
        <f>IFERROR(MID(VLOOKUP($B152,Seqs!$A:$B,2,0),U152,1),"")</f>
        <v>G</v>
      </c>
      <c r="U152" s="3">
        <v>138</v>
      </c>
      <c r="V152" s="3" t="str">
        <f>IFERROR(MID(VLOOKUP($B152,Seqs!$A:$B,2,0),W152,1),"")</f>
        <v>H</v>
      </c>
      <c r="W152" s="3">
        <v>173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9">
        <v>186</v>
      </c>
      <c r="AD152" s="3" t="str">
        <f>IFERROR(MID(VLOOKUP($B152,Seqs!$A:$B,2,0),AE152,1),"")</f>
        <v>M</v>
      </c>
      <c r="AE152" s="3">
        <v>208</v>
      </c>
      <c r="AF152" s="3" t="str">
        <f>IFERROR(MID(VLOOKUP($B152,Seqs!$A:$B,2,0),AG152,1),"")</f>
        <v>C</v>
      </c>
      <c r="AG152" s="3">
        <v>225</v>
      </c>
      <c r="AH152" s="3" t="str">
        <f>IFERROR(MID(VLOOKUP($B152,Seqs!$A:$B,2,0),AI152,1),"")</f>
        <v>P</v>
      </c>
      <c r="AI152" s="3">
        <v>227</v>
      </c>
      <c r="AJ152" s="3" t="str">
        <f>IFERROR(MID(VLOOKUP($B152,Seqs!$A:$B,2,0),AK152,1),"")</f>
        <v>T</v>
      </c>
      <c r="AK152" s="3">
        <v>231</v>
      </c>
      <c r="AL152" s="3" t="str">
        <f>IFERROR(MID(VLOOKUP($B152,Seqs!$A:$B,2,0),AM152,1),"")</f>
        <v>T</v>
      </c>
      <c r="AM152" s="3">
        <v>265</v>
      </c>
      <c r="AN152" s="3" t="str">
        <f>IFERROR(MID(VLOOKUP($B152,Seqs!$A:$B,2,0),AO152,1),"")</f>
        <v>A</v>
      </c>
      <c r="AO152" s="3">
        <v>302</v>
      </c>
      <c r="AP152" s="3" t="str">
        <f>IFERROR(MID(VLOOKUP($B152,Seqs!$A:$B,2,0),AQ152,1),"")</f>
        <v>I</v>
      </c>
      <c r="AQ152" s="3">
        <v>334</v>
      </c>
      <c r="AR152" s="3" t="str">
        <f>IFERROR(MID(VLOOKUP($B152,Seqs!$A:$B,2,0),AS152,1),"")</f>
        <v>T</v>
      </c>
      <c r="AS152" s="3">
        <v>340</v>
      </c>
      <c r="AT152" s="3" t="str">
        <f>IFERROR(MID(VLOOKUP($B152,Seqs!$A:$B,2,0),AU152,1),"")</f>
        <v>S</v>
      </c>
      <c r="AU152" s="3">
        <v>361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8" t="str">
        <f>VLOOKUP(B152,Classification!A:D,2,0)</f>
        <v>A</v>
      </c>
      <c r="BA152" s="95" t="str">
        <f>VLOOKUP(B152,Classification!A:D,4,0)</f>
        <v>Neurotensin</v>
      </c>
      <c r="BB152" s="27" t="b">
        <f t="shared" si="1396"/>
        <v>1</v>
      </c>
      <c r="BC152" s="23">
        <f t="shared" si="1257"/>
        <v>220</v>
      </c>
      <c r="BD152" s="5" t="s">
        <v>23</v>
      </c>
      <c r="BE152" s="3" t="s">
        <v>1439</v>
      </c>
      <c r="BF152" s="120">
        <v>2.8</v>
      </c>
      <c r="BG152" s="49" t="s">
        <v>1384</v>
      </c>
      <c r="BH152" s="49" t="s">
        <v>1384</v>
      </c>
      <c r="BI152" s="1"/>
      <c r="BJ152" s="71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1">
        <f t="shared" si="1258"/>
        <v>61</v>
      </c>
      <c r="BW152" s="72" t="str">
        <f t="shared" si="1259"/>
        <v>-</v>
      </c>
      <c r="BX152" s="73">
        <f t="shared" si="1260"/>
        <v>99</v>
      </c>
      <c r="BY152" s="72">
        <f t="shared" si="1261"/>
        <v>134</v>
      </c>
      <c r="BZ152" s="73">
        <f t="shared" si="1262"/>
        <v>138</v>
      </c>
      <c r="CA152" s="72" t="str">
        <f t="shared" si="1263"/>
        <v>-</v>
      </c>
      <c r="CB152" s="73">
        <f t="shared" si="1264"/>
        <v>186</v>
      </c>
      <c r="CC152" s="72">
        <f t="shared" si="1265"/>
        <v>225</v>
      </c>
      <c r="CD152" s="73">
        <f t="shared" si="1266"/>
        <v>231</v>
      </c>
      <c r="CE152" s="72">
        <f t="shared" si="1267"/>
        <v>302</v>
      </c>
      <c r="CF152" s="73">
        <f t="shared" si="1268"/>
        <v>340</v>
      </c>
      <c r="CG152" s="72" t="str">
        <f t="shared" si="1269"/>
        <v>-</v>
      </c>
      <c r="CH152" s="71">
        <f t="shared" si="1270"/>
        <v>88</v>
      </c>
      <c r="CI152" s="72" t="str">
        <f t="shared" si="1271"/>
        <v>-</v>
      </c>
      <c r="CJ152" s="73">
        <f t="shared" si="1272"/>
        <v>131</v>
      </c>
      <c r="CK152" s="73">
        <f t="shared" si="1273"/>
        <v>137</v>
      </c>
      <c r="CL152" s="73">
        <f t="shared" si="1274"/>
        <v>173</v>
      </c>
      <c r="CM152" s="73" t="str">
        <f t="shared" si="1275"/>
        <v>-</v>
      </c>
      <c r="CN152" s="73">
        <f t="shared" si="1276"/>
        <v>208</v>
      </c>
      <c r="CO152" s="73">
        <f t="shared" si="1277"/>
        <v>227</v>
      </c>
      <c r="CP152" s="73">
        <f t="shared" si="1278"/>
        <v>265</v>
      </c>
      <c r="CQ152" s="73">
        <f t="shared" si="1279"/>
        <v>334</v>
      </c>
      <c r="CR152" s="73">
        <f t="shared" si="1280"/>
        <v>361</v>
      </c>
      <c r="CS152" s="73" t="str">
        <f t="shared" si="1281"/>
        <v>-</v>
      </c>
      <c r="CT152" s="23" t="e">
        <f t="shared" si="128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1395"/>
        <v>ntr1_rat_4XEE</v>
      </c>
      <c r="B153" s="3" t="s">
        <v>914</v>
      </c>
      <c r="C153" s="3" t="s">
        <v>1356</v>
      </c>
      <c r="D153" s="3" t="str">
        <f>IFERROR(MID(VLOOKUP($B153,Seqs!$A:$B,2,0),E153,1),"")</f>
        <v>I</v>
      </c>
      <c r="E153" s="3">
        <v>61</v>
      </c>
      <c r="F153" s="3" t="str">
        <f>IFERROR(MID(VLOOKUP($B153,Seqs!$A:$B,2,0),G153,1),"")</f>
        <v>R</v>
      </c>
      <c r="G153" s="3">
        <v>91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100</v>
      </c>
      <c r="N153" s="3" t="str">
        <f>IFERROR(MID(VLOOKUP($B153,Seqs!$A:$B,2,0),O153,1),"")</f>
        <v>V</v>
      </c>
      <c r="O153" s="3">
        <v>131</v>
      </c>
      <c r="P153" s="3" t="str">
        <f>IFERROR(MID(VLOOKUP($B153,Seqs!$A:$B,2,0),Q153,1),"")</f>
        <v>P</v>
      </c>
      <c r="Q153" s="3">
        <v>134</v>
      </c>
      <c r="R153" s="3" t="str">
        <f>IFERROR(MID(VLOOKUP($B153,Seqs!$A:$B,2,0),S153,1),"")</f>
        <v>F</v>
      </c>
      <c r="S153" s="3">
        <v>137</v>
      </c>
      <c r="T153" s="3" t="str">
        <f>IFERROR(MID(VLOOKUP($B153,Seqs!$A:$B,2,0),U153,1),"")</f>
        <v>G</v>
      </c>
      <c r="U153" s="3">
        <v>138</v>
      </c>
      <c r="V153" s="3" t="str">
        <f>IFERROR(MID(VLOOKUP($B153,Seqs!$A:$B,2,0),W153,1),"")</f>
        <v>H</v>
      </c>
      <c r="W153" s="3">
        <v>173</v>
      </c>
      <c r="X153" s="3" t="str">
        <f>IFERROR(MID(VLOOKUP($B153,Seqs!$A:$B,2,0),Y153,1),"")</f>
        <v>P</v>
      </c>
      <c r="Y153" s="3">
        <v>174</v>
      </c>
      <c r="Z153" s="3" t="str">
        <f>IFERROR(MID(VLOOKUP($B153,Seqs!$A:$B,2,0),AA153,1),"")</f>
        <v>M</v>
      </c>
      <c r="AA153" s="3">
        <v>181</v>
      </c>
      <c r="AB153" s="3" t="str">
        <f>IFERROR(MID(VLOOKUP($B153,Seqs!$A:$B,2,0),AC153,1),"")</f>
        <v>S</v>
      </c>
      <c r="AC153" s="9">
        <v>182</v>
      </c>
      <c r="AD153" s="3" t="str">
        <f>IFERROR(MID(VLOOKUP($B153,Seqs!$A:$B,2,0),AE153,1),"")</f>
        <v>M</v>
      </c>
      <c r="AE153" s="3">
        <v>208</v>
      </c>
      <c r="AF153" s="3" t="str">
        <f>IFERROR(MID(VLOOKUP($B153,Seqs!$A:$B,2,0),AG153,1),"")</f>
        <v>C</v>
      </c>
      <c r="AG153" s="3">
        <v>225</v>
      </c>
      <c r="AH153" s="3" t="str">
        <f>IFERROR(MID(VLOOKUP($B153,Seqs!$A:$B,2,0),AI153,1),"")</f>
        <v>P</v>
      </c>
      <c r="AI153" s="3">
        <v>227</v>
      </c>
      <c r="AJ153" s="3" t="str">
        <f>IFERROR(MID(VLOOKUP($B153,Seqs!$A:$B,2,0),AK153,1),"")</f>
        <v>T</v>
      </c>
      <c r="AK153" s="3">
        <v>231</v>
      </c>
      <c r="AL153" s="3" t="str">
        <f>IFERROR(MID(VLOOKUP($B153,Seqs!$A:$B,2,0),AM153,1),"")</f>
        <v>V</v>
      </c>
      <c r="AM153" s="3">
        <v>268</v>
      </c>
      <c r="AN153" s="3" t="str">
        <f>IFERROR(MID(VLOOKUP($B153,Seqs!$A:$B,2,0),AO153,1),"")</f>
        <v>Q</v>
      </c>
      <c r="AO153" s="3">
        <v>301</v>
      </c>
      <c r="AP153" s="3" t="str">
        <f>IFERROR(MID(VLOOKUP($B153,Seqs!$A:$B,2,0),AQ153,1),"")</f>
        <v>I</v>
      </c>
      <c r="AQ153" s="3">
        <v>334</v>
      </c>
      <c r="AR153" s="3" t="str">
        <f>IFERROR(MID(VLOOKUP($B153,Seqs!$A:$B,2,0),AS153,1),"")</f>
        <v>T</v>
      </c>
      <c r="AS153" s="3">
        <v>340</v>
      </c>
      <c r="AT153" s="3" t="str">
        <f>IFERROR(MID(VLOOKUP($B153,Seqs!$A:$B,2,0),AU153,1),"")</f>
        <v>I</v>
      </c>
      <c r="AU153" s="3">
        <v>364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8" t="str">
        <f>VLOOKUP(B153,Classification!A:D,2,0)</f>
        <v>A</v>
      </c>
      <c r="BA153" s="95" t="str">
        <f>VLOOKUP(B153,Classification!A:D,4,0)</f>
        <v>Neurotensin</v>
      </c>
      <c r="BB153" s="27" t="b">
        <f t="shared" si="1396"/>
        <v>1</v>
      </c>
      <c r="BC153" s="23">
        <f t="shared" si="1257"/>
        <v>240</v>
      </c>
      <c r="BD153" s="4" t="s">
        <v>23</v>
      </c>
      <c r="BE153" s="3" t="s">
        <v>1439</v>
      </c>
      <c r="BF153" s="120">
        <v>2.9</v>
      </c>
      <c r="BG153" s="49" t="s">
        <v>1384</v>
      </c>
      <c r="BH153" s="49" t="s">
        <v>1384</v>
      </c>
      <c r="BI153" s="1"/>
      <c r="BJ153" s="71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1">
        <f t="shared" si="1258"/>
        <v>61</v>
      </c>
      <c r="BW153" s="72" t="str">
        <f t="shared" si="1259"/>
        <v>-</v>
      </c>
      <c r="BX153" s="73">
        <f t="shared" si="1260"/>
        <v>100</v>
      </c>
      <c r="BY153" s="72">
        <f t="shared" si="1261"/>
        <v>134</v>
      </c>
      <c r="BZ153" s="73">
        <f t="shared" si="1262"/>
        <v>138</v>
      </c>
      <c r="CA153" s="72">
        <f t="shared" si="1263"/>
        <v>174</v>
      </c>
      <c r="CB153" s="73">
        <f t="shared" si="1264"/>
        <v>182</v>
      </c>
      <c r="CC153" s="72">
        <f t="shared" si="1265"/>
        <v>225</v>
      </c>
      <c r="CD153" s="73">
        <f t="shared" si="1266"/>
        <v>231</v>
      </c>
      <c r="CE153" s="72">
        <f t="shared" si="1267"/>
        <v>301</v>
      </c>
      <c r="CF153" s="73">
        <f t="shared" si="1268"/>
        <v>340</v>
      </c>
      <c r="CG153" s="72" t="str">
        <f t="shared" si="1269"/>
        <v>-</v>
      </c>
      <c r="CH153" s="71">
        <f t="shared" si="1270"/>
        <v>91</v>
      </c>
      <c r="CI153" s="72" t="str">
        <f t="shared" si="1271"/>
        <v>-</v>
      </c>
      <c r="CJ153" s="73">
        <f t="shared" si="1272"/>
        <v>131</v>
      </c>
      <c r="CK153" s="73">
        <f t="shared" si="1273"/>
        <v>137</v>
      </c>
      <c r="CL153" s="73">
        <f t="shared" si="1274"/>
        <v>173</v>
      </c>
      <c r="CM153" s="73">
        <f t="shared" si="1275"/>
        <v>181</v>
      </c>
      <c r="CN153" s="73">
        <f t="shared" si="1276"/>
        <v>208</v>
      </c>
      <c r="CO153" s="73">
        <f t="shared" si="1277"/>
        <v>227</v>
      </c>
      <c r="CP153" s="73">
        <f t="shared" si="1278"/>
        <v>268</v>
      </c>
      <c r="CQ153" s="73">
        <f t="shared" si="1279"/>
        <v>334</v>
      </c>
      <c r="CR153" s="73">
        <f t="shared" si="1280"/>
        <v>364</v>
      </c>
      <c r="CS153" s="73" t="str">
        <f t="shared" si="1281"/>
        <v>-</v>
      </c>
      <c r="CT153" s="23" t="e">
        <f t="shared" si="1282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1395"/>
        <v>ntr1_rat_4XES</v>
      </c>
      <c r="B154" s="3" t="s">
        <v>914</v>
      </c>
      <c r="C154" s="3" t="s">
        <v>1357</v>
      </c>
      <c r="D154" s="3" t="str">
        <f>IFERROR(MID(VLOOKUP($B154,Seqs!$A:$B,2,0),E154,1),"")</f>
        <v>I</v>
      </c>
      <c r="E154" s="3">
        <v>61</v>
      </c>
      <c r="F154" s="3" t="str">
        <f>IFERROR(MID(VLOOKUP($B154,Seqs!$A:$B,2,0),G154,1),"")</f>
        <v>K</v>
      </c>
      <c r="G154" s="3">
        <v>92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97</v>
      </c>
      <c r="N154" s="3" t="str">
        <f>IFERROR(MID(VLOOKUP($B154,Seqs!$A:$B,2,0),O154,1),"")</f>
        <v>V</v>
      </c>
      <c r="O154" s="3">
        <v>131</v>
      </c>
      <c r="P154" s="3" t="str">
        <f>IFERROR(MID(VLOOKUP($B154,Seqs!$A:$B,2,0),Q154,1),"")</f>
        <v>P</v>
      </c>
      <c r="Q154" s="3">
        <v>134</v>
      </c>
      <c r="R154" s="3" t="str">
        <f>IFERROR(MID(VLOOKUP($B154,Seqs!$A:$B,2,0),S154,1),"")</f>
        <v>F</v>
      </c>
      <c r="S154" s="3">
        <v>137</v>
      </c>
      <c r="T154" s="3" t="str">
        <f>IFERROR(MID(VLOOKUP($B154,Seqs!$A:$B,2,0),U154,1),"")</f>
        <v>G</v>
      </c>
      <c r="U154" s="3">
        <v>138</v>
      </c>
      <c r="V154" s="3" t="str">
        <f>IFERROR(MID(VLOOKUP($B154,Seqs!$A:$B,2,0),W154,1),"")</f>
        <v>H</v>
      </c>
      <c r="W154" s="3">
        <v>173</v>
      </c>
      <c r="X154" s="3" t="str">
        <f>IFERROR(MID(VLOOKUP($B154,Seqs!$A:$B,2,0),Y154,1),"")</f>
        <v>P</v>
      </c>
      <c r="Y154" s="3">
        <v>174</v>
      </c>
      <c r="Z154" s="3" t="str">
        <f>IFERROR(MID(VLOOKUP($B154,Seqs!$A:$B,2,0),AA154,1),"")</f>
        <v>M</v>
      </c>
      <c r="AA154" s="3">
        <v>181</v>
      </c>
      <c r="AB154" s="3" t="str">
        <f>IFERROR(MID(VLOOKUP($B154,Seqs!$A:$B,2,0),AC154,1),"")</f>
        <v>S</v>
      </c>
      <c r="AC154" s="9">
        <v>182</v>
      </c>
      <c r="AD154" s="3" t="str">
        <f>IFERROR(MID(VLOOKUP($B154,Seqs!$A:$B,2,0),AE154,1),"")</f>
        <v>M</v>
      </c>
      <c r="AE154" s="3">
        <v>208</v>
      </c>
      <c r="AF154" s="3" t="str">
        <f>IFERROR(MID(VLOOKUP($B154,Seqs!$A:$B,2,0),AG154,1),"")</f>
        <v>C</v>
      </c>
      <c r="AG154" s="3">
        <v>225</v>
      </c>
      <c r="AH154" s="3" t="str">
        <f>IFERROR(MID(VLOOKUP($B154,Seqs!$A:$B,2,0),AI154,1),"")</f>
        <v>P</v>
      </c>
      <c r="AI154" s="3">
        <v>227</v>
      </c>
      <c r="AJ154" s="3" t="str">
        <f>IFERROR(MID(VLOOKUP($B154,Seqs!$A:$B,2,0),AK154,1),"")</f>
        <v>T</v>
      </c>
      <c r="AK154" s="3">
        <v>231</v>
      </c>
      <c r="AL154" s="3" t="str">
        <f>IFERROR(MID(VLOOKUP($B154,Seqs!$A:$B,2,0),AM154,1),"")</f>
        <v>V</v>
      </c>
      <c r="AM154" s="3">
        <v>268</v>
      </c>
      <c r="AN154" s="3" t="str">
        <f>IFERROR(MID(VLOOKUP($B154,Seqs!$A:$B,2,0),AO154,1),"")</f>
        <v>A</v>
      </c>
      <c r="AO154" s="3">
        <v>302</v>
      </c>
      <c r="AP154" s="3" t="str">
        <f>IFERROR(MID(VLOOKUP($B154,Seqs!$A:$B,2,0),AQ154,1),"")</f>
        <v>I</v>
      </c>
      <c r="AQ154" s="3">
        <v>334</v>
      </c>
      <c r="AR154" s="3" t="str">
        <f>IFERROR(MID(VLOOKUP($B154,Seqs!$A:$B,2,0),AS154,1),"")</f>
        <v>T</v>
      </c>
      <c r="AS154" s="3">
        <v>340</v>
      </c>
      <c r="AT154" s="3" t="str">
        <f>IFERROR(MID(VLOOKUP($B154,Seqs!$A:$B,2,0),AU154,1),"")</f>
        <v>I</v>
      </c>
      <c r="AU154" s="3">
        <v>364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8" t="str">
        <f>VLOOKUP(B154,Classification!A:D,2,0)</f>
        <v>A</v>
      </c>
      <c r="BA154" s="95" t="str">
        <f>VLOOKUP(B154,Classification!A:D,4,0)</f>
        <v>Neurotensin</v>
      </c>
      <c r="BB154" s="27" t="b">
        <f t="shared" si="1396"/>
        <v>1</v>
      </c>
      <c r="BC154" s="23">
        <f t="shared" si="1257"/>
        <v>243</v>
      </c>
      <c r="BD154" s="5" t="s">
        <v>1440</v>
      </c>
      <c r="BE154" s="3" t="s">
        <v>1439</v>
      </c>
      <c r="BF154" s="120">
        <v>2.6</v>
      </c>
      <c r="BG154" s="49" t="s">
        <v>1384</v>
      </c>
      <c r="BH154" s="49" t="s">
        <v>1384</v>
      </c>
      <c r="BI154" s="1"/>
      <c r="BJ154" s="71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1">
        <f t="shared" si="1258"/>
        <v>61</v>
      </c>
      <c r="BW154" s="72" t="str">
        <f t="shared" si="1259"/>
        <v>-</v>
      </c>
      <c r="BX154" s="73">
        <f t="shared" si="1260"/>
        <v>97</v>
      </c>
      <c r="BY154" s="72">
        <f t="shared" si="1261"/>
        <v>134</v>
      </c>
      <c r="BZ154" s="73">
        <f t="shared" si="1262"/>
        <v>138</v>
      </c>
      <c r="CA154" s="72">
        <f t="shared" si="1263"/>
        <v>174</v>
      </c>
      <c r="CB154" s="73">
        <f t="shared" si="1264"/>
        <v>182</v>
      </c>
      <c r="CC154" s="72">
        <f t="shared" si="1265"/>
        <v>225</v>
      </c>
      <c r="CD154" s="73">
        <f t="shared" si="1266"/>
        <v>231</v>
      </c>
      <c r="CE154" s="72">
        <f t="shared" si="1267"/>
        <v>302</v>
      </c>
      <c r="CF154" s="73">
        <f t="shared" si="1268"/>
        <v>340</v>
      </c>
      <c r="CG154" s="72" t="str">
        <f t="shared" si="1269"/>
        <v>-</v>
      </c>
      <c r="CH154" s="71">
        <f t="shared" si="1270"/>
        <v>92</v>
      </c>
      <c r="CI154" s="72" t="str">
        <f t="shared" si="1271"/>
        <v>-</v>
      </c>
      <c r="CJ154" s="73">
        <f t="shared" si="1272"/>
        <v>131</v>
      </c>
      <c r="CK154" s="73">
        <f t="shared" si="1273"/>
        <v>137</v>
      </c>
      <c r="CL154" s="73">
        <f t="shared" si="1274"/>
        <v>173</v>
      </c>
      <c r="CM154" s="73">
        <f t="shared" si="1275"/>
        <v>181</v>
      </c>
      <c r="CN154" s="73">
        <f t="shared" si="1276"/>
        <v>208</v>
      </c>
      <c r="CO154" s="73">
        <f t="shared" si="1277"/>
        <v>227</v>
      </c>
      <c r="CP154" s="73">
        <f t="shared" si="1278"/>
        <v>268</v>
      </c>
      <c r="CQ154" s="73">
        <f t="shared" si="1279"/>
        <v>334</v>
      </c>
      <c r="CR154" s="73">
        <f t="shared" si="1280"/>
        <v>364</v>
      </c>
      <c r="CS154" s="73" t="str">
        <f t="shared" si="1281"/>
        <v>-</v>
      </c>
      <c r="CT154" s="23" t="e">
        <f t="shared" si="1282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ref="A155" si="1397">CONCATENATE(B155,"_",C155)</f>
        <v>ntr1_rat_5T04</v>
      </c>
      <c r="B155" s="3" t="s">
        <v>914</v>
      </c>
      <c r="C155" s="3" t="s">
        <v>1392</v>
      </c>
      <c r="D155" s="3" t="str">
        <f>IFERROR(MID(VLOOKUP($B155,Seqs!$A:$B,2,0),E155,1),"")</f>
        <v>I</v>
      </c>
      <c r="E155" s="3">
        <v>61</v>
      </c>
      <c r="F155" s="3" t="str">
        <f>IFERROR(MID(VLOOKUP($B155,Seqs!$A:$B,2,0),G155,1),"")</f>
        <v>T</v>
      </c>
      <c r="G155" s="3">
        <v>88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H</v>
      </c>
      <c r="M155" s="3">
        <v>103</v>
      </c>
      <c r="N155" s="3" t="str">
        <f>IFERROR(MID(VLOOKUP($B155,Seqs!$A:$B,2,0),O155,1),"")</f>
        <v>V</v>
      </c>
      <c r="O155" s="3">
        <v>131</v>
      </c>
      <c r="P155" s="3" t="str">
        <f>IFERROR(MID(VLOOKUP($B155,Seqs!$A:$B,2,0),Q155,1),"")</f>
        <v>P</v>
      </c>
      <c r="Q155" s="3">
        <v>134</v>
      </c>
      <c r="R155" s="3" t="str">
        <f>IFERROR(MID(VLOOKUP($B155,Seqs!$A:$B,2,0),S155,1),"")</f>
        <v>F</v>
      </c>
      <c r="S155" s="3">
        <v>137</v>
      </c>
      <c r="T155" s="3" t="str">
        <f>IFERROR(MID(VLOOKUP($B155,Seqs!$A:$B,2,0),U155,1),"")</f>
        <v>G</v>
      </c>
      <c r="U155" s="3">
        <v>138</v>
      </c>
      <c r="V155" s="3" t="str">
        <f>IFERROR(MID(VLOOKUP($B155,Seqs!$A:$B,2,0),W155,1),"")</f>
        <v>H</v>
      </c>
      <c r="W155" s="3">
        <v>173</v>
      </c>
      <c r="X155" s="3" t="str">
        <f>IFERROR(MID(VLOOKUP($B155,Seqs!$A:$B,2,0),Y155,1),"")</f>
        <v>P</v>
      </c>
      <c r="Y155" s="3">
        <v>174</v>
      </c>
      <c r="Z155" s="3" t="str">
        <f>IFERROR(MID(VLOOKUP($B155,Seqs!$A:$B,2,0),AA155,1),"")</f>
        <v>M</v>
      </c>
      <c r="AA155" s="3">
        <v>181</v>
      </c>
      <c r="AB155" s="3" t="str">
        <f>IFERROR(MID(VLOOKUP($B155,Seqs!$A:$B,2,0),AC155,1),"")</f>
        <v>S</v>
      </c>
      <c r="AC155" s="3">
        <v>182</v>
      </c>
      <c r="AD155" s="3" t="str">
        <f>IFERROR(MID(VLOOKUP($B155,Seqs!$A:$B,2,0),AE155,1),"")</f>
        <v>M</v>
      </c>
      <c r="AE155" s="3">
        <v>208</v>
      </c>
      <c r="AF155" s="3" t="str">
        <f>IFERROR(MID(VLOOKUP($B155,Seqs!$A:$B,2,0),AG155,1),"")</f>
        <v>C</v>
      </c>
      <c r="AG155" s="3">
        <v>225</v>
      </c>
      <c r="AH155" s="3" t="str">
        <f>IFERROR(MID(VLOOKUP($B155,Seqs!$A:$B,2,0),AI155,1),"")</f>
        <v>P</v>
      </c>
      <c r="AI155" s="3">
        <v>227</v>
      </c>
      <c r="AJ155" s="3" t="str">
        <f>IFERROR(MID(VLOOKUP($B155,Seqs!$A:$B,2,0),AK155,1),"")</f>
        <v>T</v>
      </c>
      <c r="AK155" s="3">
        <v>231</v>
      </c>
      <c r="AL155" s="3" t="str">
        <f>IFERROR(MID(VLOOKUP($B155,Seqs!$A:$B,2,0),AM155,1),"")</f>
        <v>V</v>
      </c>
      <c r="AM155" s="3">
        <v>268</v>
      </c>
      <c r="AN155" s="3" t="str">
        <f>IFERROR(MID(VLOOKUP($B155,Seqs!$A:$B,2,0),AO155,1),"")</f>
        <v>P</v>
      </c>
      <c r="AO155" s="3">
        <v>297</v>
      </c>
      <c r="AP155" s="3" t="str">
        <f>IFERROR(MID(VLOOKUP($B155,Seqs!$A:$B,2,0),AQ155,1),"")</f>
        <v>I</v>
      </c>
      <c r="AQ155" s="3">
        <v>334</v>
      </c>
      <c r="AR155" s="3" t="str">
        <f>IFERROR(MID(VLOOKUP($B155,Seqs!$A:$B,2,0),AS155,1),"")</f>
        <v>T</v>
      </c>
      <c r="AS155" s="3">
        <v>340</v>
      </c>
      <c r="AT155" s="3" t="str">
        <f>IFERROR(MID(VLOOKUP($B155,Seqs!$A:$B,2,0),AU155,1),"")</f>
        <v>I</v>
      </c>
      <c r="AU155" s="3">
        <v>364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8" t="str">
        <f>VLOOKUP(B155,Classification!A:D,2,0)</f>
        <v>A</v>
      </c>
      <c r="BA155" s="95" t="str">
        <f>VLOOKUP(B155,Classification!A:D,4,0)</f>
        <v>Neurotensin</v>
      </c>
      <c r="BB155" s="27" t="b">
        <f t="shared" ref="BB155" si="1398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23">
        <f t="shared" ref="BC155" si="1399">_xlfn.AGGREGATE(9,6,CH155:CS155)-_xlfn.AGGREGATE(9,6,BV155:CG155)+12</f>
        <v>238</v>
      </c>
      <c r="BD155" s="5" t="s">
        <v>1382</v>
      </c>
      <c r="BE155" s="3" t="s">
        <v>1297</v>
      </c>
      <c r="BF155" s="120">
        <v>3.3</v>
      </c>
      <c r="BG155" s="49" t="s">
        <v>1384</v>
      </c>
      <c r="BH155" s="49" t="s">
        <v>1384</v>
      </c>
      <c r="BI155" s="1"/>
      <c r="BJ155" s="71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1">
        <f t="shared" ref="BV155" si="1400">E155</f>
        <v>61</v>
      </c>
      <c r="BW155" s="72" t="str">
        <f t="shared" ref="BW155" si="1401">I155</f>
        <v>-</v>
      </c>
      <c r="BX155" s="73">
        <f t="shared" ref="BX155" si="1402">M155</f>
        <v>103</v>
      </c>
      <c r="BY155" s="72">
        <f t="shared" ref="BY155" si="1403">Q155</f>
        <v>134</v>
      </c>
      <c r="BZ155" s="73">
        <f t="shared" ref="BZ155" si="1404">U155</f>
        <v>138</v>
      </c>
      <c r="CA155" s="72">
        <f t="shared" ref="CA155" si="1405">Y155</f>
        <v>174</v>
      </c>
      <c r="CB155" s="73">
        <f t="shared" ref="CB155" si="1406">AC155</f>
        <v>182</v>
      </c>
      <c r="CC155" s="72">
        <f t="shared" ref="CC155" si="1407">AG155</f>
        <v>225</v>
      </c>
      <c r="CD155" s="73">
        <f t="shared" ref="CD155" si="1408">AK155</f>
        <v>231</v>
      </c>
      <c r="CE155" s="72">
        <f t="shared" ref="CE155" si="1409">AO155</f>
        <v>297</v>
      </c>
      <c r="CF155" s="73">
        <f t="shared" ref="CF155" si="1410">AS155</f>
        <v>340</v>
      </c>
      <c r="CG155" s="72" t="str">
        <f t="shared" ref="CG155" si="1411">AW155</f>
        <v>-</v>
      </c>
      <c r="CH155" s="71">
        <f t="shared" ref="CH155" si="1412">G155</f>
        <v>88</v>
      </c>
      <c r="CI155" s="72" t="str">
        <f t="shared" ref="CI155" si="1413">K155</f>
        <v>-</v>
      </c>
      <c r="CJ155" s="73">
        <f t="shared" ref="CJ155" si="1414">O155</f>
        <v>131</v>
      </c>
      <c r="CK155" s="73">
        <f t="shared" ref="CK155" si="1415">S155</f>
        <v>137</v>
      </c>
      <c r="CL155" s="73">
        <f t="shared" ref="CL155" si="1416">W155</f>
        <v>173</v>
      </c>
      <c r="CM155" s="73">
        <f t="shared" ref="CM155" si="1417">AA155</f>
        <v>181</v>
      </c>
      <c r="CN155" s="73">
        <f t="shared" ref="CN155" si="1418">AE155</f>
        <v>208</v>
      </c>
      <c r="CO155" s="73">
        <f t="shared" ref="CO155" si="1419">AI155</f>
        <v>227</v>
      </c>
      <c r="CP155" s="73">
        <f t="shared" ref="CP155" si="1420">AM155</f>
        <v>268</v>
      </c>
      <c r="CQ155" s="73">
        <f t="shared" ref="CQ155" si="1421">AQ155</f>
        <v>334</v>
      </c>
      <c r="CR155" s="73">
        <f t="shared" ref="CR155" si="1422">AU155</f>
        <v>364</v>
      </c>
      <c r="CS155" s="73" t="str">
        <f t="shared" ref="CS155" si="1423">AY155</f>
        <v>-</v>
      </c>
      <c r="CT155" s="23" t="e">
        <f t="shared" ref="CT155" si="1424">M155-K155</f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1395"/>
        <v>oprd_human__wt</v>
      </c>
      <c r="B156" s="3" t="s">
        <v>335</v>
      </c>
      <c r="C156" s="3" t="s">
        <v>100</v>
      </c>
      <c r="D156" s="3" t="str">
        <f>IFERROR(MID(VLOOKUP($B156,Seqs!$A:$B,2,0),E156,1),"")</f>
        <v>G</v>
      </c>
      <c r="E156" s="3">
        <v>39</v>
      </c>
      <c r="F156" s="3" t="str">
        <f>IFERROR(MID(VLOOKUP($B156,Seqs!$A:$B,2,0),G156,1),"")</f>
        <v>Y</v>
      </c>
      <c r="G156" s="3">
        <v>77</v>
      </c>
      <c r="H156" s="3" t="str">
        <f>IFERROR(MID(VLOOKUP($B156,Seqs!$A:$B,2,0),I156,1),"")</f>
        <v>T</v>
      </c>
      <c r="I156" s="23">
        <v>78</v>
      </c>
      <c r="J156" s="3" t="str">
        <f>IFERROR(MID(VLOOKUP($B156,Seqs!$A:$B,2,0),K156,1),"")</f>
        <v>K</v>
      </c>
      <c r="K156" s="23">
        <v>81</v>
      </c>
      <c r="L156" s="3" t="str">
        <f>IFERROR(MID(VLOOKUP($B156,Seqs!$A:$B,2,0),M156,1),"")</f>
        <v>T</v>
      </c>
      <c r="M156" s="3">
        <v>82</v>
      </c>
      <c r="N156" s="3" t="str">
        <f>IFERROR(MID(VLOOKUP($B156,Seqs!$A:$B,2,0),O156,1),"")</f>
        <v>M</v>
      </c>
      <c r="O156" s="3">
        <v>111</v>
      </c>
      <c r="P156" s="3" t="str">
        <f>IFERROR(MID(VLOOKUP($B156,Seqs!$A:$B,2,0),Q156,1),"")</f>
        <v>T</v>
      </c>
      <c r="Q156" s="3">
        <v>113</v>
      </c>
      <c r="R156" s="3" t="str">
        <f>IFERROR(MID(VLOOKUP($B156,Seqs!$A:$B,2,0),S156,1),"")</f>
        <v>F</v>
      </c>
      <c r="S156" s="3">
        <v>116</v>
      </c>
      <c r="T156" s="3" t="str">
        <f>IFERROR(MID(VLOOKUP($B156,Seqs!$A:$B,2,0),U156,1),"")</f>
        <v>G</v>
      </c>
      <c r="U156" s="3">
        <v>117</v>
      </c>
      <c r="V156" s="3" t="str">
        <f>IFERROR(MID(VLOOKUP($B156,Seqs!$A:$B,2,0),W156,1),"")</f>
        <v>H</v>
      </c>
      <c r="W156" s="3">
        <v>152</v>
      </c>
      <c r="X156" s="3" t="str">
        <f>IFERROR(MID(VLOOKUP($B156,Seqs!$A:$B,2,0),Y156,1),"")</f>
        <v>P</v>
      </c>
      <c r="Y156" s="3">
        <v>153</v>
      </c>
      <c r="Z156" s="3" t="str">
        <f>IFERROR(MID(VLOOKUP($B156,Seqs!$A:$B,2,0),AA156,1),"")</f>
        <v>R</v>
      </c>
      <c r="AA156" s="3">
        <v>160</v>
      </c>
      <c r="AB156" s="3" t="str">
        <f>IFERROR(MID(VLOOKUP($B156,Seqs!$A:$B,2,0),AC156,1),"")</f>
        <v>T</v>
      </c>
      <c r="AC156" s="9">
        <v>161</v>
      </c>
      <c r="AD156" s="3" t="str">
        <f>IFERROR(MID(VLOOKUP($B156,Seqs!$A:$B,2,0),AE156,1),"")</f>
        <v>A</v>
      </c>
      <c r="AE156" s="3">
        <v>187</v>
      </c>
      <c r="AF156" s="3" t="str">
        <f>IFERROR(MID(VLOOKUP($B156,Seqs!$A:$B,2,0),AG156,1),"")</f>
        <v>C</v>
      </c>
      <c r="AG156" s="3">
        <v>198</v>
      </c>
      <c r="AH156" s="3" t="str">
        <f>IFERROR(MID(VLOOKUP($B156,Seqs!$A:$B,2,0),AI156,1),"")</f>
        <v>L</v>
      </c>
      <c r="AI156" s="3">
        <v>200</v>
      </c>
      <c r="AJ156" s="3" t="str">
        <f>IFERROR(MID(VLOOKUP($B156,Seqs!$A:$B,2,0),AK156,1),"")</f>
        <v>S</v>
      </c>
      <c r="AK156" s="3">
        <v>206</v>
      </c>
      <c r="AL156" s="3" t="str">
        <f>IFERROR(MID(VLOOKUP($B156,Seqs!$A:$B,2,0),AM156,1),"")</f>
        <v>V</v>
      </c>
      <c r="AM156" s="3">
        <v>243</v>
      </c>
      <c r="AN156" s="3" t="str">
        <f>IFERROR(MID(VLOOKUP($B156,Seqs!$A:$B,2,0),AO156,1),"")</f>
        <v>S</v>
      </c>
      <c r="AO156" s="3">
        <v>249</v>
      </c>
      <c r="AP156" s="3" t="str">
        <f>IFERROR(MID(VLOOKUP($B156,Seqs!$A:$B,2,0),AQ156,1),"")</f>
        <v>V</v>
      </c>
      <c r="AQ156" s="3">
        <v>287</v>
      </c>
      <c r="AR156" s="3" t="str">
        <f>IFERROR(MID(VLOOKUP($B156,Seqs!$A:$B,2,0),AS156,1),"")</f>
        <v>D</v>
      </c>
      <c r="AS156" s="3">
        <v>293</v>
      </c>
      <c r="AT156" s="3" t="str">
        <f>IFERROR(MID(VLOOKUP($B156,Seqs!$A:$B,2,0),AU156,1),"")</f>
        <v>L</v>
      </c>
      <c r="AU156" s="3">
        <v>321</v>
      </c>
      <c r="AV156" s="3" t="str">
        <f>IFERROR(MID(VLOOKUP($B156,Seqs!$A:$B,2,0),AW156,1),"")</f>
        <v>D</v>
      </c>
      <c r="AW156" s="3">
        <v>322</v>
      </c>
      <c r="AX156" s="3" t="str">
        <f>IFERROR(MID(VLOOKUP($B156,Seqs!$A:$B,2,0),AY156,1),"")</f>
        <v>K</v>
      </c>
      <c r="AY156" s="3">
        <v>335</v>
      </c>
      <c r="AZ156" s="78" t="str">
        <f>VLOOKUP(B156,Classification!A:D,2,0)</f>
        <v>A</v>
      </c>
      <c r="BA156" s="95" t="str">
        <f>VLOOKUP(B156,Classification!A:D,4,0)</f>
        <v>Opioid</v>
      </c>
      <c r="BB156" s="27" t="b">
        <f t="shared" si="1396"/>
        <v>1</v>
      </c>
      <c r="BC156" s="23">
        <f t="shared" si="1257"/>
        <v>271</v>
      </c>
      <c r="BD156" s="56" t="s">
        <v>1379</v>
      </c>
      <c r="BE156" s="3" t="s">
        <v>23</v>
      </c>
      <c r="BF156" s="120" t="s">
        <v>23</v>
      </c>
      <c r="BG156" s="49" t="s">
        <v>1379</v>
      </c>
      <c r="BH156" s="49" t="s">
        <v>1384</v>
      </c>
      <c r="BI156" s="1"/>
      <c r="BJ156" s="71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1">
        <f t="shared" si="1258"/>
        <v>39</v>
      </c>
      <c r="BW156" s="72">
        <f t="shared" si="1259"/>
        <v>78</v>
      </c>
      <c r="BX156" s="73">
        <f t="shared" si="1260"/>
        <v>82</v>
      </c>
      <c r="BY156" s="72">
        <f t="shared" si="1261"/>
        <v>113</v>
      </c>
      <c r="BZ156" s="73">
        <f t="shared" si="1262"/>
        <v>117</v>
      </c>
      <c r="CA156" s="72">
        <f t="shared" si="1263"/>
        <v>153</v>
      </c>
      <c r="CB156" s="73">
        <f t="shared" si="1264"/>
        <v>161</v>
      </c>
      <c r="CC156" s="72">
        <f t="shared" si="1265"/>
        <v>198</v>
      </c>
      <c r="CD156" s="73">
        <f t="shared" si="1266"/>
        <v>206</v>
      </c>
      <c r="CE156" s="72">
        <f t="shared" si="1267"/>
        <v>249</v>
      </c>
      <c r="CF156" s="73">
        <f t="shared" si="1268"/>
        <v>293</v>
      </c>
      <c r="CG156" s="72">
        <f t="shared" si="1269"/>
        <v>322</v>
      </c>
      <c r="CH156" s="71">
        <f t="shared" si="1270"/>
        <v>77</v>
      </c>
      <c r="CI156" s="72">
        <f t="shared" si="1271"/>
        <v>81</v>
      </c>
      <c r="CJ156" s="73">
        <f t="shared" si="1272"/>
        <v>111</v>
      </c>
      <c r="CK156" s="73">
        <f t="shared" si="1273"/>
        <v>116</v>
      </c>
      <c r="CL156" s="73">
        <f t="shared" si="1274"/>
        <v>152</v>
      </c>
      <c r="CM156" s="73">
        <f t="shared" si="1275"/>
        <v>160</v>
      </c>
      <c r="CN156" s="73">
        <f t="shared" si="1276"/>
        <v>187</v>
      </c>
      <c r="CO156" s="73">
        <f t="shared" si="1277"/>
        <v>200</v>
      </c>
      <c r="CP156" s="73">
        <f t="shared" si="1278"/>
        <v>243</v>
      </c>
      <c r="CQ156" s="73">
        <f t="shared" si="1279"/>
        <v>287</v>
      </c>
      <c r="CR156" s="73">
        <f t="shared" si="1280"/>
        <v>321</v>
      </c>
      <c r="CS156" s="73">
        <f t="shared" si="1281"/>
        <v>335</v>
      </c>
      <c r="CT156" s="23">
        <f t="shared" si="1282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 t="shared" si="1395"/>
        <v>oprd_human_4N6H</v>
      </c>
      <c r="B157" s="3" t="s">
        <v>335</v>
      </c>
      <c r="C157" s="3" t="s">
        <v>87</v>
      </c>
      <c r="D157" s="3" t="str">
        <f>IFERROR(MID(VLOOKUP($B157,Seqs!$A:$B,2,0),E157,1),"")</f>
        <v>G</v>
      </c>
      <c r="E157" s="3">
        <v>39</v>
      </c>
      <c r="F157" s="3" t="str">
        <f>IFERROR(MID(VLOOKUP($B157,Seqs!$A:$B,2,0),G157,1),"")</f>
        <v>Y</v>
      </c>
      <c r="G157" s="3">
        <v>77</v>
      </c>
      <c r="H157" s="3" t="str">
        <f>IFERROR(MID(VLOOKUP($B157,Seqs!$A:$B,2,0),I157,1),"")</f>
        <v>T</v>
      </c>
      <c r="I157" s="23">
        <v>78</v>
      </c>
      <c r="J157" s="3" t="str">
        <f>IFERROR(MID(VLOOKUP($B157,Seqs!$A:$B,2,0),K157,1),"")</f>
        <v>K</v>
      </c>
      <c r="K157" s="23">
        <v>81</v>
      </c>
      <c r="L157" s="3" t="str">
        <f>IFERROR(MID(VLOOKUP($B157,Seqs!$A:$B,2,0),M157,1),"")</f>
        <v>T</v>
      </c>
      <c r="M157" s="3">
        <v>82</v>
      </c>
      <c r="N157" s="3" t="str">
        <f>IFERROR(MID(VLOOKUP($B157,Seqs!$A:$B,2,0),O157,1),"")</f>
        <v>M</v>
      </c>
      <c r="O157" s="3">
        <v>111</v>
      </c>
      <c r="P157" s="3" t="str">
        <f>IFERROR(MID(VLOOKUP($B157,Seqs!$A:$B,2,0),Q157,1),"")</f>
        <v>T</v>
      </c>
      <c r="Q157" s="3">
        <v>113</v>
      </c>
      <c r="R157" s="3" t="str">
        <f>IFERROR(MID(VLOOKUP($B157,Seqs!$A:$B,2,0),S157,1),"")</f>
        <v>F</v>
      </c>
      <c r="S157" s="3">
        <v>116</v>
      </c>
      <c r="T157" s="3" t="str">
        <f>IFERROR(MID(VLOOKUP($B157,Seqs!$A:$B,2,0),U157,1),"")</f>
        <v>G</v>
      </c>
      <c r="U157" s="3">
        <v>117</v>
      </c>
      <c r="V157" s="3" t="str">
        <f>IFERROR(MID(VLOOKUP($B157,Seqs!$A:$B,2,0),W157,1),"")</f>
        <v>H</v>
      </c>
      <c r="W157" s="3">
        <v>152</v>
      </c>
      <c r="X157" s="3" t="str">
        <f>IFERROR(MID(VLOOKUP($B157,Seqs!$A:$B,2,0),Y157,1),"")</f>
        <v>P</v>
      </c>
      <c r="Y157" s="3">
        <v>153</v>
      </c>
      <c r="Z157" s="3" t="str">
        <f>IFERROR(MID(VLOOKUP($B157,Seqs!$A:$B,2,0),AA157,1),"")</f>
        <v>R</v>
      </c>
      <c r="AA157" s="3">
        <v>160</v>
      </c>
      <c r="AB157" s="3" t="str">
        <f>IFERROR(MID(VLOOKUP($B157,Seqs!$A:$B,2,0),AC157,1),"")</f>
        <v>T</v>
      </c>
      <c r="AC157" s="9">
        <v>161</v>
      </c>
      <c r="AD157" s="3" t="str">
        <f>IFERROR(MID(VLOOKUP($B157,Seqs!$A:$B,2,0),AE157,1),"")</f>
        <v>A</v>
      </c>
      <c r="AE157" s="3">
        <v>187</v>
      </c>
      <c r="AF157" s="3" t="str">
        <f>IFERROR(MID(VLOOKUP($B157,Seqs!$A:$B,2,0),AG157,1),"")</f>
        <v>C</v>
      </c>
      <c r="AG157" s="3">
        <v>198</v>
      </c>
      <c r="AH157" s="3" t="str">
        <f>IFERROR(MID(VLOOKUP($B157,Seqs!$A:$B,2,0),AI157,1),"")</f>
        <v>L</v>
      </c>
      <c r="AI157" s="3">
        <v>200</v>
      </c>
      <c r="AJ157" s="3" t="str">
        <f>IFERROR(MID(VLOOKUP($B157,Seqs!$A:$B,2,0),AK157,1),"")</f>
        <v>S</v>
      </c>
      <c r="AK157" s="3">
        <v>206</v>
      </c>
      <c r="AL157" s="3" t="str">
        <f>IFERROR(MID(VLOOKUP($B157,Seqs!$A:$B,2,0),AM157,1),"")</f>
        <v>V</v>
      </c>
      <c r="AM157" s="3">
        <v>243</v>
      </c>
      <c r="AN157" s="3" t="str">
        <f>IFERROR(MID(VLOOKUP($B157,Seqs!$A:$B,2,0),AO157,1),"")</f>
        <v>S</v>
      </c>
      <c r="AO157" s="3">
        <v>249</v>
      </c>
      <c r="AP157" s="3" t="str">
        <f>IFERROR(MID(VLOOKUP($B157,Seqs!$A:$B,2,0),AQ157,1),"")</f>
        <v>V</v>
      </c>
      <c r="AQ157" s="3">
        <v>287</v>
      </c>
      <c r="AR157" s="3" t="str">
        <f>IFERROR(MID(VLOOKUP($B157,Seqs!$A:$B,2,0),AS157,1),"")</f>
        <v>D</v>
      </c>
      <c r="AS157" s="3">
        <v>293</v>
      </c>
      <c r="AT157" s="3" t="str">
        <f>IFERROR(MID(VLOOKUP($B157,Seqs!$A:$B,2,0),AU157,1),"")</f>
        <v>L</v>
      </c>
      <c r="AU157" s="3">
        <v>321</v>
      </c>
      <c r="AV157" s="3" t="str">
        <f>IFERROR(MID(VLOOKUP($B157,Seqs!$A:$B,2,0),AW157,1),"")</f>
        <v>D</v>
      </c>
      <c r="AW157" s="3">
        <v>322</v>
      </c>
      <c r="AX157" s="3" t="str">
        <f>IFERROR(MID(VLOOKUP($B157,Seqs!$A:$B,2,0),AY157,1),"")</f>
        <v>K</v>
      </c>
      <c r="AY157" s="3">
        <v>335</v>
      </c>
      <c r="AZ157" s="78" t="str">
        <f>VLOOKUP(B157,Classification!A:D,2,0)</f>
        <v>A</v>
      </c>
      <c r="BA157" s="95" t="str">
        <f>VLOOKUP(B157,Classification!A:D,4,0)</f>
        <v>Opioid</v>
      </c>
      <c r="BB157" s="27" t="b">
        <f t="shared" si="1396"/>
        <v>1</v>
      </c>
      <c r="BC157" s="23">
        <f t="shared" si="1257"/>
        <v>271</v>
      </c>
      <c r="BD157" s="16" t="s">
        <v>1383</v>
      </c>
      <c r="BE157" s="3" t="s">
        <v>1381</v>
      </c>
      <c r="BF157" s="120">
        <v>1.8</v>
      </c>
      <c r="BG157" s="49" t="s">
        <v>1384</v>
      </c>
      <c r="BH157" s="49" t="s">
        <v>1384</v>
      </c>
      <c r="BJ157" s="71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1">
        <f t="shared" si="1258"/>
        <v>39</v>
      </c>
      <c r="BW157" s="72">
        <f t="shared" si="1259"/>
        <v>78</v>
      </c>
      <c r="BX157" s="73">
        <f t="shared" si="1260"/>
        <v>82</v>
      </c>
      <c r="BY157" s="72">
        <f t="shared" si="1261"/>
        <v>113</v>
      </c>
      <c r="BZ157" s="73">
        <f t="shared" si="1262"/>
        <v>117</v>
      </c>
      <c r="CA157" s="72">
        <f t="shared" si="1263"/>
        <v>153</v>
      </c>
      <c r="CB157" s="73">
        <f t="shared" si="1264"/>
        <v>161</v>
      </c>
      <c r="CC157" s="72">
        <f t="shared" si="1265"/>
        <v>198</v>
      </c>
      <c r="CD157" s="73">
        <f t="shared" si="1266"/>
        <v>206</v>
      </c>
      <c r="CE157" s="72">
        <f t="shared" si="1267"/>
        <v>249</v>
      </c>
      <c r="CF157" s="73">
        <f t="shared" si="1268"/>
        <v>293</v>
      </c>
      <c r="CG157" s="72">
        <f t="shared" si="1269"/>
        <v>322</v>
      </c>
      <c r="CH157" s="71">
        <f t="shared" si="1270"/>
        <v>77</v>
      </c>
      <c r="CI157" s="72">
        <f t="shared" si="1271"/>
        <v>81</v>
      </c>
      <c r="CJ157" s="73">
        <f t="shared" si="1272"/>
        <v>111</v>
      </c>
      <c r="CK157" s="73">
        <f t="shared" si="1273"/>
        <v>116</v>
      </c>
      <c r="CL157" s="73">
        <f t="shared" si="1274"/>
        <v>152</v>
      </c>
      <c r="CM157" s="73">
        <f t="shared" si="1275"/>
        <v>160</v>
      </c>
      <c r="CN157" s="73">
        <f t="shared" si="1276"/>
        <v>187</v>
      </c>
      <c r="CO157" s="73">
        <f t="shared" si="1277"/>
        <v>200</v>
      </c>
      <c r="CP157" s="73">
        <f t="shared" si="1278"/>
        <v>243</v>
      </c>
      <c r="CQ157" s="73">
        <f t="shared" si="1279"/>
        <v>287</v>
      </c>
      <c r="CR157" s="73">
        <f t="shared" si="1280"/>
        <v>321</v>
      </c>
      <c r="CS157" s="73">
        <f t="shared" si="1281"/>
        <v>335</v>
      </c>
      <c r="CT157" s="23">
        <f t="shared" si="1282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s="2" customFormat="1" x14ac:dyDescent="0.2">
      <c r="A158" s="3" t="str">
        <f t="shared" si="1395"/>
        <v>oprd_human_4RWD</v>
      </c>
      <c r="B158" s="1" t="s">
        <v>335</v>
      </c>
      <c r="C158" s="1" t="s">
        <v>1344</v>
      </c>
      <c r="D158" s="3" t="str">
        <f>IFERROR(MID(VLOOKUP($B158,Seqs!$A:$B,2,0),E158,1),"")</f>
        <v>A</v>
      </c>
      <c r="E158" s="3">
        <v>43</v>
      </c>
      <c r="F158" s="3" t="str">
        <f>IFERROR(MID(VLOOKUP($B158,Seqs!$A:$B,2,0),G158,1),"")</f>
        <v>Y</v>
      </c>
      <c r="G158" s="3">
        <v>77</v>
      </c>
      <c r="H158" s="3" t="str">
        <f>IFERROR(MID(VLOOKUP($B158,Seqs!$A:$B,2,0),I158,1),"")</f>
        <v>T</v>
      </c>
      <c r="I158" s="23">
        <v>78</v>
      </c>
      <c r="J158" s="3" t="str">
        <f>IFERROR(MID(VLOOKUP($B158,Seqs!$A:$B,2,0),K158,1),"")</f>
        <v>K</v>
      </c>
      <c r="K158" s="23">
        <v>81</v>
      </c>
      <c r="L158" s="3" t="str">
        <f>IFERROR(MID(VLOOKUP($B158,Seqs!$A:$B,2,0),M158,1),"")</f>
        <v>T</v>
      </c>
      <c r="M158" s="3">
        <v>82</v>
      </c>
      <c r="N158" s="3" t="str">
        <f>IFERROR(MID(VLOOKUP($B158,Seqs!$A:$B,2,0),O158,1),"")</f>
        <v>M</v>
      </c>
      <c r="O158" s="3">
        <v>111</v>
      </c>
      <c r="P158" s="3" t="str">
        <f>IFERROR(MID(VLOOKUP($B158,Seqs!$A:$B,2,0),Q158,1),"")</f>
        <v>T</v>
      </c>
      <c r="Q158" s="3">
        <v>113</v>
      </c>
      <c r="R158" s="3" t="str">
        <f>IFERROR(MID(VLOOKUP($B158,Seqs!$A:$B,2,0),S158,1),"")</f>
        <v>F</v>
      </c>
      <c r="S158" s="3">
        <v>116</v>
      </c>
      <c r="T158" s="3" t="str">
        <f>IFERROR(MID(VLOOKUP($B158,Seqs!$A:$B,2,0),U158,1),"")</f>
        <v>G</v>
      </c>
      <c r="U158" s="3">
        <v>117</v>
      </c>
      <c r="V158" s="3" t="str">
        <f>IFERROR(MID(VLOOKUP($B158,Seqs!$A:$B,2,0),W158,1),"")</f>
        <v>H</v>
      </c>
      <c r="W158" s="3">
        <v>152</v>
      </c>
      <c r="X158" s="3" t="str">
        <f>IFERROR(MID(VLOOKUP($B158,Seqs!$A:$B,2,0),Y158,1),"")</f>
        <v>P</v>
      </c>
      <c r="Y158" s="3">
        <v>153</v>
      </c>
      <c r="Z158" s="3" t="str">
        <f>IFERROR(MID(VLOOKUP($B158,Seqs!$A:$B,2,0),AA158,1),"")</f>
        <v>R</v>
      </c>
      <c r="AA158" s="3">
        <v>160</v>
      </c>
      <c r="AB158" s="3" t="str">
        <f>IFERROR(MID(VLOOKUP($B158,Seqs!$A:$B,2,0),AC158,1),"")</f>
        <v>T</v>
      </c>
      <c r="AC158" s="9">
        <v>161</v>
      </c>
      <c r="AD158" s="3" t="str">
        <f>IFERROR(MID(VLOOKUP($B158,Seqs!$A:$B,2,0),AE158,1),"")</f>
        <v>A</v>
      </c>
      <c r="AE158" s="3">
        <v>187</v>
      </c>
      <c r="AF158" s="3" t="str">
        <f>IFERROR(MID(VLOOKUP($B158,Seqs!$A:$B,2,0),AG158,1),"")</f>
        <v>C</v>
      </c>
      <c r="AG158" s="3">
        <v>198</v>
      </c>
      <c r="AH158" s="3" t="str">
        <f>IFERROR(MID(VLOOKUP($B158,Seqs!$A:$B,2,0),AI158,1),"")</f>
        <v>L</v>
      </c>
      <c r="AI158" s="3">
        <v>200</v>
      </c>
      <c r="AJ158" s="3" t="str">
        <f>IFERROR(MID(VLOOKUP($B158,Seqs!$A:$B,2,0),AK158,1),"")</f>
        <v>S</v>
      </c>
      <c r="AK158" s="3">
        <v>206</v>
      </c>
      <c r="AL158" s="3" t="str">
        <f>IFERROR(MID(VLOOKUP($B158,Seqs!$A:$B,2,0),AM158,1),"")</f>
        <v>V</v>
      </c>
      <c r="AM158" s="3">
        <v>243</v>
      </c>
      <c r="AN158" s="3" t="str">
        <f>IFERROR(MID(VLOOKUP($B158,Seqs!$A:$B,2,0),AO158,1),"")</f>
        <v>S</v>
      </c>
      <c r="AO158" s="3">
        <v>249</v>
      </c>
      <c r="AP158" s="3" t="str">
        <f>IFERROR(MID(VLOOKUP($B158,Seqs!$A:$B,2,0),AQ158,1),"")</f>
        <v>V</v>
      </c>
      <c r="AQ158" s="3">
        <v>287</v>
      </c>
      <c r="AR158" s="3" t="str">
        <f>IFERROR(MID(VLOOKUP($B158,Seqs!$A:$B,2,0),AS158,1),"")</f>
        <v>D</v>
      </c>
      <c r="AS158" s="3">
        <v>293</v>
      </c>
      <c r="AT158" s="3" t="str">
        <f>IFERROR(MID(VLOOKUP($B158,Seqs!$A:$B,2,0),AU158,1),"")</f>
        <v>L</v>
      </c>
      <c r="AU158" s="3">
        <v>321</v>
      </c>
      <c r="AV158" s="3" t="str">
        <f>IFERROR(MID(VLOOKUP($B158,Seqs!$A:$B,2,0),AW158,1),"")</f>
        <v>D</v>
      </c>
      <c r="AW158" s="3">
        <v>322</v>
      </c>
      <c r="AX158" s="3" t="str">
        <f>IFERROR(MID(VLOOKUP($B158,Seqs!$A:$B,2,0),AY158,1),"")</f>
        <v>C</v>
      </c>
      <c r="AY158" s="3">
        <v>333</v>
      </c>
      <c r="AZ158" s="78" t="str">
        <f>VLOOKUP(B158,Classification!A:D,2,0)</f>
        <v>A</v>
      </c>
      <c r="BA158" s="95" t="str">
        <f>VLOOKUP(B158,Classification!A:D,4,0)</f>
        <v>Opioid</v>
      </c>
      <c r="BB158" s="27" t="b">
        <f t="shared" si="1396"/>
        <v>1</v>
      </c>
      <c r="BC158" s="23">
        <f t="shared" si="1257"/>
        <v>265</v>
      </c>
      <c r="BD158" s="16" t="s">
        <v>23</v>
      </c>
      <c r="BE158" s="3" t="s">
        <v>1381</v>
      </c>
      <c r="BF158" s="120">
        <v>2.7</v>
      </c>
      <c r="BG158" s="49" t="s">
        <v>1384</v>
      </c>
      <c r="BH158" s="49" t="s">
        <v>1384</v>
      </c>
      <c r="BI158" s="3"/>
      <c r="BJ158" s="71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1">
        <f t="shared" si="1258"/>
        <v>43</v>
      </c>
      <c r="BW158" s="72">
        <f t="shared" si="1259"/>
        <v>78</v>
      </c>
      <c r="BX158" s="73">
        <f t="shared" si="1260"/>
        <v>82</v>
      </c>
      <c r="BY158" s="72">
        <f t="shared" si="1261"/>
        <v>113</v>
      </c>
      <c r="BZ158" s="73">
        <f t="shared" si="1262"/>
        <v>117</v>
      </c>
      <c r="CA158" s="72">
        <f t="shared" si="1263"/>
        <v>153</v>
      </c>
      <c r="CB158" s="73">
        <f t="shared" si="1264"/>
        <v>161</v>
      </c>
      <c r="CC158" s="72">
        <f t="shared" si="1265"/>
        <v>198</v>
      </c>
      <c r="CD158" s="73">
        <f t="shared" si="1266"/>
        <v>206</v>
      </c>
      <c r="CE158" s="72">
        <f t="shared" si="1267"/>
        <v>249</v>
      </c>
      <c r="CF158" s="73">
        <f t="shared" si="1268"/>
        <v>293</v>
      </c>
      <c r="CG158" s="72">
        <f t="shared" si="1269"/>
        <v>322</v>
      </c>
      <c r="CH158" s="71">
        <f t="shared" si="1270"/>
        <v>77</v>
      </c>
      <c r="CI158" s="72">
        <f t="shared" si="1271"/>
        <v>81</v>
      </c>
      <c r="CJ158" s="73">
        <f t="shared" si="1272"/>
        <v>111</v>
      </c>
      <c r="CK158" s="73">
        <f t="shared" si="1273"/>
        <v>116</v>
      </c>
      <c r="CL158" s="73">
        <f t="shared" si="1274"/>
        <v>152</v>
      </c>
      <c r="CM158" s="73">
        <f t="shared" si="1275"/>
        <v>160</v>
      </c>
      <c r="CN158" s="73">
        <f t="shared" si="1276"/>
        <v>187</v>
      </c>
      <c r="CO158" s="73">
        <f t="shared" si="1277"/>
        <v>200</v>
      </c>
      <c r="CP158" s="73">
        <f t="shared" si="1278"/>
        <v>243</v>
      </c>
      <c r="CQ158" s="73">
        <f t="shared" si="1279"/>
        <v>287</v>
      </c>
      <c r="CR158" s="73">
        <f t="shared" si="1280"/>
        <v>321</v>
      </c>
      <c r="CS158" s="73">
        <f t="shared" si="1281"/>
        <v>333</v>
      </c>
      <c r="CT158" s="23">
        <f t="shared" si="1282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</row>
    <row r="159" spans="1:1030" s="2" customFormat="1" x14ac:dyDescent="0.2">
      <c r="A159" s="3" t="str">
        <f t="shared" si="1395"/>
        <v>oprd_mouse__wt</v>
      </c>
      <c r="B159" s="3" t="s">
        <v>916</v>
      </c>
      <c r="C159" s="3" t="s">
        <v>100</v>
      </c>
      <c r="D159" s="3" t="str">
        <f>IFERROR(MID(VLOOKUP($B159,Seqs!$A:$B,2,0),E159,1),"")</f>
        <v>R</v>
      </c>
      <c r="E159" s="3">
        <v>41</v>
      </c>
      <c r="F159" s="3" t="str">
        <f>IFERROR(MID(VLOOKUP($B159,Seqs!$A:$B,2,0),G159,1),"")</f>
        <v>Y</v>
      </c>
      <c r="G159" s="3">
        <v>77</v>
      </c>
      <c r="H159" s="3" t="str">
        <f>IFERROR(MID(VLOOKUP($B159,Seqs!$A:$B,2,0),I159,1),"")</f>
        <v>T</v>
      </c>
      <c r="I159" s="23">
        <v>78</v>
      </c>
      <c r="J159" s="3" t="str">
        <f>IFERROR(MID(VLOOKUP($B159,Seqs!$A:$B,2,0),K159,1),"")</f>
        <v>K</v>
      </c>
      <c r="K159" s="23">
        <v>81</v>
      </c>
      <c r="L159" s="3" t="str">
        <f>IFERROR(MID(VLOOKUP($B159,Seqs!$A:$B,2,0),M159,1),"")</f>
        <v>T</v>
      </c>
      <c r="M159" s="3">
        <v>82</v>
      </c>
      <c r="N159" s="3" t="str">
        <f>IFERROR(MID(VLOOKUP($B159,Seqs!$A:$B,2,0),O159,1),"")</f>
        <v>M</v>
      </c>
      <c r="O159" s="3">
        <v>111</v>
      </c>
      <c r="P159" s="3" t="str">
        <f>IFERROR(MID(VLOOKUP($B159,Seqs!$A:$B,2,0),Q159,1),"")</f>
        <v>T</v>
      </c>
      <c r="Q159" s="3">
        <v>113</v>
      </c>
      <c r="R159" s="3" t="str">
        <f>IFERROR(MID(VLOOKUP($B159,Seqs!$A:$B,2,0),S159,1),"")</f>
        <v>F</v>
      </c>
      <c r="S159" s="3">
        <v>116</v>
      </c>
      <c r="T159" s="3" t="str">
        <f>IFERROR(MID(VLOOKUP($B159,Seqs!$A:$B,2,0),U159,1),"")</f>
        <v>G</v>
      </c>
      <c r="U159" s="3">
        <v>117</v>
      </c>
      <c r="V159" s="3" t="str">
        <f>IFERROR(MID(VLOOKUP($B159,Seqs!$A:$B,2,0),W159,1),"")</f>
        <v>H</v>
      </c>
      <c r="W159" s="3">
        <v>152</v>
      </c>
      <c r="X159" s="3" t="str">
        <f>IFERROR(MID(VLOOKUP($B159,Seqs!$A:$B,2,0),Y159,1),"")</f>
        <v>P</v>
      </c>
      <c r="Y159" s="3">
        <v>153</v>
      </c>
      <c r="Z159" s="3" t="str">
        <f>IFERROR(MID(VLOOKUP($B159,Seqs!$A:$B,2,0),AA159,1),"")</f>
        <v>R</v>
      </c>
      <c r="AA159" s="3">
        <v>160</v>
      </c>
      <c r="AB159" s="3" t="str">
        <f>IFERROR(MID(VLOOKUP($B159,Seqs!$A:$B,2,0),AC159,1),"")</f>
        <v>T</v>
      </c>
      <c r="AC159" s="9">
        <v>161</v>
      </c>
      <c r="AD159" s="3" t="str">
        <f>IFERROR(MID(VLOOKUP($B159,Seqs!$A:$B,2,0),AE159,1),"")</f>
        <v>A</v>
      </c>
      <c r="AE159" s="3">
        <v>187</v>
      </c>
      <c r="AF159" s="3" t="str">
        <f>IFERROR(MID(VLOOKUP($B159,Seqs!$A:$B,2,0),AG159,1),"")</f>
        <v>C</v>
      </c>
      <c r="AG159" s="3">
        <v>198</v>
      </c>
      <c r="AH159" s="3" t="str">
        <f>IFERROR(MID(VLOOKUP($B159,Seqs!$A:$B,2,0),AI159,1),"")</f>
        <v>L</v>
      </c>
      <c r="AI159" s="3">
        <v>200</v>
      </c>
      <c r="AJ159" s="3" t="str">
        <f>IFERROR(MID(VLOOKUP($B159,Seqs!$A:$B,2,0),AK159,1),"")</f>
        <v>S</v>
      </c>
      <c r="AK159" s="3">
        <v>206</v>
      </c>
      <c r="AL159" s="3" t="str">
        <f>IFERROR(MID(VLOOKUP($B159,Seqs!$A:$B,2,0),AM159,1),"")</f>
        <v>V</v>
      </c>
      <c r="AM159" s="3">
        <v>243</v>
      </c>
      <c r="AN159" s="3" t="str">
        <f>IFERROR(MID(VLOOKUP($B159,Seqs!$A:$B,2,0),AO159,1),"")</f>
        <v>S</v>
      </c>
      <c r="AO159" s="3">
        <v>249</v>
      </c>
      <c r="AP159" s="3" t="str">
        <f>IFERROR(MID(VLOOKUP($B159,Seqs!$A:$B,2,0),AQ159,1),"")</f>
        <v>V</v>
      </c>
      <c r="AQ159" s="3">
        <v>287</v>
      </c>
      <c r="AR159" s="3" t="str">
        <f>IFERROR(MID(VLOOKUP($B159,Seqs!$A:$B,2,0),AS159,1),"")</f>
        <v>D</v>
      </c>
      <c r="AS159" s="3">
        <v>293</v>
      </c>
      <c r="AT159" s="3" t="str">
        <f>IFERROR(MID(VLOOKUP($B159,Seqs!$A:$B,2,0),AU159,1),"")</f>
        <v>L</v>
      </c>
      <c r="AU159" s="3">
        <v>321</v>
      </c>
      <c r="AV159" s="3" t="str">
        <f>IFERROR(MID(VLOOKUP($B159,Seqs!$A:$B,2,0),AW159,1),"")</f>
        <v>D</v>
      </c>
      <c r="AW159" s="3">
        <v>322</v>
      </c>
      <c r="AX159" s="3" t="str">
        <f>IFERROR(MID(VLOOKUP($B159,Seqs!$A:$B,2,0),AY159,1),"")</f>
        <v>T</v>
      </c>
      <c r="AY159" s="3">
        <v>335</v>
      </c>
      <c r="AZ159" s="78" t="str">
        <f>VLOOKUP(B159,Classification!A:D,2,0)</f>
        <v>A</v>
      </c>
      <c r="BA159" s="95" t="str">
        <f>VLOOKUP(B159,Classification!A:D,4,0)</f>
        <v>Opioid</v>
      </c>
      <c r="BB159" s="27" t="b">
        <f t="shared" si="1396"/>
        <v>1</v>
      </c>
      <c r="BC159" s="23">
        <f t="shared" si="1257"/>
        <v>269</v>
      </c>
      <c r="BD159" s="56" t="s">
        <v>1379</v>
      </c>
      <c r="BE159" s="3" t="s">
        <v>23</v>
      </c>
      <c r="BF159" s="120" t="s">
        <v>23</v>
      </c>
      <c r="BG159" s="49" t="s">
        <v>1379</v>
      </c>
      <c r="BH159" s="49" t="s">
        <v>1384</v>
      </c>
      <c r="BI159" s="1"/>
      <c r="BJ159" s="71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1">
        <f t="shared" si="1258"/>
        <v>41</v>
      </c>
      <c r="BW159" s="72">
        <f t="shared" si="1259"/>
        <v>78</v>
      </c>
      <c r="BX159" s="73">
        <f t="shared" si="1260"/>
        <v>82</v>
      </c>
      <c r="BY159" s="72">
        <f t="shared" si="1261"/>
        <v>113</v>
      </c>
      <c r="BZ159" s="73">
        <f t="shared" si="1262"/>
        <v>117</v>
      </c>
      <c r="CA159" s="72">
        <f t="shared" si="1263"/>
        <v>153</v>
      </c>
      <c r="CB159" s="73">
        <f t="shared" si="1264"/>
        <v>161</v>
      </c>
      <c r="CC159" s="72">
        <f t="shared" si="1265"/>
        <v>198</v>
      </c>
      <c r="CD159" s="73">
        <f t="shared" si="1266"/>
        <v>206</v>
      </c>
      <c r="CE159" s="72">
        <f t="shared" si="1267"/>
        <v>249</v>
      </c>
      <c r="CF159" s="73">
        <f t="shared" si="1268"/>
        <v>293</v>
      </c>
      <c r="CG159" s="72">
        <f t="shared" si="1269"/>
        <v>322</v>
      </c>
      <c r="CH159" s="71">
        <f t="shared" si="1270"/>
        <v>77</v>
      </c>
      <c r="CI159" s="72">
        <f t="shared" si="1271"/>
        <v>81</v>
      </c>
      <c r="CJ159" s="73">
        <f t="shared" si="1272"/>
        <v>111</v>
      </c>
      <c r="CK159" s="73">
        <f t="shared" si="1273"/>
        <v>116</v>
      </c>
      <c r="CL159" s="73">
        <f t="shared" si="1274"/>
        <v>152</v>
      </c>
      <c r="CM159" s="73">
        <f t="shared" si="1275"/>
        <v>160</v>
      </c>
      <c r="CN159" s="73">
        <f t="shared" si="1276"/>
        <v>187</v>
      </c>
      <c r="CO159" s="73">
        <f t="shared" si="1277"/>
        <v>200</v>
      </c>
      <c r="CP159" s="73">
        <f t="shared" si="1278"/>
        <v>243</v>
      </c>
      <c r="CQ159" s="73">
        <f t="shared" si="1279"/>
        <v>287</v>
      </c>
      <c r="CR159" s="73">
        <f t="shared" si="1280"/>
        <v>321</v>
      </c>
      <c r="CS159" s="73">
        <f t="shared" si="1281"/>
        <v>335</v>
      </c>
      <c r="CT159" s="23">
        <f t="shared" si="1282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</row>
    <row r="160" spans="1:1030" s="2" customFormat="1" x14ac:dyDescent="0.2">
      <c r="A160" s="3" t="str">
        <f t="shared" si="1395"/>
        <v>oprd_mouse_4EJ4</v>
      </c>
      <c r="B160" s="3" t="s">
        <v>916</v>
      </c>
      <c r="C160" s="3" t="s">
        <v>64</v>
      </c>
      <c r="D160" s="3" t="str">
        <f>IFERROR(MID(VLOOKUP($B160,Seqs!$A:$B,2,0),E160,1),"")</f>
        <v>R</v>
      </c>
      <c r="E160" s="3">
        <v>41</v>
      </c>
      <c r="F160" s="3" t="str">
        <f>IFERROR(MID(VLOOKUP($B160,Seqs!$A:$B,2,0),G160,1),"")</f>
        <v>Y</v>
      </c>
      <c r="G160" s="3">
        <v>77</v>
      </c>
      <c r="H160" s="3" t="str">
        <f>IFERROR(MID(VLOOKUP($B160,Seqs!$A:$B,2,0),I160,1),"")</f>
        <v>T</v>
      </c>
      <c r="I160" s="23">
        <v>78</v>
      </c>
      <c r="J160" s="3" t="str">
        <f>IFERROR(MID(VLOOKUP($B160,Seqs!$A:$B,2,0),K160,1),"")</f>
        <v>K</v>
      </c>
      <c r="K160" s="23">
        <v>81</v>
      </c>
      <c r="L160" s="3" t="str">
        <f>IFERROR(MID(VLOOKUP($B160,Seqs!$A:$B,2,0),M160,1),"")</f>
        <v>T</v>
      </c>
      <c r="M160" s="3">
        <v>82</v>
      </c>
      <c r="N160" s="3" t="str">
        <f>IFERROR(MID(VLOOKUP($B160,Seqs!$A:$B,2,0),O160,1),"")</f>
        <v>M</v>
      </c>
      <c r="O160" s="3">
        <v>111</v>
      </c>
      <c r="P160" s="3" t="str">
        <f>IFERROR(MID(VLOOKUP($B160,Seqs!$A:$B,2,0),Q160,1),"")</f>
        <v>T</v>
      </c>
      <c r="Q160" s="3">
        <v>113</v>
      </c>
      <c r="R160" s="3" t="str">
        <f>IFERROR(MID(VLOOKUP($B160,Seqs!$A:$B,2,0),S160,1),"")</f>
        <v>F</v>
      </c>
      <c r="S160" s="3">
        <v>116</v>
      </c>
      <c r="T160" s="3" t="str">
        <f>IFERROR(MID(VLOOKUP($B160,Seqs!$A:$B,2,0),U160,1),"")</f>
        <v>G</v>
      </c>
      <c r="U160" s="3">
        <v>117</v>
      </c>
      <c r="V160" s="3" t="str">
        <f>IFERROR(MID(VLOOKUP($B160,Seqs!$A:$B,2,0),W160,1),"")</f>
        <v>H</v>
      </c>
      <c r="W160" s="3">
        <v>152</v>
      </c>
      <c r="X160" s="3" t="str">
        <f>IFERROR(MID(VLOOKUP($B160,Seqs!$A:$B,2,0),Y160,1),"")</f>
        <v>P</v>
      </c>
      <c r="Y160" s="3">
        <v>153</v>
      </c>
      <c r="Z160" s="3" t="str">
        <f>IFERROR(MID(VLOOKUP($B160,Seqs!$A:$B,2,0),AA160,1),"")</f>
        <v>R</v>
      </c>
      <c r="AA160" s="3">
        <v>160</v>
      </c>
      <c r="AB160" s="3" t="str">
        <f>IFERROR(MID(VLOOKUP($B160,Seqs!$A:$B,2,0),AC160,1),"")</f>
        <v>T</v>
      </c>
      <c r="AC160" s="9">
        <v>161</v>
      </c>
      <c r="AD160" s="3" t="str">
        <f>IFERROR(MID(VLOOKUP($B160,Seqs!$A:$B,2,0),AE160,1),"")</f>
        <v>A</v>
      </c>
      <c r="AE160" s="3">
        <v>187</v>
      </c>
      <c r="AF160" s="3" t="str">
        <f>IFERROR(MID(VLOOKUP($B160,Seqs!$A:$B,2,0),AG160,1),"")</f>
        <v>C</v>
      </c>
      <c r="AG160" s="3">
        <v>198</v>
      </c>
      <c r="AH160" s="3" t="str">
        <f>IFERROR(MID(VLOOKUP($B160,Seqs!$A:$B,2,0),AI160,1),"")</f>
        <v>L</v>
      </c>
      <c r="AI160" s="3">
        <v>200</v>
      </c>
      <c r="AJ160" s="3" t="str">
        <f>IFERROR(MID(VLOOKUP($B160,Seqs!$A:$B,2,0),AK160,1),"")</f>
        <v>S</v>
      </c>
      <c r="AK160" s="3">
        <v>206</v>
      </c>
      <c r="AL160" s="3" t="str">
        <f>IFERROR(MID(VLOOKUP($B160,Seqs!$A:$B,2,0),AM160,1),"")</f>
        <v>L</v>
      </c>
      <c r="AM160" s="3">
        <v>238</v>
      </c>
      <c r="AN160" s="3" t="str">
        <f>IFERROR(MID(VLOOKUP($B160,Seqs!$A:$B,2,0),AO160,1),"")</f>
        <v>R</v>
      </c>
      <c r="AO160" s="3">
        <v>258</v>
      </c>
      <c r="AP160" s="3" t="str">
        <f>IFERROR(MID(VLOOKUP($B160,Seqs!$A:$B,2,0),AQ160,1),"")</f>
        <v>V</v>
      </c>
      <c r="AQ160" s="3">
        <v>287</v>
      </c>
      <c r="AR160" s="3" t="str">
        <f>IFERROR(MID(VLOOKUP($B160,Seqs!$A:$B,2,0),AS160,1),"")</f>
        <v>D</v>
      </c>
      <c r="AS160" s="3">
        <v>293</v>
      </c>
      <c r="AT160" s="3" t="str">
        <f>IFERROR(MID(VLOOKUP($B160,Seqs!$A:$B,2,0),AU160,1),"")</f>
        <v>L</v>
      </c>
      <c r="AU160" s="3">
        <v>321</v>
      </c>
      <c r="AV160" s="3" t="str">
        <f>IFERROR(MID(VLOOKUP($B160,Seqs!$A:$B,2,0),AW160,1),"")</f>
        <v>D</v>
      </c>
      <c r="AW160" s="3">
        <v>322</v>
      </c>
      <c r="AX160" s="3" t="str">
        <f>IFERROR(MID(VLOOKUP($B160,Seqs!$A:$B,2,0),AY160,1),"")</f>
        <v>C</v>
      </c>
      <c r="AY160" s="3">
        <v>328</v>
      </c>
      <c r="AZ160" s="78" t="str">
        <f>VLOOKUP(B160,Classification!A:D,2,0)</f>
        <v>A</v>
      </c>
      <c r="BA160" s="95" t="str">
        <f>VLOOKUP(B160,Classification!A:D,4,0)</f>
        <v>Opioid</v>
      </c>
      <c r="BB160" s="27" t="b">
        <f t="shared" si="1396"/>
        <v>1</v>
      </c>
      <c r="BC160" s="23">
        <f t="shared" si="1257"/>
        <v>248</v>
      </c>
      <c r="BD160" s="2" t="s">
        <v>1383</v>
      </c>
      <c r="BE160" s="3" t="s">
        <v>1381</v>
      </c>
      <c r="BF160" s="120">
        <v>3.4</v>
      </c>
      <c r="BG160" s="49" t="s">
        <v>1384</v>
      </c>
      <c r="BH160" s="49" t="s">
        <v>1384</v>
      </c>
      <c r="BI160" s="1"/>
      <c r="BJ160" s="71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1">
        <f t="shared" si="1258"/>
        <v>41</v>
      </c>
      <c r="BW160" s="72">
        <f t="shared" si="1259"/>
        <v>78</v>
      </c>
      <c r="BX160" s="73">
        <f t="shared" si="1260"/>
        <v>82</v>
      </c>
      <c r="BY160" s="72">
        <f t="shared" si="1261"/>
        <v>113</v>
      </c>
      <c r="BZ160" s="73">
        <f t="shared" si="1262"/>
        <v>117</v>
      </c>
      <c r="CA160" s="72">
        <f t="shared" si="1263"/>
        <v>153</v>
      </c>
      <c r="CB160" s="73">
        <f t="shared" si="1264"/>
        <v>161</v>
      </c>
      <c r="CC160" s="72">
        <f t="shared" si="1265"/>
        <v>198</v>
      </c>
      <c r="CD160" s="73">
        <f t="shared" si="1266"/>
        <v>206</v>
      </c>
      <c r="CE160" s="72">
        <f t="shared" si="1267"/>
        <v>258</v>
      </c>
      <c r="CF160" s="73">
        <f t="shared" si="1268"/>
        <v>293</v>
      </c>
      <c r="CG160" s="72">
        <f t="shared" si="1269"/>
        <v>322</v>
      </c>
      <c r="CH160" s="71">
        <f t="shared" si="1270"/>
        <v>77</v>
      </c>
      <c r="CI160" s="72">
        <f t="shared" si="1271"/>
        <v>81</v>
      </c>
      <c r="CJ160" s="73">
        <f t="shared" si="1272"/>
        <v>111</v>
      </c>
      <c r="CK160" s="73">
        <f t="shared" si="1273"/>
        <v>116</v>
      </c>
      <c r="CL160" s="73">
        <f t="shared" si="1274"/>
        <v>152</v>
      </c>
      <c r="CM160" s="73">
        <f t="shared" si="1275"/>
        <v>160</v>
      </c>
      <c r="CN160" s="73">
        <f t="shared" si="1276"/>
        <v>187</v>
      </c>
      <c r="CO160" s="73">
        <f t="shared" si="1277"/>
        <v>200</v>
      </c>
      <c r="CP160" s="73">
        <f t="shared" si="1278"/>
        <v>238</v>
      </c>
      <c r="CQ160" s="73">
        <f t="shared" si="1279"/>
        <v>287</v>
      </c>
      <c r="CR160" s="73">
        <f t="shared" si="1280"/>
        <v>321</v>
      </c>
      <c r="CS160" s="73">
        <f t="shared" si="1281"/>
        <v>328</v>
      </c>
      <c r="CT160" s="23">
        <f t="shared" si="1282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</row>
    <row r="161" spans="1:1030" x14ac:dyDescent="0.2">
      <c r="A161" s="3" t="str">
        <f t="shared" si="1395"/>
        <v>oprk_human__wt</v>
      </c>
      <c r="B161" s="3" t="s">
        <v>336</v>
      </c>
      <c r="C161" s="3" t="s">
        <v>100</v>
      </c>
      <c r="D161" s="3" t="str">
        <f>IFERROR(MID(VLOOKUP($B161,Seqs!$A:$B,2,0),E161,1),"")</f>
        <v>A</v>
      </c>
      <c r="E161" s="3">
        <v>57</v>
      </c>
      <c r="F161" s="3" t="str">
        <f>IFERROR(MID(VLOOKUP($B161,Seqs!$A:$B,2,0),G161,1),"")</f>
        <v>Y</v>
      </c>
      <c r="G161" s="3">
        <v>87</v>
      </c>
      <c r="H161" s="3" t="str">
        <f>IFERROR(MID(VLOOKUP($B161,Seqs!$A:$B,2,0),I161,1),"")</f>
        <v>T</v>
      </c>
      <c r="I161" s="23">
        <v>88</v>
      </c>
      <c r="J161" s="3" t="str">
        <f>IFERROR(MID(VLOOKUP($B161,Seqs!$A:$B,2,0),K161,1),"")</f>
        <v>K</v>
      </c>
      <c r="K161" s="23">
        <v>91</v>
      </c>
      <c r="L161" s="3" t="str">
        <f>IFERROR(MID(VLOOKUP($B161,Seqs!$A:$B,2,0),M161,1),"")</f>
        <v>T</v>
      </c>
      <c r="M161" s="3">
        <v>92</v>
      </c>
      <c r="N161" s="3" t="str">
        <f>IFERROR(MID(VLOOKUP($B161,Seqs!$A:$B,2,0),O161,1),"")</f>
        <v>N</v>
      </c>
      <c r="O161" s="106">
        <v>122</v>
      </c>
      <c r="P161" s="3" t="str">
        <f>IFERROR(MID(VLOOKUP($B161,Seqs!$A:$B,2,0),Q161,1),"")</f>
        <v>S</v>
      </c>
      <c r="Q161" s="3">
        <v>123</v>
      </c>
      <c r="R161" s="3" t="str">
        <f>IFERROR(MID(VLOOKUP($B161,Seqs!$A:$B,2,0),S161,1),"")</f>
        <v>F</v>
      </c>
      <c r="S161" s="3">
        <v>126</v>
      </c>
      <c r="T161" s="3" t="str">
        <f>IFERROR(MID(VLOOKUP($B161,Seqs!$A:$B,2,0),U161,1),"")</f>
        <v>G</v>
      </c>
      <c r="U161" s="3">
        <v>127</v>
      </c>
      <c r="V161" s="3" t="str">
        <f>IFERROR(MID(VLOOKUP($B161,Seqs!$A:$B,2,0),W161,1),"")</f>
        <v>H</v>
      </c>
      <c r="W161" s="3">
        <v>162</v>
      </c>
      <c r="X161" s="3" t="str">
        <f>IFERROR(MID(VLOOKUP($B161,Seqs!$A:$B,2,0),Y161,1),"")</f>
        <v>P</v>
      </c>
      <c r="Y161" s="3">
        <v>163</v>
      </c>
      <c r="Z161" s="3" t="str">
        <f>IFERROR(MID(VLOOKUP($B161,Seqs!$A:$B,2,0),AA161,1),"")</f>
        <v>R</v>
      </c>
      <c r="AA161" s="3">
        <v>170</v>
      </c>
      <c r="AB161" s="3" t="str">
        <f>IFERROR(MID(VLOOKUP($B161,Seqs!$A:$B,2,0),AC161,1),"")</f>
        <v>T</v>
      </c>
      <c r="AC161" s="9">
        <v>171</v>
      </c>
      <c r="AD161" s="3" t="str">
        <f>IFERROR(MID(VLOOKUP($B161,Seqs!$A:$B,2,0),AE161,1),"")</f>
        <v>G</v>
      </c>
      <c r="AE161" s="3">
        <v>197</v>
      </c>
      <c r="AF161" s="3" t="str">
        <f>IFERROR(MID(VLOOKUP($B161,Seqs!$A:$B,2,0),AG161,1),"")</f>
        <v>C</v>
      </c>
      <c r="AG161" s="3">
        <v>210</v>
      </c>
      <c r="AH161" s="3" t="str">
        <f>IFERROR(MID(VLOOKUP($B161,Seqs!$A:$B,2,0),AI161,1),"")</f>
        <v>L</v>
      </c>
      <c r="AI161" s="3">
        <v>212</v>
      </c>
      <c r="AJ161" s="3" t="str">
        <f>IFERROR(MID(VLOOKUP($B161,Seqs!$A:$B,2,0),AK161,1),"")</f>
        <v>D</v>
      </c>
      <c r="AK161" s="106">
        <v>218</v>
      </c>
      <c r="AL161" s="3" t="str">
        <f>IFERROR(MID(VLOOKUP($B161,Seqs!$A:$B,2,0),AM161,1),"")</f>
        <v>V</v>
      </c>
      <c r="AM161" s="3">
        <v>256</v>
      </c>
      <c r="AN161" s="3" t="str">
        <f>IFERROR(MID(VLOOKUP($B161,Seqs!$A:$B,2,0),AO161,1),"")</f>
        <v>S</v>
      </c>
      <c r="AO161" s="3">
        <v>262</v>
      </c>
      <c r="AP161" s="3" t="str">
        <f>IFERROR(MID(VLOOKUP($B161,Seqs!$A:$B,2,0),AQ161,1),"")</f>
        <v>G</v>
      </c>
      <c r="AQ161" s="3">
        <v>300</v>
      </c>
      <c r="AR161" s="3" t="str">
        <f>IFERROR(MID(VLOOKUP($B161,Seqs!$A:$B,2,0),AS161,1),"")</f>
        <v>S</v>
      </c>
      <c r="AS161" s="3">
        <v>305</v>
      </c>
      <c r="AT161" s="3" t="str">
        <f>IFERROR(MID(VLOOKUP($B161,Seqs!$A:$B,2,0),AU161,1),"")</f>
        <v>L</v>
      </c>
      <c r="AU161" s="3">
        <v>333</v>
      </c>
      <c r="AV161" s="3" t="str">
        <f>IFERROR(MID(VLOOKUP($B161,Seqs!$A:$B,2,0),AW161,1),"")</f>
        <v>D</v>
      </c>
      <c r="AW161" s="3">
        <v>334</v>
      </c>
      <c r="AX161" s="3" t="str">
        <f>IFERROR(MID(VLOOKUP($B161,Seqs!$A:$B,2,0),AY161,1),"")</f>
        <v>F</v>
      </c>
      <c r="AY161" s="3">
        <v>346</v>
      </c>
      <c r="AZ161" s="78" t="str">
        <f>VLOOKUP(B161,Classification!A:D,2,0)</f>
        <v>A</v>
      </c>
      <c r="BA161" s="95" t="str">
        <f>VLOOKUP(B161,Classification!A:D,4,0)</f>
        <v>Opioid</v>
      </c>
      <c r="BB161" s="27" t="b">
        <f t="shared" si="1396"/>
        <v>1</v>
      </c>
      <c r="BC161" s="23">
        <f t="shared" si="1257"/>
        <v>264</v>
      </c>
      <c r="BD161" s="56" t="s">
        <v>1379</v>
      </c>
      <c r="BE161" s="3" t="s">
        <v>23</v>
      </c>
      <c r="BF161" s="120" t="s">
        <v>23</v>
      </c>
      <c r="BG161" s="49" t="s">
        <v>1379</v>
      </c>
      <c r="BH161" s="49" t="s">
        <v>1384</v>
      </c>
      <c r="BI161" s="1"/>
      <c r="BJ161" s="71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1">
        <f t="shared" si="1258"/>
        <v>57</v>
      </c>
      <c r="BW161" s="72">
        <f t="shared" si="1259"/>
        <v>88</v>
      </c>
      <c r="BX161" s="73">
        <f t="shared" si="1260"/>
        <v>92</v>
      </c>
      <c r="BY161" s="72">
        <f t="shared" si="1261"/>
        <v>123</v>
      </c>
      <c r="BZ161" s="73">
        <f t="shared" si="1262"/>
        <v>127</v>
      </c>
      <c r="CA161" s="72">
        <f t="shared" si="1263"/>
        <v>163</v>
      </c>
      <c r="CB161" s="73">
        <f t="shared" si="1264"/>
        <v>171</v>
      </c>
      <c r="CC161" s="72">
        <f t="shared" si="1265"/>
        <v>210</v>
      </c>
      <c r="CD161" s="73">
        <f t="shared" si="1266"/>
        <v>218</v>
      </c>
      <c r="CE161" s="72">
        <f t="shared" si="1267"/>
        <v>262</v>
      </c>
      <c r="CF161" s="73">
        <f t="shared" si="1268"/>
        <v>305</v>
      </c>
      <c r="CG161" s="72">
        <f t="shared" si="1269"/>
        <v>334</v>
      </c>
      <c r="CH161" s="71">
        <f t="shared" si="1270"/>
        <v>87</v>
      </c>
      <c r="CI161" s="72">
        <f t="shared" si="1271"/>
        <v>91</v>
      </c>
      <c r="CJ161" s="73">
        <f t="shared" si="1272"/>
        <v>122</v>
      </c>
      <c r="CK161" s="73">
        <f t="shared" si="1273"/>
        <v>126</v>
      </c>
      <c r="CL161" s="73">
        <f t="shared" si="1274"/>
        <v>162</v>
      </c>
      <c r="CM161" s="73">
        <f t="shared" si="1275"/>
        <v>170</v>
      </c>
      <c r="CN161" s="73">
        <f t="shared" si="1276"/>
        <v>197</v>
      </c>
      <c r="CO161" s="73">
        <f t="shared" si="1277"/>
        <v>212</v>
      </c>
      <c r="CP161" s="73">
        <f t="shared" si="1278"/>
        <v>256</v>
      </c>
      <c r="CQ161" s="73">
        <f t="shared" si="1279"/>
        <v>300</v>
      </c>
      <c r="CR161" s="73">
        <f t="shared" si="1280"/>
        <v>333</v>
      </c>
      <c r="CS161" s="73">
        <f t="shared" si="1281"/>
        <v>346</v>
      </c>
      <c r="CT161" s="23">
        <f t="shared" si="1282"/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395"/>
        <v>oprk_human_4DJH</v>
      </c>
      <c r="B162" s="3" t="s">
        <v>336</v>
      </c>
      <c r="C162" s="3" t="s">
        <v>88</v>
      </c>
      <c r="D162" s="3" t="str">
        <f>IFERROR(MID(VLOOKUP($B162,Seqs!$A:$B,2,0),E162,1),"")</f>
        <v>A</v>
      </c>
      <c r="E162" s="3">
        <v>57</v>
      </c>
      <c r="F162" s="3" t="str">
        <f>IFERROR(MID(VLOOKUP($B162,Seqs!$A:$B,2,0),G162,1),"")</f>
        <v>Y</v>
      </c>
      <c r="G162" s="3">
        <v>87</v>
      </c>
      <c r="H162" s="3" t="str">
        <f>IFERROR(MID(VLOOKUP($B162,Seqs!$A:$B,2,0),I162,1),"")</f>
        <v>T</v>
      </c>
      <c r="I162" s="23">
        <v>88</v>
      </c>
      <c r="J162" s="3" t="str">
        <f>IFERROR(MID(VLOOKUP($B162,Seqs!$A:$B,2,0),K162,1),"")</f>
        <v>K</v>
      </c>
      <c r="K162" s="23">
        <v>91</v>
      </c>
      <c r="L162" s="3" t="str">
        <f>IFERROR(MID(VLOOKUP($B162,Seqs!$A:$B,2,0),M162,1),"")</f>
        <v>T</v>
      </c>
      <c r="M162" s="3">
        <v>92</v>
      </c>
      <c r="N162" s="3" t="str">
        <f>IFERROR(MID(VLOOKUP($B162,Seqs!$A:$B,2,0),O162,1),"")</f>
        <v>N</v>
      </c>
      <c r="O162" s="3">
        <v>122</v>
      </c>
      <c r="P162" s="3" t="str">
        <f>IFERROR(MID(VLOOKUP($B162,Seqs!$A:$B,2,0),Q162,1),"")</f>
        <v>S</v>
      </c>
      <c r="Q162" s="3">
        <v>123</v>
      </c>
      <c r="R162" s="3" t="str">
        <f>IFERROR(MID(VLOOKUP($B162,Seqs!$A:$B,2,0),S162,1),"")</f>
        <v>F</v>
      </c>
      <c r="S162" s="3">
        <v>126</v>
      </c>
      <c r="T162" s="3" t="str">
        <f>IFERROR(MID(VLOOKUP($B162,Seqs!$A:$B,2,0),U162,1),"")</f>
        <v>G</v>
      </c>
      <c r="U162" s="3">
        <v>127</v>
      </c>
      <c r="V162" s="3" t="str">
        <f>IFERROR(MID(VLOOKUP($B162,Seqs!$A:$B,2,0),W162,1),"")</f>
        <v>H</v>
      </c>
      <c r="W162" s="3">
        <v>162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9">
        <v>170</v>
      </c>
      <c r="AD162" s="3" t="str">
        <f>IFERROR(MID(VLOOKUP($B162,Seqs!$A:$B,2,0),AE162,1),"")</f>
        <v>G</v>
      </c>
      <c r="AE162" s="3">
        <v>197</v>
      </c>
      <c r="AF162" s="3" t="str">
        <f>IFERROR(MID(VLOOKUP($B162,Seqs!$A:$B,2,0),AG162,1),"")</f>
        <v>C</v>
      </c>
      <c r="AG162" s="3">
        <v>210</v>
      </c>
      <c r="AH162" s="3" t="str">
        <f>IFERROR(MID(VLOOKUP($B162,Seqs!$A:$B,2,0),AI162,1),"")</f>
        <v>L</v>
      </c>
      <c r="AI162" s="3">
        <v>212</v>
      </c>
      <c r="AJ162" s="3" t="str">
        <f>IFERROR(MID(VLOOKUP($B162,Seqs!$A:$B,2,0),AK162,1),"")</f>
        <v>D</v>
      </c>
      <c r="AK162" s="3">
        <v>218</v>
      </c>
      <c r="AL162" s="3" t="str">
        <f>IFERROR(MID(VLOOKUP($B162,Seqs!$A:$B,2,0),AM162,1),"")</f>
        <v>V</v>
      </c>
      <c r="AM162" s="3">
        <v>256</v>
      </c>
      <c r="AN162" s="3" t="str">
        <f>IFERROR(MID(VLOOKUP($B162,Seqs!$A:$B,2,0),AO162,1),"")</f>
        <v>R</v>
      </c>
      <c r="AO162" s="3">
        <v>267</v>
      </c>
      <c r="AP162" s="3" t="str">
        <f>IFERROR(MID(VLOOKUP($B162,Seqs!$A:$B,2,0),AQ162,1),"")</f>
        <v>G</v>
      </c>
      <c r="AQ162" s="3">
        <v>300</v>
      </c>
      <c r="AR162" s="3" t="str">
        <f>IFERROR(MID(VLOOKUP($B162,Seqs!$A:$B,2,0),AS162,1),"")</f>
        <v>A</v>
      </c>
      <c r="AS162" s="3">
        <v>308</v>
      </c>
      <c r="AT162" s="3" t="str">
        <f>IFERROR(MID(VLOOKUP($B162,Seqs!$A:$B,2,0),AU162,1),"")</f>
        <v>L</v>
      </c>
      <c r="AU162" s="3">
        <v>333</v>
      </c>
      <c r="AV162" s="3" t="str">
        <f>IFERROR(MID(VLOOKUP($B162,Seqs!$A:$B,2,0),AW162,1),"")</f>
        <v>D</v>
      </c>
      <c r="AW162" s="3">
        <v>334</v>
      </c>
      <c r="AX162" s="3" t="str">
        <f>IFERROR(MID(VLOOKUP($B162,Seqs!$A:$B,2,0),AY162,1),"")</f>
        <v>F</v>
      </c>
      <c r="AY162" s="3">
        <v>346</v>
      </c>
      <c r="AZ162" s="78" t="str">
        <f>VLOOKUP(B162,Classification!A:D,2,0)</f>
        <v>A</v>
      </c>
      <c r="BA162" s="95" t="str">
        <f>VLOOKUP(B162,Classification!A:D,4,0)</f>
        <v>Opioid</v>
      </c>
      <c r="BB162" s="27" t="b">
        <f t="shared" si="1396"/>
        <v>1</v>
      </c>
      <c r="BC162" s="23">
        <f t="shared" si="1257"/>
        <v>250</v>
      </c>
      <c r="BD162" s="2" t="s">
        <v>1383</v>
      </c>
      <c r="BE162" s="3" t="s">
        <v>1381</v>
      </c>
      <c r="BF162" s="120">
        <v>2.9</v>
      </c>
      <c r="BG162" s="49" t="s">
        <v>1384</v>
      </c>
      <c r="BH162" s="49" t="s">
        <v>1384</v>
      </c>
      <c r="BI162" s="1"/>
      <c r="BJ162" s="71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1">
        <f t="shared" si="1258"/>
        <v>57</v>
      </c>
      <c r="BW162" s="72">
        <f t="shared" si="1259"/>
        <v>88</v>
      </c>
      <c r="BX162" s="73">
        <f t="shared" si="1260"/>
        <v>92</v>
      </c>
      <c r="BY162" s="72">
        <f t="shared" si="1261"/>
        <v>123</v>
      </c>
      <c r="BZ162" s="73">
        <f t="shared" si="1262"/>
        <v>127</v>
      </c>
      <c r="CA162" s="72" t="str">
        <f t="shared" si="1263"/>
        <v>-</v>
      </c>
      <c r="CB162" s="73">
        <f t="shared" si="1264"/>
        <v>170</v>
      </c>
      <c r="CC162" s="72">
        <f t="shared" si="1265"/>
        <v>210</v>
      </c>
      <c r="CD162" s="73">
        <f t="shared" si="1266"/>
        <v>218</v>
      </c>
      <c r="CE162" s="72">
        <f t="shared" si="1267"/>
        <v>267</v>
      </c>
      <c r="CF162" s="73">
        <f t="shared" si="1268"/>
        <v>308</v>
      </c>
      <c r="CG162" s="72">
        <f t="shared" si="1269"/>
        <v>334</v>
      </c>
      <c r="CH162" s="71">
        <f t="shared" si="1270"/>
        <v>87</v>
      </c>
      <c r="CI162" s="72">
        <f t="shared" si="1271"/>
        <v>91</v>
      </c>
      <c r="CJ162" s="73">
        <f t="shared" si="1272"/>
        <v>122</v>
      </c>
      <c r="CK162" s="73">
        <f t="shared" si="1273"/>
        <v>126</v>
      </c>
      <c r="CL162" s="73">
        <f t="shared" si="1274"/>
        <v>162</v>
      </c>
      <c r="CM162" s="73" t="str">
        <f t="shared" si="1275"/>
        <v>-</v>
      </c>
      <c r="CN162" s="73">
        <f t="shared" si="1276"/>
        <v>197</v>
      </c>
      <c r="CO162" s="73">
        <f t="shared" si="1277"/>
        <v>212</v>
      </c>
      <c r="CP162" s="73">
        <f t="shared" si="1278"/>
        <v>256</v>
      </c>
      <c r="CQ162" s="73">
        <f t="shared" si="1279"/>
        <v>300</v>
      </c>
      <c r="CR162" s="73">
        <f t="shared" si="1280"/>
        <v>333</v>
      </c>
      <c r="CS162" s="73">
        <f t="shared" si="1281"/>
        <v>346</v>
      </c>
      <c r="CT162" s="23">
        <f t="shared" si="1282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s="12" customFormat="1" x14ac:dyDescent="0.2">
      <c r="A163" s="9" t="str">
        <f t="shared" ref="A163" si="1425">CONCATENATE(B163,"_",C163)</f>
        <v>oprk_human_6B73</v>
      </c>
      <c r="B163" s="9" t="s">
        <v>336</v>
      </c>
      <c r="C163" s="9" t="s">
        <v>1476</v>
      </c>
      <c r="D163" s="9" t="str">
        <f>IFERROR(MID(VLOOKUP($B163,Seqs!$A:$B,2,0),E163,1),"")</f>
        <v>A</v>
      </c>
      <c r="E163" s="9">
        <v>57</v>
      </c>
      <c r="F163" s="9" t="str">
        <f>IFERROR(MID(VLOOKUP($B163,Seqs!$A:$B,2,0),G163,1),"")</f>
        <v>Y</v>
      </c>
      <c r="G163" s="9">
        <v>87</v>
      </c>
      <c r="H163" s="9" t="str">
        <f>IFERROR(MID(VLOOKUP($B163,Seqs!$A:$B,2,0),I163,1),"")</f>
        <v/>
      </c>
      <c r="I163" s="110" t="s">
        <v>23</v>
      </c>
      <c r="J163" s="9" t="str">
        <f>IFERROR(MID(VLOOKUP($B163,Seqs!$A:$B,2,0),K163,1),"")</f>
        <v/>
      </c>
      <c r="K163" s="110" t="s">
        <v>23</v>
      </c>
      <c r="L163" s="9" t="str">
        <f>IFERROR(MID(VLOOKUP($B163,Seqs!$A:$B,2,0),M163,1),"")</f>
        <v>T</v>
      </c>
      <c r="M163" s="9">
        <v>92</v>
      </c>
      <c r="N163" s="9" t="str">
        <f>IFERROR(MID(VLOOKUP($B163,Seqs!$A:$B,2,0),O163,1),"")</f>
        <v>N</v>
      </c>
      <c r="O163" s="9">
        <v>122</v>
      </c>
      <c r="P163" s="9" t="str">
        <f>IFERROR(MID(VLOOKUP($B163,Seqs!$A:$B,2,0),Q163,1),"")</f>
        <v>S</v>
      </c>
      <c r="Q163" s="9">
        <v>123</v>
      </c>
      <c r="R163" s="9" t="str">
        <f>IFERROR(MID(VLOOKUP($B163,Seqs!$A:$B,2,0),S163,1),"")</f>
        <v>F</v>
      </c>
      <c r="S163" s="9">
        <v>126</v>
      </c>
      <c r="T163" s="9" t="str">
        <f>IFERROR(MID(VLOOKUP($B163,Seqs!$A:$B,2,0),U163,1),"")</f>
        <v>G</v>
      </c>
      <c r="U163" s="9">
        <v>127</v>
      </c>
      <c r="V163" s="9" t="str">
        <f>IFERROR(MID(VLOOKUP($B163,Seqs!$A:$B,2,0),W163,1),"")</f>
        <v>H</v>
      </c>
      <c r="W163" s="9">
        <v>162</v>
      </c>
      <c r="X163" s="9" t="str">
        <f>IFERROR(MID(VLOOKUP($B163,Seqs!$A:$B,2,0),Y163,1),"")</f>
        <v>P</v>
      </c>
      <c r="Y163" s="9">
        <v>163</v>
      </c>
      <c r="Z163" s="9" t="str">
        <f>IFERROR(MID(VLOOKUP($B163,Seqs!$A:$B,2,0),AA163,1),"")</f>
        <v>R</v>
      </c>
      <c r="AA163" s="9">
        <v>170</v>
      </c>
      <c r="AB163" s="9" t="str">
        <f>IFERROR(MID(VLOOKUP($B163,Seqs!$A:$B,2,0),AC163,1),"")</f>
        <v>T</v>
      </c>
      <c r="AC163" s="9">
        <v>171</v>
      </c>
      <c r="AD163" s="9" t="str">
        <f>IFERROR(MID(VLOOKUP($B163,Seqs!$A:$B,2,0),AE163,1),"")</f>
        <v>G</v>
      </c>
      <c r="AE163" s="9">
        <v>197</v>
      </c>
      <c r="AF163" s="9" t="str">
        <f>IFERROR(MID(VLOOKUP($B163,Seqs!$A:$B,2,0),AG163,1),"")</f>
        <v>C</v>
      </c>
      <c r="AG163" s="9">
        <v>210</v>
      </c>
      <c r="AH163" s="9" t="str">
        <f>IFERROR(MID(VLOOKUP($B163,Seqs!$A:$B,2,0),AI163,1),"")</f>
        <v>L</v>
      </c>
      <c r="AI163" s="9">
        <v>212</v>
      </c>
      <c r="AJ163" s="9" t="str">
        <f>IFERROR(MID(VLOOKUP($B163,Seqs!$A:$B,2,0),AK163,1),"")</f>
        <v>W</v>
      </c>
      <c r="AK163" s="9">
        <v>221</v>
      </c>
      <c r="AL163" s="9" t="str">
        <f>IFERROR(MID(VLOOKUP($B163,Seqs!$A:$B,2,0),AM163,1),"")</f>
        <v>S</v>
      </c>
      <c r="AM163" s="9">
        <v>255</v>
      </c>
      <c r="AN163" s="9" t="str">
        <f>IFERROR(MID(VLOOKUP($B163,Seqs!$A:$B,2,0),AO163,1),"")</f>
        <v>S</v>
      </c>
      <c r="AO163" s="9">
        <v>262</v>
      </c>
      <c r="AP163" s="9" t="str">
        <f>IFERROR(MID(VLOOKUP($B163,Seqs!$A:$B,2,0),AQ163,1),"")</f>
        <v>G</v>
      </c>
      <c r="AQ163" s="9">
        <v>300</v>
      </c>
      <c r="AR163" s="9" t="str">
        <f>IFERROR(MID(VLOOKUP($B163,Seqs!$A:$B,2,0),AS163,1),"")</f>
        <v>S</v>
      </c>
      <c r="AS163" s="9">
        <v>305</v>
      </c>
      <c r="AT163" s="9" t="str">
        <f>IFERROR(MID(VLOOKUP($B163,Seqs!$A:$B,2,0),AU163,1),"")</f>
        <v>I</v>
      </c>
      <c r="AU163" s="9">
        <v>328</v>
      </c>
      <c r="AV163" s="9" t="str">
        <f>IFERROR(MID(VLOOKUP($B163,Seqs!$A:$B,2,0),AW163,1),"")</f>
        <v/>
      </c>
      <c r="AW163" s="9" t="s">
        <v>23</v>
      </c>
      <c r="AX163" s="9" t="str">
        <f>IFERROR(MID(VLOOKUP($B163,Seqs!$A:$B,2,0),AY163,1),"")</f>
        <v/>
      </c>
      <c r="AY163" s="9" t="s">
        <v>23</v>
      </c>
      <c r="AZ163" s="111" t="str">
        <f>VLOOKUP(B163,Classification!A:D,2,0)</f>
        <v>A</v>
      </c>
      <c r="BA163" s="99" t="str">
        <f>VLOOKUP(B163,Classification!A:D,4,0)</f>
        <v>Opioid</v>
      </c>
      <c r="BB163" s="36" t="b">
        <f t="shared" ref="BB163" si="142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0">
        <f t="shared" ref="BC163" si="1427">_xlfn.AGGREGATE(9,6,CH163:CS163)-_xlfn.AGGREGATE(9,6,BV163:CG163)+12</f>
        <v>240</v>
      </c>
      <c r="BD163" s="40" t="s">
        <v>1382</v>
      </c>
      <c r="BE163" s="9" t="s">
        <v>1297</v>
      </c>
      <c r="BF163" s="121">
        <v>3.1</v>
      </c>
      <c r="BG163" s="51" t="s">
        <v>1</v>
      </c>
      <c r="BH163" s="51" t="s">
        <v>1</v>
      </c>
      <c r="BJ163" s="112" t="s">
        <v>1293</v>
      </c>
      <c r="BK163" s="113" t="s">
        <v>1293</v>
      </c>
      <c r="BL163" s="113" t="s">
        <v>1293</v>
      </c>
      <c r="BM163" s="113" t="s">
        <v>1293</v>
      </c>
      <c r="BN163" s="113" t="s">
        <v>1293</v>
      </c>
      <c r="BO163" s="113" t="s">
        <v>1293</v>
      </c>
      <c r="BP163" s="113" t="s">
        <v>1293</v>
      </c>
      <c r="BQ163" s="113" t="s">
        <v>1293</v>
      </c>
      <c r="BR163" s="113" t="s">
        <v>1293</v>
      </c>
      <c r="BS163" s="113" t="s">
        <v>1293</v>
      </c>
      <c r="BT163" s="113" t="s">
        <v>1293</v>
      </c>
      <c r="BU163" s="113" t="s">
        <v>1293</v>
      </c>
      <c r="BV163" s="112">
        <f t="shared" ref="BV163" si="1428">E163</f>
        <v>57</v>
      </c>
      <c r="BW163" s="114" t="str">
        <f t="shared" ref="BW163" si="1429">I163</f>
        <v>-</v>
      </c>
      <c r="BX163" s="115">
        <f t="shared" ref="BX163" si="1430">M163</f>
        <v>92</v>
      </c>
      <c r="BY163" s="114">
        <f t="shared" ref="BY163" si="1431">Q163</f>
        <v>123</v>
      </c>
      <c r="BZ163" s="115">
        <f t="shared" ref="BZ163" si="1432">U163</f>
        <v>127</v>
      </c>
      <c r="CA163" s="114">
        <f t="shared" ref="CA163" si="1433">Y163</f>
        <v>163</v>
      </c>
      <c r="CB163" s="115">
        <f t="shared" ref="CB163" si="1434">AC163</f>
        <v>171</v>
      </c>
      <c r="CC163" s="114">
        <f t="shared" ref="CC163" si="1435">AG163</f>
        <v>210</v>
      </c>
      <c r="CD163" s="115">
        <f t="shared" ref="CD163" si="1436">AK163</f>
        <v>221</v>
      </c>
      <c r="CE163" s="114">
        <f t="shared" ref="CE163" si="1437">AO163</f>
        <v>262</v>
      </c>
      <c r="CF163" s="115">
        <f t="shared" ref="CF163" si="1438">AS163</f>
        <v>305</v>
      </c>
      <c r="CG163" s="114" t="str">
        <f t="shared" ref="CG163" si="1439">AW163</f>
        <v>-</v>
      </c>
      <c r="CH163" s="112">
        <f t="shared" ref="CH163" si="1440">G163</f>
        <v>87</v>
      </c>
      <c r="CI163" s="114" t="str">
        <f t="shared" ref="CI163" si="1441">K163</f>
        <v>-</v>
      </c>
      <c r="CJ163" s="115">
        <f t="shared" ref="CJ163" si="1442">O163</f>
        <v>122</v>
      </c>
      <c r="CK163" s="115">
        <f t="shared" ref="CK163" si="1443">S163</f>
        <v>126</v>
      </c>
      <c r="CL163" s="115">
        <f t="shared" ref="CL163" si="1444">W163</f>
        <v>162</v>
      </c>
      <c r="CM163" s="115">
        <f t="shared" ref="CM163" si="1445">AA163</f>
        <v>170</v>
      </c>
      <c r="CN163" s="115">
        <f t="shared" ref="CN163" si="1446">AE163</f>
        <v>197</v>
      </c>
      <c r="CO163" s="115">
        <f t="shared" ref="CO163" si="1447">AI163</f>
        <v>212</v>
      </c>
      <c r="CP163" s="115">
        <f t="shared" ref="CP163" si="1448">AM163</f>
        <v>255</v>
      </c>
      <c r="CQ163" s="115">
        <f t="shared" ref="CQ163" si="1449">AQ163</f>
        <v>300</v>
      </c>
      <c r="CR163" s="115">
        <f t="shared" ref="CR163" si="1450">AU163</f>
        <v>328</v>
      </c>
      <c r="CS163" s="115" t="str">
        <f t="shared" ref="CS163" si="1451">AY163</f>
        <v>-</v>
      </c>
      <c r="CT163" s="110" t="e">
        <f t="shared" ref="CT163" si="1452">M163-K163</f>
        <v>#VALUE!</v>
      </c>
    </row>
    <row r="164" spans="1:1030" x14ac:dyDescent="0.2">
      <c r="A164" s="3" t="str">
        <f t="shared" si="1395"/>
        <v>oprm_mouse__wt</v>
      </c>
      <c r="B164" s="3" t="s">
        <v>918</v>
      </c>
      <c r="C164" s="3" t="s">
        <v>100</v>
      </c>
      <c r="D164" s="3" t="str">
        <f>IFERROR(MID(VLOOKUP($B164,Seqs!$A:$B,2,0),E164,1),"")</f>
        <v>M</v>
      </c>
      <c r="E164" s="3">
        <v>65</v>
      </c>
      <c r="F164" s="3" t="str">
        <f>IFERROR(MID(VLOOKUP($B164,Seqs!$A:$B,2,0),G164,1),"")</f>
        <v>Y</v>
      </c>
      <c r="G164" s="3">
        <v>96</v>
      </c>
      <c r="H164" s="3" t="str">
        <f>IFERROR(MID(VLOOKUP($B164,Seqs!$A:$B,2,0),I164,1),"")</f>
        <v>T</v>
      </c>
      <c r="I164" s="23">
        <v>97</v>
      </c>
      <c r="J164" s="3" t="str">
        <f>IFERROR(MID(VLOOKUP($B164,Seqs!$A:$B,2,0),K164,1),"")</f>
        <v>K</v>
      </c>
      <c r="K164" s="23">
        <v>100</v>
      </c>
      <c r="L164" s="3" t="str">
        <f>IFERROR(MID(VLOOKUP($B164,Seqs!$A:$B,2,0),M164,1),"")</f>
        <v>T</v>
      </c>
      <c r="M164" s="3">
        <v>101</v>
      </c>
      <c r="N164" s="3" t="str">
        <f>IFERROR(MID(VLOOKUP($B164,Seqs!$A:$B,2,0),O164,1),"")</f>
        <v>M</v>
      </c>
      <c r="O164" s="3">
        <v>130</v>
      </c>
      <c r="P164" s="3" t="str">
        <f>IFERROR(MID(VLOOKUP($B164,Seqs!$A:$B,2,0),Q164,1),"")</f>
        <v>T</v>
      </c>
      <c r="Q164" s="3">
        <v>132</v>
      </c>
      <c r="R164" s="3" t="str">
        <f>IFERROR(MID(VLOOKUP($B164,Seqs!$A:$B,2,0),S164,1),"")</f>
        <v>F</v>
      </c>
      <c r="S164" s="3">
        <v>135</v>
      </c>
      <c r="T164" s="3" t="str">
        <f>IFERROR(MID(VLOOKUP($B164,Seqs!$A:$B,2,0),U164,1),"")</f>
        <v>G</v>
      </c>
      <c r="U164" s="3">
        <v>136</v>
      </c>
      <c r="V164" s="3" t="str">
        <f>IFERROR(MID(VLOOKUP($B164,Seqs!$A:$B,2,0),W164,1),"")</f>
        <v>H</v>
      </c>
      <c r="W164" s="3">
        <v>171</v>
      </c>
      <c r="X164" s="3" t="str">
        <f>IFERROR(MID(VLOOKUP($B164,Seqs!$A:$B,2,0),Y164,1),"")</f>
        <v>P</v>
      </c>
      <c r="Y164" s="3">
        <v>172</v>
      </c>
      <c r="Z164" s="3" t="str">
        <f>IFERROR(MID(VLOOKUP($B164,Seqs!$A:$B,2,0),AA164,1),"")</f>
        <v>R</v>
      </c>
      <c r="AA164" s="3">
        <v>179</v>
      </c>
      <c r="AB164" s="3" t="str">
        <f>IFERROR(MID(VLOOKUP($B164,Seqs!$A:$B,2,0),AC164,1),"")</f>
        <v>T</v>
      </c>
      <c r="AC164" s="9">
        <v>180</v>
      </c>
      <c r="AD164" s="3" t="str">
        <f>IFERROR(MID(VLOOKUP($B164,Seqs!$A:$B,2,0),AE164,1),"")</f>
        <v>A</v>
      </c>
      <c r="AE164" s="3">
        <v>206</v>
      </c>
      <c r="AF164" s="3" t="str">
        <f>IFERROR(MID(VLOOKUP($B164,Seqs!$A:$B,2,0),AG164,1),"")</f>
        <v>C</v>
      </c>
      <c r="AG164" s="3">
        <v>217</v>
      </c>
      <c r="AH164" s="3" t="str">
        <f>IFERROR(MID(VLOOKUP($B164,Seqs!$A:$B,2,0),AI164,1),"")</f>
        <v>L</v>
      </c>
      <c r="AI164" s="3">
        <v>219</v>
      </c>
      <c r="AJ164" s="3" t="str">
        <f>IFERROR(MID(VLOOKUP($B164,Seqs!$A:$B,2,0),AK164,1),"")</f>
        <v>T</v>
      </c>
      <c r="AK164" s="3">
        <v>225</v>
      </c>
      <c r="AL164" s="3" t="str">
        <f>IFERROR(MID(VLOOKUP($B164,Seqs!$A:$B,2,0),AM164,1),"")</f>
        <v>V</v>
      </c>
      <c r="AM164" s="3">
        <v>262</v>
      </c>
      <c r="AN164" s="3" t="str">
        <f>IFERROR(MID(VLOOKUP($B164,Seqs!$A:$B,2,0),AO164,1),"")</f>
        <v>S</v>
      </c>
      <c r="AO164" s="3">
        <v>268</v>
      </c>
      <c r="AP164" s="3" t="str">
        <f>IFERROR(MID(VLOOKUP($B164,Seqs!$A:$B,2,0),AQ164,1),"")</f>
        <v>I</v>
      </c>
      <c r="AQ164" s="3">
        <v>306</v>
      </c>
      <c r="AR164" s="3" t="str">
        <f>IFERROR(MID(VLOOKUP($B164,Seqs!$A:$B,2,0),AS164,1),"")</f>
        <v>T</v>
      </c>
      <c r="AS164" s="3">
        <v>311</v>
      </c>
      <c r="AT164" s="3" t="str">
        <f>IFERROR(MID(VLOOKUP($B164,Seqs!$A:$B,2,0),AU164,1),"")</f>
        <v>L</v>
      </c>
      <c r="AU164" s="3">
        <v>339</v>
      </c>
      <c r="AV164" s="3" t="str">
        <f>IFERROR(MID(VLOOKUP($B164,Seqs!$A:$B,2,0),AW164,1),"")</f>
        <v>D</v>
      </c>
      <c r="AW164" s="3">
        <v>340</v>
      </c>
      <c r="AX164" s="3" t="str">
        <f>IFERROR(MID(VLOOKUP($B164,Seqs!$A:$B,2,0),AY164,1),"")</f>
        <v>I</v>
      </c>
      <c r="AY164" s="3">
        <v>352</v>
      </c>
      <c r="AZ164" s="78" t="str">
        <f>VLOOKUP(B164,Classification!A:D,2,0)</f>
        <v>A</v>
      </c>
      <c r="BA164" s="95" t="str">
        <f>VLOOKUP(B164,Classification!A:D,4,0)</f>
        <v>Opioid</v>
      </c>
      <c r="BB164" s="27" t="b">
        <f t="shared" si="1396"/>
        <v>1</v>
      </c>
      <c r="BC164" s="23">
        <f t="shared" si="1257"/>
        <v>263</v>
      </c>
      <c r="BD164" s="56" t="s">
        <v>1379</v>
      </c>
      <c r="BE164" s="3" t="s">
        <v>23</v>
      </c>
      <c r="BF164" s="120" t="s">
        <v>23</v>
      </c>
      <c r="BG164" s="49" t="s">
        <v>1379</v>
      </c>
      <c r="BH164" s="49" t="s">
        <v>1384</v>
      </c>
      <c r="BI164" s="1"/>
      <c r="BJ164" s="71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1">
        <f t="shared" si="1258"/>
        <v>65</v>
      </c>
      <c r="BW164" s="72">
        <f t="shared" si="1259"/>
        <v>97</v>
      </c>
      <c r="BX164" s="73">
        <f t="shared" si="1260"/>
        <v>101</v>
      </c>
      <c r="BY164" s="72">
        <f t="shared" si="1261"/>
        <v>132</v>
      </c>
      <c r="BZ164" s="73">
        <f t="shared" si="1262"/>
        <v>136</v>
      </c>
      <c r="CA164" s="72">
        <f t="shared" si="1263"/>
        <v>172</v>
      </c>
      <c r="CB164" s="73">
        <f t="shared" si="1264"/>
        <v>180</v>
      </c>
      <c r="CC164" s="72">
        <f t="shared" si="1265"/>
        <v>217</v>
      </c>
      <c r="CD164" s="73">
        <f t="shared" si="1266"/>
        <v>225</v>
      </c>
      <c r="CE164" s="72">
        <f t="shared" si="1267"/>
        <v>268</v>
      </c>
      <c r="CF164" s="73">
        <f t="shared" si="1268"/>
        <v>311</v>
      </c>
      <c r="CG164" s="72">
        <f t="shared" si="1269"/>
        <v>340</v>
      </c>
      <c r="CH164" s="71">
        <f t="shared" si="1270"/>
        <v>96</v>
      </c>
      <c r="CI164" s="72">
        <f t="shared" si="1271"/>
        <v>100</v>
      </c>
      <c r="CJ164" s="73">
        <f t="shared" si="1272"/>
        <v>130</v>
      </c>
      <c r="CK164" s="73">
        <f t="shared" si="1273"/>
        <v>135</v>
      </c>
      <c r="CL164" s="73">
        <f t="shared" si="1274"/>
        <v>171</v>
      </c>
      <c r="CM164" s="73">
        <f t="shared" si="1275"/>
        <v>179</v>
      </c>
      <c r="CN164" s="73">
        <f t="shared" si="1276"/>
        <v>206</v>
      </c>
      <c r="CO164" s="73">
        <f t="shared" si="1277"/>
        <v>219</v>
      </c>
      <c r="CP164" s="73">
        <f t="shared" si="1278"/>
        <v>262</v>
      </c>
      <c r="CQ164" s="73">
        <f t="shared" si="1279"/>
        <v>306</v>
      </c>
      <c r="CR164" s="73">
        <f t="shared" si="1280"/>
        <v>339</v>
      </c>
      <c r="CS164" s="73">
        <f t="shared" si="1281"/>
        <v>352</v>
      </c>
      <c r="CT164" s="23">
        <f t="shared" si="1282"/>
        <v>1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1395"/>
        <v>oprm_mouse_4DKL</v>
      </c>
      <c r="B165" s="3" t="s">
        <v>918</v>
      </c>
      <c r="C165" s="3" t="s">
        <v>65</v>
      </c>
      <c r="D165" s="3" t="str">
        <f>IFERROR(MID(VLOOKUP($B165,Seqs!$A:$B,2,0),E165,1),"")</f>
        <v>M</v>
      </c>
      <c r="E165" s="3">
        <v>65</v>
      </c>
      <c r="F165" s="3" t="str">
        <f>IFERROR(MID(VLOOKUP($B165,Seqs!$A:$B,2,0),G165,1),"")</f>
        <v>Y</v>
      </c>
      <c r="G165" s="3">
        <v>96</v>
      </c>
      <c r="H165" s="3" t="str">
        <f>IFERROR(MID(VLOOKUP($B165,Seqs!$A:$B,2,0),I165,1),"")</f>
        <v>T</v>
      </c>
      <c r="I165" s="23">
        <v>97</v>
      </c>
      <c r="J165" s="3" t="str">
        <f>IFERROR(MID(VLOOKUP($B165,Seqs!$A:$B,2,0),K165,1),"")</f>
        <v>K</v>
      </c>
      <c r="K165" s="23">
        <v>100</v>
      </c>
      <c r="L165" s="3" t="str">
        <f>IFERROR(MID(VLOOKUP($B165,Seqs!$A:$B,2,0),M165,1),"")</f>
        <v>T</v>
      </c>
      <c r="M165" s="3">
        <v>101</v>
      </c>
      <c r="N165" s="3" t="str">
        <f>IFERROR(MID(VLOOKUP($B165,Seqs!$A:$B,2,0),O165,1),"")</f>
        <v>M</v>
      </c>
      <c r="O165" s="3">
        <v>130</v>
      </c>
      <c r="P165" s="3" t="str">
        <f>IFERROR(MID(VLOOKUP($B165,Seqs!$A:$B,2,0),Q165,1),"")</f>
        <v>T</v>
      </c>
      <c r="Q165" s="3">
        <v>132</v>
      </c>
      <c r="R165" s="3" t="str">
        <f>IFERROR(MID(VLOOKUP($B165,Seqs!$A:$B,2,0),S165,1),"")</f>
        <v>F</v>
      </c>
      <c r="S165" s="3">
        <v>135</v>
      </c>
      <c r="T165" s="3" t="str">
        <f>IFERROR(MID(VLOOKUP($B165,Seqs!$A:$B,2,0),U165,1),"")</f>
        <v>G</v>
      </c>
      <c r="U165" s="3">
        <v>136</v>
      </c>
      <c r="V165" s="3" t="str">
        <f>IFERROR(MID(VLOOKUP($B165,Seqs!$A:$B,2,0),W165,1),"")</f>
        <v>H</v>
      </c>
      <c r="W165" s="3">
        <v>171</v>
      </c>
      <c r="X165" s="3" t="str">
        <f>IFERROR(MID(VLOOKUP($B165,Seqs!$A:$B,2,0),Y165,1),"")</f>
        <v>P</v>
      </c>
      <c r="Y165" s="3">
        <v>172</v>
      </c>
      <c r="Z165" s="3" t="str">
        <f>IFERROR(MID(VLOOKUP($B165,Seqs!$A:$B,2,0),AA165,1),"")</f>
        <v>R</v>
      </c>
      <c r="AA165" s="3">
        <v>179</v>
      </c>
      <c r="AB165" s="3" t="str">
        <f>IFERROR(MID(VLOOKUP($B165,Seqs!$A:$B,2,0),AC165,1),"")</f>
        <v>T</v>
      </c>
      <c r="AC165" s="9">
        <v>180</v>
      </c>
      <c r="AD165" s="3" t="str">
        <f>IFERROR(MID(VLOOKUP($B165,Seqs!$A:$B,2,0),AE165,1),"")</f>
        <v>A</v>
      </c>
      <c r="AE165" s="3">
        <v>206</v>
      </c>
      <c r="AF165" s="3" t="str">
        <f>IFERROR(MID(VLOOKUP($B165,Seqs!$A:$B,2,0),AG165,1),"")</f>
        <v>C</v>
      </c>
      <c r="AG165" s="3">
        <v>217</v>
      </c>
      <c r="AH165" s="3" t="str">
        <f>IFERROR(MID(VLOOKUP($B165,Seqs!$A:$B,2,0),AI165,1),"")</f>
        <v>L</v>
      </c>
      <c r="AI165" s="3">
        <v>219</v>
      </c>
      <c r="AJ165" s="3" t="str">
        <f>IFERROR(MID(VLOOKUP($B165,Seqs!$A:$B,2,0),AK165,1),"")</f>
        <v>T</v>
      </c>
      <c r="AK165" s="3">
        <v>225</v>
      </c>
      <c r="AL165" s="3" t="str">
        <f>IFERROR(MID(VLOOKUP($B165,Seqs!$A:$B,2,0),AM165,1),"")</f>
        <v>L</v>
      </c>
      <c r="AM165" s="3">
        <v>257</v>
      </c>
      <c r="AN165" s="3" t="str">
        <f>IFERROR(MID(VLOOKUP($B165,Seqs!$A:$B,2,0),AO165,1),"")</f>
        <v>N</v>
      </c>
      <c r="AO165" s="3">
        <v>274</v>
      </c>
      <c r="AP165" s="3" t="str">
        <f>IFERROR(MID(VLOOKUP($B165,Seqs!$A:$B,2,0),AQ165,1),"")</f>
        <v>I</v>
      </c>
      <c r="AQ165" s="3">
        <v>306</v>
      </c>
      <c r="AR165" s="3" t="str">
        <f>IFERROR(MID(VLOOKUP($B165,Seqs!$A:$B,2,0),AS165,1),"")</f>
        <v>T</v>
      </c>
      <c r="AS165" s="3">
        <v>311</v>
      </c>
      <c r="AT165" s="3" t="str">
        <f>IFERROR(MID(VLOOKUP($B165,Seqs!$A:$B,2,0),AU165,1),"")</f>
        <v>L</v>
      </c>
      <c r="AU165" s="3">
        <v>339</v>
      </c>
      <c r="AV165" s="3" t="str">
        <f>IFERROR(MID(VLOOKUP($B165,Seqs!$A:$B,2,0),AW165,1),"")</f>
        <v>D</v>
      </c>
      <c r="AW165" s="3">
        <v>340</v>
      </c>
      <c r="AX165" s="3" t="str">
        <f>IFERROR(MID(VLOOKUP($B165,Seqs!$A:$B,2,0),AY165,1),"")</f>
        <v>I</v>
      </c>
      <c r="AY165" s="3">
        <v>352</v>
      </c>
      <c r="AZ165" s="78" t="str">
        <f>VLOOKUP(B165,Classification!A:D,2,0)</f>
        <v>A</v>
      </c>
      <c r="BA165" s="95" t="str">
        <f>VLOOKUP(B165,Classification!A:D,4,0)</f>
        <v>Opioid</v>
      </c>
      <c r="BB165" s="27" t="b">
        <f t="shared" si="1396"/>
        <v>1</v>
      </c>
      <c r="BC165" s="23">
        <f t="shared" si="1257"/>
        <v>252</v>
      </c>
      <c r="BD165" s="2" t="s">
        <v>1383</v>
      </c>
      <c r="BE165" s="3" t="s">
        <v>1381</v>
      </c>
      <c r="BF165" s="120">
        <v>2.8</v>
      </c>
      <c r="BG165" s="49" t="s">
        <v>1384</v>
      </c>
      <c r="BH165" s="49" t="s">
        <v>1384</v>
      </c>
      <c r="BI165" s="1"/>
      <c r="BJ165" s="71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1">
        <f t="shared" si="1258"/>
        <v>65</v>
      </c>
      <c r="BW165" s="72">
        <f t="shared" si="1259"/>
        <v>97</v>
      </c>
      <c r="BX165" s="73">
        <f t="shared" si="1260"/>
        <v>101</v>
      </c>
      <c r="BY165" s="72">
        <f t="shared" si="1261"/>
        <v>132</v>
      </c>
      <c r="BZ165" s="73">
        <f t="shared" si="1262"/>
        <v>136</v>
      </c>
      <c r="CA165" s="72">
        <f t="shared" si="1263"/>
        <v>172</v>
      </c>
      <c r="CB165" s="73">
        <f t="shared" si="1264"/>
        <v>180</v>
      </c>
      <c r="CC165" s="72">
        <f t="shared" si="1265"/>
        <v>217</v>
      </c>
      <c r="CD165" s="73">
        <f t="shared" si="1266"/>
        <v>225</v>
      </c>
      <c r="CE165" s="72">
        <f t="shared" si="1267"/>
        <v>274</v>
      </c>
      <c r="CF165" s="73">
        <f t="shared" si="1268"/>
        <v>311</v>
      </c>
      <c r="CG165" s="72">
        <f t="shared" si="1269"/>
        <v>340</v>
      </c>
      <c r="CH165" s="71">
        <f t="shared" si="1270"/>
        <v>96</v>
      </c>
      <c r="CI165" s="72">
        <f t="shared" si="1271"/>
        <v>100</v>
      </c>
      <c r="CJ165" s="73">
        <f t="shared" si="1272"/>
        <v>130</v>
      </c>
      <c r="CK165" s="73">
        <f t="shared" si="1273"/>
        <v>135</v>
      </c>
      <c r="CL165" s="73">
        <f t="shared" si="1274"/>
        <v>171</v>
      </c>
      <c r="CM165" s="73">
        <f t="shared" si="1275"/>
        <v>179</v>
      </c>
      <c r="CN165" s="73">
        <f t="shared" si="1276"/>
        <v>206</v>
      </c>
      <c r="CO165" s="73">
        <f t="shared" si="1277"/>
        <v>219</v>
      </c>
      <c r="CP165" s="73">
        <f t="shared" si="1278"/>
        <v>257</v>
      </c>
      <c r="CQ165" s="73">
        <f t="shared" si="1279"/>
        <v>306</v>
      </c>
      <c r="CR165" s="73">
        <f t="shared" si="1280"/>
        <v>339</v>
      </c>
      <c r="CS165" s="73">
        <f t="shared" si="1281"/>
        <v>352</v>
      </c>
      <c r="CT165" s="23">
        <f t="shared" si="1282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395"/>
        <v>oprm_mouse_5C1M</v>
      </c>
      <c r="B166" s="3" t="s">
        <v>918</v>
      </c>
      <c r="C166" s="3" t="s">
        <v>84</v>
      </c>
      <c r="D166" s="3" t="str">
        <f>IFERROR(MID(VLOOKUP($B166,Seqs!$A:$B,2,0),E166,1),"")</f>
        <v>M</v>
      </c>
      <c r="E166" s="3">
        <v>65</v>
      </c>
      <c r="F166" s="3" t="str">
        <f>IFERROR(MID(VLOOKUP($B166,Seqs!$A:$B,2,0),G166,1),"")</f>
        <v>Y</v>
      </c>
      <c r="G166" s="3">
        <v>96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101</v>
      </c>
      <c r="N166" s="3" t="str">
        <f>IFERROR(MID(VLOOKUP($B166,Seqs!$A:$B,2,0),O166,1),"")</f>
        <v>M</v>
      </c>
      <c r="O166" s="3">
        <v>130</v>
      </c>
      <c r="P166" s="3" t="str">
        <f>IFERROR(MID(VLOOKUP($B166,Seqs!$A:$B,2,0),Q166,1),"")</f>
        <v>T</v>
      </c>
      <c r="Q166" s="3">
        <v>132</v>
      </c>
      <c r="R166" s="3" t="str">
        <f>IFERROR(MID(VLOOKUP($B166,Seqs!$A:$B,2,0),S166,1),"")</f>
        <v>F</v>
      </c>
      <c r="S166" s="3">
        <v>135</v>
      </c>
      <c r="T166" s="3" t="str">
        <f>IFERROR(MID(VLOOKUP($B166,Seqs!$A:$B,2,0),U166,1),"")</f>
        <v>G</v>
      </c>
      <c r="U166" s="3">
        <v>136</v>
      </c>
      <c r="V166" s="3" t="str">
        <f>IFERROR(MID(VLOOKUP($B166,Seqs!$A:$B,2,0),W166,1),"")</f>
        <v>H</v>
      </c>
      <c r="W166" s="3">
        <v>171</v>
      </c>
      <c r="X166" s="3" t="str">
        <f>IFERROR(MID(VLOOKUP($B166,Seqs!$A:$B,2,0),Y166,1),"")</f>
        <v>P</v>
      </c>
      <c r="Y166" s="3">
        <v>172</v>
      </c>
      <c r="Z166" s="3" t="str">
        <f>IFERROR(MID(VLOOKUP($B166,Seqs!$A:$B,2,0),AA166,1),"")</f>
        <v>R</v>
      </c>
      <c r="AA166" s="3">
        <v>179</v>
      </c>
      <c r="AB166" s="3" t="str">
        <f>IFERROR(MID(VLOOKUP($B166,Seqs!$A:$B,2,0),AC166,1),"")</f>
        <v>T</v>
      </c>
      <c r="AC166" s="9">
        <v>180</v>
      </c>
      <c r="AD166" s="3" t="str">
        <f>IFERROR(MID(VLOOKUP($B166,Seqs!$A:$B,2,0),AE166,1),"")</f>
        <v>A</v>
      </c>
      <c r="AE166" s="3">
        <v>206</v>
      </c>
      <c r="AF166" s="3" t="str">
        <f>IFERROR(MID(VLOOKUP($B166,Seqs!$A:$B,2,0),AG166,1),"")</f>
        <v>C</v>
      </c>
      <c r="AG166" s="3">
        <v>217</v>
      </c>
      <c r="AH166" s="3" t="str">
        <f>IFERROR(MID(VLOOKUP($B166,Seqs!$A:$B,2,0),AI166,1),"")</f>
        <v>L</v>
      </c>
      <c r="AI166" s="3">
        <v>219</v>
      </c>
      <c r="AJ166" s="3" t="str">
        <f>IFERROR(MID(VLOOKUP($B166,Seqs!$A:$B,2,0),AK166,1),"")</f>
        <v>T</v>
      </c>
      <c r="AK166" s="3">
        <v>225</v>
      </c>
      <c r="AL166" s="3" t="str">
        <f>IFERROR(MID(VLOOKUP($B166,Seqs!$A:$B,2,0),AM166,1),"")</f>
        <v>V</v>
      </c>
      <c r="AM166" s="3">
        <v>262</v>
      </c>
      <c r="AN166" s="3" t="str">
        <f>IFERROR(MID(VLOOKUP($B166,Seqs!$A:$B,2,0),AO166,1),"")</f>
        <v>S</v>
      </c>
      <c r="AO166" s="3">
        <v>268</v>
      </c>
      <c r="AP166" s="3" t="str">
        <f>IFERROR(MID(VLOOKUP($B166,Seqs!$A:$B,2,0),AQ166,1),"")</f>
        <v>I</v>
      </c>
      <c r="AQ166" s="3">
        <v>306</v>
      </c>
      <c r="AR166" s="3" t="str">
        <f>IFERROR(MID(VLOOKUP($B166,Seqs!$A:$B,2,0),AS166,1),"")</f>
        <v>T</v>
      </c>
      <c r="AS166" s="3">
        <v>311</v>
      </c>
      <c r="AT166" s="3" t="str">
        <f>IFERROR(MID(VLOOKUP($B166,Seqs!$A:$B,2,0),AU166,1),"")</f>
        <v>P</v>
      </c>
      <c r="AU166" s="3">
        <v>333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8" t="str">
        <f>VLOOKUP(B166,Classification!A:D,2,0)</f>
        <v>A</v>
      </c>
      <c r="BA166" s="95" t="str">
        <f>VLOOKUP(B166,Classification!A:D,4,0)</f>
        <v>Opioid</v>
      </c>
      <c r="BB166" s="27" t="b">
        <f t="shared" si="1396"/>
        <v>1</v>
      </c>
      <c r="BC166" s="23">
        <f t="shared" si="1257"/>
        <v>242</v>
      </c>
      <c r="BD166" s="5" t="s">
        <v>1382</v>
      </c>
      <c r="BE166" s="3" t="s">
        <v>1297</v>
      </c>
      <c r="BF166" s="120">
        <v>2.1</v>
      </c>
      <c r="BG166" s="49" t="s">
        <v>1384</v>
      </c>
      <c r="BH166" s="49" t="s">
        <v>1384</v>
      </c>
      <c r="BI166" s="1"/>
      <c r="BJ166" s="71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1">
        <f t="shared" si="1258"/>
        <v>65</v>
      </c>
      <c r="BW166" s="72" t="str">
        <f t="shared" si="1259"/>
        <v>-</v>
      </c>
      <c r="BX166" s="73">
        <f t="shared" si="1260"/>
        <v>101</v>
      </c>
      <c r="BY166" s="72">
        <f t="shared" si="1261"/>
        <v>132</v>
      </c>
      <c r="BZ166" s="73">
        <f t="shared" si="1262"/>
        <v>136</v>
      </c>
      <c r="CA166" s="72">
        <f t="shared" si="1263"/>
        <v>172</v>
      </c>
      <c r="CB166" s="73">
        <f t="shared" si="1264"/>
        <v>180</v>
      </c>
      <c r="CC166" s="72">
        <f t="shared" si="1265"/>
        <v>217</v>
      </c>
      <c r="CD166" s="73">
        <f t="shared" si="1266"/>
        <v>225</v>
      </c>
      <c r="CE166" s="72">
        <f t="shared" si="1267"/>
        <v>268</v>
      </c>
      <c r="CF166" s="73">
        <f t="shared" si="1268"/>
        <v>311</v>
      </c>
      <c r="CG166" s="72" t="str">
        <f t="shared" si="1269"/>
        <v>-</v>
      </c>
      <c r="CH166" s="71">
        <f t="shared" si="1270"/>
        <v>96</v>
      </c>
      <c r="CI166" s="72" t="str">
        <f t="shared" si="1271"/>
        <v>-</v>
      </c>
      <c r="CJ166" s="73">
        <f t="shared" si="1272"/>
        <v>130</v>
      </c>
      <c r="CK166" s="73">
        <f t="shared" si="1273"/>
        <v>135</v>
      </c>
      <c r="CL166" s="73">
        <f t="shared" si="1274"/>
        <v>171</v>
      </c>
      <c r="CM166" s="73">
        <f t="shared" si="1275"/>
        <v>179</v>
      </c>
      <c r="CN166" s="73">
        <f t="shared" si="1276"/>
        <v>206</v>
      </c>
      <c r="CO166" s="73">
        <f t="shared" si="1277"/>
        <v>219</v>
      </c>
      <c r="CP166" s="73">
        <f t="shared" si="1278"/>
        <v>262</v>
      </c>
      <c r="CQ166" s="73">
        <f t="shared" si="1279"/>
        <v>306</v>
      </c>
      <c r="CR166" s="73">
        <f t="shared" si="1280"/>
        <v>333</v>
      </c>
      <c r="CS166" s="73" t="str">
        <f t="shared" si="1281"/>
        <v>-</v>
      </c>
      <c r="CT166" s="23" t="e">
        <f t="shared" si="1282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395"/>
        <v>oprx_human__wt</v>
      </c>
      <c r="B167" s="3" t="s">
        <v>1174</v>
      </c>
      <c r="C167" s="3" t="s">
        <v>100</v>
      </c>
      <c r="D167" s="3" t="str">
        <f>IFERROR(MID(VLOOKUP($B167,Seqs!$A:$B,2,0),E167,1),"")</f>
        <v>L</v>
      </c>
      <c r="E167" s="3">
        <v>48</v>
      </c>
      <c r="F167" s="3" t="str">
        <f>IFERROR(MID(VLOOKUP($B167,Seqs!$A:$B,2,0),G167,1),"")</f>
        <v>H</v>
      </c>
      <c r="G167" s="3">
        <v>79</v>
      </c>
      <c r="H167" s="3" t="str">
        <f>IFERROR(MID(VLOOKUP($B167,Seqs!$A:$B,2,0),I167,1),"")</f>
        <v>T</v>
      </c>
      <c r="I167" s="23">
        <v>80</v>
      </c>
      <c r="J167" s="3" t="str">
        <f>IFERROR(MID(VLOOKUP($B167,Seqs!$A:$B,2,0),K167,1),"")</f>
        <v>K</v>
      </c>
      <c r="K167" s="23">
        <v>83</v>
      </c>
      <c r="L167" s="3" t="str">
        <f>IFERROR(MID(VLOOKUP($B167,Seqs!$A:$B,2,0),M167,1),"")</f>
        <v>T</v>
      </c>
      <c r="M167" s="3">
        <v>84</v>
      </c>
      <c r="N167" s="3" t="str">
        <f>IFERROR(MID(VLOOKUP($B167,Seqs!$A:$B,2,0),O167,1),"")</f>
        <v>L</v>
      </c>
      <c r="O167" s="3">
        <v>113</v>
      </c>
      <c r="P167" s="3" t="str">
        <f>IFERROR(MID(VLOOKUP($B167,Seqs!$A:$B,2,0),Q167,1),"")</f>
        <v>F</v>
      </c>
      <c r="Q167" s="3">
        <v>115</v>
      </c>
      <c r="R167" s="3" t="str">
        <f>IFERROR(MID(VLOOKUP($B167,Seqs!$A:$B,2,0),S167,1),"")</f>
        <v>F</v>
      </c>
      <c r="S167" s="3">
        <v>118</v>
      </c>
      <c r="T167" s="3" t="str">
        <f>IFERROR(MID(VLOOKUP($B167,Seqs!$A:$B,2,0),U167,1),"")</f>
        <v>G</v>
      </c>
      <c r="U167" s="3">
        <v>119</v>
      </c>
      <c r="V167" s="3" t="str">
        <f>IFERROR(MID(VLOOKUP($B167,Seqs!$A:$B,2,0),W167,1),"")</f>
        <v>H</v>
      </c>
      <c r="W167" s="3">
        <v>154</v>
      </c>
      <c r="X167" s="3" t="str">
        <f>IFERROR(MID(VLOOKUP($B167,Seqs!$A:$B,2,0),Y167,1),"")</f>
        <v>P</v>
      </c>
      <c r="Y167" s="3">
        <v>155</v>
      </c>
      <c r="Z167" s="3" t="str">
        <f>IFERROR(MID(VLOOKUP($B167,Seqs!$A:$B,2,0),AA167,1),"")</f>
        <v>R</v>
      </c>
      <c r="AA167" s="3">
        <v>162</v>
      </c>
      <c r="AB167" s="3" t="str">
        <f>IFERROR(MID(VLOOKUP($B167,Seqs!$A:$B,2,0),AC167,1),"")</f>
        <v>T</v>
      </c>
      <c r="AC167" s="9">
        <v>163</v>
      </c>
      <c r="AD167" s="3" t="str">
        <f>IFERROR(MID(VLOOKUP($B167,Seqs!$A:$B,2,0),AE167,1),"")</f>
        <v>G</v>
      </c>
      <c r="AE167" s="3">
        <v>189</v>
      </c>
      <c r="AF167" s="3" t="str">
        <f>IFERROR(MID(VLOOKUP($B167,Seqs!$A:$B,2,0),AG167,1),"")</f>
        <v>C</v>
      </c>
      <c r="AG167" s="3">
        <v>200</v>
      </c>
      <c r="AH167" s="3" t="str">
        <f>IFERROR(MID(VLOOKUP($B167,Seqs!$A:$B,2,0),AI167,1),"")</f>
        <v>V</v>
      </c>
      <c r="AI167" s="3">
        <v>202</v>
      </c>
      <c r="AJ167" s="3" t="str">
        <f>IFERROR(MID(VLOOKUP($B167,Seqs!$A:$B,2,0),AK167,1),"")</f>
        <v>Q</v>
      </c>
      <c r="AK167" s="3">
        <v>208</v>
      </c>
      <c r="AL167" s="3" t="str">
        <f>IFERROR(MID(VLOOKUP($B167,Seqs!$A:$B,2,0),AM167,1),"")</f>
        <v>V</v>
      </c>
      <c r="AM167" s="3">
        <v>245</v>
      </c>
      <c r="AN167" s="3" t="str">
        <f>IFERROR(MID(VLOOKUP($B167,Seqs!$A:$B,2,0),AO167,1),"")</f>
        <v>S</v>
      </c>
      <c r="AO167" s="3">
        <v>251</v>
      </c>
      <c r="AP167" s="3" t="str">
        <f>IFERROR(MID(VLOOKUP($B167,Seqs!$A:$B,2,0),AQ167,1),"")</f>
        <v>G</v>
      </c>
      <c r="AQ167" s="3">
        <v>289</v>
      </c>
      <c r="AR167" s="3" t="str">
        <f>IFERROR(MID(VLOOKUP($B167,Seqs!$A:$B,2,0),AS167,1),"")</f>
        <v>S</v>
      </c>
      <c r="AS167" s="3">
        <v>294</v>
      </c>
      <c r="AT167" s="3" t="str">
        <f>IFERROR(MID(VLOOKUP($B167,Seqs!$A:$B,2,0),AU167,1),"")</f>
        <v>L</v>
      </c>
      <c r="AU167" s="3">
        <v>322</v>
      </c>
      <c r="AV167" s="3" t="str">
        <f>IFERROR(MID(VLOOKUP($B167,Seqs!$A:$B,2,0),AW167,1),"")</f>
        <v>D</v>
      </c>
      <c r="AW167" s="3">
        <v>323</v>
      </c>
      <c r="AX167" s="3" t="str">
        <f>IFERROR(MID(VLOOKUP($B167,Seqs!$A:$B,2,0),AY167,1),"")</f>
        <v>C</v>
      </c>
      <c r="AY167" s="3">
        <v>335</v>
      </c>
      <c r="AZ167" s="78" t="str">
        <f>VLOOKUP(B167,Classification!A:D,2,0)</f>
        <v>A</v>
      </c>
      <c r="BA167" s="95" t="str">
        <f>VLOOKUP(B167,Classification!A:D,4,0)</f>
        <v>Opioid</v>
      </c>
      <c r="BB167" s="27" t="b">
        <f t="shared" si="1396"/>
        <v>1</v>
      </c>
      <c r="BC167" s="23">
        <f t="shared" si="1257"/>
        <v>263</v>
      </c>
      <c r="BD167" s="56" t="s">
        <v>1379</v>
      </c>
      <c r="BE167" s="3" t="s">
        <v>23</v>
      </c>
      <c r="BF167" s="120" t="s">
        <v>23</v>
      </c>
      <c r="BG167" s="49" t="s">
        <v>1379</v>
      </c>
      <c r="BH167" s="49" t="s">
        <v>1384</v>
      </c>
      <c r="BI167" s="1"/>
      <c r="BJ167" s="71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1">
        <f t="shared" si="1258"/>
        <v>48</v>
      </c>
      <c r="BW167" s="72">
        <f t="shared" si="1259"/>
        <v>80</v>
      </c>
      <c r="BX167" s="73">
        <f t="shared" si="1260"/>
        <v>84</v>
      </c>
      <c r="BY167" s="72">
        <f t="shared" si="1261"/>
        <v>115</v>
      </c>
      <c r="BZ167" s="73">
        <f t="shared" si="1262"/>
        <v>119</v>
      </c>
      <c r="CA167" s="72">
        <f t="shared" si="1263"/>
        <v>155</v>
      </c>
      <c r="CB167" s="73">
        <f t="shared" si="1264"/>
        <v>163</v>
      </c>
      <c r="CC167" s="72">
        <f t="shared" si="1265"/>
        <v>200</v>
      </c>
      <c r="CD167" s="73">
        <f t="shared" si="1266"/>
        <v>208</v>
      </c>
      <c r="CE167" s="72">
        <f t="shared" si="1267"/>
        <v>251</v>
      </c>
      <c r="CF167" s="73">
        <f t="shared" si="1268"/>
        <v>294</v>
      </c>
      <c r="CG167" s="72">
        <f t="shared" si="1269"/>
        <v>323</v>
      </c>
      <c r="CH167" s="71">
        <f t="shared" si="1270"/>
        <v>79</v>
      </c>
      <c r="CI167" s="72">
        <f t="shared" si="1271"/>
        <v>83</v>
      </c>
      <c r="CJ167" s="73">
        <f t="shared" si="1272"/>
        <v>113</v>
      </c>
      <c r="CK167" s="73">
        <f t="shared" si="1273"/>
        <v>118</v>
      </c>
      <c r="CL167" s="73">
        <f t="shared" si="1274"/>
        <v>154</v>
      </c>
      <c r="CM167" s="73">
        <f t="shared" si="1275"/>
        <v>162</v>
      </c>
      <c r="CN167" s="73">
        <f t="shared" si="1276"/>
        <v>189</v>
      </c>
      <c r="CO167" s="73">
        <f t="shared" si="1277"/>
        <v>202</v>
      </c>
      <c r="CP167" s="73">
        <f t="shared" si="1278"/>
        <v>245</v>
      </c>
      <c r="CQ167" s="73">
        <f t="shared" si="1279"/>
        <v>289</v>
      </c>
      <c r="CR167" s="73">
        <f t="shared" si="1280"/>
        <v>322</v>
      </c>
      <c r="CS167" s="73">
        <f t="shared" si="1281"/>
        <v>335</v>
      </c>
      <c r="CT167" s="23">
        <f t="shared" si="1282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395"/>
        <v>oprx_human_4EA3</v>
      </c>
      <c r="B168" s="3" t="s">
        <v>1174</v>
      </c>
      <c r="C168" s="3" t="s">
        <v>67</v>
      </c>
      <c r="D168" s="3" t="str">
        <f>IFERROR(MID(VLOOKUP($B168,Seqs!$A:$B,2,0),E168,1),"")</f>
        <v>L</v>
      </c>
      <c r="E168" s="3">
        <v>48</v>
      </c>
      <c r="F168" s="3" t="str">
        <f>IFERROR(MID(VLOOKUP($B168,Seqs!$A:$B,2,0),G168,1),"")</f>
        <v>H</v>
      </c>
      <c r="G168" s="3">
        <v>79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T</v>
      </c>
      <c r="M168" s="3">
        <v>84</v>
      </c>
      <c r="N168" s="3" t="str">
        <f>IFERROR(MID(VLOOKUP($B168,Seqs!$A:$B,2,0),O168,1),"")</f>
        <v>L</v>
      </c>
      <c r="O168" s="3">
        <v>113</v>
      </c>
      <c r="P168" s="3" t="str">
        <f>IFERROR(MID(VLOOKUP($B168,Seqs!$A:$B,2,0),Q168,1),"")</f>
        <v>F</v>
      </c>
      <c r="Q168" s="3">
        <v>115</v>
      </c>
      <c r="R168" s="3" t="str">
        <f>IFERROR(MID(VLOOKUP($B168,Seqs!$A:$B,2,0),S168,1),"")</f>
        <v>F</v>
      </c>
      <c r="S168" s="3">
        <v>118</v>
      </c>
      <c r="T168" s="3" t="str">
        <f>IFERROR(MID(VLOOKUP($B168,Seqs!$A:$B,2,0),U168,1),"")</f>
        <v>G</v>
      </c>
      <c r="U168" s="3">
        <v>119</v>
      </c>
      <c r="V168" s="3" t="str">
        <f>IFERROR(MID(VLOOKUP($B168,Seqs!$A:$B,2,0),W168,1),"")</f>
        <v>H</v>
      </c>
      <c r="W168" s="3">
        <v>154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163</v>
      </c>
      <c r="AD168" s="3" t="str">
        <f>IFERROR(MID(VLOOKUP($B168,Seqs!$A:$B,2,0),AE168,1),"")</f>
        <v>G</v>
      </c>
      <c r="AE168" s="3">
        <v>189</v>
      </c>
      <c r="AF168" s="3" t="str">
        <f>IFERROR(MID(VLOOKUP($B168,Seqs!$A:$B,2,0),AG168,1),"")</f>
        <v>C</v>
      </c>
      <c r="AG168" s="3">
        <v>200</v>
      </c>
      <c r="AH168" s="3" t="str">
        <f>IFERROR(MID(VLOOKUP($B168,Seqs!$A:$B,2,0),AI168,1),"")</f>
        <v>V</v>
      </c>
      <c r="AI168" s="3">
        <v>202</v>
      </c>
      <c r="AJ168" s="3" t="str">
        <f>IFERROR(MID(VLOOKUP($B168,Seqs!$A:$B,2,0),AK168,1),"")</f>
        <v>Q</v>
      </c>
      <c r="AK168" s="3">
        <v>208</v>
      </c>
      <c r="AL168" s="3" t="str">
        <f>IFERROR(MID(VLOOKUP($B168,Seqs!$A:$B,2,0),AM168,1),"")</f>
        <v>L</v>
      </c>
      <c r="AM168" s="3">
        <v>242</v>
      </c>
      <c r="AN168" s="3" t="str">
        <f>IFERROR(MID(VLOOKUP($B168,Seqs!$A:$B,2,0),AO168,1),"")</f>
        <v>S</v>
      </c>
      <c r="AO168" s="3">
        <v>251</v>
      </c>
      <c r="AP168" s="3" t="str">
        <f>IFERROR(MID(VLOOKUP($B168,Seqs!$A:$B,2,0),AQ168,1),"")</f>
        <v>G</v>
      </c>
      <c r="AQ168" s="3">
        <v>289</v>
      </c>
      <c r="AR168" s="3" t="str">
        <f>IFERROR(MID(VLOOKUP($B168,Seqs!$A:$B,2,0),AS168,1),"")</f>
        <v>S</v>
      </c>
      <c r="AS168" s="3">
        <v>294</v>
      </c>
      <c r="AT168" s="3" t="str">
        <f>IFERROR(MID(VLOOKUP($B168,Seqs!$A:$B,2,0),AU168,1),"")</f>
        <v>L</v>
      </c>
      <c r="AU168" s="3">
        <v>322</v>
      </c>
      <c r="AV168" s="3" t="str">
        <f>IFERROR(MID(VLOOKUP($B168,Seqs!$A:$B,2,0),AW168,1),"")</f>
        <v>D</v>
      </c>
      <c r="AW168" s="3">
        <v>323</v>
      </c>
      <c r="AX168" s="3" t="str">
        <f>IFERROR(MID(VLOOKUP($B168,Seqs!$A:$B,2,0),AY168,1),"")</f>
        <v>R</v>
      </c>
      <c r="AY168" s="3">
        <v>331</v>
      </c>
      <c r="AZ168" s="78" t="str">
        <f>VLOOKUP(B168,Classification!A:D,2,0)</f>
        <v>A</v>
      </c>
      <c r="BA168" s="95" t="str">
        <f>VLOOKUP(B168,Classification!A:D,4,0)</f>
        <v>Opioid</v>
      </c>
      <c r="BB168" s="27" t="b">
        <f t="shared" si="1396"/>
        <v>1</v>
      </c>
      <c r="BC168" s="23">
        <f t="shared" si="1257"/>
        <v>246</v>
      </c>
      <c r="BD168" s="5" t="s">
        <v>23</v>
      </c>
      <c r="BE168" s="3" t="s">
        <v>1381</v>
      </c>
      <c r="BF168" s="120">
        <v>3.01</v>
      </c>
      <c r="BG168" s="49" t="s">
        <v>1384</v>
      </c>
      <c r="BH168" s="49" t="s">
        <v>1384</v>
      </c>
      <c r="BI168" s="1"/>
      <c r="BJ168" s="71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1">
        <f t="shared" si="1258"/>
        <v>48</v>
      </c>
      <c r="BW168" s="72" t="str">
        <f t="shared" si="1259"/>
        <v>-</v>
      </c>
      <c r="BX168" s="73">
        <f t="shared" si="1260"/>
        <v>84</v>
      </c>
      <c r="BY168" s="72">
        <f t="shared" si="1261"/>
        <v>115</v>
      </c>
      <c r="BZ168" s="73">
        <f t="shared" si="1262"/>
        <v>119</v>
      </c>
      <c r="CA168" s="72" t="str">
        <f t="shared" si="1263"/>
        <v>-</v>
      </c>
      <c r="CB168" s="73">
        <f t="shared" si="1264"/>
        <v>163</v>
      </c>
      <c r="CC168" s="72">
        <f t="shared" si="1265"/>
        <v>200</v>
      </c>
      <c r="CD168" s="73">
        <f t="shared" si="1266"/>
        <v>208</v>
      </c>
      <c r="CE168" s="72">
        <f t="shared" si="1267"/>
        <v>251</v>
      </c>
      <c r="CF168" s="73">
        <f t="shared" si="1268"/>
        <v>294</v>
      </c>
      <c r="CG168" s="72">
        <f t="shared" si="1269"/>
        <v>323</v>
      </c>
      <c r="CH168" s="71">
        <f t="shared" si="1270"/>
        <v>79</v>
      </c>
      <c r="CI168" s="72" t="str">
        <f t="shared" si="1271"/>
        <v>-</v>
      </c>
      <c r="CJ168" s="73">
        <f t="shared" si="1272"/>
        <v>113</v>
      </c>
      <c r="CK168" s="73">
        <f t="shared" si="1273"/>
        <v>118</v>
      </c>
      <c r="CL168" s="73">
        <f t="shared" si="1274"/>
        <v>154</v>
      </c>
      <c r="CM168" s="73" t="str">
        <f t="shared" si="1275"/>
        <v>-</v>
      </c>
      <c r="CN168" s="73">
        <f t="shared" si="1276"/>
        <v>189</v>
      </c>
      <c r="CO168" s="73">
        <f t="shared" si="1277"/>
        <v>202</v>
      </c>
      <c r="CP168" s="73">
        <f t="shared" si="1278"/>
        <v>242</v>
      </c>
      <c r="CQ168" s="73">
        <f t="shared" si="1279"/>
        <v>289</v>
      </c>
      <c r="CR168" s="73">
        <f t="shared" si="1280"/>
        <v>322</v>
      </c>
      <c r="CS168" s="73">
        <f t="shared" si="1281"/>
        <v>331</v>
      </c>
      <c r="CT168" s="23" t="e">
        <f t="shared" si="1282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395"/>
        <v>oprx_human_5DHG</v>
      </c>
      <c r="B169" s="3" t="s">
        <v>1174</v>
      </c>
      <c r="C169" s="3" t="s">
        <v>1361</v>
      </c>
      <c r="D169" s="3" t="str">
        <f>IFERROR(MID(VLOOKUP($B169,Seqs!$A:$B,2,0),E169,1),"")</f>
        <v>L</v>
      </c>
      <c r="E169" s="3">
        <v>48</v>
      </c>
      <c r="F169" s="3" t="str">
        <f>IFERROR(MID(VLOOKUP($B169,Seqs!$A:$B,2,0),G169,1),"")</f>
        <v>H</v>
      </c>
      <c r="G169" s="3">
        <v>79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T</v>
      </c>
      <c r="M169" s="3">
        <v>84</v>
      </c>
      <c r="N169" s="3" t="str">
        <f>IFERROR(MID(VLOOKUP($B169,Seqs!$A:$B,2,0),O169,1),"")</f>
        <v>L</v>
      </c>
      <c r="O169" s="3">
        <v>113</v>
      </c>
      <c r="P169" s="3" t="str">
        <f>IFERROR(MID(VLOOKUP($B169,Seqs!$A:$B,2,0),Q169,1),"")</f>
        <v>F</v>
      </c>
      <c r="Q169" s="3">
        <v>115</v>
      </c>
      <c r="R169" s="3" t="str">
        <f>IFERROR(MID(VLOOKUP($B169,Seqs!$A:$B,2,0),S169,1),"")</f>
        <v>F</v>
      </c>
      <c r="S169" s="3">
        <v>118</v>
      </c>
      <c r="T169" s="3" t="str">
        <f>IFERROR(MID(VLOOKUP($B169,Seqs!$A:$B,2,0),U169,1),"")</f>
        <v>G</v>
      </c>
      <c r="U169" s="3">
        <v>119</v>
      </c>
      <c r="V169" s="3" t="str">
        <f>IFERROR(MID(VLOOKUP($B169,Seqs!$A:$B,2,0),W169,1),"")</f>
        <v>H</v>
      </c>
      <c r="W169" s="3">
        <v>154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T</v>
      </c>
      <c r="AC169" s="9">
        <v>163</v>
      </c>
      <c r="AD169" s="3" t="str">
        <f>IFERROR(MID(VLOOKUP($B169,Seqs!$A:$B,2,0),AE169,1),"")</f>
        <v>G</v>
      </c>
      <c r="AE169" s="3">
        <v>189</v>
      </c>
      <c r="AF169" s="3" t="str">
        <f>IFERROR(MID(VLOOKUP($B169,Seqs!$A:$B,2,0),AG169,1),"")</f>
        <v>C</v>
      </c>
      <c r="AG169" s="3">
        <v>200</v>
      </c>
      <c r="AH169" s="3" t="str">
        <f>IFERROR(MID(VLOOKUP($B169,Seqs!$A:$B,2,0),AI169,1),"")</f>
        <v>V</v>
      </c>
      <c r="AI169" s="3">
        <v>202</v>
      </c>
      <c r="AJ169" s="3" t="str">
        <f>IFERROR(MID(VLOOKUP($B169,Seqs!$A:$B,2,0),AK169,1),"")</f>
        <v>Q</v>
      </c>
      <c r="AK169" s="3">
        <v>208</v>
      </c>
      <c r="AL169" s="3" t="str">
        <f>IFERROR(MID(VLOOKUP($B169,Seqs!$A:$B,2,0),AM169,1),"")</f>
        <v>L</v>
      </c>
      <c r="AM169" s="3">
        <v>242</v>
      </c>
      <c r="AN169" s="3" t="str">
        <f>IFERROR(MID(VLOOKUP($B169,Seqs!$A:$B,2,0),AO169,1),"")</f>
        <v>S</v>
      </c>
      <c r="AO169" s="3">
        <v>251</v>
      </c>
      <c r="AP169" s="3" t="str">
        <f>IFERROR(MID(VLOOKUP($B169,Seqs!$A:$B,2,0),AQ169,1),"")</f>
        <v>G</v>
      </c>
      <c r="AQ169" s="3">
        <v>289</v>
      </c>
      <c r="AR169" s="3" t="str">
        <f>IFERROR(MID(VLOOKUP($B169,Seqs!$A:$B,2,0),AS169,1),"")</f>
        <v>S</v>
      </c>
      <c r="AS169" s="3">
        <v>294</v>
      </c>
      <c r="AT169" s="3" t="str">
        <f>IFERROR(MID(VLOOKUP($B169,Seqs!$A:$B,2,0),AU169,1),"")</f>
        <v>L</v>
      </c>
      <c r="AU169" s="3">
        <v>322</v>
      </c>
      <c r="AV169" s="3" t="str">
        <f>IFERROR(MID(VLOOKUP($B169,Seqs!$A:$B,2,0),AW169,1),"")</f>
        <v>D</v>
      </c>
      <c r="AW169" s="3">
        <v>323</v>
      </c>
      <c r="AX169" s="3" t="str">
        <f>IFERROR(MID(VLOOKUP($B169,Seqs!$A:$B,2,0),AY169,1),"")</f>
        <v>F</v>
      </c>
      <c r="AY169" s="3">
        <v>333</v>
      </c>
      <c r="AZ169" s="78" t="str">
        <f>VLOOKUP(B169,Classification!A:D,2,0)</f>
        <v>A</v>
      </c>
      <c r="BA169" s="95" t="str">
        <f>VLOOKUP(B169,Classification!A:D,4,0)</f>
        <v>Opioid</v>
      </c>
      <c r="BB169" s="27" t="b">
        <f t="shared" si="1396"/>
        <v>1</v>
      </c>
      <c r="BC169" s="23">
        <f t="shared" si="1257"/>
        <v>248</v>
      </c>
      <c r="BD169" s="16" t="s">
        <v>1383</v>
      </c>
      <c r="BE169" s="3" t="s">
        <v>1381</v>
      </c>
      <c r="BF169" s="120">
        <v>3</v>
      </c>
      <c r="BG169" s="49" t="s">
        <v>1287</v>
      </c>
      <c r="BH169" s="49" t="s">
        <v>1384</v>
      </c>
      <c r="BI169" s="1"/>
      <c r="BJ169" s="71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1">
        <f t="shared" si="1258"/>
        <v>48</v>
      </c>
      <c r="BW169" s="72" t="str">
        <f t="shared" si="1259"/>
        <v>-</v>
      </c>
      <c r="BX169" s="73">
        <f t="shared" si="1260"/>
        <v>84</v>
      </c>
      <c r="BY169" s="72">
        <f t="shared" si="1261"/>
        <v>115</v>
      </c>
      <c r="BZ169" s="73">
        <f t="shared" si="1262"/>
        <v>119</v>
      </c>
      <c r="CA169" s="72" t="str">
        <f t="shared" si="1263"/>
        <v>-</v>
      </c>
      <c r="CB169" s="73">
        <f t="shared" si="1264"/>
        <v>163</v>
      </c>
      <c r="CC169" s="72">
        <f t="shared" si="1265"/>
        <v>200</v>
      </c>
      <c r="CD169" s="73">
        <f t="shared" si="1266"/>
        <v>208</v>
      </c>
      <c r="CE169" s="72">
        <f t="shared" si="1267"/>
        <v>251</v>
      </c>
      <c r="CF169" s="73">
        <f t="shared" si="1268"/>
        <v>294</v>
      </c>
      <c r="CG169" s="72">
        <f t="shared" si="1269"/>
        <v>323</v>
      </c>
      <c r="CH169" s="71">
        <f t="shared" si="1270"/>
        <v>79</v>
      </c>
      <c r="CI169" s="72" t="str">
        <f t="shared" si="1271"/>
        <v>-</v>
      </c>
      <c r="CJ169" s="73">
        <f t="shared" si="1272"/>
        <v>113</v>
      </c>
      <c r="CK169" s="73">
        <f t="shared" si="1273"/>
        <v>118</v>
      </c>
      <c r="CL169" s="73">
        <f t="shared" si="1274"/>
        <v>154</v>
      </c>
      <c r="CM169" s="73" t="str">
        <f t="shared" si="1275"/>
        <v>-</v>
      </c>
      <c r="CN169" s="73">
        <f t="shared" si="1276"/>
        <v>189</v>
      </c>
      <c r="CO169" s="73">
        <f t="shared" si="1277"/>
        <v>202</v>
      </c>
      <c r="CP169" s="73">
        <f t="shared" si="1278"/>
        <v>242</v>
      </c>
      <c r="CQ169" s="73">
        <f t="shared" si="1279"/>
        <v>289</v>
      </c>
      <c r="CR169" s="73">
        <f t="shared" si="1280"/>
        <v>322</v>
      </c>
      <c r="CS169" s="73">
        <f t="shared" si="1281"/>
        <v>333</v>
      </c>
      <c r="CT169" s="23" t="e">
        <f t="shared" si="1282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 t="shared" si="1395"/>
        <v>oprx_human_5DHH</v>
      </c>
      <c r="B170" s="3" t="s">
        <v>1174</v>
      </c>
      <c r="C170" s="3" t="s">
        <v>1362</v>
      </c>
      <c r="D170" s="3" t="str">
        <f>IFERROR(MID(VLOOKUP($B170,Seqs!$A:$B,2,0),E170,1),"")</f>
        <v>L</v>
      </c>
      <c r="E170" s="3">
        <v>48</v>
      </c>
      <c r="F170" s="3" t="str">
        <f>IFERROR(MID(VLOOKUP($B170,Seqs!$A:$B,2,0),G170,1),"")</f>
        <v>H</v>
      </c>
      <c r="G170" s="3">
        <v>79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T</v>
      </c>
      <c r="M170" s="3">
        <v>84</v>
      </c>
      <c r="N170" s="3" t="str">
        <f>IFERROR(MID(VLOOKUP($B170,Seqs!$A:$B,2,0),O170,1),"")</f>
        <v>L</v>
      </c>
      <c r="O170" s="3">
        <v>113</v>
      </c>
      <c r="P170" s="3" t="str">
        <f>IFERROR(MID(VLOOKUP($B170,Seqs!$A:$B,2,0),Q170,1),"")</f>
        <v>F</v>
      </c>
      <c r="Q170" s="3">
        <v>115</v>
      </c>
      <c r="R170" s="3" t="str">
        <f>IFERROR(MID(VLOOKUP($B170,Seqs!$A:$B,2,0),S170,1),"")</f>
        <v>F</v>
      </c>
      <c r="S170" s="3">
        <v>118</v>
      </c>
      <c r="T170" s="3" t="str">
        <f>IFERROR(MID(VLOOKUP($B170,Seqs!$A:$B,2,0),U170,1),"")</f>
        <v>G</v>
      </c>
      <c r="U170" s="3">
        <v>119</v>
      </c>
      <c r="V170" s="3" t="str">
        <f>IFERROR(MID(VLOOKUP($B170,Seqs!$A:$B,2,0),W170,1),"")</f>
        <v>H</v>
      </c>
      <c r="W170" s="3">
        <v>154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T</v>
      </c>
      <c r="AC170" s="9">
        <v>163</v>
      </c>
      <c r="AD170" s="3" t="str">
        <f>IFERROR(MID(VLOOKUP($B170,Seqs!$A:$B,2,0),AE170,1),"")</f>
        <v>G</v>
      </c>
      <c r="AE170" s="3">
        <v>189</v>
      </c>
      <c r="AF170" s="3" t="str">
        <f>IFERROR(MID(VLOOKUP($B170,Seqs!$A:$B,2,0),AG170,1),"")</f>
        <v>C</v>
      </c>
      <c r="AG170" s="3">
        <v>200</v>
      </c>
      <c r="AH170" s="3" t="str">
        <f>IFERROR(MID(VLOOKUP($B170,Seqs!$A:$B,2,0),AI170,1),"")</f>
        <v>V</v>
      </c>
      <c r="AI170" s="3">
        <v>202</v>
      </c>
      <c r="AJ170" s="3" t="str">
        <f>IFERROR(MID(VLOOKUP($B170,Seqs!$A:$B,2,0),AK170,1),"")</f>
        <v>Q</v>
      </c>
      <c r="AK170" s="3">
        <v>208</v>
      </c>
      <c r="AL170" s="3" t="str">
        <f>IFERROR(MID(VLOOKUP($B170,Seqs!$A:$B,2,0),AM170,1),"")</f>
        <v>L</v>
      </c>
      <c r="AM170" s="3">
        <v>242</v>
      </c>
      <c r="AN170" s="3" t="str">
        <f>IFERROR(MID(VLOOKUP($B170,Seqs!$A:$B,2,0),AO170,1),"")</f>
        <v>S</v>
      </c>
      <c r="AO170" s="3">
        <v>251</v>
      </c>
      <c r="AP170" s="3" t="str">
        <f>IFERROR(MID(VLOOKUP($B170,Seqs!$A:$B,2,0),AQ170,1),"")</f>
        <v>G</v>
      </c>
      <c r="AQ170" s="3">
        <v>289</v>
      </c>
      <c r="AR170" s="3" t="str">
        <f>IFERROR(MID(VLOOKUP($B170,Seqs!$A:$B,2,0),AS170,1),"")</f>
        <v>S</v>
      </c>
      <c r="AS170" s="3">
        <v>294</v>
      </c>
      <c r="AT170" s="3" t="str">
        <f>IFERROR(MID(VLOOKUP($B170,Seqs!$A:$B,2,0),AU170,1),"")</f>
        <v>L</v>
      </c>
      <c r="AU170" s="3">
        <v>322</v>
      </c>
      <c r="AV170" s="3" t="str">
        <f>IFERROR(MID(VLOOKUP($B170,Seqs!$A:$B,2,0),AW170,1),"")</f>
        <v>D</v>
      </c>
      <c r="AW170" s="3">
        <v>323</v>
      </c>
      <c r="AX170" s="3" t="str">
        <f>IFERROR(MID(VLOOKUP($B170,Seqs!$A:$B,2,0),AY170,1),"")</f>
        <v>R</v>
      </c>
      <c r="AY170" s="3">
        <v>331</v>
      </c>
      <c r="AZ170" s="78" t="str">
        <f>VLOOKUP(B170,Classification!A:D,2,0)</f>
        <v>A</v>
      </c>
      <c r="BA170" s="95" t="str">
        <f>VLOOKUP(B170,Classification!A:D,4,0)</f>
        <v>Opioid</v>
      </c>
      <c r="BB170" s="27" t="b">
        <f t="shared" si="1396"/>
        <v>1</v>
      </c>
      <c r="BC170" s="23">
        <f t="shared" si="1257"/>
        <v>246</v>
      </c>
      <c r="BD170" s="5" t="s">
        <v>23</v>
      </c>
      <c r="BE170" s="3" t="s">
        <v>1381</v>
      </c>
      <c r="BF170" s="120">
        <v>3</v>
      </c>
      <c r="BG170" s="49" t="s">
        <v>1</v>
      </c>
      <c r="BH170" s="49" t="s">
        <v>1384</v>
      </c>
      <c r="BI170" s="1" t="s">
        <v>1366</v>
      </c>
      <c r="BJ170" s="71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1">
        <f t="shared" si="1258"/>
        <v>48</v>
      </c>
      <c r="BW170" s="72" t="str">
        <f t="shared" si="1259"/>
        <v>-</v>
      </c>
      <c r="BX170" s="73">
        <f t="shared" si="1260"/>
        <v>84</v>
      </c>
      <c r="BY170" s="72">
        <f t="shared" si="1261"/>
        <v>115</v>
      </c>
      <c r="BZ170" s="73">
        <f t="shared" si="1262"/>
        <v>119</v>
      </c>
      <c r="CA170" s="72" t="str">
        <f t="shared" si="1263"/>
        <v>-</v>
      </c>
      <c r="CB170" s="73">
        <f t="shared" si="1264"/>
        <v>163</v>
      </c>
      <c r="CC170" s="72">
        <f t="shared" si="1265"/>
        <v>200</v>
      </c>
      <c r="CD170" s="73">
        <f t="shared" si="1266"/>
        <v>208</v>
      </c>
      <c r="CE170" s="72">
        <f t="shared" si="1267"/>
        <v>251</v>
      </c>
      <c r="CF170" s="73">
        <f t="shared" si="1268"/>
        <v>294</v>
      </c>
      <c r="CG170" s="72">
        <f t="shared" si="1269"/>
        <v>323</v>
      </c>
      <c r="CH170" s="71">
        <f t="shared" si="1270"/>
        <v>79</v>
      </c>
      <c r="CI170" s="72" t="str">
        <f t="shared" si="1271"/>
        <v>-</v>
      </c>
      <c r="CJ170" s="73">
        <f t="shared" si="1272"/>
        <v>113</v>
      </c>
      <c r="CK170" s="73">
        <f t="shared" si="1273"/>
        <v>118</v>
      </c>
      <c r="CL170" s="73">
        <f t="shared" si="1274"/>
        <v>154</v>
      </c>
      <c r="CM170" s="73" t="str">
        <f t="shared" si="1275"/>
        <v>-</v>
      </c>
      <c r="CN170" s="73">
        <f t="shared" si="1276"/>
        <v>189</v>
      </c>
      <c r="CO170" s="73">
        <f t="shared" si="1277"/>
        <v>202</v>
      </c>
      <c r="CP170" s="73">
        <f t="shared" si="1278"/>
        <v>242</v>
      </c>
      <c r="CQ170" s="73">
        <f t="shared" si="1279"/>
        <v>289</v>
      </c>
      <c r="CR170" s="73">
        <f t="shared" si="1280"/>
        <v>322</v>
      </c>
      <c r="CS170" s="73">
        <f t="shared" si="1281"/>
        <v>331</v>
      </c>
      <c r="CT170" s="23" t="e">
        <f t="shared" si="1282"/>
        <v>#VALUE!</v>
      </c>
    </row>
    <row r="171" spans="1:1030" x14ac:dyDescent="0.2">
      <c r="A171" s="3" t="str">
        <f t="shared" si="1395"/>
        <v>opsd_bovin__wt</v>
      </c>
      <c r="B171" s="3" t="s">
        <v>920</v>
      </c>
      <c r="C171" s="3" t="s">
        <v>100</v>
      </c>
      <c r="D171" s="3" t="str">
        <f>IFERROR(MID(VLOOKUP($B171,Seqs!$A:$B,2,0),E171,1),"")</f>
        <v>E</v>
      </c>
      <c r="E171" s="106">
        <v>33</v>
      </c>
      <c r="F171" s="3" t="str">
        <f>IFERROR(MID(VLOOKUP($B171,Seqs!$A:$B,2,0),G171,1),"")</f>
        <v>H</v>
      </c>
      <c r="G171" s="3">
        <v>65</v>
      </c>
      <c r="H171" s="3" t="str">
        <f>IFERROR(MID(VLOOKUP($B171,Seqs!$A:$B,2,0),I171,1),"")</f>
        <v>K</v>
      </c>
      <c r="I171" s="23">
        <v>66</v>
      </c>
      <c r="J171" s="3" t="str">
        <f>IFERROR(MID(VLOOKUP($B171,Seqs!$A:$B,2,0),K171,1),"")</f>
        <v>R</v>
      </c>
      <c r="K171" s="23">
        <v>69</v>
      </c>
      <c r="L171" s="3" t="str">
        <f>IFERROR(MID(VLOOKUP($B171,Seqs!$A:$B,2,0),M171,1),"")</f>
        <v>T</v>
      </c>
      <c r="M171" s="3">
        <v>70</v>
      </c>
      <c r="N171" s="3" t="str">
        <f>IFERROR(MID(VLOOKUP($B171,Seqs!$A:$B,2,0),O171,1),"")</f>
        <v>H</v>
      </c>
      <c r="O171" s="3">
        <v>100</v>
      </c>
      <c r="P171" s="3" t="str">
        <f>IFERROR(MID(VLOOKUP($B171,Seqs!$A:$B,2,0),Q171,1),"")</f>
        <v>Y</v>
      </c>
      <c r="Q171" s="3">
        <v>102</v>
      </c>
      <c r="R171" s="3" t="str">
        <f>IFERROR(MID(VLOOKUP($B171,Seqs!$A:$B,2,0),S171,1),"")</f>
        <v>F</v>
      </c>
      <c r="S171" s="3">
        <v>105</v>
      </c>
      <c r="T171" s="3" t="str">
        <f>IFERROR(MID(VLOOKUP($B171,Seqs!$A:$B,2,0),U171,1),"")</f>
        <v>G</v>
      </c>
      <c r="U171" s="3">
        <v>106</v>
      </c>
      <c r="V171" s="3" t="str">
        <f>IFERROR(MID(VLOOKUP($B171,Seqs!$A:$B,2,0),W171,1),"")</f>
        <v>K</v>
      </c>
      <c r="W171" s="3">
        <v>141</v>
      </c>
      <c r="X171" s="3" t="str">
        <f>IFERROR(MID(VLOOKUP($B171,Seqs!$A:$B,2,0),Y171,1),"")</f>
        <v>P</v>
      </c>
      <c r="Y171" s="3">
        <v>142</v>
      </c>
      <c r="Z171" s="3" t="str">
        <f>IFERROR(MID(VLOOKUP($B171,Seqs!$A:$B,2,0),AA171,1),"")</f>
        <v>F</v>
      </c>
      <c r="AA171" s="106">
        <v>148</v>
      </c>
      <c r="AB171" s="3" t="str">
        <f>IFERROR(MID(VLOOKUP($B171,Seqs!$A:$B,2,0),AC171,1),"")</f>
        <v>G</v>
      </c>
      <c r="AC171" s="106">
        <v>149</v>
      </c>
      <c r="AD171" s="3" t="str">
        <f>IFERROR(MID(VLOOKUP($B171,Seqs!$A:$B,2,0),AE171,1),"")</f>
        <v>V</v>
      </c>
      <c r="AE171" s="3">
        <v>173</v>
      </c>
      <c r="AF171" s="3" t="str">
        <f>IFERROR(MID(VLOOKUP($B171,Seqs!$A:$B,2,0),AG171,1),"")</f>
        <v>C</v>
      </c>
      <c r="AG171" s="3">
        <v>187</v>
      </c>
      <c r="AH171" s="3" t="str">
        <f>IFERROR(MID(VLOOKUP($B171,Seqs!$A:$B,2,0),AI171,1),"")</f>
        <v>I</v>
      </c>
      <c r="AI171" s="3">
        <v>189</v>
      </c>
      <c r="AJ171" s="3" t="str">
        <f>IFERROR(MID(VLOOKUP($B171,Seqs!$A:$B,2,0),AK171,1),"")</f>
        <v>N</v>
      </c>
      <c r="AK171" s="3">
        <v>199</v>
      </c>
      <c r="AL171" s="3" t="str">
        <f>IFERROR(MID(VLOOKUP($B171,Seqs!$A:$B,2,0),AM171,1),"")</f>
        <v>Q</v>
      </c>
      <c r="AM171" s="3">
        <v>237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H</v>
      </c>
      <c r="AQ171" s="3">
        <v>278</v>
      </c>
      <c r="AR171" s="3" t="str">
        <f>IFERROR(MID(VLOOKUP($B171,Seqs!$A:$B,2,0),AS171,1),"")</f>
        <v>G</v>
      </c>
      <c r="AS171" s="3">
        <v>284</v>
      </c>
      <c r="AT171" s="3" t="str">
        <f>IFERROR(MID(VLOOKUP($B171,Seqs!$A:$B,2,0),AU171,1),"")</f>
        <v>M</v>
      </c>
      <c r="AU171" s="3">
        <v>309</v>
      </c>
      <c r="AV171" s="3" t="str">
        <f>IFERROR(MID(VLOOKUP($B171,Seqs!$A:$B,2,0),AW171,1),"")</f>
        <v>N</v>
      </c>
      <c r="AW171" s="3">
        <v>310</v>
      </c>
      <c r="AX171" s="3" t="str">
        <f>IFERROR(MID(VLOOKUP($B171,Seqs!$A:$B,2,0),AY171,1),"")</f>
        <v>C</v>
      </c>
      <c r="AY171" s="3">
        <v>322</v>
      </c>
      <c r="AZ171" s="78" t="str">
        <f>VLOOKUP(B171,Classification!A:D,2,0)</f>
        <v>A</v>
      </c>
      <c r="BA171" s="95" t="str">
        <f>VLOOKUP(B171,Classification!A:D,4,0)</f>
        <v>Opsins</v>
      </c>
      <c r="BB171" s="27" t="b">
        <f t="shared" si="1396"/>
        <v>1</v>
      </c>
      <c r="BC171" s="23">
        <f t="shared" si="1257"/>
        <v>259</v>
      </c>
      <c r="BD171" s="34" t="s">
        <v>1379</v>
      </c>
      <c r="BE171" s="3" t="s">
        <v>23</v>
      </c>
      <c r="BF171" s="120" t="s">
        <v>23</v>
      </c>
      <c r="BG171" s="49" t="s">
        <v>1379</v>
      </c>
      <c r="BH171" s="49" t="s">
        <v>1384</v>
      </c>
      <c r="BI171" s="1"/>
      <c r="BJ171" s="71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1">
        <f t="shared" si="1258"/>
        <v>33</v>
      </c>
      <c r="BW171" s="72">
        <f t="shared" si="1259"/>
        <v>66</v>
      </c>
      <c r="BX171" s="73">
        <f t="shared" si="1260"/>
        <v>70</v>
      </c>
      <c r="BY171" s="72">
        <f t="shared" si="1261"/>
        <v>102</v>
      </c>
      <c r="BZ171" s="73">
        <f t="shared" si="1262"/>
        <v>106</v>
      </c>
      <c r="CA171" s="72">
        <f t="shared" si="1263"/>
        <v>142</v>
      </c>
      <c r="CB171" s="73">
        <f t="shared" si="1264"/>
        <v>149</v>
      </c>
      <c r="CC171" s="72">
        <f t="shared" si="1265"/>
        <v>187</v>
      </c>
      <c r="CD171" s="73">
        <f t="shared" si="1266"/>
        <v>199</v>
      </c>
      <c r="CE171" s="72">
        <f t="shared" si="1267"/>
        <v>241</v>
      </c>
      <c r="CF171" s="73">
        <f t="shared" si="1268"/>
        <v>284</v>
      </c>
      <c r="CG171" s="72">
        <f t="shared" si="1269"/>
        <v>310</v>
      </c>
      <c r="CH171" s="71">
        <f t="shared" si="1270"/>
        <v>65</v>
      </c>
      <c r="CI171" s="72">
        <f t="shared" si="1271"/>
        <v>69</v>
      </c>
      <c r="CJ171" s="73">
        <f t="shared" si="1272"/>
        <v>100</v>
      </c>
      <c r="CK171" s="73">
        <f t="shared" si="1273"/>
        <v>105</v>
      </c>
      <c r="CL171" s="73">
        <f t="shared" si="1274"/>
        <v>141</v>
      </c>
      <c r="CM171" s="73">
        <f t="shared" si="1275"/>
        <v>148</v>
      </c>
      <c r="CN171" s="73">
        <f t="shared" si="1276"/>
        <v>173</v>
      </c>
      <c r="CO171" s="73">
        <f t="shared" si="1277"/>
        <v>189</v>
      </c>
      <c r="CP171" s="73">
        <f t="shared" si="1278"/>
        <v>237</v>
      </c>
      <c r="CQ171" s="73">
        <f t="shared" si="1279"/>
        <v>278</v>
      </c>
      <c r="CR171" s="73">
        <f t="shared" si="1280"/>
        <v>309</v>
      </c>
      <c r="CS171" s="73">
        <f t="shared" si="1281"/>
        <v>322</v>
      </c>
      <c r="CT171" s="23">
        <f t="shared" si="1282"/>
        <v>1</v>
      </c>
    </row>
    <row r="172" spans="1:1030" x14ac:dyDescent="0.2">
      <c r="A172" s="3" t="str">
        <f t="shared" si="1395"/>
        <v>opsd_bovin_1GZM</v>
      </c>
      <c r="B172" s="3" t="s">
        <v>920</v>
      </c>
      <c r="C172" s="3" t="s">
        <v>1343</v>
      </c>
      <c r="D172" s="3" t="str">
        <f>IFERROR(MID(VLOOKUP($B172,Seqs!$A:$B,2,0),E172,1),"")</f>
        <v>E</v>
      </c>
      <c r="E172" s="106">
        <v>33</v>
      </c>
      <c r="F172" s="3" t="str">
        <f>IFERROR(MID(VLOOKUP($B172,Seqs!$A:$B,2,0),G172,1),"")</f>
        <v>H</v>
      </c>
      <c r="G172" s="3">
        <v>65</v>
      </c>
      <c r="H172" s="3" t="str">
        <f>IFERROR(MID(VLOOKUP($B172,Seqs!$A:$B,2,0),I172,1),"")</f>
        <v>K</v>
      </c>
      <c r="I172" s="23">
        <v>66</v>
      </c>
      <c r="J172" s="3" t="str">
        <f>IFERROR(MID(VLOOKUP($B172,Seqs!$A:$B,2,0),K172,1),"")</f>
        <v>R</v>
      </c>
      <c r="K172" s="23">
        <v>69</v>
      </c>
      <c r="L172" s="3" t="str">
        <f>IFERROR(MID(VLOOKUP($B172,Seqs!$A:$B,2,0),M172,1),"")</f>
        <v>T</v>
      </c>
      <c r="M172" s="3">
        <v>70</v>
      </c>
      <c r="N172" s="3" t="str">
        <f>IFERROR(MID(VLOOKUP($B172,Seqs!$A:$B,2,0),O172,1),"")</f>
        <v>H</v>
      </c>
      <c r="O172" s="3">
        <v>100</v>
      </c>
      <c r="P172" s="3" t="str">
        <f>IFERROR(MID(VLOOKUP($B172,Seqs!$A:$B,2,0),Q172,1),"")</f>
        <v>Y</v>
      </c>
      <c r="Q172" s="3">
        <v>102</v>
      </c>
      <c r="R172" s="3" t="str">
        <f>IFERROR(MID(VLOOKUP($B172,Seqs!$A:$B,2,0),S172,1),"")</f>
        <v>F</v>
      </c>
      <c r="S172" s="3">
        <v>105</v>
      </c>
      <c r="T172" s="3" t="str">
        <f>IFERROR(MID(VLOOKUP($B172,Seqs!$A:$B,2,0),U172,1),"")</f>
        <v>G</v>
      </c>
      <c r="U172" s="3">
        <v>106</v>
      </c>
      <c r="V172" s="3" t="str">
        <f>IFERROR(MID(VLOOKUP($B172,Seqs!$A:$B,2,0),W172,1),"")</f>
        <v>K</v>
      </c>
      <c r="W172" s="3">
        <v>141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G</v>
      </c>
      <c r="AC172" s="9">
        <v>149</v>
      </c>
      <c r="AD172" s="3" t="str">
        <f>IFERROR(MID(VLOOKUP($B172,Seqs!$A:$B,2,0),AE172,1),"")</f>
        <v>V</v>
      </c>
      <c r="AE172" s="3">
        <v>173</v>
      </c>
      <c r="AF172" s="3" t="str">
        <f>IFERROR(MID(VLOOKUP($B172,Seqs!$A:$B,2,0),AG172,1),"")</f>
        <v>C</v>
      </c>
      <c r="AG172" s="3">
        <v>187</v>
      </c>
      <c r="AH172" s="3" t="str">
        <f>IFERROR(MID(VLOOKUP($B172,Seqs!$A:$B,2,0),AI172,1),"")</f>
        <v>I</v>
      </c>
      <c r="AI172" s="3">
        <v>189</v>
      </c>
      <c r="AJ172" s="3" t="str">
        <f>IFERROR(MID(VLOOKUP($B172,Seqs!$A:$B,2,0),AK172,1),"")</f>
        <v>N</v>
      </c>
      <c r="AK172" s="3">
        <v>199</v>
      </c>
      <c r="AL172" s="3" t="str">
        <f>IFERROR(MID(VLOOKUP($B172,Seqs!$A:$B,2,0),AM172,1),"")</f>
        <v>A</v>
      </c>
      <c r="AM172" s="3">
        <v>233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H</v>
      </c>
      <c r="AQ172" s="3">
        <v>278</v>
      </c>
      <c r="AR172" s="3" t="str">
        <f>IFERROR(MID(VLOOKUP($B172,Seqs!$A:$B,2,0),AS172,1),"")</f>
        <v>G</v>
      </c>
      <c r="AS172" s="3">
        <v>284</v>
      </c>
      <c r="AT172" s="3" t="str">
        <f>IFERROR(MID(VLOOKUP($B172,Seqs!$A:$B,2,0),AU172,1),"")</f>
        <v>M</v>
      </c>
      <c r="AU172" s="3">
        <v>309</v>
      </c>
      <c r="AV172" s="3" t="str">
        <f>IFERROR(MID(VLOOKUP($B172,Seqs!$A:$B,2,0),AW172,1),"")</f>
        <v>N</v>
      </c>
      <c r="AW172" s="3">
        <v>310</v>
      </c>
      <c r="AX172" s="3" t="str">
        <f>IFERROR(MID(VLOOKUP($B172,Seqs!$A:$B,2,0),AY172,1),"")</f>
        <v>C</v>
      </c>
      <c r="AY172" s="3">
        <v>322</v>
      </c>
      <c r="AZ172" s="78" t="str">
        <f>VLOOKUP(B172,Classification!A:D,2,0)</f>
        <v>A</v>
      </c>
      <c r="BA172" s="95" t="str">
        <f>VLOOKUP(B172,Classification!A:D,4,0)</f>
        <v>Opsins</v>
      </c>
      <c r="BB172" s="27" t="b">
        <f t="shared" si="1396"/>
        <v>1</v>
      </c>
      <c r="BC172" s="23">
        <f t="shared" si="1257"/>
        <v>249</v>
      </c>
      <c r="BD172" s="56" t="s">
        <v>1383</v>
      </c>
      <c r="BE172" s="3" t="s">
        <v>1381</v>
      </c>
      <c r="BF172" s="120">
        <v>2.65</v>
      </c>
      <c r="BG172" s="49" t="s">
        <v>1384</v>
      </c>
      <c r="BH172" s="49" t="s">
        <v>1384</v>
      </c>
      <c r="BI172" s="1"/>
      <c r="BJ172" s="71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1">
        <f t="shared" si="1258"/>
        <v>33</v>
      </c>
      <c r="BW172" s="72">
        <f t="shared" si="1259"/>
        <v>66</v>
      </c>
      <c r="BX172" s="73">
        <f t="shared" si="1260"/>
        <v>70</v>
      </c>
      <c r="BY172" s="72">
        <f t="shared" si="1261"/>
        <v>102</v>
      </c>
      <c r="BZ172" s="73">
        <f t="shared" si="1262"/>
        <v>106</v>
      </c>
      <c r="CA172" s="72" t="str">
        <f t="shared" si="1263"/>
        <v>-</v>
      </c>
      <c r="CB172" s="73">
        <f t="shared" si="1264"/>
        <v>149</v>
      </c>
      <c r="CC172" s="72">
        <f t="shared" si="1265"/>
        <v>187</v>
      </c>
      <c r="CD172" s="73">
        <f t="shared" si="1266"/>
        <v>199</v>
      </c>
      <c r="CE172" s="72">
        <f t="shared" si="1267"/>
        <v>241</v>
      </c>
      <c r="CF172" s="73">
        <f t="shared" si="1268"/>
        <v>284</v>
      </c>
      <c r="CG172" s="72">
        <f t="shared" si="1269"/>
        <v>310</v>
      </c>
      <c r="CH172" s="71">
        <f t="shared" si="1270"/>
        <v>65</v>
      </c>
      <c r="CI172" s="72">
        <f t="shared" si="1271"/>
        <v>69</v>
      </c>
      <c r="CJ172" s="73">
        <f t="shared" si="1272"/>
        <v>100</v>
      </c>
      <c r="CK172" s="73">
        <f t="shared" si="1273"/>
        <v>105</v>
      </c>
      <c r="CL172" s="73">
        <f t="shared" si="1274"/>
        <v>141</v>
      </c>
      <c r="CM172" s="73" t="str">
        <f t="shared" si="1275"/>
        <v>-</v>
      </c>
      <c r="CN172" s="73">
        <f t="shared" si="1276"/>
        <v>173</v>
      </c>
      <c r="CO172" s="73">
        <f t="shared" si="1277"/>
        <v>189</v>
      </c>
      <c r="CP172" s="73">
        <f t="shared" si="1278"/>
        <v>233</v>
      </c>
      <c r="CQ172" s="73">
        <f t="shared" si="1279"/>
        <v>278</v>
      </c>
      <c r="CR172" s="73">
        <f t="shared" si="1280"/>
        <v>309</v>
      </c>
      <c r="CS172" s="73">
        <f t="shared" si="1281"/>
        <v>322</v>
      </c>
      <c r="CT172" s="23">
        <f t="shared" si="1282"/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 t="shared" si="1395"/>
        <v>opsd_bovin_1U19</v>
      </c>
      <c r="B173" s="3" t="s">
        <v>920</v>
      </c>
      <c r="C173" s="3" t="s">
        <v>53</v>
      </c>
      <c r="D173" s="3" t="str">
        <f>IFERROR(MID(VLOOKUP($B173,Seqs!$A:$B,2,0),E173,1),"")</f>
        <v>E</v>
      </c>
      <c r="E173" s="106">
        <v>33</v>
      </c>
      <c r="F173" s="3" t="str">
        <f>IFERROR(MID(VLOOKUP($B173,Seqs!$A:$B,2,0),G173,1),"")</f>
        <v>H</v>
      </c>
      <c r="G173" s="3">
        <v>65</v>
      </c>
      <c r="H173" s="3" t="str">
        <f>IFERROR(MID(VLOOKUP($B173,Seqs!$A:$B,2,0),I173,1),"")</f>
        <v>K</v>
      </c>
      <c r="I173" s="23">
        <v>66</v>
      </c>
      <c r="J173" s="3" t="str">
        <f>IFERROR(MID(VLOOKUP($B173,Seqs!$A:$B,2,0),K173,1),"")</f>
        <v>R</v>
      </c>
      <c r="K173" s="23">
        <v>69</v>
      </c>
      <c r="L173" s="3" t="str">
        <f>IFERROR(MID(VLOOKUP($B173,Seqs!$A:$B,2,0),M173,1),"")</f>
        <v>T</v>
      </c>
      <c r="M173" s="3">
        <v>70</v>
      </c>
      <c r="N173" s="3" t="str">
        <f>IFERROR(MID(VLOOKUP($B173,Seqs!$A:$B,2,0),O173,1),"")</f>
        <v>H</v>
      </c>
      <c r="O173" s="3">
        <v>100</v>
      </c>
      <c r="P173" s="3" t="str">
        <f>IFERROR(MID(VLOOKUP($B173,Seqs!$A:$B,2,0),Q173,1),"")</f>
        <v>Y</v>
      </c>
      <c r="Q173" s="3">
        <v>102</v>
      </c>
      <c r="R173" s="3" t="str">
        <f>IFERROR(MID(VLOOKUP($B173,Seqs!$A:$B,2,0),S173,1),"")</f>
        <v>F</v>
      </c>
      <c r="S173" s="3">
        <v>105</v>
      </c>
      <c r="T173" s="3" t="str">
        <f>IFERROR(MID(VLOOKUP($B173,Seqs!$A:$B,2,0),U173,1),"")</f>
        <v>G</v>
      </c>
      <c r="U173" s="3">
        <v>106</v>
      </c>
      <c r="V173" s="3" t="str">
        <f>IFERROR(MID(VLOOKUP($B173,Seqs!$A:$B,2,0),W173,1),"")</f>
        <v>K</v>
      </c>
      <c r="W173" s="3">
        <v>141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G</v>
      </c>
      <c r="AC173" s="9">
        <v>149</v>
      </c>
      <c r="AD173" s="3" t="str">
        <f>IFERROR(MID(VLOOKUP($B173,Seqs!$A:$B,2,0),AE173,1),"")</f>
        <v>V</v>
      </c>
      <c r="AE173" s="3">
        <v>173</v>
      </c>
      <c r="AF173" s="3" t="str">
        <f>IFERROR(MID(VLOOKUP($B173,Seqs!$A:$B,2,0),AG173,1),"")</f>
        <v>C</v>
      </c>
      <c r="AG173" s="3">
        <v>187</v>
      </c>
      <c r="AH173" s="3" t="str">
        <f>IFERROR(MID(VLOOKUP($B173,Seqs!$A:$B,2,0),AI173,1),"")</f>
        <v>I</v>
      </c>
      <c r="AI173" s="3">
        <v>189</v>
      </c>
      <c r="AJ173" s="3" t="str">
        <f>IFERROR(MID(VLOOKUP($B173,Seqs!$A:$B,2,0),AK173,1),"")</f>
        <v>N</v>
      </c>
      <c r="AK173" s="3">
        <v>199</v>
      </c>
      <c r="AL173" s="3" t="str">
        <f>IFERROR(MID(VLOOKUP($B173,Seqs!$A:$B,2,0),AM173,1),"")</f>
        <v>Q</v>
      </c>
      <c r="AM173" s="3">
        <v>225</v>
      </c>
      <c r="AN173" s="3" t="str">
        <f>IFERROR(MID(VLOOKUP($B173,Seqs!$A:$B,2,0),AO173,1),"")</f>
        <v>T</v>
      </c>
      <c r="AO173" s="3">
        <v>243</v>
      </c>
      <c r="AP173" s="3" t="str">
        <f>IFERROR(MID(VLOOKUP($B173,Seqs!$A:$B,2,0),AQ173,1),"")</f>
        <v>H</v>
      </c>
      <c r="AQ173" s="3">
        <v>278</v>
      </c>
      <c r="AR173" s="3" t="str">
        <f>IFERROR(MID(VLOOKUP($B173,Seqs!$A:$B,2,0),AS173,1),"")</f>
        <v>G</v>
      </c>
      <c r="AS173" s="3">
        <v>284</v>
      </c>
      <c r="AT173" s="3" t="str">
        <f>IFERROR(MID(VLOOKUP($B173,Seqs!$A:$B,2,0),AU173,1),"")</f>
        <v>M</v>
      </c>
      <c r="AU173" s="3">
        <v>309</v>
      </c>
      <c r="AV173" s="3" t="str">
        <f>IFERROR(MID(VLOOKUP($B173,Seqs!$A:$B,2,0),AW173,1),"")</f>
        <v>N</v>
      </c>
      <c r="AW173" s="3">
        <v>310</v>
      </c>
      <c r="AX173" s="3" t="str">
        <f>IFERROR(MID(VLOOKUP($B173,Seqs!$A:$B,2,0),AY173,1),"")</f>
        <v>C</v>
      </c>
      <c r="AY173" s="3">
        <v>322</v>
      </c>
      <c r="AZ173" s="78" t="str">
        <f>VLOOKUP(B173,Classification!A:D,2,0)</f>
        <v>A</v>
      </c>
      <c r="BA173" s="95" t="str">
        <f>VLOOKUP(B173,Classification!A:D,4,0)</f>
        <v>Opsins</v>
      </c>
      <c r="BB173" s="27" t="b">
        <f t="shared" si="1396"/>
        <v>1</v>
      </c>
      <c r="BC173" s="23">
        <f t="shared" si="1257"/>
        <v>239</v>
      </c>
      <c r="BD173" s="75" t="s">
        <v>23</v>
      </c>
      <c r="BE173" s="3" t="s">
        <v>1381</v>
      </c>
      <c r="BF173" s="120">
        <v>2.2000000000000002</v>
      </c>
      <c r="BG173" s="49" t="s">
        <v>1</v>
      </c>
      <c r="BH173" s="49" t="s">
        <v>1384</v>
      </c>
      <c r="BI173" s="1"/>
      <c r="BJ173" s="71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1">
        <f t="shared" si="1258"/>
        <v>33</v>
      </c>
      <c r="BW173" s="72">
        <f t="shared" si="1259"/>
        <v>66</v>
      </c>
      <c r="BX173" s="73">
        <f t="shared" si="1260"/>
        <v>70</v>
      </c>
      <c r="BY173" s="72">
        <f t="shared" si="1261"/>
        <v>102</v>
      </c>
      <c r="BZ173" s="73">
        <f t="shared" si="1262"/>
        <v>106</v>
      </c>
      <c r="CA173" s="72" t="str">
        <f t="shared" si="1263"/>
        <v>-</v>
      </c>
      <c r="CB173" s="73">
        <f t="shared" si="1264"/>
        <v>149</v>
      </c>
      <c r="CC173" s="72">
        <f t="shared" si="1265"/>
        <v>187</v>
      </c>
      <c r="CD173" s="73">
        <f t="shared" si="1266"/>
        <v>199</v>
      </c>
      <c r="CE173" s="72">
        <f t="shared" si="1267"/>
        <v>243</v>
      </c>
      <c r="CF173" s="73">
        <f t="shared" si="1268"/>
        <v>284</v>
      </c>
      <c r="CG173" s="72">
        <f t="shared" si="1269"/>
        <v>310</v>
      </c>
      <c r="CH173" s="71">
        <f t="shared" si="1270"/>
        <v>65</v>
      </c>
      <c r="CI173" s="72">
        <f t="shared" si="1271"/>
        <v>69</v>
      </c>
      <c r="CJ173" s="73">
        <f t="shared" si="1272"/>
        <v>100</v>
      </c>
      <c r="CK173" s="73">
        <f t="shared" si="1273"/>
        <v>105</v>
      </c>
      <c r="CL173" s="73">
        <f t="shared" si="1274"/>
        <v>141</v>
      </c>
      <c r="CM173" s="73" t="str">
        <f t="shared" si="1275"/>
        <v>-</v>
      </c>
      <c r="CN173" s="73">
        <f t="shared" si="1276"/>
        <v>173</v>
      </c>
      <c r="CO173" s="73">
        <f t="shared" si="1277"/>
        <v>189</v>
      </c>
      <c r="CP173" s="73">
        <f t="shared" si="1278"/>
        <v>225</v>
      </c>
      <c r="CQ173" s="73">
        <f t="shared" si="1279"/>
        <v>278</v>
      </c>
      <c r="CR173" s="73">
        <f t="shared" si="1280"/>
        <v>309</v>
      </c>
      <c r="CS173" s="73">
        <f t="shared" si="1281"/>
        <v>322</v>
      </c>
      <c r="CT173" s="23">
        <f t="shared" si="1282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395"/>
        <v>opsd_bovin_2X72</v>
      </c>
      <c r="B174" s="2" t="s">
        <v>920</v>
      </c>
      <c r="C174" s="3" t="s">
        <v>1376</v>
      </c>
      <c r="D174" s="3" t="str">
        <f>IFERROR(MID(VLOOKUP($B174,Seqs!$A:$B,2,0),E174,1),"")</f>
        <v>E</v>
      </c>
      <c r="E174" s="106">
        <v>33</v>
      </c>
      <c r="F174" s="3" t="str">
        <f>IFERROR(MID(VLOOKUP($B174,Seqs!$A:$B,2,0),G174,1),"")</f>
        <v>H</v>
      </c>
      <c r="G174" s="3">
        <v>65</v>
      </c>
      <c r="H174" s="3" t="str">
        <f>IFERROR(MID(VLOOKUP($B174,Seqs!$A:$B,2,0),I174,1),"")</f>
        <v>K</v>
      </c>
      <c r="I174" s="23">
        <v>66</v>
      </c>
      <c r="J174" s="3" t="str">
        <f>IFERROR(MID(VLOOKUP($B174,Seqs!$A:$B,2,0),K174,1),"")</f>
        <v>R</v>
      </c>
      <c r="K174" s="23">
        <v>69</v>
      </c>
      <c r="L174" s="3" t="str">
        <f>IFERROR(MID(VLOOKUP($B174,Seqs!$A:$B,2,0),M174,1),"")</f>
        <v>T</v>
      </c>
      <c r="M174" s="3">
        <v>70</v>
      </c>
      <c r="N174" s="3" t="str">
        <f>IFERROR(MID(VLOOKUP($B174,Seqs!$A:$B,2,0),O174,1),"")</f>
        <v>H</v>
      </c>
      <c r="O174" s="3">
        <v>100</v>
      </c>
      <c r="P174" s="3" t="str">
        <f>IFERROR(MID(VLOOKUP($B174,Seqs!$A:$B,2,0),Q174,1),"")</f>
        <v>Y</v>
      </c>
      <c r="Q174" s="3">
        <v>102</v>
      </c>
      <c r="R174" s="3" t="str">
        <f>IFERROR(MID(VLOOKUP($B174,Seqs!$A:$B,2,0),S174,1),"")</f>
        <v>F</v>
      </c>
      <c r="S174" s="3">
        <v>105</v>
      </c>
      <c r="T174" s="3" t="str">
        <f>IFERROR(MID(VLOOKUP($B174,Seqs!$A:$B,2,0),U174,1),"")</f>
        <v>G</v>
      </c>
      <c r="U174" s="3">
        <v>106</v>
      </c>
      <c r="V174" s="3" t="str">
        <f>IFERROR(MID(VLOOKUP($B174,Seqs!$A:$B,2,0),W174,1),"")</f>
        <v>K</v>
      </c>
      <c r="W174" s="3">
        <v>141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G</v>
      </c>
      <c r="AC174" s="9">
        <v>149</v>
      </c>
      <c r="AD174" s="3" t="str">
        <f>IFERROR(MID(VLOOKUP($B174,Seqs!$A:$B,2,0),AE174,1),"")</f>
        <v>V</v>
      </c>
      <c r="AE174" s="3">
        <v>173</v>
      </c>
      <c r="AF174" s="3" t="str">
        <f>IFERROR(MID(VLOOKUP($B174,Seqs!$A:$B,2,0),AG174,1),"")</f>
        <v>C</v>
      </c>
      <c r="AG174" s="3">
        <v>187</v>
      </c>
      <c r="AH174" s="3" t="str">
        <f>IFERROR(MID(VLOOKUP($B174,Seqs!$A:$B,2,0),AI174,1),"")</f>
        <v>I</v>
      </c>
      <c r="AI174" s="3">
        <v>189</v>
      </c>
      <c r="AJ174" s="3" t="str">
        <f>IFERROR(MID(VLOOKUP($B174,Seqs!$A:$B,2,0),AK174,1),"")</f>
        <v>N</v>
      </c>
      <c r="AK174" s="3">
        <v>199</v>
      </c>
      <c r="AL174" s="3" t="str">
        <f>IFERROR(MID(VLOOKUP($B174,Seqs!$A:$B,2,0),AM174,1),"")</f>
        <v>Q</v>
      </c>
      <c r="AM174" s="3">
        <v>237</v>
      </c>
      <c r="AN174" s="3" t="str">
        <f>IFERROR(MID(VLOOKUP($B174,Seqs!$A:$B,2,0),AO174,1),"")</f>
        <v>A</v>
      </c>
      <c r="AO174" s="3">
        <v>241</v>
      </c>
      <c r="AP174" s="3" t="str">
        <f>IFERROR(MID(VLOOKUP($B174,Seqs!$A:$B,2,0),AQ174,1),"")</f>
        <v>H</v>
      </c>
      <c r="AQ174" s="3">
        <v>278</v>
      </c>
      <c r="AR174" s="3" t="str">
        <f>IFERROR(MID(VLOOKUP($B174,Seqs!$A:$B,2,0),AS174,1),"")</f>
        <v>G</v>
      </c>
      <c r="AS174" s="3">
        <v>284</v>
      </c>
      <c r="AT174" s="3" t="str">
        <f>IFERROR(MID(VLOOKUP($B174,Seqs!$A:$B,2,0),AU174,1),"")</f>
        <v>M</v>
      </c>
      <c r="AU174" s="3">
        <v>309</v>
      </c>
      <c r="AV174" s="3" t="str">
        <f>IFERROR(MID(VLOOKUP($B174,Seqs!$A:$B,2,0),AW174,1),"")</f>
        <v>N</v>
      </c>
      <c r="AW174" s="3">
        <v>310</v>
      </c>
      <c r="AX174" s="3" t="str">
        <f>IFERROR(MID(VLOOKUP($B174,Seqs!$A:$B,2,0),AY174,1),"")</f>
        <v>C</v>
      </c>
      <c r="AY174" s="3">
        <v>322</v>
      </c>
      <c r="AZ174" s="78" t="str">
        <f>VLOOKUP(B174,Classification!A:D,2,0)</f>
        <v>A</v>
      </c>
      <c r="BA174" s="95" t="str">
        <f>VLOOKUP(B174,Classification!A:D,4,0)</f>
        <v>Opsins</v>
      </c>
      <c r="BB174" s="27" t="b">
        <f t="shared" ref="BB174" si="1453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1454">_xlfn.AGGREGATE(9,6,CH174:CS174)-_xlfn.AGGREGATE(9,6,BV174:CG174)+12</f>
        <v>253</v>
      </c>
      <c r="BD174" s="56" t="s">
        <v>23</v>
      </c>
      <c r="BE174" s="3" t="s">
        <v>1297</v>
      </c>
      <c r="BF174" s="120">
        <v>3</v>
      </c>
      <c r="BG174" s="49" t="s">
        <v>1384</v>
      </c>
      <c r="BH174" s="49" t="s">
        <v>1384</v>
      </c>
      <c r="BI174" s="1"/>
      <c r="BJ174" s="71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1">
        <f t="shared" ref="BV174" si="1455">E174</f>
        <v>33</v>
      </c>
      <c r="BW174" s="72">
        <f t="shared" ref="BW174" si="1456">I174</f>
        <v>66</v>
      </c>
      <c r="BX174" s="73">
        <f t="shared" ref="BX174" si="1457">M174</f>
        <v>70</v>
      </c>
      <c r="BY174" s="72">
        <f t="shared" ref="BY174" si="1458">Q174</f>
        <v>102</v>
      </c>
      <c r="BZ174" s="73">
        <f t="shared" ref="BZ174" si="1459">U174</f>
        <v>106</v>
      </c>
      <c r="CA174" s="72" t="str">
        <f t="shared" ref="CA174" si="1460">Y174</f>
        <v>-</v>
      </c>
      <c r="CB174" s="73">
        <f t="shared" ref="CB174" si="1461">AC174</f>
        <v>149</v>
      </c>
      <c r="CC174" s="72">
        <f t="shared" ref="CC174" si="1462">AG174</f>
        <v>187</v>
      </c>
      <c r="CD174" s="73">
        <f t="shared" ref="CD174" si="1463">AK174</f>
        <v>199</v>
      </c>
      <c r="CE174" s="72">
        <f t="shared" ref="CE174" si="1464">AO174</f>
        <v>241</v>
      </c>
      <c r="CF174" s="73">
        <f t="shared" ref="CF174" si="1465">AS174</f>
        <v>284</v>
      </c>
      <c r="CG174" s="72">
        <f t="shared" ref="CG174" si="1466">AW174</f>
        <v>310</v>
      </c>
      <c r="CH174" s="71">
        <f t="shared" ref="CH174" si="1467">G174</f>
        <v>65</v>
      </c>
      <c r="CI174" s="72">
        <f t="shared" ref="CI174" si="1468">K174</f>
        <v>69</v>
      </c>
      <c r="CJ174" s="73">
        <f t="shared" ref="CJ174" si="1469">O174</f>
        <v>100</v>
      </c>
      <c r="CK174" s="73">
        <f t="shared" ref="CK174" si="1470">S174</f>
        <v>105</v>
      </c>
      <c r="CL174" s="73">
        <f t="shared" ref="CL174" si="1471">W174</f>
        <v>141</v>
      </c>
      <c r="CM174" s="73" t="str">
        <f t="shared" ref="CM174" si="1472">AA174</f>
        <v>-</v>
      </c>
      <c r="CN174" s="73">
        <f t="shared" ref="CN174" si="1473">AE174</f>
        <v>173</v>
      </c>
      <c r="CO174" s="73">
        <f t="shared" ref="CO174" si="1474">AI174</f>
        <v>189</v>
      </c>
      <c r="CP174" s="73">
        <f t="shared" ref="CP174" si="1475">AM174</f>
        <v>237</v>
      </c>
      <c r="CQ174" s="73">
        <f t="shared" ref="CQ174" si="1476">AQ174</f>
        <v>278</v>
      </c>
      <c r="CR174" s="73">
        <f t="shared" ref="CR174" si="1477">AU174</f>
        <v>309</v>
      </c>
      <c r="CS174" s="73">
        <f t="shared" ref="CS174" si="1478">AY174</f>
        <v>322</v>
      </c>
      <c r="CT174" s="23">
        <f t="shared" ref="CT174" si="1479">M174-K174</f>
        <v>1</v>
      </c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  <c r="AML174" s="6"/>
      <c r="AMM174" s="6"/>
      <c r="AMN174" s="6"/>
      <c r="AMO174" s="6"/>
      <c r="AMP174" s="6"/>
    </row>
    <row r="175" spans="1:1030" x14ac:dyDescent="0.2">
      <c r="A175" s="3" t="str">
        <f t="shared" si="1395"/>
        <v>opsd_bovin_3DQB</v>
      </c>
      <c r="B175" s="3" t="s">
        <v>920</v>
      </c>
      <c r="C175" s="3" t="s">
        <v>54</v>
      </c>
      <c r="D175" s="3" t="str">
        <f>IFERROR(MID(VLOOKUP($B175,Seqs!$A:$B,2,0),E175,1),"")</f>
        <v>E</v>
      </c>
      <c r="E175" s="106">
        <v>33</v>
      </c>
      <c r="F175" s="3" t="str">
        <f>IFERROR(MID(VLOOKUP($B175,Seqs!$A:$B,2,0),G175,1),"")</f>
        <v>H</v>
      </c>
      <c r="G175" s="3">
        <v>65</v>
      </c>
      <c r="H175" s="3" t="str">
        <f>IFERROR(MID(VLOOKUP($B175,Seqs!$A:$B,2,0),I175,1),"")</f>
        <v>K</v>
      </c>
      <c r="I175" s="23">
        <v>66</v>
      </c>
      <c r="J175" s="3" t="str">
        <f>IFERROR(MID(VLOOKUP($B175,Seqs!$A:$B,2,0),K175,1),"")</f>
        <v>R</v>
      </c>
      <c r="K175" s="23">
        <v>69</v>
      </c>
      <c r="L175" s="3" t="str">
        <f>IFERROR(MID(VLOOKUP($B175,Seqs!$A:$B,2,0),M175,1),"")</f>
        <v>T</v>
      </c>
      <c r="M175" s="3">
        <v>70</v>
      </c>
      <c r="N175" s="3" t="str">
        <f>IFERROR(MID(VLOOKUP($B175,Seqs!$A:$B,2,0),O175,1),"")</f>
        <v>H</v>
      </c>
      <c r="O175" s="3">
        <v>100</v>
      </c>
      <c r="P175" s="3" t="str">
        <f>IFERROR(MID(VLOOKUP($B175,Seqs!$A:$B,2,0),Q175,1),"")</f>
        <v>Y</v>
      </c>
      <c r="Q175" s="3">
        <v>102</v>
      </c>
      <c r="R175" s="3" t="str">
        <f>IFERROR(MID(VLOOKUP($B175,Seqs!$A:$B,2,0),S175,1),"")</f>
        <v>F</v>
      </c>
      <c r="S175" s="3">
        <v>105</v>
      </c>
      <c r="T175" s="3" t="str">
        <f>IFERROR(MID(VLOOKUP($B175,Seqs!$A:$B,2,0),U175,1),"")</f>
        <v>G</v>
      </c>
      <c r="U175" s="3">
        <v>106</v>
      </c>
      <c r="V175" s="3" t="str">
        <f>IFERROR(MID(VLOOKUP($B175,Seqs!$A:$B,2,0),W175,1),"")</f>
        <v>K</v>
      </c>
      <c r="W175" s="3">
        <v>141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G</v>
      </c>
      <c r="AC175" s="9">
        <v>149</v>
      </c>
      <c r="AD175" s="3" t="str">
        <f>IFERROR(MID(VLOOKUP($B175,Seqs!$A:$B,2,0),AE175,1),"")</f>
        <v>V</v>
      </c>
      <c r="AE175" s="3">
        <v>173</v>
      </c>
      <c r="AF175" s="3" t="str">
        <f>IFERROR(MID(VLOOKUP($B175,Seqs!$A:$B,2,0),AG175,1),"")</f>
        <v>C</v>
      </c>
      <c r="AG175" s="3">
        <v>187</v>
      </c>
      <c r="AH175" s="3" t="str">
        <f>IFERROR(MID(VLOOKUP($B175,Seqs!$A:$B,2,0),AI175,1),"")</f>
        <v>I</v>
      </c>
      <c r="AI175" s="3">
        <v>189</v>
      </c>
      <c r="AJ175" s="3" t="str">
        <f>IFERROR(MID(VLOOKUP($B175,Seqs!$A:$B,2,0),AK175,1),"")</f>
        <v>N</v>
      </c>
      <c r="AK175" s="3">
        <v>199</v>
      </c>
      <c r="AL175" s="3" t="str">
        <f>IFERROR(MID(VLOOKUP($B175,Seqs!$A:$B,2,0),AM175,1),"")</f>
        <v>Q</v>
      </c>
      <c r="AM175" s="3">
        <v>237</v>
      </c>
      <c r="AN175" s="3" t="str">
        <f>IFERROR(MID(VLOOKUP($B175,Seqs!$A:$B,2,0),AO175,1),"")</f>
        <v>A</v>
      </c>
      <c r="AO175" s="3">
        <v>241</v>
      </c>
      <c r="AP175" s="3" t="str">
        <f>IFERROR(MID(VLOOKUP($B175,Seqs!$A:$B,2,0),AQ175,1),"")</f>
        <v>H</v>
      </c>
      <c r="AQ175" s="3">
        <v>278</v>
      </c>
      <c r="AR175" s="3" t="str">
        <f>IFERROR(MID(VLOOKUP($B175,Seqs!$A:$B,2,0),AS175,1),"")</f>
        <v>G</v>
      </c>
      <c r="AS175" s="3">
        <v>284</v>
      </c>
      <c r="AT175" s="3" t="str">
        <f>IFERROR(MID(VLOOKUP($B175,Seqs!$A:$B,2,0),AU175,1),"")</f>
        <v>M</v>
      </c>
      <c r="AU175" s="3">
        <v>309</v>
      </c>
      <c r="AV175" s="3" t="str">
        <f>IFERROR(MID(VLOOKUP($B175,Seqs!$A:$B,2,0),AW175,1),"")</f>
        <v>N</v>
      </c>
      <c r="AW175" s="3">
        <v>310</v>
      </c>
      <c r="AX175" s="3" t="str">
        <f>IFERROR(MID(VLOOKUP($B175,Seqs!$A:$B,2,0),AY175,1),"")</f>
        <v>C</v>
      </c>
      <c r="AY175" s="3">
        <v>322</v>
      </c>
      <c r="AZ175" s="78" t="str">
        <f>VLOOKUP(B175,Classification!A:D,2,0)</f>
        <v>A</v>
      </c>
      <c r="BA175" s="95" t="str">
        <f>VLOOKUP(B175,Classification!A:D,4,0)</f>
        <v>Opsins</v>
      </c>
      <c r="BB175" s="27" t="b">
        <f t="shared" si="1396"/>
        <v>1</v>
      </c>
      <c r="BC175" s="23">
        <f>_xlfn.AGGREGATE(9,6,CH175:CS175)-_xlfn.AGGREGATE(9,6,BV175:CG175)+12</f>
        <v>253</v>
      </c>
      <c r="BD175" s="75" t="s">
        <v>23</v>
      </c>
      <c r="BE175" s="3" t="s">
        <v>1297</v>
      </c>
      <c r="BF175" s="120">
        <v>3.2</v>
      </c>
      <c r="BG175" s="49" t="s">
        <v>1384</v>
      </c>
      <c r="BH175" s="49" t="s">
        <v>1384</v>
      </c>
      <c r="BI175" s="1"/>
      <c r="BJ175" s="71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1">
        <f>E175</f>
        <v>33</v>
      </c>
      <c r="BW175" s="72">
        <f>I175</f>
        <v>66</v>
      </c>
      <c r="BX175" s="73">
        <f>M175</f>
        <v>70</v>
      </c>
      <c r="BY175" s="72">
        <f>Q175</f>
        <v>102</v>
      </c>
      <c r="BZ175" s="73">
        <f>U175</f>
        <v>106</v>
      </c>
      <c r="CA175" s="72" t="str">
        <f>Y175</f>
        <v>-</v>
      </c>
      <c r="CB175" s="73">
        <f>AC175</f>
        <v>149</v>
      </c>
      <c r="CC175" s="72">
        <f>AG175</f>
        <v>187</v>
      </c>
      <c r="CD175" s="73">
        <f>AK175</f>
        <v>199</v>
      </c>
      <c r="CE175" s="72">
        <f>AO175</f>
        <v>241</v>
      </c>
      <c r="CF175" s="73">
        <f>AS175</f>
        <v>284</v>
      </c>
      <c r="CG175" s="72">
        <f>AW175</f>
        <v>310</v>
      </c>
      <c r="CH175" s="71">
        <f>G175</f>
        <v>65</v>
      </c>
      <c r="CI175" s="72">
        <f>K175</f>
        <v>69</v>
      </c>
      <c r="CJ175" s="73">
        <f>O175</f>
        <v>100</v>
      </c>
      <c r="CK175" s="73">
        <f>S175</f>
        <v>105</v>
      </c>
      <c r="CL175" s="73">
        <f>W175</f>
        <v>141</v>
      </c>
      <c r="CM175" s="73" t="str">
        <f>AA175</f>
        <v>-</v>
      </c>
      <c r="CN175" s="73">
        <f>AE175</f>
        <v>173</v>
      </c>
      <c r="CO175" s="73">
        <f>AI175</f>
        <v>189</v>
      </c>
      <c r="CP175" s="73">
        <f>AM175</f>
        <v>237</v>
      </c>
      <c r="CQ175" s="73">
        <f>AQ175</f>
        <v>278</v>
      </c>
      <c r="CR175" s="73">
        <f>AU175</f>
        <v>309</v>
      </c>
      <c r="CS175" s="73">
        <f>AY175</f>
        <v>322</v>
      </c>
      <c r="CT175" s="23">
        <f>M175-K175</f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1395"/>
        <v>opsd_bovin_3PQR</v>
      </c>
      <c r="B176" s="3" t="s">
        <v>920</v>
      </c>
      <c r="C176" s="3" t="s">
        <v>1033</v>
      </c>
      <c r="D176" s="3" t="str">
        <f>IFERROR(MID(VLOOKUP($B176,Seqs!$A:$B,2,0),E176,1),"")</f>
        <v>E</v>
      </c>
      <c r="E176" s="106">
        <v>33</v>
      </c>
      <c r="F176" s="3" t="str">
        <f>IFERROR(MID(VLOOKUP($B176,Seqs!$A:$B,2,0),G176,1),"")</f>
        <v>H</v>
      </c>
      <c r="G176" s="3">
        <v>65</v>
      </c>
      <c r="H176" s="3" t="str">
        <f>IFERROR(MID(VLOOKUP($B176,Seqs!$A:$B,2,0),I176,1),"")</f>
        <v>K</v>
      </c>
      <c r="I176" s="23">
        <v>66</v>
      </c>
      <c r="J176" s="3" t="str">
        <f>IFERROR(MID(VLOOKUP($B176,Seqs!$A:$B,2,0),K176,1),"")</f>
        <v>R</v>
      </c>
      <c r="K176" s="23">
        <v>69</v>
      </c>
      <c r="L176" s="3" t="str">
        <f>IFERROR(MID(VLOOKUP($B176,Seqs!$A:$B,2,0),M176,1),"")</f>
        <v>T</v>
      </c>
      <c r="M176" s="3">
        <v>70</v>
      </c>
      <c r="N176" s="3" t="str">
        <f>IFERROR(MID(VLOOKUP($B176,Seqs!$A:$B,2,0),O176,1),"")</f>
        <v>H</v>
      </c>
      <c r="O176" s="3">
        <v>100</v>
      </c>
      <c r="P176" s="3" t="str">
        <f>IFERROR(MID(VLOOKUP($B176,Seqs!$A:$B,2,0),Q176,1),"")</f>
        <v>Y</v>
      </c>
      <c r="Q176" s="3">
        <v>102</v>
      </c>
      <c r="R176" s="3" t="str">
        <f>IFERROR(MID(VLOOKUP($B176,Seqs!$A:$B,2,0),S176,1),"")</f>
        <v>F</v>
      </c>
      <c r="S176" s="3">
        <v>105</v>
      </c>
      <c r="T176" s="3" t="str">
        <f>IFERROR(MID(VLOOKUP($B176,Seqs!$A:$B,2,0),U176,1),"")</f>
        <v>G</v>
      </c>
      <c r="U176" s="3">
        <v>106</v>
      </c>
      <c r="V176" s="3" t="str">
        <f>IFERROR(MID(VLOOKUP($B176,Seqs!$A:$B,2,0),W176,1),"")</f>
        <v>K</v>
      </c>
      <c r="W176" s="3">
        <v>141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G</v>
      </c>
      <c r="AC176" s="9">
        <v>149</v>
      </c>
      <c r="AD176" s="3" t="str">
        <f>IFERROR(MID(VLOOKUP($B176,Seqs!$A:$B,2,0),AE176,1),"")</f>
        <v>V</v>
      </c>
      <c r="AE176" s="3">
        <v>173</v>
      </c>
      <c r="AF176" s="3" t="str">
        <f>IFERROR(MID(VLOOKUP($B176,Seqs!$A:$B,2,0),AG176,1),"")</f>
        <v>C</v>
      </c>
      <c r="AG176" s="3">
        <v>187</v>
      </c>
      <c r="AH176" s="3" t="str">
        <f>IFERROR(MID(VLOOKUP($B176,Seqs!$A:$B,2,0),AI176,1),"")</f>
        <v>I</v>
      </c>
      <c r="AI176" s="3">
        <v>189</v>
      </c>
      <c r="AJ176" s="3" t="str">
        <f>IFERROR(MID(VLOOKUP($B176,Seqs!$A:$B,2,0),AK176,1),"")</f>
        <v>N</v>
      </c>
      <c r="AK176" s="3">
        <v>199</v>
      </c>
      <c r="AL176" s="3" t="str">
        <f>IFERROR(MID(VLOOKUP($B176,Seqs!$A:$B,2,0),AM176,1),"")</f>
        <v>Q</v>
      </c>
      <c r="AM176" s="3">
        <v>237</v>
      </c>
      <c r="AN176" s="3" t="str">
        <f>IFERROR(MID(VLOOKUP($B176,Seqs!$A:$B,2,0),AO176,1),"")</f>
        <v>A</v>
      </c>
      <c r="AO176" s="3">
        <v>241</v>
      </c>
      <c r="AP176" s="3" t="str">
        <f>IFERROR(MID(VLOOKUP($B176,Seqs!$A:$B,2,0),AQ176,1),"")</f>
        <v>H</v>
      </c>
      <c r="AQ176" s="3">
        <v>278</v>
      </c>
      <c r="AR176" s="3" t="str">
        <f>IFERROR(MID(VLOOKUP($B176,Seqs!$A:$B,2,0),AS176,1),"")</f>
        <v>G</v>
      </c>
      <c r="AS176" s="3">
        <v>284</v>
      </c>
      <c r="AT176" s="3" t="str">
        <f>IFERROR(MID(VLOOKUP($B176,Seqs!$A:$B,2,0),AU176,1),"")</f>
        <v>M</v>
      </c>
      <c r="AU176" s="3">
        <v>309</v>
      </c>
      <c r="AV176" s="3" t="str">
        <f>IFERROR(MID(VLOOKUP($B176,Seqs!$A:$B,2,0),AW176,1),"")</f>
        <v>N</v>
      </c>
      <c r="AW176" s="3">
        <v>310</v>
      </c>
      <c r="AX176" s="3" t="str">
        <f>IFERROR(MID(VLOOKUP($B176,Seqs!$A:$B,2,0),AY176,1),"")</f>
        <v>C</v>
      </c>
      <c r="AY176" s="3">
        <v>322</v>
      </c>
      <c r="AZ176" s="78" t="str">
        <f>VLOOKUP(B176,Classification!A:D,2,0)</f>
        <v>A</v>
      </c>
      <c r="BA176" s="95" t="str">
        <f>VLOOKUP(B176,Classification!A:D,4,0)</f>
        <v>Opsins</v>
      </c>
      <c r="BB176" s="27" t="b">
        <f t="shared" si="1396"/>
        <v>1</v>
      </c>
      <c r="BC176" s="23">
        <f>_xlfn.AGGREGATE(9,6,CH176:CS176)-_xlfn.AGGREGATE(9,6,BV176:CG176)+12</f>
        <v>253</v>
      </c>
      <c r="BD176" s="4" t="s">
        <v>23</v>
      </c>
      <c r="BE176" s="3" t="s">
        <v>1297</v>
      </c>
      <c r="BF176" s="120">
        <v>2.85</v>
      </c>
      <c r="BG176" s="49" t="s">
        <v>1384</v>
      </c>
      <c r="BH176" s="49" t="s">
        <v>1384</v>
      </c>
      <c r="BI176" s="1"/>
      <c r="BJ176" s="71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1">
        <f>E176</f>
        <v>33</v>
      </c>
      <c r="BW176" s="72">
        <f>I176</f>
        <v>66</v>
      </c>
      <c r="BX176" s="73">
        <f>M176</f>
        <v>70</v>
      </c>
      <c r="BY176" s="72">
        <f>Q176</f>
        <v>102</v>
      </c>
      <c r="BZ176" s="73">
        <f>U176</f>
        <v>106</v>
      </c>
      <c r="CA176" s="72" t="str">
        <f>Y176</f>
        <v>-</v>
      </c>
      <c r="CB176" s="73">
        <f>AC176</f>
        <v>149</v>
      </c>
      <c r="CC176" s="72">
        <f>AG176</f>
        <v>187</v>
      </c>
      <c r="CD176" s="73">
        <f>AK176</f>
        <v>199</v>
      </c>
      <c r="CE176" s="72">
        <f>AO176</f>
        <v>241</v>
      </c>
      <c r="CF176" s="73">
        <f>AS176</f>
        <v>284</v>
      </c>
      <c r="CG176" s="72">
        <f>AW176</f>
        <v>310</v>
      </c>
      <c r="CH176" s="71">
        <f>G176</f>
        <v>65</v>
      </c>
      <c r="CI176" s="72">
        <f>K176</f>
        <v>69</v>
      </c>
      <c r="CJ176" s="73">
        <f>O176</f>
        <v>100</v>
      </c>
      <c r="CK176" s="73">
        <f>S176</f>
        <v>105</v>
      </c>
      <c r="CL176" s="73">
        <f>W176</f>
        <v>141</v>
      </c>
      <c r="CM176" s="73" t="str">
        <f>AA176</f>
        <v>-</v>
      </c>
      <c r="CN176" s="73">
        <f>AE176</f>
        <v>173</v>
      </c>
      <c r="CO176" s="73">
        <f>AI176</f>
        <v>189</v>
      </c>
      <c r="CP176" s="73">
        <f>AM176</f>
        <v>237</v>
      </c>
      <c r="CQ176" s="73">
        <f>AQ176</f>
        <v>278</v>
      </c>
      <c r="CR176" s="73">
        <f>AU176</f>
        <v>309</v>
      </c>
      <c r="CS176" s="73">
        <f>AY176</f>
        <v>322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1395"/>
        <v>opsd_bovin_4A4M</v>
      </c>
      <c r="B177" s="2" t="s">
        <v>920</v>
      </c>
      <c r="C177" s="3" t="s">
        <v>1377</v>
      </c>
      <c r="D177" s="3" t="str">
        <f>IFERROR(MID(VLOOKUP($B177,Seqs!$A:$B,2,0),E177,1),"")</f>
        <v>E</v>
      </c>
      <c r="E177" s="106">
        <v>33</v>
      </c>
      <c r="F177" s="3" t="str">
        <f>IFERROR(MID(VLOOKUP($B177,Seqs!$A:$B,2,0),G177,1),"")</f>
        <v>H</v>
      </c>
      <c r="G177" s="3">
        <v>65</v>
      </c>
      <c r="H177" s="3" t="str">
        <f>IFERROR(MID(VLOOKUP($B177,Seqs!$A:$B,2,0),I177,1),"")</f>
        <v>K</v>
      </c>
      <c r="I177" s="23">
        <v>66</v>
      </c>
      <c r="J177" s="3" t="str">
        <f>IFERROR(MID(VLOOKUP($B177,Seqs!$A:$B,2,0),K177,1),"")</f>
        <v>R</v>
      </c>
      <c r="K177" s="23">
        <v>69</v>
      </c>
      <c r="L177" s="3" t="str">
        <f>IFERROR(MID(VLOOKUP($B177,Seqs!$A:$B,2,0),M177,1),"")</f>
        <v>T</v>
      </c>
      <c r="M177" s="3">
        <v>70</v>
      </c>
      <c r="N177" s="3" t="str">
        <f>IFERROR(MID(VLOOKUP($B177,Seqs!$A:$B,2,0),O177,1),"")</f>
        <v>H</v>
      </c>
      <c r="O177" s="3">
        <v>100</v>
      </c>
      <c r="P177" s="3" t="str">
        <f>IFERROR(MID(VLOOKUP($B177,Seqs!$A:$B,2,0),Q177,1),"")</f>
        <v>Y</v>
      </c>
      <c r="Q177" s="3">
        <v>102</v>
      </c>
      <c r="R177" s="3" t="str">
        <f>IFERROR(MID(VLOOKUP($B177,Seqs!$A:$B,2,0),S177,1),"")</f>
        <v>F</v>
      </c>
      <c r="S177" s="3">
        <v>105</v>
      </c>
      <c r="T177" s="3" t="str">
        <f>IFERROR(MID(VLOOKUP($B177,Seqs!$A:$B,2,0),U177,1),"")</f>
        <v>G</v>
      </c>
      <c r="U177" s="3">
        <v>106</v>
      </c>
      <c r="V177" s="3" t="str">
        <f>IFERROR(MID(VLOOKUP($B177,Seqs!$A:$B,2,0),W177,1),"")</f>
        <v>K</v>
      </c>
      <c r="W177" s="3">
        <v>141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G</v>
      </c>
      <c r="AC177" s="9">
        <v>149</v>
      </c>
      <c r="AD177" s="3" t="str">
        <f>IFERROR(MID(VLOOKUP($B177,Seqs!$A:$B,2,0),AE177,1),"")</f>
        <v>V</v>
      </c>
      <c r="AE177" s="3">
        <v>173</v>
      </c>
      <c r="AF177" s="3" t="str">
        <f>IFERROR(MID(VLOOKUP($B177,Seqs!$A:$B,2,0),AG177,1),"")</f>
        <v>C</v>
      </c>
      <c r="AG177" s="3">
        <v>187</v>
      </c>
      <c r="AH177" s="3" t="str">
        <f>IFERROR(MID(VLOOKUP($B177,Seqs!$A:$B,2,0),AI177,1),"")</f>
        <v>I</v>
      </c>
      <c r="AI177" s="3">
        <v>189</v>
      </c>
      <c r="AJ177" s="3" t="str">
        <f>IFERROR(MID(VLOOKUP($B177,Seqs!$A:$B,2,0),AK177,1),"")</f>
        <v>N</v>
      </c>
      <c r="AK177" s="3">
        <v>199</v>
      </c>
      <c r="AL177" s="3" t="str">
        <f>IFERROR(MID(VLOOKUP($B177,Seqs!$A:$B,2,0),AM177,1),"")</f>
        <v>Q</v>
      </c>
      <c r="AM177" s="3">
        <v>237</v>
      </c>
      <c r="AN177" s="3" t="str">
        <f>IFERROR(MID(VLOOKUP($B177,Seqs!$A:$B,2,0),AO177,1),"")</f>
        <v>A</v>
      </c>
      <c r="AO177" s="3">
        <v>241</v>
      </c>
      <c r="AP177" s="3" t="str">
        <f>IFERROR(MID(VLOOKUP($B177,Seqs!$A:$B,2,0),AQ177,1),"")</f>
        <v>H</v>
      </c>
      <c r="AQ177" s="3">
        <v>278</v>
      </c>
      <c r="AR177" s="3" t="str">
        <f>IFERROR(MID(VLOOKUP($B177,Seqs!$A:$B,2,0),AS177,1),"")</f>
        <v>G</v>
      </c>
      <c r="AS177" s="3">
        <v>284</v>
      </c>
      <c r="AT177" s="3" t="str">
        <f>IFERROR(MID(VLOOKUP($B177,Seqs!$A:$B,2,0),AU177,1),"")</f>
        <v>M</v>
      </c>
      <c r="AU177" s="3">
        <v>309</v>
      </c>
      <c r="AV177" s="3" t="str">
        <f>IFERROR(MID(VLOOKUP($B177,Seqs!$A:$B,2,0),AW177,1),"")</f>
        <v>N</v>
      </c>
      <c r="AW177" s="3">
        <v>310</v>
      </c>
      <c r="AX177" s="3" t="str">
        <f>IFERROR(MID(VLOOKUP($B177,Seqs!$A:$B,2,0),AY177,1),"")</f>
        <v>C</v>
      </c>
      <c r="AY177" s="3">
        <v>322</v>
      </c>
      <c r="AZ177" s="78" t="str">
        <f>VLOOKUP(B177,Classification!A:D,2,0)</f>
        <v>A</v>
      </c>
      <c r="BA177" s="95" t="str">
        <f>VLOOKUP(B177,Classification!A:D,4,0)</f>
        <v>Opsins</v>
      </c>
      <c r="BB177" s="27" t="b">
        <f t="shared" ref="BB177" si="14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253</v>
      </c>
      <c r="BD177" s="4" t="s">
        <v>23</v>
      </c>
      <c r="BE177" s="3" t="s">
        <v>1297</v>
      </c>
      <c r="BF177" s="120">
        <v>3.3</v>
      </c>
      <c r="BG177" s="49" t="s">
        <v>1384</v>
      </c>
      <c r="BH177" s="49" t="s">
        <v>1384</v>
      </c>
      <c r="BI177" s="1"/>
      <c r="BJ177" s="71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1">
        <f>E177</f>
        <v>33</v>
      </c>
      <c r="BW177" s="72">
        <f>I177</f>
        <v>66</v>
      </c>
      <c r="BX177" s="73">
        <f>M177</f>
        <v>70</v>
      </c>
      <c r="BY177" s="72">
        <f>Q177</f>
        <v>102</v>
      </c>
      <c r="BZ177" s="73">
        <f>U177</f>
        <v>106</v>
      </c>
      <c r="CA177" s="72" t="str">
        <f>Y177</f>
        <v>-</v>
      </c>
      <c r="CB177" s="73">
        <f>AC177</f>
        <v>149</v>
      </c>
      <c r="CC177" s="72">
        <f>AG177</f>
        <v>187</v>
      </c>
      <c r="CD177" s="73">
        <f>AK177</f>
        <v>199</v>
      </c>
      <c r="CE177" s="72">
        <f>AO177</f>
        <v>241</v>
      </c>
      <c r="CF177" s="73">
        <f>AS177</f>
        <v>284</v>
      </c>
      <c r="CG177" s="72">
        <f>AW177</f>
        <v>310</v>
      </c>
      <c r="CH177" s="71">
        <f>G177</f>
        <v>65</v>
      </c>
      <c r="CI177" s="72">
        <f>K177</f>
        <v>69</v>
      </c>
      <c r="CJ177" s="73">
        <f>O177</f>
        <v>100</v>
      </c>
      <c r="CK177" s="73">
        <f>S177</f>
        <v>105</v>
      </c>
      <c r="CL177" s="73">
        <f>W177</f>
        <v>141</v>
      </c>
      <c r="CM177" s="73" t="str">
        <f>AA177</f>
        <v>-</v>
      </c>
      <c r="CN177" s="73">
        <f>AE177</f>
        <v>173</v>
      </c>
      <c r="CO177" s="73">
        <f>AI177</f>
        <v>189</v>
      </c>
      <c r="CP177" s="73">
        <f>AM177</f>
        <v>237</v>
      </c>
      <c r="CQ177" s="73">
        <f>AQ177</f>
        <v>278</v>
      </c>
      <c r="CR177" s="73">
        <f>AU177</f>
        <v>309</v>
      </c>
      <c r="CS177" s="73">
        <f>AY177</f>
        <v>322</v>
      </c>
      <c r="CT177" s="23">
        <f>M177-K177</f>
        <v>1</v>
      </c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  <c r="AMP177" s="6"/>
    </row>
    <row r="178" spans="1:1030" x14ac:dyDescent="0.2">
      <c r="A178" s="3" t="str">
        <f t="shared" si="1395"/>
        <v>opsd_bovin_4J4Q</v>
      </c>
      <c r="B178" s="3" t="s">
        <v>920</v>
      </c>
      <c r="C178" s="3" t="s">
        <v>1044</v>
      </c>
      <c r="D178" s="3" t="str">
        <f>IFERROR(MID(VLOOKUP($B178,Seqs!$A:$B,2,0),E178,1),"")</f>
        <v>E</v>
      </c>
      <c r="E178" s="106">
        <v>33</v>
      </c>
      <c r="F178" s="3" t="str">
        <f>IFERROR(MID(VLOOKUP($B178,Seqs!$A:$B,2,0),G178,1),"")</f>
        <v>H</v>
      </c>
      <c r="G178" s="3">
        <v>65</v>
      </c>
      <c r="H178" s="3" t="str">
        <f>IFERROR(MID(VLOOKUP($B178,Seqs!$A:$B,2,0),I178,1),"")</f>
        <v>K</v>
      </c>
      <c r="I178" s="23">
        <v>66</v>
      </c>
      <c r="J178" s="3" t="str">
        <f>IFERROR(MID(VLOOKUP($B178,Seqs!$A:$B,2,0),K178,1),"")</f>
        <v>R</v>
      </c>
      <c r="K178" s="23">
        <v>69</v>
      </c>
      <c r="L178" s="3" t="str">
        <f>IFERROR(MID(VLOOKUP($B178,Seqs!$A:$B,2,0),M178,1),"")</f>
        <v>T</v>
      </c>
      <c r="M178" s="3">
        <v>70</v>
      </c>
      <c r="N178" s="3" t="str">
        <f>IFERROR(MID(VLOOKUP($B178,Seqs!$A:$B,2,0),O178,1),"")</f>
        <v>H</v>
      </c>
      <c r="O178" s="3">
        <v>100</v>
      </c>
      <c r="P178" s="3" t="str">
        <f>IFERROR(MID(VLOOKUP($B178,Seqs!$A:$B,2,0),Q178,1),"")</f>
        <v>Y</v>
      </c>
      <c r="Q178" s="3">
        <v>102</v>
      </c>
      <c r="R178" s="3" t="str">
        <f>IFERROR(MID(VLOOKUP($B178,Seqs!$A:$B,2,0),S178,1),"")</f>
        <v>F</v>
      </c>
      <c r="S178" s="3">
        <v>105</v>
      </c>
      <c r="T178" s="3" t="str">
        <f>IFERROR(MID(VLOOKUP($B178,Seqs!$A:$B,2,0),U178,1),"")</f>
        <v>G</v>
      </c>
      <c r="U178" s="3">
        <v>106</v>
      </c>
      <c r="V178" s="3" t="str">
        <f>IFERROR(MID(VLOOKUP($B178,Seqs!$A:$B,2,0),W178,1),"")</f>
        <v>K</v>
      </c>
      <c r="W178" s="3">
        <v>141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G</v>
      </c>
      <c r="AC178" s="9">
        <v>149</v>
      </c>
      <c r="AD178" s="3" t="str">
        <f>IFERROR(MID(VLOOKUP($B178,Seqs!$A:$B,2,0),AE178,1),"")</f>
        <v>V</v>
      </c>
      <c r="AE178" s="3">
        <v>173</v>
      </c>
      <c r="AF178" s="3" t="str">
        <f>IFERROR(MID(VLOOKUP($B178,Seqs!$A:$B,2,0),AG178,1),"")</f>
        <v>C</v>
      </c>
      <c r="AG178" s="3">
        <v>187</v>
      </c>
      <c r="AH178" s="3" t="str">
        <f>IFERROR(MID(VLOOKUP($B178,Seqs!$A:$B,2,0),AI178,1),"")</f>
        <v>I</v>
      </c>
      <c r="AI178" s="3">
        <v>189</v>
      </c>
      <c r="AJ178" s="3" t="str">
        <f>IFERROR(MID(VLOOKUP($B178,Seqs!$A:$B,2,0),AK178,1),"")</f>
        <v>N</v>
      </c>
      <c r="AK178" s="3">
        <v>199</v>
      </c>
      <c r="AL178" s="3" t="str">
        <f>IFERROR(MID(VLOOKUP($B178,Seqs!$A:$B,2,0),AM178,1),"")</f>
        <v>Q</v>
      </c>
      <c r="AM178" s="3">
        <v>237</v>
      </c>
      <c r="AN178" s="3" t="str">
        <f>IFERROR(MID(VLOOKUP($B178,Seqs!$A:$B,2,0),AO178,1),"")</f>
        <v>A</v>
      </c>
      <c r="AO178" s="3">
        <v>241</v>
      </c>
      <c r="AP178" s="3" t="str">
        <f>IFERROR(MID(VLOOKUP($B178,Seqs!$A:$B,2,0),AQ178,1),"")</f>
        <v>H</v>
      </c>
      <c r="AQ178" s="3">
        <v>278</v>
      </c>
      <c r="AR178" s="3" t="str">
        <f>IFERROR(MID(VLOOKUP($B178,Seqs!$A:$B,2,0),AS178,1),"")</f>
        <v>G</v>
      </c>
      <c r="AS178" s="3">
        <v>284</v>
      </c>
      <c r="AT178" s="3" t="str">
        <f>IFERROR(MID(VLOOKUP($B178,Seqs!$A:$B,2,0),AU178,1),"")</f>
        <v>M</v>
      </c>
      <c r="AU178" s="3">
        <v>309</v>
      </c>
      <c r="AV178" s="3" t="str">
        <f>IFERROR(MID(VLOOKUP($B178,Seqs!$A:$B,2,0),AW178,1),"")</f>
        <v>N</v>
      </c>
      <c r="AW178" s="3">
        <v>310</v>
      </c>
      <c r="AX178" s="3" t="str">
        <f>IFERROR(MID(VLOOKUP($B178,Seqs!$A:$B,2,0),AY178,1),"")</f>
        <v>C</v>
      </c>
      <c r="AY178" s="3">
        <v>322</v>
      </c>
      <c r="AZ178" s="78" t="str">
        <f>VLOOKUP(B178,Classification!A:D,2,0)</f>
        <v>A</v>
      </c>
      <c r="BA178" s="95" t="str">
        <f>VLOOKUP(B178,Classification!A:D,4,0)</f>
        <v>Opsins</v>
      </c>
      <c r="BB178" s="27" t="b">
        <f t="shared" si="1396"/>
        <v>1</v>
      </c>
      <c r="BC178" s="23">
        <f t="shared" ref="BC178:BC225" si="1481">_xlfn.AGGREGATE(9,6,CH178:CS178)-_xlfn.AGGREGATE(9,6,BV178:CG178)+12</f>
        <v>253</v>
      </c>
      <c r="BD178" s="4" t="s">
        <v>23</v>
      </c>
      <c r="BE178" s="3" t="s">
        <v>1297</v>
      </c>
      <c r="BF178" s="120">
        <v>2.65</v>
      </c>
      <c r="BG178" s="49" t="s">
        <v>1384</v>
      </c>
      <c r="BH178" s="49" t="s">
        <v>1384</v>
      </c>
      <c r="BI178" s="1"/>
      <c r="BJ178" s="71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1">
        <f t="shared" ref="BV178:BV225" si="1482">E178</f>
        <v>33</v>
      </c>
      <c r="BW178" s="72">
        <f t="shared" ref="BW178:BW225" si="1483">I178</f>
        <v>66</v>
      </c>
      <c r="BX178" s="73">
        <f t="shared" ref="BX178:BX225" si="1484">M178</f>
        <v>70</v>
      </c>
      <c r="BY178" s="72">
        <f t="shared" ref="BY178:BY225" si="1485">Q178</f>
        <v>102</v>
      </c>
      <c r="BZ178" s="73">
        <f t="shared" ref="BZ178:BZ225" si="1486">U178</f>
        <v>106</v>
      </c>
      <c r="CA178" s="72" t="str">
        <f t="shared" ref="CA178:CA225" si="1487">Y178</f>
        <v>-</v>
      </c>
      <c r="CB178" s="73">
        <f t="shared" ref="CB178:CB225" si="1488">AC178</f>
        <v>149</v>
      </c>
      <c r="CC178" s="72">
        <f t="shared" ref="CC178:CC225" si="1489">AG178</f>
        <v>187</v>
      </c>
      <c r="CD178" s="73">
        <f t="shared" ref="CD178:CD225" si="1490">AK178</f>
        <v>199</v>
      </c>
      <c r="CE178" s="72">
        <f t="shared" ref="CE178:CE225" si="1491">AO178</f>
        <v>241</v>
      </c>
      <c r="CF178" s="73">
        <f t="shared" ref="CF178:CF225" si="1492">AS178</f>
        <v>284</v>
      </c>
      <c r="CG178" s="72">
        <f t="shared" ref="CG178:CG225" si="1493">AW178</f>
        <v>310</v>
      </c>
      <c r="CH178" s="71">
        <f t="shared" ref="CH178:CH225" si="1494">G178</f>
        <v>65</v>
      </c>
      <c r="CI178" s="72">
        <f t="shared" ref="CI178:CI225" si="1495">K178</f>
        <v>69</v>
      </c>
      <c r="CJ178" s="73">
        <f t="shared" ref="CJ178:CJ225" si="1496">O178</f>
        <v>100</v>
      </c>
      <c r="CK178" s="73">
        <f t="shared" ref="CK178:CK225" si="1497">S178</f>
        <v>105</v>
      </c>
      <c r="CL178" s="73">
        <f t="shared" ref="CL178:CL225" si="1498">W178</f>
        <v>141</v>
      </c>
      <c r="CM178" s="73" t="str">
        <f t="shared" ref="CM178:CM225" si="1499">AA178</f>
        <v>-</v>
      </c>
      <c r="CN178" s="73">
        <f t="shared" ref="CN178:CN225" si="1500">AE178</f>
        <v>173</v>
      </c>
      <c r="CO178" s="73">
        <f t="shared" ref="CO178:CO225" si="1501">AI178</f>
        <v>189</v>
      </c>
      <c r="CP178" s="73">
        <f t="shared" ref="CP178:CP225" si="1502">AM178</f>
        <v>237</v>
      </c>
      <c r="CQ178" s="73">
        <f t="shared" ref="CQ178:CQ225" si="1503">AQ178</f>
        <v>278</v>
      </c>
      <c r="CR178" s="73">
        <f t="shared" ref="CR178:CR225" si="1504">AU178</f>
        <v>309</v>
      </c>
      <c r="CS178" s="73">
        <f t="shared" ref="CS178:CS225" si="1505">AY178</f>
        <v>322</v>
      </c>
      <c r="CT178" s="23">
        <f t="shared" ref="CT178:CT225" si="1506">M178-K178</f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395"/>
        <v>opsd_bovin_5DYS</v>
      </c>
      <c r="B179" s="3" t="s">
        <v>920</v>
      </c>
      <c r="C179" s="3" t="s">
        <v>1363</v>
      </c>
      <c r="D179" s="3" t="str">
        <f>IFERROR(MID(VLOOKUP($B179,Seqs!$A:$B,2,0),E179,1),"")</f>
        <v>E</v>
      </c>
      <c r="E179" s="106">
        <v>33</v>
      </c>
      <c r="F179" s="3" t="str">
        <f>IFERROR(MID(VLOOKUP($B179,Seqs!$A:$B,2,0),G179,1),"")</f>
        <v>H</v>
      </c>
      <c r="G179" s="3">
        <v>65</v>
      </c>
      <c r="H179" s="3" t="str">
        <f>IFERROR(MID(VLOOKUP($B179,Seqs!$A:$B,2,0),I179,1),"")</f>
        <v>K</v>
      </c>
      <c r="I179" s="23">
        <v>66</v>
      </c>
      <c r="J179" s="3" t="str">
        <f>IFERROR(MID(VLOOKUP($B179,Seqs!$A:$B,2,0),K179,1),"")</f>
        <v>R</v>
      </c>
      <c r="K179" s="23">
        <v>69</v>
      </c>
      <c r="L179" s="3" t="str">
        <f>IFERROR(MID(VLOOKUP($B179,Seqs!$A:$B,2,0),M179,1),"")</f>
        <v>T</v>
      </c>
      <c r="M179" s="3">
        <v>70</v>
      </c>
      <c r="N179" s="3" t="str">
        <f>IFERROR(MID(VLOOKUP($B179,Seqs!$A:$B,2,0),O179,1),"")</f>
        <v>H</v>
      </c>
      <c r="O179" s="3">
        <v>100</v>
      </c>
      <c r="P179" s="3" t="str">
        <f>IFERROR(MID(VLOOKUP($B179,Seqs!$A:$B,2,0),Q179,1),"")</f>
        <v>Y</v>
      </c>
      <c r="Q179" s="3">
        <v>102</v>
      </c>
      <c r="R179" s="3" t="str">
        <f>IFERROR(MID(VLOOKUP($B179,Seqs!$A:$B,2,0),S179,1),"")</f>
        <v>F</v>
      </c>
      <c r="S179" s="3">
        <v>105</v>
      </c>
      <c r="T179" s="3" t="str">
        <f>IFERROR(MID(VLOOKUP($B179,Seqs!$A:$B,2,0),U179,1),"")</f>
        <v>G</v>
      </c>
      <c r="U179" s="3">
        <v>106</v>
      </c>
      <c r="V179" s="3" t="str">
        <f>IFERROR(MID(VLOOKUP($B179,Seqs!$A:$B,2,0),W179,1),"")</f>
        <v>K</v>
      </c>
      <c r="W179" s="3">
        <v>141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G</v>
      </c>
      <c r="AC179" s="9">
        <v>149</v>
      </c>
      <c r="AD179" s="3" t="str">
        <f>IFERROR(MID(VLOOKUP($B179,Seqs!$A:$B,2,0),AE179,1),"")</f>
        <v>V</v>
      </c>
      <c r="AE179" s="3">
        <v>173</v>
      </c>
      <c r="AF179" s="3" t="str">
        <f>IFERROR(MID(VLOOKUP($B179,Seqs!$A:$B,2,0),AG179,1),"")</f>
        <v>C</v>
      </c>
      <c r="AG179" s="3">
        <v>187</v>
      </c>
      <c r="AH179" s="3" t="str">
        <f>IFERROR(MID(VLOOKUP($B179,Seqs!$A:$B,2,0),AI179,1),"")</f>
        <v>I</v>
      </c>
      <c r="AI179" s="3">
        <v>189</v>
      </c>
      <c r="AJ179" s="3" t="str">
        <f>IFERROR(MID(VLOOKUP($B179,Seqs!$A:$B,2,0),AK179,1),"")</f>
        <v>N</v>
      </c>
      <c r="AK179" s="3">
        <v>199</v>
      </c>
      <c r="AL179" s="3" t="str">
        <f>IFERROR(MID(VLOOKUP($B179,Seqs!$A:$B,2,0),AM179,1),"")</f>
        <v>Q</v>
      </c>
      <c r="AM179" s="3">
        <v>237</v>
      </c>
      <c r="AN179" s="3" t="str">
        <f>IFERROR(MID(VLOOKUP($B179,Seqs!$A:$B,2,0),AO179,1),"")</f>
        <v>A</v>
      </c>
      <c r="AO179" s="3">
        <v>241</v>
      </c>
      <c r="AP179" s="3" t="str">
        <f>IFERROR(MID(VLOOKUP($B179,Seqs!$A:$B,2,0),AQ179,1),"")</f>
        <v>H</v>
      </c>
      <c r="AQ179" s="3">
        <v>278</v>
      </c>
      <c r="AR179" s="3" t="str">
        <f>IFERROR(MID(VLOOKUP($B179,Seqs!$A:$B,2,0),AS179,1),"")</f>
        <v>G</v>
      </c>
      <c r="AS179" s="3">
        <v>284</v>
      </c>
      <c r="AT179" s="3" t="str">
        <f>IFERROR(MID(VLOOKUP($B179,Seqs!$A:$B,2,0),AU179,1),"")</f>
        <v>M</v>
      </c>
      <c r="AU179" s="3">
        <v>309</v>
      </c>
      <c r="AV179" s="3" t="str">
        <f>IFERROR(MID(VLOOKUP($B179,Seqs!$A:$B,2,0),AW179,1),"")</f>
        <v>N</v>
      </c>
      <c r="AW179" s="3">
        <v>310</v>
      </c>
      <c r="AX179" s="3" t="str">
        <f>IFERROR(MID(VLOOKUP($B179,Seqs!$A:$B,2,0),AY179,1),"")</f>
        <v>C</v>
      </c>
      <c r="AY179" s="3">
        <v>322</v>
      </c>
      <c r="AZ179" s="78" t="str">
        <f>VLOOKUP(B179,Classification!A:D,2,0)</f>
        <v>A</v>
      </c>
      <c r="BA179" s="95" t="str">
        <f>VLOOKUP(B179,Classification!A:D,4,0)</f>
        <v>Opsins</v>
      </c>
      <c r="BB179" s="27" t="b">
        <f t="shared" si="1396"/>
        <v>1</v>
      </c>
      <c r="BC179" s="23">
        <f t="shared" si="1481"/>
        <v>253</v>
      </c>
      <c r="BD179" s="5" t="s">
        <v>1382</v>
      </c>
      <c r="BE179" s="3" t="s">
        <v>1297</v>
      </c>
      <c r="BF179" s="120">
        <v>2.2999999999999998</v>
      </c>
      <c r="BG179" s="49" t="s">
        <v>1384</v>
      </c>
      <c r="BH179" s="49" t="s">
        <v>1384</v>
      </c>
      <c r="BI179" s="1"/>
      <c r="BJ179" s="71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1">
        <f t="shared" si="1482"/>
        <v>33</v>
      </c>
      <c r="BW179" s="72">
        <f t="shared" si="1483"/>
        <v>66</v>
      </c>
      <c r="BX179" s="73">
        <f t="shared" si="1484"/>
        <v>70</v>
      </c>
      <c r="BY179" s="72">
        <f t="shared" si="1485"/>
        <v>102</v>
      </c>
      <c r="BZ179" s="73">
        <f t="shared" si="1486"/>
        <v>106</v>
      </c>
      <c r="CA179" s="72" t="str">
        <f t="shared" si="1487"/>
        <v>-</v>
      </c>
      <c r="CB179" s="73">
        <f t="shared" si="1488"/>
        <v>149</v>
      </c>
      <c r="CC179" s="72">
        <f t="shared" si="1489"/>
        <v>187</v>
      </c>
      <c r="CD179" s="73">
        <f t="shared" si="1490"/>
        <v>199</v>
      </c>
      <c r="CE179" s="72">
        <f t="shared" si="1491"/>
        <v>241</v>
      </c>
      <c r="CF179" s="73">
        <f t="shared" si="1492"/>
        <v>284</v>
      </c>
      <c r="CG179" s="72">
        <f t="shared" si="1493"/>
        <v>310</v>
      </c>
      <c r="CH179" s="71">
        <f t="shared" si="1494"/>
        <v>65</v>
      </c>
      <c r="CI179" s="72">
        <f t="shared" si="1495"/>
        <v>69</v>
      </c>
      <c r="CJ179" s="73">
        <f t="shared" si="1496"/>
        <v>100</v>
      </c>
      <c r="CK179" s="73">
        <f t="shared" si="1497"/>
        <v>105</v>
      </c>
      <c r="CL179" s="73">
        <f t="shared" si="1498"/>
        <v>141</v>
      </c>
      <c r="CM179" s="73" t="str">
        <f t="shared" si="1499"/>
        <v>-</v>
      </c>
      <c r="CN179" s="73">
        <f t="shared" si="1500"/>
        <v>173</v>
      </c>
      <c r="CO179" s="73">
        <f t="shared" si="1501"/>
        <v>189</v>
      </c>
      <c r="CP179" s="73">
        <f t="shared" si="1502"/>
        <v>237</v>
      </c>
      <c r="CQ179" s="73">
        <f t="shared" si="1503"/>
        <v>278</v>
      </c>
      <c r="CR179" s="73">
        <f t="shared" si="1504"/>
        <v>309</v>
      </c>
      <c r="CS179" s="73">
        <f t="shared" si="1505"/>
        <v>322</v>
      </c>
      <c r="CT179" s="23">
        <f t="shared" si="1506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ref="A180:A236" si="1507">CONCATENATE(B180,"_",C180)</f>
        <v>opsd_bovin_5EN0</v>
      </c>
      <c r="B180" s="3" t="s">
        <v>920</v>
      </c>
      <c r="C180" s="3" t="s">
        <v>1364</v>
      </c>
      <c r="D180" s="3" t="str">
        <f>IFERROR(MID(VLOOKUP($B180,Seqs!$A:$B,2,0),E180,1),"")</f>
        <v>E</v>
      </c>
      <c r="E180" s="106">
        <v>33</v>
      </c>
      <c r="F180" s="3" t="str">
        <f>IFERROR(MID(VLOOKUP($B180,Seqs!$A:$B,2,0),G180,1),"")</f>
        <v>H</v>
      </c>
      <c r="G180" s="3">
        <v>65</v>
      </c>
      <c r="H180" s="3" t="str">
        <f>IFERROR(MID(VLOOKUP($B180,Seqs!$A:$B,2,0),I180,1),"")</f>
        <v>K</v>
      </c>
      <c r="I180" s="23">
        <v>66</v>
      </c>
      <c r="J180" s="3" t="str">
        <f>IFERROR(MID(VLOOKUP($B180,Seqs!$A:$B,2,0),K180,1),"")</f>
        <v>R</v>
      </c>
      <c r="K180" s="23">
        <v>69</v>
      </c>
      <c r="L180" s="3" t="str">
        <f>IFERROR(MID(VLOOKUP($B180,Seqs!$A:$B,2,0),M180,1),"")</f>
        <v>T</v>
      </c>
      <c r="M180" s="3">
        <v>70</v>
      </c>
      <c r="N180" s="3" t="str">
        <f>IFERROR(MID(VLOOKUP($B180,Seqs!$A:$B,2,0),O180,1),"")</f>
        <v>H</v>
      </c>
      <c r="O180" s="3">
        <v>100</v>
      </c>
      <c r="P180" s="3" t="str">
        <f>IFERROR(MID(VLOOKUP($B180,Seqs!$A:$B,2,0),Q180,1),"")</f>
        <v>Y</v>
      </c>
      <c r="Q180" s="3">
        <v>102</v>
      </c>
      <c r="R180" s="3" t="str">
        <f>IFERROR(MID(VLOOKUP($B180,Seqs!$A:$B,2,0),S180,1),"")</f>
        <v>F</v>
      </c>
      <c r="S180" s="3">
        <v>105</v>
      </c>
      <c r="T180" s="3" t="str">
        <f>IFERROR(MID(VLOOKUP($B180,Seqs!$A:$B,2,0),U180,1),"")</f>
        <v>G</v>
      </c>
      <c r="U180" s="3">
        <v>106</v>
      </c>
      <c r="V180" s="3" t="str">
        <f>IFERROR(MID(VLOOKUP($B180,Seqs!$A:$B,2,0),W180,1),"")</f>
        <v>K</v>
      </c>
      <c r="W180" s="3">
        <v>141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G</v>
      </c>
      <c r="AC180" s="9">
        <v>149</v>
      </c>
      <c r="AD180" s="3" t="str">
        <f>IFERROR(MID(VLOOKUP($B180,Seqs!$A:$B,2,0),AE180,1),"")</f>
        <v>V</v>
      </c>
      <c r="AE180" s="3">
        <v>173</v>
      </c>
      <c r="AF180" s="3" t="str">
        <f>IFERROR(MID(VLOOKUP($B180,Seqs!$A:$B,2,0),AG180,1),"")</f>
        <v>C</v>
      </c>
      <c r="AG180" s="3">
        <v>187</v>
      </c>
      <c r="AH180" s="3" t="str">
        <f>IFERROR(MID(VLOOKUP($B180,Seqs!$A:$B,2,0),AI180,1),"")</f>
        <v>I</v>
      </c>
      <c r="AI180" s="3">
        <v>189</v>
      </c>
      <c r="AJ180" s="3" t="str">
        <f>IFERROR(MID(VLOOKUP($B180,Seqs!$A:$B,2,0),AK180,1),"")</f>
        <v>N</v>
      </c>
      <c r="AK180" s="3">
        <v>199</v>
      </c>
      <c r="AL180" s="3" t="str">
        <f>IFERROR(MID(VLOOKUP($B180,Seqs!$A:$B,2,0),AM180,1),"")</f>
        <v>Q</v>
      </c>
      <c r="AM180" s="3">
        <v>237</v>
      </c>
      <c r="AN180" s="3" t="str">
        <f>IFERROR(MID(VLOOKUP($B180,Seqs!$A:$B,2,0),AO180,1),"")</f>
        <v>A</v>
      </c>
      <c r="AO180" s="3">
        <v>241</v>
      </c>
      <c r="AP180" s="3" t="str">
        <f>IFERROR(MID(VLOOKUP($B180,Seqs!$A:$B,2,0),AQ180,1),"")</f>
        <v>H</v>
      </c>
      <c r="AQ180" s="3">
        <v>278</v>
      </c>
      <c r="AR180" s="3" t="str">
        <f>IFERROR(MID(VLOOKUP($B180,Seqs!$A:$B,2,0),AS180,1),"")</f>
        <v>G</v>
      </c>
      <c r="AS180" s="3">
        <v>284</v>
      </c>
      <c r="AT180" s="3" t="str">
        <f>IFERROR(MID(VLOOKUP($B180,Seqs!$A:$B,2,0),AU180,1),"")</f>
        <v>M</v>
      </c>
      <c r="AU180" s="3">
        <v>309</v>
      </c>
      <c r="AV180" s="3" t="str">
        <f>IFERROR(MID(VLOOKUP($B180,Seqs!$A:$B,2,0),AW180,1),"")</f>
        <v>N</v>
      </c>
      <c r="AW180" s="3">
        <v>310</v>
      </c>
      <c r="AX180" s="3" t="str">
        <f>IFERROR(MID(VLOOKUP($B180,Seqs!$A:$B,2,0),AY180,1),"")</f>
        <v>C</v>
      </c>
      <c r="AY180" s="3">
        <v>322</v>
      </c>
      <c r="AZ180" s="78" t="str">
        <f>VLOOKUP(B180,Classification!A:D,2,0)</f>
        <v>A</v>
      </c>
      <c r="BA180" s="95" t="str">
        <f>VLOOKUP(B180,Classification!A:D,4,0)</f>
        <v>Opsins</v>
      </c>
      <c r="BB180" s="27" t="b">
        <f t="shared" ref="BB180:BB236" si="1508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23">
        <f t="shared" si="1481"/>
        <v>253</v>
      </c>
      <c r="BD180" s="4" t="s">
        <v>23</v>
      </c>
      <c r="BE180" s="3" t="s">
        <v>1297</v>
      </c>
      <c r="BF180" s="120">
        <v>2.81</v>
      </c>
      <c r="BG180" s="49" t="s">
        <v>1384</v>
      </c>
      <c r="BH180" s="49" t="s">
        <v>1384</v>
      </c>
      <c r="BI180" s="1"/>
      <c r="BJ180" s="71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1">
        <f t="shared" si="1482"/>
        <v>33</v>
      </c>
      <c r="BW180" s="72">
        <f t="shared" si="1483"/>
        <v>66</v>
      </c>
      <c r="BX180" s="73">
        <f t="shared" si="1484"/>
        <v>70</v>
      </c>
      <c r="BY180" s="72">
        <f t="shared" si="1485"/>
        <v>102</v>
      </c>
      <c r="BZ180" s="73">
        <f t="shared" si="1486"/>
        <v>106</v>
      </c>
      <c r="CA180" s="72" t="str">
        <f t="shared" si="1487"/>
        <v>-</v>
      </c>
      <c r="CB180" s="73">
        <f t="shared" si="1488"/>
        <v>149</v>
      </c>
      <c r="CC180" s="72">
        <f t="shared" si="1489"/>
        <v>187</v>
      </c>
      <c r="CD180" s="73">
        <f t="shared" si="1490"/>
        <v>199</v>
      </c>
      <c r="CE180" s="72">
        <f t="shared" si="1491"/>
        <v>241</v>
      </c>
      <c r="CF180" s="73">
        <f t="shared" si="1492"/>
        <v>284</v>
      </c>
      <c r="CG180" s="72">
        <f t="shared" si="1493"/>
        <v>310</v>
      </c>
      <c r="CH180" s="71">
        <f t="shared" si="1494"/>
        <v>65</v>
      </c>
      <c r="CI180" s="72">
        <f t="shared" si="1495"/>
        <v>69</v>
      </c>
      <c r="CJ180" s="73">
        <f t="shared" si="1496"/>
        <v>100</v>
      </c>
      <c r="CK180" s="73">
        <f t="shared" si="1497"/>
        <v>105</v>
      </c>
      <c r="CL180" s="73">
        <f t="shared" si="1498"/>
        <v>141</v>
      </c>
      <c r="CM180" s="73" t="str">
        <f t="shared" si="1499"/>
        <v>-</v>
      </c>
      <c r="CN180" s="73">
        <f t="shared" si="1500"/>
        <v>173</v>
      </c>
      <c r="CO180" s="73">
        <f t="shared" si="1501"/>
        <v>189</v>
      </c>
      <c r="CP180" s="73">
        <f t="shared" si="1502"/>
        <v>237</v>
      </c>
      <c r="CQ180" s="73">
        <f t="shared" si="1503"/>
        <v>278</v>
      </c>
      <c r="CR180" s="73">
        <f t="shared" si="1504"/>
        <v>309</v>
      </c>
      <c r="CS180" s="73">
        <f t="shared" si="1505"/>
        <v>322</v>
      </c>
      <c r="CT180" s="23">
        <f t="shared" si="1506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ref="A181" si="1509">CONCATENATE(B181,"_",C181)</f>
        <v>opsd_bovin_5TE3</v>
      </c>
      <c r="B181" s="3" t="s">
        <v>920</v>
      </c>
      <c r="C181" s="3" t="s">
        <v>1407</v>
      </c>
      <c r="D181" s="3" t="str">
        <f>IFERROR(MID(VLOOKUP($B181,Seqs!$A:$B,2,0),E181,1),"")</f>
        <v>E</v>
      </c>
      <c r="E181" s="106">
        <v>33</v>
      </c>
      <c r="F181" s="3" t="str">
        <f>IFERROR(MID(VLOOKUP($B181,Seqs!$A:$B,2,0),G181,1),"")</f>
        <v>H</v>
      </c>
      <c r="G181" s="3">
        <v>65</v>
      </c>
      <c r="H181" s="3" t="str">
        <f>IFERROR(MID(VLOOKUP($B181,Seqs!$A:$B,2,0),I181,1),"")</f>
        <v>K</v>
      </c>
      <c r="I181" s="23">
        <v>66</v>
      </c>
      <c r="J181" s="3" t="str">
        <f>IFERROR(MID(VLOOKUP($B181,Seqs!$A:$B,2,0),K181,1),"")</f>
        <v>R</v>
      </c>
      <c r="K181" s="23">
        <v>69</v>
      </c>
      <c r="L181" s="3" t="str">
        <f>IFERROR(MID(VLOOKUP($B181,Seqs!$A:$B,2,0),M181,1),"")</f>
        <v>T</v>
      </c>
      <c r="M181" s="3">
        <v>70</v>
      </c>
      <c r="N181" s="3" t="str">
        <f>IFERROR(MID(VLOOKUP($B181,Seqs!$A:$B,2,0),O181,1),"")</f>
        <v>H</v>
      </c>
      <c r="O181" s="3">
        <v>100</v>
      </c>
      <c r="P181" s="3" t="str">
        <f>IFERROR(MID(VLOOKUP($B181,Seqs!$A:$B,2,0),Q181,1),"")</f>
        <v>Y</v>
      </c>
      <c r="Q181" s="3">
        <v>102</v>
      </c>
      <c r="R181" s="3" t="str">
        <f>IFERROR(MID(VLOOKUP($B181,Seqs!$A:$B,2,0),S181,1),"")</f>
        <v>F</v>
      </c>
      <c r="S181" s="3">
        <v>105</v>
      </c>
      <c r="T181" s="3" t="str">
        <f>IFERROR(MID(VLOOKUP($B181,Seqs!$A:$B,2,0),U181,1),"")</f>
        <v>G</v>
      </c>
      <c r="U181" s="3">
        <v>106</v>
      </c>
      <c r="V181" s="3" t="str">
        <f>IFERROR(MID(VLOOKUP($B181,Seqs!$A:$B,2,0),W181,1),"")</f>
        <v>K</v>
      </c>
      <c r="W181" s="3">
        <v>141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G</v>
      </c>
      <c r="AC181" s="3">
        <v>149</v>
      </c>
      <c r="AD181" s="3" t="str">
        <f>IFERROR(MID(VLOOKUP($B181,Seqs!$A:$B,2,0),AE181,1),"")</f>
        <v>V</v>
      </c>
      <c r="AE181" s="3">
        <v>173</v>
      </c>
      <c r="AF181" s="3" t="str">
        <f>IFERROR(MID(VLOOKUP($B181,Seqs!$A:$B,2,0),AG181,1),"")</f>
        <v>C</v>
      </c>
      <c r="AG181" s="3">
        <v>187</v>
      </c>
      <c r="AH181" s="3" t="str">
        <f>IFERROR(MID(VLOOKUP($B181,Seqs!$A:$B,2,0),AI181,1),"")</f>
        <v>I</v>
      </c>
      <c r="AI181" s="3">
        <v>189</v>
      </c>
      <c r="AJ181" s="3" t="str">
        <f>IFERROR(MID(VLOOKUP($B181,Seqs!$A:$B,2,0),AK181,1),"")</f>
        <v>N</v>
      </c>
      <c r="AK181" s="3">
        <v>199</v>
      </c>
      <c r="AL181" s="3" t="str">
        <f>IFERROR(MID(VLOOKUP($B181,Seqs!$A:$B,2,0),AM181,1),"")</f>
        <v>Q</v>
      </c>
      <c r="AM181" s="3">
        <v>237</v>
      </c>
      <c r="AN181" s="3" t="str">
        <f>IFERROR(MID(VLOOKUP($B181,Seqs!$A:$B,2,0),AO181,1),"")</f>
        <v>A</v>
      </c>
      <c r="AO181" s="3">
        <v>241</v>
      </c>
      <c r="AP181" s="3" t="str">
        <f>IFERROR(MID(VLOOKUP($B181,Seqs!$A:$B,2,0),AQ181,1),"")</f>
        <v>H</v>
      </c>
      <c r="AQ181" s="3">
        <v>278</v>
      </c>
      <c r="AR181" s="3" t="str">
        <f>IFERROR(MID(VLOOKUP($B181,Seqs!$A:$B,2,0),AS181,1),"")</f>
        <v>G</v>
      </c>
      <c r="AS181" s="3">
        <v>284</v>
      </c>
      <c r="AT181" s="3" t="str">
        <f>IFERROR(MID(VLOOKUP($B181,Seqs!$A:$B,2,0),AU181,1),"")</f>
        <v>M</v>
      </c>
      <c r="AU181" s="3">
        <v>309</v>
      </c>
      <c r="AV181" s="3" t="str">
        <f>IFERROR(MID(VLOOKUP($B181,Seqs!$A:$B,2,0),AW181,1),"")</f>
        <v>N</v>
      </c>
      <c r="AW181" s="3">
        <v>310</v>
      </c>
      <c r="AX181" s="3" t="str">
        <f>IFERROR(MID(VLOOKUP($B181,Seqs!$A:$B,2,0),AY181,1),"")</f>
        <v>C</v>
      </c>
      <c r="AY181" s="3">
        <v>322</v>
      </c>
      <c r="AZ181" s="78" t="str">
        <f>VLOOKUP(B181,Classification!A:D,2,0)</f>
        <v>A</v>
      </c>
      <c r="BA181" s="95" t="str">
        <f>VLOOKUP(B181,Classification!A:D,4,0)</f>
        <v>Opsins</v>
      </c>
      <c r="BB181" s="27" t="b">
        <f t="shared" ref="BB181" si="151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23">
        <f t="shared" ref="BC181" si="1511">_xlfn.AGGREGATE(9,6,CH181:CS181)-_xlfn.AGGREGATE(9,6,BV181:CG181)+12</f>
        <v>253</v>
      </c>
      <c r="BD181" s="2" t="s">
        <v>23</v>
      </c>
      <c r="BE181" s="3" t="s">
        <v>1297</v>
      </c>
      <c r="BF181" s="120">
        <v>2.7</v>
      </c>
      <c r="BG181" s="49" t="s">
        <v>1</v>
      </c>
      <c r="BH181" s="49" t="s">
        <v>1384</v>
      </c>
      <c r="BI181" s="1"/>
      <c r="BJ181" s="71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1">
        <f t="shared" ref="BV181" si="1512">E181</f>
        <v>33</v>
      </c>
      <c r="BW181" s="72">
        <f t="shared" ref="BW181" si="1513">I181</f>
        <v>66</v>
      </c>
      <c r="BX181" s="73">
        <f t="shared" ref="BX181" si="1514">M181</f>
        <v>70</v>
      </c>
      <c r="BY181" s="72">
        <f t="shared" ref="BY181" si="1515">Q181</f>
        <v>102</v>
      </c>
      <c r="BZ181" s="73">
        <f t="shared" ref="BZ181" si="1516">U181</f>
        <v>106</v>
      </c>
      <c r="CA181" s="72" t="str">
        <f t="shared" ref="CA181" si="1517">Y181</f>
        <v>-</v>
      </c>
      <c r="CB181" s="73">
        <f t="shared" ref="CB181" si="1518">AC181</f>
        <v>149</v>
      </c>
      <c r="CC181" s="72">
        <f t="shared" ref="CC181" si="1519">AG181</f>
        <v>187</v>
      </c>
      <c r="CD181" s="73">
        <f t="shared" ref="CD181" si="1520">AK181</f>
        <v>199</v>
      </c>
      <c r="CE181" s="72">
        <f t="shared" ref="CE181" si="1521">AO181</f>
        <v>241</v>
      </c>
      <c r="CF181" s="73">
        <f t="shared" ref="CF181" si="1522">AS181</f>
        <v>284</v>
      </c>
      <c r="CG181" s="72">
        <f t="shared" ref="CG181" si="1523">AW181</f>
        <v>310</v>
      </c>
      <c r="CH181" s="71">
        <f t="shared" ref="CH181" si="1524">G181</f>
        <v>65</v>
      </c>
      <c r="CI181" s="72">
        <f t="shared" ref="CI181" si="1525">K181</f>
        <v>69</v>
      </c>
      <c r="CJ181" s="73">
        <f t="shared" ref="CJ181" si="1526">O181</f>
        <v>100</v>
      </c>
      <c r="CK181" s="73">
        <f t="shared" ref="CK181" si="1527">S181</f>
        <v>105</v>
      </c>
      <c r="CL181" s="73">
        <f t="shared" ref="CL181" si="1528">W181</f>
        <v>141</v>
      </c>
      <c r="CM181" s="73" t="str">
        <f t="shared" ref="CM181" si="1529">AA181</f>
        <v>-</v>
      </c>
      <c r="CN181" s="73">
        <f t="shared" ref="CN181" si="1530">AE181</f>
        <v>173</v>
      </c>
      <c r="CO181" s="73">
        <f t="shared" ref="CO181" si="1531">AI181</f>
        <v>189</v>
      </c>
      <c r="CP181" s="73">
        <f t="shared" ref="CP181" si="1532">AM181</f>
        <v>237</v>
      </c>
      <c r="CQ181" s="73">
        <f t="shared" ref="CQ181" si="1533">AQ181</f>
        <v>278</v>
      </c>
      <c r="CR181" s="73">
        <f t="shared" ref="CR181" si="1534">AU181</f>
        <v>309</v>
      </c>
      <c r="CS181" s="73">
        <f t="shared" ref="CS181" si="1535">AY181</f>
        <v>322</v>
      </c>
      <c r="CT181" s="23">
        <f t="shared" ref="CT181" si="1536">M181-K181</f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ref="A182" si="1537">CONCATENATE(B182,"_",C182)</f>
        <v>opsd_bovin_5TE5</v>
      </c>
      <c r="B182" s="3" t="s">
        <v>920</v>
      </c>
      <c r="C182" s="3" t="s">
        <v>1408</v>
      </c>
      <c r="D182" s="3" t="str">
        <f>IFERROR(MID(VLOOKUP($B182,Seqs!$A:$B,2,0),E182,1),"")</f>
        <v>Q</v>
      </c>
      <c r="E182" s="3">
        <v>36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G</v>
      </c>
      <c r="O182" s="3">
        <v>101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G</v>
      </c>
      <c r="AC182" s="3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S</v>
      </c>
      <c r="AK182" s="3">
        <v>202</v>
      </c>
      <c r="AL182" s="3" t="str">
        <f>IFERROR(MID(VLOOKUP($B182,Seqs!$A:$B,2,0),AM182,1),"")</f>
        <v>L</v>
      </c>
      <c r="AM182" s="3">
        <v>226</v>
      </c>
      <c r="AN182" s="3" t="str">
        <f>IFERROR(MID(VLOOKUP($B182,Seqs!$A:$B,2,0),AO182,1),"")</f>
        <v>T</v>
      </c>
      <c r="AO182" s="3">
        <v>243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P</v>
      </c>
      <c r="AS182" s="3">
        <v>285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323</v>
      </c>
      <c r="AZ182" s="78" t="str">
        <f>VLOOKUP(B182,Classification!A:D,2,0)</f>
        <v>A</v>
      </c>
      <c r="BA182" s="95" t="str">
        <f>VLOOKUP(B182,Classification!A:D,4,0)</f>
        <v>Opsins</v>
      </c>
      <c r="BB182" s="27" t="b">
        <f t="shared" ref="BB182" si="1538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 t="shared" ref="BC182" si="1539">_xlfn.AGGREGATE(9,6,CH182:CS182)-_xlfn.AGGREGATE(9,6,BV182:CG182)+12</f>
        <v>235</v>
      </c>
      <c r="BD182" s="2" t="s">
        <v>23</v>
      </c>
      <c r="BE182" s="3" t="s">
        <v>1381</v>
      </c>
      <c r="BF182" s="120">
        <v>4.01</v>
      </c>
      <c r="BG182" s="49" t="s">
        <v>1384</v>
      </c>
      <c r="BH182" s="49" t="s">
        <v>1384</v>
      </c>
      <c r="BI182" s="1"/>
      <c r="BJ182" s="71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1">
        <f t="shared" ref="BV182" si="1540">E182</f>
        <v>36</v>
      </c>
      <c r="BW182" s="72">
        <f t="shared" ref="BW182" si="1541">I182</f>
        <v>66</v>
      </c>
      <c r="BX182" s="73">
        <f t="shared" ref="BX182" si="1542">M182</f>
        <v>70</v>
      </c>
      <c r="BY182" s="72">
        <f t="shared" ref="BY182" si="1543">Q182</f>
        <v>102</v>
      </c>
      <c r="BZ182" s="73">
        <f t="shared" ref="BZ182" si="1544">U182</f>
        <v>106</v>
      </c>
      <c r="CA182" s="72" t="str">
        <f t="shared" ref="CA182" si="1545">Y182</f>
        <v>-</v>
      </c>
      <c r="CB182" s="73">
        <f t="shared" ref="CB182" si="1546">AC182</f>
        <v>149</v>
      </c>
      <c r="CC182" s="72">
        <f t="shared" ref="CC182" si="1547">AG182</f>
        <v>187</v>
      </c>
      <c r="CD182" s="73">
        <f t="shared" ref="CD182" si="1548">AK182</f>
        <v>202</v>
      </c>
      <c r="CE182" s="72">
        <f t="shared" ref="CE182" si="1549">AO182</f>
        <v>243</v>
      </c>
      <c r="CF182" s="73">
        <f t="shared" ref="CF182" si="1550">AS182</f>
        <v>285</v>
      </c>
      <c r="CG182" s="72">
        <f t="shared" ref="CG182" si="1551">AW182</f>
        <v>310</v>
      </c>
      <c r="CH182" s="71">
        <f t="shared" ref="CH182" si="1552">G182</f>
        <v>65</v>
      </c>
      <c r="CI182" s="72">
        <f t="shared" ref="CI182" si="1553">K182</f>
        <v>69</v>
      </c>
      <c r="CJ182" s="73">
        <f t="shared" ref="CJ182" si="1554">O182</f>
        <v>101</v>
      </c>
      <c r="CK182" s="73">
        <f t="shared" ref="CK182" si="1555">S182</f>
        <v>105</v>
      </c>
      <c r="CL182" s="73">
        <f t="shared" ref="CL182" si="1556">W182</f>
        <v>141</v>
      </c>
      <c r="CM182" s="73" t="str">
        <f t="shared" ref="CM182" si="1557">AA182</f>
        <v>-</v>
      </c>
      <c r="CN182" s="73">
        <f t="shared" ref="CN182" si="1558">AE182</f>
        <v>173</v>
      </c>
      <c r="CO182" s="73">
        <f t="shared" ref="CO182" si="1559">AI182</f>
        <v>189</v>
      </c>
      <c r="CP182" s="73">
        <f t="shared" ref="CP182" si="1560">AM182</f>
        <v>226</v>
      </c>
      <c r="CQ182" s="73">
        <f t="shared" ref="CQ182" si="1561">AQ182</f>
        <v>278</v>
      </c>
      <c r="CR182" s="73">
        <f t="shared" ref="CR182" si="1562">AU182</f>
        <v>309</v>
      </c>
      <c r="CS182" s="73">
        <f t="shared" ref="CS182" si="1563">AY182</f>
        <v>323</v>
      </c>
      <c r="CT182" s="23">
        <f t="shared" ref="CT182" si="1564"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s="12" customFormat="1" x14ac:dyDescent="0.2">
      <c r="A183" s="9" t="str">
        <f t="shared" ref="A183" si="1565">CONCATENATE(B183,"_",C183)</f>
        <v>opsd_bovin_5WKT</v>
      </c>
      <c r="B183" s="9" t="s">
        <v>920</v>
      </c>
      <c r="C183" s="9" t="s">
        <v>1462</v>
      </c>
      <c r="D183" s="9" t="str">
        <f>IFERROR(MID(VLOOKUP($B183,Seqs!$A:$B,2,0),E183,1),"")</f>
        <v>E</v>
      </c>
      <c r="E183" s="9">
        <v>33</v>
      </c>
      <c r="F183" s="9" t="str">
        <f>IFERROR(MID(VLOOKUP($B183,Seqs!$A:$B,2,0),G183,1),"")</f>
        <v>Q</v>
      </c>
      <c r="G183" s="9">
        <v>64</v>
      </c>
      <c r="H183" s="9" t="str">
        <f>IFERROR(MID(VLOOKUP($B183,Seqs!$A:$B,2,0),I183,1),"")</f>
        <v>K</v>
      </c>
      <c r="I183" s="110">
        <v>66</v>
      </c>
      <c r="J183" s="9" t="str">
        <f>IFERROR(MID(VLOOKUP($B183,Seqs!$A:$B,2,0),K183,1),"")</f>
        <v>R</v>
      </c>
      <c r="K183" s="110">
        <v>69</v>
      </c>
      <c r="L183" s="9" t="str">
        <f>IFERROR(MID(VLOOKUP($B183,Seqs!$A:$B,2,0),M183,1),"")</f>
        <v>N</v>
      </c>
      <c r="M183" s="9">
        <v>73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Y</v>
      </c>
      <c r="Q183" s="9">
        <v>102</v>
      </c>
      <c r="R183" s="9" t="str">
        <f>IFERROR(MID(VLOOKUP($B183,Seqs!$A:$B,2,0),S183,1),"")</f>
        <v>G</v>
      </c>
      <c r="S183" s="9">
        <v>106</v>
      </c>
      <c r="T183" s="9" t="str">
        <f>IFERROR(MID(VLOOKUP($B183,Seqs!$A:$B,2,0),U183,1),"")</f>
        <v>P</v>
      </c>
      <c r="U183" s="9">
        <v>107</v>
      </c>
      <c r="V183" s="9" t="str">
        <f>IFERROR(MID(VLOOKUP($B183,Seqs!$A:$B,2,0),W183,1),"")</f>
        <v>K</v>
      </c>
      <c r="W183" s="9">
        <v>141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G</v>
      </c>
      <c r="AC183" s="9">
        <v>149</v>
      </c>
      <c r="AD183" s="9" t="str">
        <f>IFERROR(MID(VLOOKUP($B183,Seqs!$A:$B,2,0),AE183,1),"")</f>
        <v>V</v>
      </c>
      <c r="AE183" s="9">
        <v>173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I</v>
      </c>
      <c r="AI183" s="9">
        <v>189</v>
      </c>
      <c r="AJ183" s="9" t="str">
        <f>IFERROR(MID(VLOOKUP($B183,Seqs!$A:$B,2,0),AK183,1),"")</f>
        <v>N</v>
      </c>
      <c r="AK183" s="9">
        <v>199</v>
      </c>
      <c r="AL183" s="9" t="str">
        <f>IFERROR(MID(VLOOKUP($B183,Seqs!$A:$B,2,0),AM183,1),"")</f>
        <v>Q</v>
      </c>
      <c r="AM183" s="9">
        <v>236</v>
      </c>
      <c r="AN183" s="9" t="str">
        <f>IFERROR(MID(VLOOKUP($B183,Seqs!$A:$B,2,0),AO183,1),"")</f>
        <v>S</v>
      </c>
      <c r="AO183" s="9">
        <v>240</v>
      </c>
      <c r="AP183" s="9" t="str">
        <f>IFERROR(MID(VLOOKUP($B183,Seqs!$A:$B,2,0),AQ183,1),"")</f>
        <v>H</v>
      </c>
      <c r="AQ183" s="9">
        <v>278</v>
      </c>
      <c r="AR183" s="9" t="str">
        <f>IFERROR(MID(VLOOKUP($B183,Seqs!$A:$B,2,0),AS183,1),"")</f>
        <v>G</v>
      </c>
      <c r="AS183" s="9">
        <v>284</v>
      </c>
      <c r="AT183" s="9" t="str">
        <f>IFERROR(MID(VLOOKUP($B183,Seqs!$A:$B,2,0),AU183,1),"")</f>
        <v>M</v>
      </c>
      <c r="AU183" s="9">
        <v>309</v>
      </c>
      <c r="AV183" s="9" t="str">
        <f>IFERROR(MID(VLOOKUP($B183,Seqs!$A:$B,2,0),AW183,1),"")</f>
        <v>N</v>
      </c>
      <c r="AW183" s="9">
        <v>310</v>
      </c>
      <c r="AX183" s="9" t="str">
        <f>IFERROR(MID(VLOOKUP($B183,Seqs!$A:$B,2,0),AY183,1),"")</f>
        <v>C</v>
      </c>
      <c r="AY183" s="9">
        <v>322</v>
      </c>
      <c r="AZ183" s="111" t="str">
        <f>VLOOKUP(B183,Classification!A:D,2,0)</f>
        <v>A</v>
      </c>
      <c r="BA183" s="99" t="str">
        <f>VLOOKUP(B183,Classification!A:D,4,0)</f>
        <v>Opsins</v>
      </c>
      <c r="BB183" s="36" t="b">
        <f t="shared" ref="BB183" si="1566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10">
        <f t="shared" ref="BC183" si="1567">_xlfn.AGGREGATE(9,6,CH183:CS183)-_xlfn.AGGREGATE(9,6,BV183:CG183)+12</f>
        <v>250</v>
      </c>
      <c r="BD183" s="40" t="s">
        <v>23</v>
      </c>
      <c r="BE183" s="9" t="s">
        <v>1297</v>
      </c>
      <c r="BF183" s="121">
        <v>3.2</v>
      </c>
      <c r="BG183" s="51" t="s">
        <v>1</v>
      </c>
      <c r="BH183" s="51" t="s">
        <v>1</v>
      </c>
      <c r="BJ183" s="112" t="s">
        <v>1293</v>
      </c>
      <c r="BK183" s="113" t="s">
        <v>1293</v>
      </c>
      <c r="BL183" s="113" t="s">
        <v>1293</v>
      </c>
      <c r="BM183" s="113" t="s">
        <v>1293</v>
      </c>
      <c r="BN183" s="113" t="s">
        <v>1293</v>
      </c>
      <c r="BO183" s="113" t="s">
        <v>1293</v>
      </c>
      <c r="BP183" s="113" t="s">
        <v>1293</v>
      </c>
      <c r="BQ183" s="113" t="s">
        <v>1293</v>
      </c>
      <c r="BR183" s="113" t="s">
        <v>1293</v>
      </c>
      <c r="BS183" s="113" t="s">
        <v>1293</v>
      </c>
      <c r="BT183" s="113" t="s">
        <v>1293</v>
      </c>
      <c r="BU183" s="113" t="s">
        <v>1293</v>
      </c>
      <c r="BV183" s="112">
        <f t="shared" ref="BV183" si="1568">E183</f>
        <v>33</v>
      </c>
      <c r="BW183" s="114">
        <f t="shared" ref="BW183" si="1569">I183</f>
        <v>66</v>
      </c>
      <c r="BX183" s="115">
        <f t="shared" ref="BX183" si="1570">M183</f>
        <v>73</v>
      </c>
      <c r="BY183" s="114">
        <f t="shared" ref="BY183" si="1571">Q183</f>
        <v>102</v>
      </c>
      <c r="BZ183" s="115">
        <f t="shared" ref="BZ183" si="1572">U183</f>
        <v>107</v>
      </c>
      <c r="CA183" s="114" t="str">
        <f t="shared" ref="CA183" si="1573">Y183</f>
        <v>-</v>
      </c>
      <c r="CB183" s="115">
        <f t="shared" ref="CB183" si="1574">AC183</f>
        <v>149</v>
      </c>
      <c r="CC183" s="114">
        <f t="shared" ref="CC183" si="1575">AG183</f>
        <v>187</v>
      </c>
      <c r="CD183" s="115">
        <f t="shared" ref="CD183" si="1576">AK183</f>
        <v>199</v>
      </c>
      <c r="CE183" s="114">
        <f t="shared" ref="CE183" si="1577">AO183</f>
        <v>240</v>
      </c>
      <c r="CF183" s="115">
        <f t="shared" ref="CF183" si="1578">AS183</f>
        <v>284</v>
      </c>
      <c r="CG183" s="114">
        <f t="shared" ref="CG183" si="1579">AW183</f>
        <v>310</v>
      </c>
      <c r="CH183" s="112">
        <f t="shared" ref="CH183" si="1580">G183</f>
        <v>64</v>
      </c>
      <c r="CI183" s="114">
        <f t="shared" ref="CI183" si="1581">K183</f>
        <v>69</v>
      </c>
      <c r="CJ183" s="115">
        <f t="shared" ref="CJ183" si="1582">O183</f>
        <v>101</v>
      </c>
      <c r="CK183" s="115">
        <f t="shared" ref="CK183" si="1583">S183</f>
        <v>106</v>
      </c>
      <c r="CL183" s="115">
        <f t="shared" ref="CL183" si="1584">W183</f>
        <v>141</v>
      </c>
      <c r="CM183" s="115" t="str">
        <f t="shared" ref="CM183" si="1585">AA183</f>
        <v>-</v>
      </c>
      <c r="CN183" s="115">
        <f t="shared" ref="CN183" si="1586">AE183</f>
        <v>173</v>
      </c>
      <c r="CO183" s="115">
        <f t="shared" ref="CO183" si="1587">AI183</f>
        <v>189</v>
      </c>
      <c r="CP183" s="115">
        <f t="shared" ref="CP183" si="1588">AM183</f>
        <v>236</v>
      </c>
      <c r="CQ183" s="115">
        <f t="shared" ref="CQ183" si="1589">AQ183</f>
        <v>278</v>
      </c>
      <c r="CR183" s="115">
        <f t="shared" ref="CR183" si="1590">AU183</f>
        <v>309</v>
      </c>
      <c r="CS183" s="115">
        <f t="shared" ref="CS183" si="1591">AY183</f>
        <v>322</v>
      </c>
      <c r="CT183" s="110">
        <f t="shared" ref="CT183" si="1592">M183-K183</f>
        <v>4</v>
      </c>
    </row>
    <row r="184" spans="1:1030" s="12" customFormat="1" x14ac:dyDescent="0.2">
      <c r="A184" s="9" t="str">
        <f t="shared" ref="A184" si="1593">CONCATENATE(B184,"_",C184)</f>
        <v>opsd_bovin_6FK6</v>
      </c>
      <c r="B184" s="9" t="s">
        <v>920</v>
      </c>
      <c r="C184" s="9" t="s">
        <v>1495</v>
      </c>
      <c r="D184" s="9" t="str">
        <f>IFERROR(MID(VLOOKUP($B184,Seqs!$A:$B,2,0),E184,1),"")</f>
        <v>E</v>
      </c>
      <c r="E184" s="9">
        <v>33</v>
      </c>
      <c r="F184" s="9" t="str">
        <f>IFERROR(MID(VLOOKUP($B184,Seqs!$A:$B,2,0),G184,1),"")</f>
        <v>Q</v>
      </c>
      <c r="G184" s="9">
        <v>64</v>
      </c>
      <c r="H184" s="9" t="str">
        <f>IFERROR(MID(VLOOKUP($B184,Seqs!$A:$B,2,0),I184,1),"")</f>
        <v>K</v>
      </c>
      <c r="I184" s="110">
        <v>66</v>
      </c>
      <c r="J184" s="9" t="str">
        <f>IFERROR(MID(VLOOKUP($B184,Seqs!$A:$B,2,0),K184,1),"")</f>
        <v>R</v>
      </c>
      <c r="K184" s="110">
        <v>69</v>
      </c>
      <c r="L184" s="9" t="str">
        <f>IFERROR(MID(VLOOKUP($B184,Seqs!$A:$B,2,0),M184,1),"")</f>
        <v>N</v>
      </c>
      <c r="M184" s="9">
        <v>73</v>
      </c>
      <c r="N184" s="9" t="str">
        <f>IFERROR(MID(VLOOKUP($B184,Seqs!$A:$B,2,0),O184,1),"")</f>
        <v>G</v>
      </c>
      <c r="O184" s="9">
        <v>101</v>
      </c>
      <c r="P184" s="9" t="str">
        <f>IFERROR(MID(VLOOKUP($B184,Seqs!$A:$B,2,0),Q184,1),"")</f>
        <v>Y</v>
      </c>
      <c r="Q184" s="9">
        <v>102</v>
      </c>
      <c r="R184" s="9" t="str">
        <f>IFERROR(MID(VLOOKUP($B184,Seqs!$A:$B,2,0),S184,1),"")</f>
        <v>G</v>
      </c>
      <c r="S184" s="9">
        <v>106</v>
      </c>
      <c r="T184" s="9" t="str">
        <f>IFERROR(MID(VLOOKUP($B184,Seqs!$A:$B,2,0),U184,1),"")</f>
        <v>P</v>
      </c>
      <c r="U184" s="9">
        <v>107</v>
      </c>
      <c r="V184" s="9" t="str">
        <f>IFERROR(MID(VLOOKUP($B184,Seqs!$A:$B,2,0),W184,1),"")</f>
        <v>K</v>
      </c>
      <c r="W184" s="9">
        <v>141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G</v>
      </c>
      <c r="AC184" s="9">
        <v>149</v>
      </c>
      <c r="AD184" s="9" t="str">
        <f>IFERROR(MID(VLOOKUP($B184,Seqs!$A:$B,2,0),AE184,1),"")</f>
        <v>V</v>
      </c>
      <c r="AE184" s="9">
        <v>173</v>
      </c>
      <c r="AF184" s="9" t="str">
        <f>IFERROR(MID(VLOOKUP($B184,Seqs!$A:$B,2,0),AG184,1),"")</f>
        <v>C</v>
      </c>
      <c r="AG184" s="9">
        <v>187</v>
      </c>
      <c r="AH184" s="9" t="str">
        <f>IFERROR(MID(VLOOKUP($B184,Seqs!$A:$B,2,0),AI184,1),"")</f>
        <v>I</v>
      </c>
      <c r="AI184" s="9">
        <v>189</v>
      </c>
      <c r="AJ184" s="9" t="str">
        <f>IFERROR(MID(VLOOKUP($B184,Seqs!$A:$B,2,0),AK184,1),"")</f>
        <v>N</v>
      </c>
      <c r="AK184" s="9">
        <v>199</v>
      </c>
      <c r="AL184" s="9" t="str">
        <f>IFERROR(MID(VLOOKUP($B184,Seqs!$A:$B,2,0),AM184,1),"")</f>
        <v>Q</v>
      </c>
      <c r="AM184" s="9">
        <v>236</v>
      </c>
      <c r="AN184" s="9" t="str">
        <f>IFERROR(MID(VLOOKUP($B184,Seqs!$A:$B,2,0),AO184,1),"")</f>
        <v>S</v>
      </c>
      <c r="AO184" s="9">
        <v>240</v>
      </c>
      <c r="AP184" s="9" t="str">
        <f>IFERROR(MID(VLOOKUP($B184,Seqs!$A:$B,2,0),AQ184,1),"")</f>
        <v>H</v>
      </c>
      <c r="AQ184" s="9">
        <v>278</v>
      </c>
      <c r="AR184" s="9" t="str">
        <f>IFERROR(MID(VLOOKUP($B184,Seqs!$A:$B,2,0),AS184,1),"")</f>
        <v>G</v>
      </c>
      <c r="AS184" s="9">
        <v>284</v>
      </c>
      <c r="AT184" s="9" t="str">
        <f>IFERROR(MID(VLOOKUP($B184,Seqs!$A:$B,2,0),AU184,1),"")</f>
        <v>M</v>
      </c>
      <c r="AU184" s="9">
        <v>309</v>
      </c>
      <c r="AV184" s="9" t="str">
        <f>IFERROR(MID(VLOOKUP($B184,Seqs!$A:$B,2,0),AW184,1),"")</f>
        <v>N</v>
      </c>
      <c r="AW184" s="9">
        <v>310</v>
      </c>
      <c r="AX184" s="9" t="str">
        <f>IFERROR(MID(VLOOKUP($B184,Seqs!$A:$B,2,0),AY184,1),"")</f>
        <v>C</v>
      </c>
      <c r="AY184" s="9">
        <v>322</v>
      </c>
      <c r="AZ184" s="111" t="str">
        <f>VLOOKUP(B184,Classification!A:D,2,0)</f>
        <v>A</v>
      </c>
      <c r="BA184" s="99" t="str">
        <f>VLOOKUP(B184,Classification!A:D,4,0)</f>
        <v>Opsins</v>
      </c>
      <c r="BB184" s="36" t="b">
        <f t="shared" ref="BB184" si="1594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10">
        <f t="shared" ref="BC184" si="1595">_xlfn.AGGREGATE(9,6,CH184:CS184)-_xlfn.AGGREGATE(9,6,BV184:CG184)+12</f>
        <v>250</v>
      </c>
      <c r="BD184" s="40" t="s">
        <v>23</v>
      </c>
      <c r="BE184" s="9" t="s">
        <v>1297</v>
      </c>
      <c r="BF184" s="121">
        <v>2.36</v>
      </c>
      <c r="BG184" s="51" t="s">
        <v>1</v>
      </c>
      <c r="BH184" s="51" t="s">
        <v>1</v>
      </c>
      <c r="BJ184" s="112" t="s">
        <v>1293</v>
      </c>
      <c r="BK184" s="113" t="s">
        <v>1293</v>
      </c>
      <c r="BL184" s="113" t="s">
        <v>1293</v>
      </c>
      <c r="BM184" s="113" t="s">
        <v>1293</v>
      </c>
      <c r="BN184" s="113" t="s">
        <v>1293</v>
      </c>
      <c r="BO184" s="113" t="s">
        <v>1293</v>
      </c>
      <c r="BP184" s="113" t="s">
        <v>1293</v>
      </c>
      <c r="BQ184" s="113" t="s">
        <v>1293</v>
      </c>
      <c r="BR184" s="113" t="s">
        <v>1293</v>
      </c>
      <c r="BS184" s="113" t="s">
        <v>1293</v>
      </c>
      <c r="BT184" s="113" t="s">
        <v>1293</v>
      </c>
      <c r="BU184" s="113" t="s">
        <v>1293</v>
      </c>
      <c r="BV184" s="112">
        <f t="shared" ref="BV184" si="1596">E184</f>
        <v>33</v>
      </c>
      <c r="BW184" s="114">
        <f t="shared" ref="BW184" si="1597">I184</f>
        <v>66</v>
      </c>
      <c r="BX184" s="115">
        <f t="shared" ref="BX184" si="1598">M184</f>
        <v>73</v>
      </c>
      <c r="BY184" s="114">
        <f t="shared" ref="BY184" si="1599">Q184</f>
        <v>102</v>
      </c>
      <c r="BZ184" s="115">
        <f t="shared" ref="BZ184" si="1600">U184</f>
        <v>107</v>
      </c>
      <c r="CA184" s="114" t="str">
        <f t="shared" ref="CA184" si="1601">Y184</f>
        <v>-</v>
      </c>
      <c r="CB184" s="115">
        <f t="shared" ref="CB184" si="1602">AC184</f>
        <v>149</v>
      </c>
      <c r="CC184" s="114">
        <f t="shared" ref="CC184" si="1603">AG184</f>
        <v>187</v>
      </c>
      <c r="CD184" s="115">
        <f t="shared" ref="CD184" si="1604">AK184</f>
        <v>199</v>
      </c>
      <c r="CE184" s="114">
        <f t="shared" ref="CE184" si="1605">AO184</f>
        <v>240</v>
      </c>
      <c r="CF184" s="115">
        <f t="shared" ref="CF184" si="1606">AS184</f>
        <v>284</v>
      </c>
      <c r="CG184" s="114">
        <f t="shared" ref="CG184" si="1607">AW184</f>
        <v>310</v>
      </c>
      <c r="CH184" s="112">
        <f t="shared" ref="CH184" si="1608">G184</f>
        <v>64</v>
      </c>
      <c r="CI184" s="114">
        <f t="shared" ref="CI184" si="1609">K184</f>
        <v>69</v>
      </c>
      <c r="CJ184" s="115">
        <f t="shared" ref="CJ184" si="1610">O184</f>
        <v>101</v>
      </c>
      <c r="CK184" s="115">
        <f t="shared" ref="CK184" si="1611">S184</f>
        <v>106</v>
      </c>
      <c r="CL184" s="115">
        <f t="shared" ref="CL184" si="1612">W184</f>
        <v>141</v>
      </c>
      <c r="CM184" s="115" t="str">
        <f t="shared" ref="CM184" si="1613">AA184</f>
        <v>-</v>
      </c>
      <c r="CN184" s="115">
        <f t="shared" ref="CN184" si="1614">AE184</f>
        <v>173</v>
      </c>
      <c r="CO184" s="115">
        <f t="shared" ref="CO184" si="1615">AI184</f>
        <v>189</v>
      </c>
      <c r="CP184" s="115">
        <f t="shared" ref="CP184" si="1616">AM184</f>
        <v>236</v>
      </c>
      <c r="CQ184" s="115">
        <f t="shared" ref="CQ184" si="1617">AQ184</f>
        <v>278</v>
      </c>
      <c r="CR184" s="115">
        <f t="shared" ref="CR184" si="1618">AU184</f>
        <v>309</v>
      </c>
      <c r="CS184" s="115">
        <f t="shared" ref="CS184" si="1619">AY184</f>
        <v>322</v>
      </c>
      <c r="CT184" s="110">
        <f t="shared" ref="CT184" si="1620">M184-K184</f>
        <v>4</v>
      </c>
    </row>
    <row r="185" spans="1:1030" s="12" customFormat="1" x14ac:dyDescent="0.2">
      <c r="A185" s="9" t="str">
        <f t="shared" ref="A185" si="1621">CONCATENATE(B185,"_",C185)</f>
        <v>opsd_bovin_6FK7</v>
      </c>
      <c r="B185" s="9" t="s">
        <v>920</v>
      </c>
      <c r="C185" s="9" t="s">
        <v>1496</v>
      </c>
      <c r="D185" s="9" t="str">
        <f>IFERROR(MID(VLOOKUP($B185,Seqs!$A:$B,2,0),E185,1),"")</f>
        <v>E</v>
      </c>
      <c r="E185" s="9">
        <v>33</v>
      </c>
      <c r="F185" s="9" t="str">
        <f>IFERROR(MID(VLOOKUP($B185,Seqs!$A:$B,2,0),G185,1),"")</f>
        <v>Q</v>
      </c>
      <c r="G185" s="9">
        <v>64</v>
      </c>
      <c r="H185" s="9" t="str">
        <f>IFERROR(MID(VLOOKUP($B185,Seqs!$A:$B,2,0),I185,1),"")</f>
        <v>K</v>
      </c>
      <c r="I185" s="110">
        <v>66</v>
      </c>
      <c r="J185" s="9" t="str">
        <f>IFERROR(MID(VLOOKUP($B185,Seqs!$A:$B,2,0),K185,1),"")</f>
        <v>R</v>
      </c>
      <c r="K185" s="110">
        <v>69</v>
      </c>
      <c r="L185" s="9" t="str">
        <f>IFERROR(MID(VLOOKUP($B185,Seqs!$A:$B,2,0),M185,1),"")</f>
        <v>N</v>
      </c>
      <c r="M185" s="9">
        <v>73</v>
      </c>
      <c r="N185" s="9" t="str">
        <f>IFERROR(MID(VLOOKUP($B185,Seqs!$A:$B,2,0),O185,1),"")</f>
        <v>G</v>
      </c>
      <c r="O185" s="9">
        <v>101</v>
      </c>
      <c r="P185" s="9" t="str">
        <f>IFERROR(MID(VLOOKUP($B185,Seqs!$A:$B,2,0),Q185,1),"")</f>
        <v>Y</v>
      </c>
      <c r="Q185" s="9">
        <v>102</v>
      </c>
      <c r="R185" s="9" t="str">
        <f>IFERROR(MID(VLOOKUP($B185,Seqs!$A:$B,2,0),S185,1),"")</f>
        <v>G</v>
      </c>
      <c r="S185" s="9">
        <v>106</v>
      </c>
      <c r="T185" s="9" t="str">
        <f>IFERROR(MID(VLOOKUP($B185,Seqs!$A:$B,2,0),U185,1),"")</f>
        <v>P</v>
      </c>
      <c r="U185" s="9">
        <v>107</v>
      </c>
      <c r="V185" s="9" t="str">
        <f>IFERROR(MID(VLOOKUP($B185,Seqs!$A:$B,2,0),W185,1),"")</f>
        <v>K</v>
      </c>
      <c r="W185" s="9">
        <v>141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G</v>
      </c>
      <c r="AC185" s="9">
        <v>149</v>
      </c>
      <c r="AD185" s="9" t="str">
        <f>IFERROR(MID(VLOOKUP($B185,Seqs!$A:$B,2,0),AE185,1),"")</f>
        <v>V</v>
      </c>
      <c r="AE185" s="9">
        <v>173</v>
      </c>
      <c r="AF185" s="9" t="str">
        <f>IFERROR(MID(VLOOKUP($B185,Seqs!$A:$B,2,0),AG185,1),"")</f>
        <v>C</v>
      </c>
      <c r="AG185" s="9">
        <v>187</v>
      </c>
      <c r="AH185" s="9" t="str">
        <f>IFERROR(MID(VLOOKUP($B185,Seqs!$A:$B,2,0),AI185,1),"")</f>
        <v>I</v>
      </c>
      <c r="AI185" s="9">
        <v>189</v>
      </c>
      <c r="AJ185" s="9" t="str">
        <f>IFERROR(MID(VLOOKUP($B185,Seqs!$A:$B,2,0),AK185,1),"")</f>
        <v>N</v>
      </c>
      <c r="AK185" s="9">
        <v>199</v>
      </c>
      <c r="AL185" s="9" t="str">
        <f>IFERROR(MID(VLOOKUP($B185,Seqs!$A:$B,2,0),AM185,1),"")</f>
        <v>Q</v>
      </c>
      <c r="AM185" s="9">
        <v>236</v>
      </c>
      <c r="AN185" s="9" t="str">
        <f>IFERROR(MID(VLOOKUP($B185,Seqs!$A:$B,2,0),AO185,1),"")</f>
        <v>S</v>
      </c>
      <c r="AO185" s="9">
        <v>240</v>
      </c>
      <c r="AP185" s="9" t="str">
        <f>IFERROR(MID(VLOOKUP($B185,Seqs!$A:$B,2,0),AQ185,1),"")</f>
        <v>H</v>
      </c>
      <c r="AQ185" s="9">
        <v>278</v>
      </c>
      <c r="AR185" s="9" t="str">
        <f>IFERROR(MID(VLOOKUP($B185,Seqs!$A:$B,2,0),AS185,1),"")</f>
        <v>G</v>
      </c>
      <c r="AS185" s="9">
        <v>284</v>
      </c>
      <c r="AT185" s="9" t="str">
        <f>IFERROR(MID(VLOOKUP($B185,Seqs!$A:$B,2,0),AU185,1),"")</f>
        <v>M</v>
      </c>
      <c r="AU185" s="9">
        <v>309</v>
      </c>
      <c r="AV185" s="9" t="str">
        <f>IFERROR(MID(VLOOKUP($B185,Seqs!$A:$B,2,0),AW185,1),"")</f>
        <v>N</v>
      </c>
      <c r="AW185" s="9">
        <v>310</v>
      </c>
      <c r="AX185" s="9" t="str">
        <f>IFERROR(MID(VLOOKUP($B185,Seqs!$A:$B,2,0),AY185,1),"")</f>
        <v>C</v>
      </c>
      <c r="AY185" s="9">
        <v>322</v>
      </c>
      <c r="AZ185" s="111" t="str">
        <f>VLOOKUP(B185,Classification!A:D,2,0)</f>
        <v>A</v>
      </c>
      <c r="BA185" s="99" t="str">
        <f>VLOOKUP(B185,Classification!A:D,4,0)</f>
        <v>Opsins</v>
      </c>
      <c r="BB185" s="36" t="b">
        <f t="shared" ref="BB185" si="1622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10">
        <f t="shared" ref="BC185" si="1623">_xlfn.AGGREGATE(9,6,CH185:CS185)-_xlfn.AGGREGATE(9,6,BV185:CG185)+12</f>
        <v>250</v>
      </c>
      <c r="BD185" s="40" t="s">
        <v>23</v>
      </c>
      <c r="BE185" s="9" t="s">
        <v>1297</v>
      </c>
      <c r="BF185" s="121">
        <v>2.62</v>
      </c>
      <c r="BG185" s="51" t="s">
        <v>1</v>
      </c>
      <c r="BH185" s="51" t="s">
        <v>1</v>
      </c>
      <c r="BJ185" s="112" t="s">
        <v>1293</v>
      </c>
      <c r="BK185" s="113" t="s">
        <v>1293</v>
      </c>
      <c r="BL185" s="113" t="s">
        <v>1293</v>
      </c>
      <c r="BM185" s="113" t="s">
        <v>1293</v>
      </c>
      <c r="BN185" s="113" t="s">
        <v>1293</v>
      </c>
      <c r="BO185" s="113" t="s">
        <v>1293</v>
      </c>
      <c r="BP185" s="113" t="s">
        <v>1293</v>
      </c>
      <c r="BQ185" s="113" t="s">
        <v>1293</v>
      </c>
      <c r="BR185" s="113" t="s">
        <v>1293</v>
      </c>
      <c r="BS185" s="113" t="s">
        <v>1293</v>
      </c>
      <c r="BT185" s="113" t="s">
        <v>1293</v>
      </c>
      <c r="BU185" s="113" t="s">
        <v>1293</v>
      </c>
      <c r="BV185" s="112">
        <f t="shared" ref="BV185" si="1624">E185</f>
        <v>33</v>
      </c>
      <c r="BW185" s="114">
        <f t="shared" ref="BW185" si="1625">I185</f>
        <v>66</v>
      </c>
      <c r="BX185" s="115">
        <f t="shared" ref="BX185" si="1626">M185</f>
        <v>73</v>
      </c>
      <c r="BY185" s="114">
        <f t="shared" ref="BY185" si="1627">Q185</f>
        <v>102</v>
      </c>
      <c r="BZ185" s="115">
        <f t="shared" ref="BZ185" si="1628">U185</f>
        <v>107</v>
      </c>
      <c r="CA185" s="114" t="str">
        <f t="shared" ref="CA185" si="1629">Y185</f>
        <v>-</v>
      </c>
      <c r="CB185" s="115">
        <f t="shared" ref="CB185" si="1630">AC185</f>
        <v>149</v>
      </c>
      <c r="CC185" s="114">
        <f t="shared" ref="CC185" si="1631">AG185</f>
        <v>187</v>
      </c>
      <c r="CD185" s="115">
        <f t="shared" ref="CD185" si="1632">AK185</f>
        <v>199</v>
      </c>
      <c r="CE185" s="114">
        <f t="shared" ref="CE185" si="1633">AO185</f>
        <v>240</v>
      </c>
      <c r="CF185" s="115">
        <f t="shared" ref="CF185" si="1634">AS185</f>
        <v>284</v>
      </c>
      <c r="CG185" s="114">
        <f t="shared" ref="CG185" si="1635">AW185</f>
        <v>310</v>
      </c>
      <c r="CH185" s="112">
        <f t="shared" ref="CH185" si="1636">G185</f>
        <v>64</v>
      </c>
      <c r="CI185" s="114">
        <f t="shared" ref="CI185" si="1637">K185</f>
        <v>69</v>
      </c>
      <c r="CJ185" s="115">
        <f t="shared" ref="CJ185" si="1638">O185</f>
        <v>101</v>
      </c>
      <c r="CK185" s="115">
        <f t="shared" ref="CK185" si="1639">S185</f>
        <v>106</v>
      </c>
      <c r="CL185" s="115">
        <f t="shared" ref="CL185" si="1640">W185</f>
        <v>141</v>
      </c>
      <c r="CM185" s="115" t="str">
        <f t="shared" ref="CM185" si="1641">AA185</f>
        <v>-</v>
      </c>
      <c r="CN185" s="115">
        <f t="shared" ref="CN185" si="1642">AE185</f>
        <v>173</v>
      </c>
      <c r="CO185" s="115">
        <f t="shared" ref="CO185" si="1643">AI185</f>
        <v>189</v>
      </c>
      <c r="CP185" s="115">
        <f t="shared" ref="CP185" si="1644">AM185</f>
        <v>236</v>
      </c>
      <c r="CQ185" s="115">
        <f t="shared" ref="CQ185" si="1645">AQ185</f>
        <v>278</v>
      </c>
      <c r="CR185" s="115">
        <f t="shared" ref="CR185" si="1646">AU185</f>
        <v>309</v>
      </c>
      <c r="CS185" s="115">
        <f t="shared" ref="CS185" si="1647">AY185</f>
        <v>322</v>
      </c>
      <c r="CT185" s="110">
        <f t="shared" ref="CT185" si="1648">M185-K185</f>
        <v>4</v>
      </c>
    </row>
    <row r="186" spans="1:1030" s="12" customFormat="1" x14ac:dyDescent="0.2">
      <c r="A186" s="9" t="str">
        <f t="shared" ref="A186" si="1649">CONCATENATE(B186,"_",C186)</f>
        <v>opsd_bovin_6FK8</v>
      </c>
      <c r="B186" s="9" t="s">
        <v>920</v>
      </c>
      <c r="C186" s="9" t="s">
        <v>1497</v>
      </c>
      <c r="D186" s="9" t="str">
        <f>IFERROR(MID(VLOOKUP($B186,Seqs!$A:$B,2,0),E186,1),"")</f>
        <v>E</v>
      </c>
      <c r="E186" s="9">
        <v>33</v>
      </c>
      <c r="F186" s="9" t="str">
        <f>IFERROR(MID(VLOOKUP($B186,Seqs!$A:$B,2,0),G186,1),"")</f>
        <v>Q</v>
      </c>
      <c r="G186" s="9">
        <v>64</v>
      </c>
      <c r="H186" s="9" t="str">
        <f>IFERROR(MID(VLOOKUP($B186,Seqs!$A:$B,2,0),I186,1),"")</f>
        <v>K</v>
      </c>
      <c r="I186" s="110">
        <v>66</v>
      </c>
      <c r="J186" s="9" t="str">
        <f>IFERROR(MID(VLOOKUP($B186,Seqs!$A:$B,2,0),K186,1),"")</f>
        <v>R</v>
      </c>
      <c r="K186" s="110">
        <v>69</v>
      </c>
      <c r="L186" s="9" t="str">
        <f>IFERROR(MID(VLOOKUP($B186,Seqs!$A:$B,2,0),M186,1),"")</f>
        <v>N</v>
      </c>
      <c r="M186" s="9">
        <v>73</v>
      </c>
      <c r="N186" s="9" t="str">
        <f>IFERROR(MID(VLOOKUP($B186,Seqs!$A:$B,2,0),O186,1),"")</f>
        <v>G</v>
      </c>
      <c r="O186" s="9">
        <v>101</v>
      </c>
      <c r="P186" s="9" t="str">
        <f>IFERROR(MID(VLOOKUP($B186,Seqs!$A:$B,2,0),Q186,1),"")</f>
        <v>Y</v>
      </c>
      <c r="Q186" s="9">
        <v>102</v>
      </c>
      <c r="R186" s="9" t="str">
        <f>IFERROR(MID(VLOOKUP($B186,Seqs!$A:$B,2,0),S186,1),"")</f>
        <v>G</v>
      </c>
      <c r="S186" s="9">
        <v>106</v>
      </c>
      <c r="T186" s="9" t="str">
        <f>IFERROR(MID(VLOOKUP($B186,Seqs!$A:$B,2,0),U186,1),"")</f>
        <v>P</v>
      </c>
      <c r="U186" s="9">
        <v>107</v>
      </c>
      <c r="V186" s="9" t="str">
        <f>IFERROR(MID(VLOOKUP($B186,Seqs!$A:$B,2,0),W186,1),"")</f>
        <v>K</v>
      </c>
      <c r="W186" s="9">
        <v>141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G</v>
      </c>
      <c r="AC186" s="9">
        <v>149</v>
      </c>
      <c r="AD186" s="9" t="str">
        <f>IFERROR(MID(VLOOKUP($B186,Seqs!$A:$B,2,0),AE186,1),"")</f>
        <v>V</v>
      </c>
      <c r="AE186" s="9">
        <v>173</v>
      </c>
      <c r="AF186" s="9" t="str">
        <f>IFERROR(MID(VLOOKUP($B186,Seqs!$A:$B,2,0),AG186,1),"")</f>
        <v>C</v>
      </c>
      <c r="AG186" s="9">
        <v>187</v>
      </c>
      <c r="AH186" s="9" t="str">
        <f>IFERROR(MID(VLOOKUP($B186,Seqs!$A:$B,2,0),AI186,1),"")</f>
        <v>I</v>
      </c>
      <c r="AI186" s="9">
        <v>189</v>
      </c>
      <c r="AJ186" s="9" t="str">
        <f>IFERROR(MID(VLOOKUP($B186,Seqs!$A:$B,2,0),AK186,1),"")</f>
        <v>N</v>
      </c>
      <c r="AK186" s="9">
        <v>199</v>
      </c>
      <c r="AL186" s="9" t="str">
        <f>IFERROR(MID(VLOOKUP($B186,Seqs!$A:$B,2,0),AM186,1),"")</f>
        <v>Q</v>
      </c>
      <c r="AM186" s="9">
        <v>236</v>
      </c>
      <c r="AN186" s="9" t="str">
        <f>IFERROR(MID(VLOOKUP($B186,Seqs!$A:$B,2,0),AO186,1),"")</f>
        <v>S</v>
      </c>
      <c r="AO186" s="9">
        <v>240</v>
      </c>
      <c r="AP186" s="9" t="str">
        <f>IFERROR(MID(VLOOKUP($B186,Seqs!$A:$B,2,0),AQ186,1),"")</f>
        <v>H</v>
      </c>
      <c r="AQ186" s="9">
        <v>278</v>
      </c>
      <c r="AR186" s="9" t="str">
        <f>IFERROR(MID(VLOOKUP($B186,Seqs!$A:$B,2,0),AS186,1),"")</f>
        <v>G</v>
      </c>
      <c r="AS186" s="9">
        <v>284</v>
      </c>
      <c r="AT186" s="9" t="str">
        <f>IFERROR(MID(VLOOKUP($B186,Seqs!$A:$B,2,0),AU186,1),"")</f>
        <v>M</v>
      </c>
      <c r="AU186" s="9">
        <v>309</v>
      </c>
      <c r="AV186" s="9" t="str">
        <f>IFERROR(MID(VLOOKUP($B186,Seqs!$A:$B,2,0),AW186,1),"")</f>
        <v>N</v>
      </c>
      <c r="AW186" s="9">
        <v>310</v>
      </c>
      <c r="AX186" s="9" t="str">
        <f>IFERROR(MID(VLOOKUP($B186,Seqs!$A:$B,2,0),AY186,1),"")</f>
        <v>C</v>
      </c>
      <c r="AY186" s="9">
        <v>322</v>
      </c>
      <c r="AZ186" s="111" t="str">
        <f>VLOOKUP(B186,Classification!A:D,2,0)</f>
        <v>A</v>
      </c>
      <c r="BA186" s="99" t="str">
        <f>VLOOKUP(B186,Classification!A:D,4,0)</f>
        <v>Opsins</v>
      </c>
      <c r="BB186" s="36" t="b">
        <f t="shared" ref="BB186" si="1650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10">
        <f t="shared" ref="BC186" si="1651">_xlfn.AGGREGATE(9,6,CH186:CS186)-_xlfn.AGGREGATE(9,6,BV186:CG186)+12</f>
        <v>250</v>
      </c>
      <c r="BD186" s="40" t="s">
        <v>23</v>
      </c>
      <c r="BE186" s="9" t="s">
        <v>1297</v>
      </c>
      <c r="BF186" s="121">
        <v>2.87</v>
      </c>
      <c r="BG186" s="51" t="s">
        <v>1</v>
      </c>
      <c r="BH186" s="51" t="s">
        <v>1</v>
      </c>
      <c r="BJ186" s="112" t="s">
        <v>1293</v>
      </c>
      <c r="BK186" s="113" t="s">
        <v>1293</v>
      </c>
      <c r="BL186" s="113" t="s">
        <v>1293</v>
      </c>
      <c r="BM186" s="113" t="s">
        <v>1293</v>
      </c>
      <c r="BN186" s="113" t="s">
        <v>1293</v>
      </c>
      <c r="BO186" s="113" t="s">
        <v>1293</v>
      </c>
      <c r="BP186" s="113" t="s">
        <v>1293</v>
      </c>
      <c r="BQ186" s="113" t="s">
        <v>1293</v>
      </c>
      <c r="BR186" s="113" t="s">
        <v>1293</v>
      </c>
      <c r="BS186" s="113" t="s">
        <v>1293</v>
      </c>
      <c r="BT186" s="113" t="s">
        <v>1293</v>
      </c>
      <c r="BU186" s="113" t="s">
        <v>1293</v>
      </c>
      <c r="BV186" s="112">
        <f t="shared" ref="BV186" si="1652">E186</f>
        <v>33</v>
      </c>
      <c r="BW186" s="114">
        <f t="shared" ref="BW186" si="1653">I186</f>
        <v>66</v>
      </c>
      <c r="BX186" s="115">
        <f t="shared" ref="BX186" si="1654">M186</f>
        <v>73</v>
      </c>
      <c r="BY186" s="114">
        <f t="shared" ref="BY186" si="1655">Q186</f>
        <v>102</v>
      </c>
      <c r="BZ186" s="115">
        <f t="shared" ref="BZ186" si="1656">U186</f>
        <v>107</v>
      </c>
      <c r="CA186" s="114" t="str">
        <f t="shared" ref="CA186" si="1657">Y186</f>
        <v>-</v>
      </c>
      <c r="CB186" s="115">
        <f t="shared" ref="CB186" si="1658">AC186</f>
        <v>149</v>
      </c>
      <c r="CC186" s="114">
        <f t="shared" ref="CC186" si="1659">AG186</f>
        <v>187</v>
      </c>
      <c r="CD186" s="115">
        <f t="shared" ref="CD186" si="1660">AK186</f>
        <v>199</v>
      </c>
      <c r="CE186" s="114">
        <f t="shared" ref="CE186" si="1661">AO186</f>
        <v>240</v>
      </c>
      <c r="CF186" s="115">
        <f t="shared" ref="CF186" si="1662">AS186</f>
        <v>284</v>
      </c>
      <c r="CG186" s="114">
        <f t="shared" ref="CG186" si="1663">AW186</f>
        <v>310</v>
      </c>
      <c r="CH186" s="112">
        <f t="shared" ref="CH186" si="1664">G186</f>
        <v>64</v>
      </c>
      <c r="CI186" s="114">
        <f t="shared" ref="CI186" si="1665">K186</f>
        <v>69</v>
      </c>
      <c r="CJ186" s="115">
        <f t="shared" ref="CJ186" si="1666">O186</f>
        <v>101</v>
      </c>
      <c r="CK186" s="115">
        <f t="shared" ref="CK186" si="1667">S186</f>
        <v>106</v>
      </c>
      <c r="CL186" s="115">
        <f t="shared" ref="CL186" si="1668">W186</f>
        <v>141</v>
      </c>
      <c r="CM186" s="115" t="str">
        <f t="shared" ref="CM186" si="1669">AA186</f>
        <v>-</v>
      </c>
      <c r="CN186" s="115">
        <f t="shared" ref="CN186" si="1670">AE186</f>
        <v>173</v>
      </c>
      <c r="CO186" s="115">
        <f t="shared" ref="CO186" si="1671">AI186</f>
        <v>189</v>
      </c>
      <c r="CP186" s="115">
        <f t="shared" ref="CP186" si="1672">AM186</f>
        <v>236</v>
      </c>
      <c r="CQ186" s="115">
        <f t="shared" ref="CQ186" si="1673">AQ186</f>
        <v>278</v>
      </c>
      <c r="CR186" s="115">
        <f t="shared" ref="CR186" si="1674">AU186</f>
        <v>309</v>
      </c>
      <c r="CS186" s="115">
        <f t="shared" ref="CS186" si="1675">AY186</f>
        <v>322</v>
      </c>
      <c r="CT186" s="110">
        <f t="shared" ref="CT186" si="1676">M186-K186</f>
        <v>4</v>
      </c>
    </row>
    <row r="187" spans="1:1030" s="12" customFormat="1" x14ac:dyDescent="0.2">
      <c r="A187" s="9" t="str">
        <f t="shared" ref="A187" si="1677">CONCATENATE(B187,"_",C187)</f>
        <v>opsd_bovin_6FK9</v>
      </c>
      <c r="B187" s="9" t="s">
        <v>920</v>
      </c>
      <c r="C187" s="9" t="s">
        <v>1498</v>
      </c>
      <c r="D187" s="9" t="str">
        <f>IFERROR(MID(VLOOKUP($B187,Seqs!$A:$B,2,0),E187,1),"")</f>
        <v>E</v>
      </c>
      <c r="E187" s="9">
        <v>33</v>
      </c>
      <c r="F187" s="9" t="str">
        <f>IFERROR(MID(VLOOKUP($B187,Seqs!$A:$B,2,0),G187,1),"")</f>
        <v>Q</v>
      </c>
      <c r="G187" s="9">
        <v>64</v>
      </c>
      <c r="H187" s="9" t="str">
        <f>IFERROR(MID(VLOOKUP($B187,Seqs!$A:$B,2,0),I187,1),"")</f>
        <v>K</v>
      </c>
      <c r="I187" s="110">
        <v>66</v>
      </c>
      <c r="J187" s="9" t="str">
        <f>IFERROR(MID(VLOOKUP($B187,Seqs!$A:$B,2,0),K187,1),"")</f>
        <v>R</v>
      </c>
      <c r="K187" s="110">
        <v>69</v>
      </c>
      <c r="L187" s="9" t="str">
        <f>IFERROR(MID(VLOOKUP($B187,Seqs!$A:$B,2,0),M187,1),"")</f>
        <v>N</v>
      </c>
      <c r="M187" s="9">
        <v>73</v>
      </c>
      <c r="N187" s="9" t="str">
        <f>IFERROR(MID(VLOOKUP($B187,Seqs!$A:$B,2,0),O187,1),"")</f>
        <v>G</v>
      </c>
      <c r="O187" s="9">
        <v>101</v>
      </c>
      <c r="P187" s="9" t="str">
        <f>IFERROR(MID(VLOOKUP($B187,Seqs!$A:$B,2,0),Q187,1),"")</f>
        <v>Y</v>
      </c>
      <c r="Q187" s="9">
        <v>102</v>
      </c>
      <c r="R187" s="9" t="str">
        <f>IFERROR(MID(VLOOKUP($B187,Seqs!$A:$B,2,0),S187,1),"")</f>
        <v>G</v>
      </c>
      <c r="S187" s="9">
        <v>106</v>
      </c>
      <c r="T187" s="9" t="str">
        <f>IFERROR(MID(VLOOKUP($B187,Seqs!$A:$B,2,0),U187,1),"")</f>
        <v>P</v>
      </c>
      <c r="U187" s="9">
        <v>107</v>
      </c>
      <c r="V187" s="9" t="str">
        <f>IFERROR(MID(VLOOKUP($B187,Seqs!$A:$B,2,0),W187,1),"")</f>
        <v>K</v>
      </c>
      <c r="W187" s="9">
        <v>141</v>
      </c>
      <c r="X187" s="9" t="str">
        <f>IFERROR(MID(VLOOKUP($B187,Seqs!$A:$B,2,0),Y187,1),"")</f>
        <v/>
      </c>
      <c r="Y187" s="9" t="s">
        <v>23</v>
      </c>
      <c r="Z187" s="9" t="str">
        <f>IFERROR(MID(VLOOKUP($B187,Seqs!$A:$B,2,0),AA187,1),"")</f>
        <v/>
      </c>
      <c r="AA187" s="9" t="s">
        <v>23</v>
      </c>
      <c r="AB187" s="9" t="str">
        <f>IFERROR(MID(VLOOKUP($B187,Seqs!$A:$B,2,0),AC187,1),"")</f>
        <v>G</v>
      </c>
      <c r="AC187" s="9">
        <v>149</v>
      </c>
      <c r="AD187" s="9" t="str">
        <f>IFERROR(MID(VLOOKUP($B187,Seqs!$A:$B,2,0),AE187,1),"")</f>
        <v>V</v>
      </c>
      <c r="AE187" s="9">
        <v>173</v>
      </c>
      <c r="AF187" s="9" t="str">
        <f>IFERROR(MID(VLOOKUP($B187,Seqs!$A:$B,2,0),AG187,1),"")</f>
        <v>C</v>
      </c>
      <c r="AG187" s="9">
        <v>187</v>
      </c>
      <c r="AH187" s="9" t="str">
        <f>IFERROR(MID(VLOOKUP($B187,Seqs!$A:$B,2,0),AI187,1),"")</f>
        <v>I</v>
      </c>
      <c r="AI187" s="9">
        <v>189</v>
      </c>
      <c r="AJ187" s="9" t="str">
        <f>IFERROR(MID(VLOOKUP($B187,Seqs!$A:$B,2,0),AK187,1),"")</f>
        <v>N</v>
      </c>
      <c r="AK187" s="9">
        <v>199</v>
      </c>
      <c r="AL187" s="9" t="str">
        <f>IFERROR(MID(VLOOKUP($B187,Seqs!$A:$B,2,0),AM187,1),"")</f>
        <v>Q</v>
      </c>
      <c r="AM187" s="9">
        <v>236</v>
      </c>
      <c r="AN187" s="9" t="str">
        <f>IFERROR(MID(VLOOKUP($B187,Seqs!$A:$B,2,0),AO187,1),"")</f>
        <v>S</v>
      </c>
      <c r="AO187" s="9">
        <v>240</v>
      </c>
      <c r="AP187" s="9" t="str">
        <f>IFERROR(MID(VLOOKUP($B187,Seqs!$A:$B,2,0),AQ187,1),"")</f>
        <v>H</v>
      </c>
      <c r="AQ187" s="9">
        <v>278</v>
      </c>
      <c r="AR187" s="9" t="str">
        <f>IFERROR(MID(VLOOKUP($B187,Seqs!$A:$B,2,0),AS187,1),"")</f>
        <v>G</v>
      </c>
      <c r="AS187" s="9">
        <v>284</v>
      </c>
      <c r="AT187" s="9" t="str">
        <f>IFERROR(MID(VLOOKUP($B187,Seqs!$A:$B,2,0),AU187,1),"")</f>
        <v>M</v>
      </c>
      <c r="AU187" s="9">
        <v>309</v>
      </c>
      <c r="AV187" s="9" t="str">
        <f>IFERROR(MID(VLOOKUP($B187,Seqs!$A:$B,2,0),AW187,1),"")</f>
        <v>N</v>
      </c>
      <c r="AW187" s="9">
        <v>310</v>
      </c>
      <c r="AX187" s="9" t="str">
        <f>IFERROR(MID(VLOOKUP($B187,Seqs!$A:$B,2,0),AY187,1),"")</f>
        <v>C</v>
      </c>
      <c r="AY187" s="9">
        <v>322</v>
      </c>
      <c r="AZ187" s="111" t="str">
        <f>VLOOKUP(B187,Classification!A:D,2,0)</f>
        <v>A</v>
      </c>
      <c r="BA187" s="99" t="str">
        <f>VLOOKUP(B187,Classification!A:D,4,0)</f>
        <v>Opsins</v>
      </c>
      <c r="BB187" s="36" t="b">
        <f t="shared" ref="BB187" si="1678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10">
        <f t="shared" ref="BC187" si="1679">_xlfn.AGGREGATE(9,6,CH187:CS187)-_xlfn.AGGREGATE(9,6,BV187:CG187)+12</f>
        <v>250</v>
      </c>
      <c r="BD187" s="40" t="s">
        <v>23</v>
      </c>
      <c r="BE187" s="9" t="s">
        <v>1297</v>
      </c>
      <c r="BF187" s="121">
        <v>2.63</v>
      </c>
      <c r="BG187" s="51" t="s">
        <v>1</v>
      </c>
      <c r="BH187" s="51" t="s">
        <v>1</v>
      </c>
      <c r="BJ187" s="112" t="s">
        <v>1293</v>
      </c>
      <c r="BK187" s="113" t="s">
        <v>1293</v>
      </c>
      <c r="BL187" s="113" t="s">
        <v>1293</v>
      </c>
      <c r="BM187" s="113" t="s">
        <v>1293</v>
      </c>
      <c r="BN187" s="113" t="s">
        <v>1293</v>
      </c>
      <c r="BO187" s="113" t="s">
        <v>1293</v>
      </c>
      <c r="BP187" s="113" t="s">
        <v>1293</v>
      </c>
      <c r="BQ187" s="113" t="s">
        <v>1293</v>
      </c>
      <c r="BR187" s="113" t="s">
        <v>1293</v>
      </c>
      <c r="BS187" s="113" t="s">
        <v>1293</v>
      </c>
      <c r="BT187" s="113" t="s">
        <v>1293</v>
      </c>
      <c r="BU187" s="113" t="s">
        <v>1293</v>
      </c>
      <c r="BV187" s="112">
        <f t="shared" ref="BV187" si="1680">E187</f>
        <v>33</v>
      </c>
      <c r="BW187" s="114">
        <f t="shared" ref="BW187" si="1681">I187</f>
        <v>66</v>
      </c>
      <c r="BX187" s="115">
        <f t="shared" ref="BX187" si="1682">M187</f>
        <v>73</v>
      </c>
      <c r="BY187" s="114">
        <f t="shared" ref="BY187" si="1683">Q187</f>
        <v>102</v>
      </c>
      <c r="BZ187" s="115">
        <f t="shared" ref="BZ187" si="1684">U187</f>
        <v>107</v>
      </c>
      <c r="CA187" s="114" t="str">
        <f t="shared" ref="CA187" si="1685">Y187</f>
        <v>-</v>
      </c>
      <c r="CB187" s="115">
        <f t="shared" ref="CB187" si="1686">AC187</f>
        <v>149</v>
      </c>
      <c r="CC187" s="114">
        <f t="shared" ref="CC187" si="1687">AG187</f>
        <v>187</v>
      </c>
      <c r="CD187" s="115">
        <f t="shared" ref="CD187" si="1688">AK187</f>
        <v>199</v>
      </c>
      <c r="CE187" s="114">
        <f t="shared" ref="CE187" si="1689">AO187</f>
        <v>240</v>
      </c>
      <c r="CF187" s="115">
        <f t="shared" ref="CF187" si="1690">AS187</f>
        <v>284</v>
      </c>
      <c r="CG187" s="114">
        <f t="shared" ref="CG187" si="1691">AW187</f>
        <v>310</v>
      </c>
      <c r="CH187" s="112">
        <f t="shared" ref="CH187" si="1692">G187</f>
        <v>64</v>
      </c>
      <c r="CI187" s="114">
        <f t="shared" ref="CI187" si="1693">K187</f>
        <v>69</v>
      </c>
      <c r="CJ187" s="115">
        <f t="shared" ref="CJ187" si="1694">O187</f>
        <v>101</v>
      </c>
      <c r="CK187" s="115">
        <f t="shared" ref="CK187" si="1695">S187</f>
        <v>106</v>
      </c>
      <c r="CL187" s="115">
        <f t="shared" ref="CL187" si="1696">W187</f>
        <v>141</v>
      </c>
      <c r="CM187" s="115" t="str">
        <f t="shared" ref="CM187" si="1697">AA187</f>
        <v>-</v>
      </c>
      <c r="CN187" s="115">
        <f t="shared" ref="CN187" si="1698">AE187</f>
        <v>173</v>
      </c>
      <c r="CO187" s="115">
        <f t="shared" ref="CO187" si="1699">AI187</f>
        <v>189</v>
      </c>
      <c r="CP187" s="115">
        <f t="shared" ref="CP187" si="1700">AM187</f>
        <v>236</v>
      </c>
      <c r="CQ187" s="115">
        <f t="shared" ref="CQ187" si="1701">AQ187</f>
        <v>278</v>
      </c>
      <c r="CR187" s="115">
        <f t="shared" ref="CR187" si="1702">AU187</f>
        <v>309</v>
      </c>
      <c r="CS187" s="115">
        <f t="shared" ref="CS187" si="1703">AY187</f>
        <v>322</v>
      </c>
      <c r="CT187" s="110">
        <f t="shared" ref="CT187" si="1704">M187-K187</f>
        <v>4</v>
      </c>
    </row>
    <row r="188" spans="1:1030" s="12" customFormat="1" x14ac:dyDescent="0.2">
      <c r="A188" s="9" t="str">
        <f t="shared" ref="A188" si="1705">CONCATENATE(B188,"_",C188)</f>
        <v>opsd_bovin_6FKA</v>
      </c>
      <c r="B188" s="9" t="s">
        <v>920</v>
      </c>
      <c r="C188" s="9" t="s">
        <v>1499</v>
      </c>
      <c r="D188" s="9" t="str">
        <f>IFERROR(MID(VLOOKUP($B188,Seqs!$A:$B,2,0),E188,1),"")</f>
        <v>E</v>
      </c>
      <c r="E188" s="9">
        <v>33</v>
      </c>
      <c r="F188" s="9" t="str">
        <f>IFERROR(MID(VLOOKUP($B188,Seqs!$A:$B,2,0),G188,1),"")</f>
        <v>Q</v>
      </c>
      <c r="G188" s="9">
        <v>64</v>
      </c>
      <c r="H188" s="9" t="str">
        <f>IFERROR(MID(VLOOKUP($B188,Seqs!$A:$B,2,0),I188,1),"")</f>
        <v>K</v>
      </c>
      <c r="I188" s="110">
        <v>66</v>
      </c>
      <c r="J188" s="9" t="str">
        <f>IFERROR(MID(VLOOKUP($B188,Seqs!$A:$B,2,0),K188,1),"")</f>
        <v>R</v>
      </c>
      <c r="K188" s="110">
        <v>69</v>
      </c>
      <c r="L188" s="9" t="str">
        <f>IFERROR(MID(VLOOKUP($B188,Seqs!$A:$B,2,0),M188,1),"")</f>
        <v>N</v>
      </c>
      <c r="M188" s="9">
        <v>73</v>
      </c>
      <c r="N188" s="9" t="str">
        <f>IFERROR(MID(VLOOKUP($B188,Seqs!$A:$B,2,0),O188,1),"")</f>
        <v>G</v>
      </c>
      <c r="O188" s="9">
        <v>101</v>
      </c>
      <c r="P188" s="9" t="str">
        <f>IFERROR(MID(VLOOKUP($B188,Seqs!$A:$B,2,0),Q188,1),"")</f>
        <v>Y</v>
      </c>
      <c r="Q188" s="9">
        <v>102</v>
      </c>
      <c r="R188" s="9" t="str">
        <f>IFERROR(MID(VLOOKUP($B188,Seqs!$A:$B,2,0),S188,1),"")</f>
        <v>G</v>
      </c>
      <c r="S188" s="9">
        <v>106</v>
      </c>
      <c r="T188" s="9" t="str">
        <f>IFERROR(MID(VLOOKUP($B188,Seqs!$A:$B,2,0),U188,1),"")</f>
        <v>P</v>
      </c>
      <c r="U188" s="9">
        <v>107</v>
      </c>
      <c r="V188" s="9" t="str">
        <f>IFERROR(MID(VLOOKUP($B188,Seqs!$A:$B,2,0),W188,1),"")</f>
        <v>K</v>
      </c>
      <c r="W188" s="9">
        <v>141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G</v>
      </c>
      <c r="AC188" s="9">
        <v>149</v>
      </c>
      <c r="AD188" s="9" t="str">
        <f>IFERROR(MID(VLOOKUP($B188,Seqs!$A:$B,2,0),AE188,1),"")</f>
        <v>V</v>
      </c>
      <c r="AE188" s="9">
        <v>173</v>
      </c>
      <c r="AF188" s="9" t="str">
        <f>IFERROR(MID(VLOOKUP($B188,Seqs!$A:$B,2,0),AG188,1),"")</f>
        <v>C</v>
      </c>
      <c r="AG188" s="9">
        <v>187</v>
      </c>
      <c r="AH188" s="9" t="str">
        <f>IFERROR(MID(VLOOKUP($B188,Seqs!$A:$B,2,0),AI188,1),"")</f>
        <v>I</v>
      </c>
      <c r="AI188" s="9">
        <v>189</v>
      </c>
      <c r="AJ188" s="9" t="str">
        <f>IFERROR(MID(VLOOKUP($B188,Seqs!$A:$B,2,0),AK188,1),"")</f>
        <v>N</v>
      </c>
      <c r="AK188" s="9">
        <v>199</v>
      </c>
      <c r="AL188" s="9" t="str">
        <f>IFERROR(MID(VLOOKUP($B188,Seqs!$A:$B,2,0),AM188,1),"")</f>
        <v>Q</v>
      </c>
      <c r="AM188" s="9">
        <v>236</v>
      </c>
      <c r="AN188" s="9" t="str">
        <f>IFERROR(MID(VLOOKUP($B188,Seqs!$A:$B,2,0),AO188,1),"")</f>
        <v>S</v>
      </c>
      <c r="AO188" s="9">
        <v>240</v>
      </c>
      <c r="AP188" s="9" t="str">
        <f>IFERROR(MID(VLOOKUP($B188,Seqs!$A:$B,2,0),AQ188,1),"")</f>
        <v>H</v>
      </c>
      <c r="AQ188" s="9">
        <v>278</v>
      </c>
      <c r="AR188" s="9" t="str">
        <f>IFERROR(MID(VLOOKUP($B188,Seqs!$A:$B,2,0),AS188,1),"")</f>
        <v>G</v>
      </c>
      <c r="AS188" s="9">
        <v>284</v>
      </c>
      <c r="AT188" s="9" t="str">
        <f>IFERROR(MID(VLOOKUP($B188,Seqs!$A:$B,2,0),AU188,1),"")</f>
        <v>M</v>
      </c>
      <c r="AU188" s="9">
        <v>309</v>
      </c>
      <c r="AV188" s="9" t="str">
        <f>IFERROR(MID(VLOOKUP($B188,Seqs!$A:$B,2,0),AW188,1),"")</f>
        <v>N</v>
      </c>
      <c r="AW188" s="9">
        <v>310</v>
      </c>
      <c r="AX188" s="9" t="str">
        <f>IFERROR(MID(VLOOKUP($B188,Seqs!$A:$B,2,0),AY188,1),"")</f>
        <v>C</v>
      </c>
      <c r="AY188" s="9">
        <v>322</v>
      </c>
      <c r="AZ188" s="111" t="str">
        <f>VLOOKUP(B188,Classification!A:D,2,0)</f>
        <v>A</v>
      </c>
      <c r="BA188" s="99" t="str">
        <f>VLOOKUP(B188,Classification!A:D,4,0)</f>
        <v>Opsins</v>
      </c>
      <c r="BB188" s="36" t="b">
        <f t="shared" ref="BB188" si="1706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10">
        <f t="shared" ref="BC188" si="1707">_xlfn.AGGREGATE(9,6,CH188:CS188)-_xlfn.AGGREGATE(9,6,BV188:CG188)+12</f>
        <v>250</v>
      </c>
      <c r="BD188" s="40" t="s">
        <v>23</v>
      </c>
      <c r="BE188" s="9" t="s">
        <v>1297</v>
      </c>
      <c r="BF188" s="121">
        <v>2.7</v>
      </c>
      <c r="BG188" s="51" t="s">
        <v>1</v>
      </c>
      <c r="BH188" s="51" t="s">
        <v>1</v>
      </c>
      <c r="BJ188" s="112" t="s">
        <v>1293</v>
      </c>
      <c r="BK188" s="113" t="s">
        <v>1293</v>
      </c>
      <c r="BL188" s="113" t="s">
        <v>1293</v>
      </c>
      <c r="BM188" s="113" t="s">
        <v>1293</v>
      </c>
      <c r="BN188" s="113" t="s">
        <v>1293</v>
      </c>
      <c r="BO188" s="113" t="s">
        <v>1293</v>
      </c>
      <c r="BP188" s="113" t="s">
        <v>1293</v>
      </c>
      <c r="BQ188" s="113" t="s">
        <v>1293</v>
      </c>
      <c r="BR188" s="113" t="s">
        <v>1293</v>
      </c>
      <c r="BS188" s="113" t="s">
        <v>1293</v>
      </c>
      <c r="BT188" s="113" t="s">
        <v>1293</v>
      </c>
      <c r="BU188" s="113" t="s">
        <v>1293</v>
      </c>
      <c r="BV188" s="112">
        <f t="shared" ref="BV188" si="1708">E188</f>
        <v>33</v>
      </c>
      <c r="BW188" s="114">
        <f t="shared" ref="BW188" si="1709">I188</f>
        <v>66</v>
      </c>
      <c r="BX188" s="115">
        <f t="shared" ref="BX188" si="1710">M188</f>
        <v>73</v>
      </c>
      <c r="BY188" s="114">
        <f t="shared" ref="BY188" si="1711">Q188</f>
        <v>102</v>
      </c>
      <c r="BZ188" s="115">
        <f t="shared" ref="BZ188" si="1712">U188</f>
        <v>107</v>
      </c>
      <c r="CA188" s="114" t="str">
        <f t="shared" ref="CA188" si="1713">Y188</f>
        <v>-</v>
      </c>
      <c r="CB188" s="115">
        <f t="shared" ref="CB188" si="1714">AC188</f>
        <v>149</v>
      </c>
      <c r="CC188" s="114">
        <f t="shared" ref="CC188" si="1715">AG188</f>
        <v>187</v>
      </c>
      <c r="CD188" s="115">
        <f t="shared" ref="CD188" si="1716">AK188</f>
        <v>199</v>
      </c>
      <c r="CE188" s="114">
        <f t="shared" ref="CE188" si="1717">AO188</f>
        <v>240</v>
      </c>
      <c r="CF188" s="115">
        <f t="shared" ref="CF188" si="1718">AS188</f>
        <v>284</v>
      </c>
      <c r="CG188" s="114">
        <f t="shared" ref="CG188" si="1719">AW188</f>
        <v>310</v>
      </c>
      <c r="CH188" s="112">
        <f t="shared" ref="CH188" si="1720">G188</f>
        <v>64</v>
      </c>
      <c r="CI188" s="114">
        <f t="shared" ref="CI188" si="1721">K188</f>
        <v>69</v>
      </c>
      <c r="CJ188" s="115">
        <f t="shared" ref="CJ188" si="1722">O188</f>
        <v>101</v>
      </c>
      <c r="CK188" s="115">
        <f t="shared" ref="CK188" si="1723">S188</f>
        <v>106</v>
      </c>
      <c r="CL188" s="115">
        <f t="shared" ref="CL188" si="1724">W188</f>
        <v>141</v>
      </c>
      <c r="CM188" s="115" t="str">
        <f t="shared" ref="CM188" si="1725">AA188</f>
        <v>-</v>
      </c>
      <c r="CN188" s="115">
        <f t="shared" ref="CN188" si="1726">AE188</f>
        <v>173</v>
      </c>
      <c r="CO188" s="115">
        <f t="shared" ref="CO188" si="1727">AI188</f>
        <v>189</v>
      </c>
      <c r="CP188" s="115">
        <f t="shared" ref="CP188" si="1728">AM188</f>
        <v>236</v>
      </c>
      <c r="CQ188" s="115">
        <f t="shared" ref="CQ188" si="1729">AQ188</f>
        <v>278</v>
      </c>
      <c r="CR188" s="115">
        <f t="shared" ref="CR188" si="1730">AU188</f>
        <v>309</v>
      </c>
      <c r="CS188" s="115">
        <f t="shared" ref="CS188" si="1731">AY188</f>
        <v>322</v>
      </c>
      <c r="CT188" s="110">
        <f t="shared" ref="CT188" si="1732">M188-K188</f>
        <v>4</v>
      </c>
    </row>
    <row r="189" spans="1:1030" s="12" customFormat="1" x14ac:dyDescent="0.2">
      <c r="A189" s="9" t="str">
        <f t="shared" ref="A189" si="1733">CONCATENATE(B189,"_",C189)</f>
        <v>opsd_bovin_6FKB</v>
      </c>
      <c r="B189" s="9" t="s">
        <v>920</v>
      </c>
      <c r="C189" s="9" t="s">
        <v>1500</v>
      </c>
      <c r="D189" s="9" t="str">
        <f>IFERROR(MID(VLOOKUP($B189,Seqs!$A:$B,2,0),E189,1),"")</f>
        <v>E</v>
      </c>
      <c r="E189" s="9">
        <v>33</v>
      </c>
      <c r="F189" s="9" t="str">
        <f>IFERROR(MID(VLOOKUP($B189,Seqs!$A:$B,2,0),G189,1),"")</f>
        <v>Q</v>
      </c>
      <c r="G189" s="9">
        <v>64</v>
      </c>
      <c r="H189" s="9" t="str">
        <f>IFERROR(MID(VLOOKUP($B189,Seqs!$A:$B,2,0),I189,1),"")</f>
        <v>K</v>
      </c>
      <c r="I189" s="110">
        <v>66</v>
      </c>
      <c r="J189" s="9" t="str">
        <f>IFERROR(MID(VLOOKUP($B189,Seqs!$A:$B,2,0),K189,1),"")</f>
        <v>R</v>
      </c>
      <c r="K189" s="110">
        <v>69</v>
      </c>
      <c r="L189" s="9" t="str">
        <f>IFERROR(MID(VLOOKUP($B189,Seqs!$A:$B,2,0),M189,1),"")</f>
        <v>N</v>
      </c>
      <c r="M189" s="9">
        <v>73</v>
      </c>
      <c r="N189" s="9" t="str">
        <f>IFERROR(MID(VLOOKUP($B189,Seqs!$A:$B,2,0),O189,1),"")</f>
        <v>G</v>
      </c>
      <c r="O189" s="9">
        <v>101</v>
      </c>
      <c r="P189" s="9" t="str">
        <f>IFERROR(MID(VLOOKUP($B189,Seqs!$A:$B,2,0),Q189,1),"")</f>
        <v>Y</v>
      </c>
      <c r="Q189" s="9">
        <v>102</v>
      </c>
      <c r="R189" s="9" t="str">
        <f>IFERROR(MID(VLOOKUP($B189,Seqs!$A:$B,2,0),S189,1),"")</f>
        <v>G</v>
      </c>
      <c r="S189" s="9">
        <v>106</v>
      </c>
      <c r="T189" s="9" t="str">
        <f>IFERROR(MID(VLOOKUP($B189,Seqs!$A:$B,2,0),U189,1),"")</f>
        <v>P</v>
      </c>
      <c r="U189" s="9">
        <v>107</v>
      </c>
      <c r="V189" s="9" t="str">
        <f>IFERROR(MID(VLOOKUP($B189,Seqs!$A:$B,2,0),W189,1),"")</f>
        <v>K</v>
      </c>
      <c r="W189" s="9">
        <v>141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G</v>
      </c>
      <c r="AC189" s="9">
        <v>149</v>
      </c>
      <c r="AD189" s="9" t="str">
        <f>IFERROR(MID(VLOOKUP($B189,Seqs!$A:$B,2,0),AE189,1),"")</f>
        <v>V</v>
      </c>
      <c r="AE189" s="9">
        <v>173</v>
      </c>
      <c r="AF189" s="9" t="str">
        <f>IFERROR(MID(VLOOKUP($B189,Seqs!$A:$B,2,0),AG189,1),"")</f>
        <v>C</v>
      </c>
      <c r="AG189" s="9">
        <v>187</v>
      </c>
      <c r="AH189" s="9" t="str">
        <f>IFERROR(MID(VLOOKUP($B189,Seqs!$A:$B,2,0),AI189,1),"")</f>
        <v>I</v>
      </c>
      <c r="AI189" s="9">
        <v>189</v>
      </c>
      <c r="AJ189" s="9" t="str">
        <f>IFERROR(MID(VLOOKUP($B189,Seqs!$A:$B,2,0),AK189,1),"")</f>
        <v>N</v>
      </c>
      <c r="AK189" s="9">
        <v>199</v>
      </c>
      <c r="AL189" s="9" t="str">
        <f>IFERROR(MID(VLOOKUP($B189,Seqs!$A:$B,2,0),AM189,1),"")</f>
        <v>Q</v>
      </c>
      <c r="AM189" s="9">
        <v>236</v>
      </c>
      <c r="AN189" s="9" t="str">
        <f>IFERROR(MID(VLOOKUP($B189,Seqs!$A:$B,2,0),AO189,1),"")</f>
        <v>S</v>
      </c>
      <c r="AO189" s="9">
        <v>240</v>
      </c>
      <c r="AP189" s="9" t="str">
        <f>IFERROR(MID(VLOOKUP($B189,Seqs!$A:$B,2,0),AQ189,1),"")</f>
        <v>H</v>
      </c>
      <c r="AQ189" s="9">
        <v>278</v>
      </c>
      <c r="AR189" s="9" t="str">
        <f>IFERROR(MID(VLOOKUP($B189,Seqs!$A:$B,2,0),AS189,1),"")</f>
        <v>G</v>
      </c>
      <c r="AS189" s="9">
        <v>284</v>
      </c>
      <c r="AT189" s="9" t="str">
        <f>IFERROR(MID(VLOOKUP($B189,Seqs!$A:$B,2,0),AU189,1),"")</f>
        <v>M</v>
      </c>
      <c r="AU189" s="9">
        <v>309</v>
      </c>
      <c r="AV189" s="9" t="str">
        <f>IFERROR(MID(VLOOKUP($B189,Seqs!$A:$B,2,0),AW189,1),"")</f>
        <v>N</v>
      </c>
      <c r="AW189" s="9">
        <v>310</v>
      </c>
      <c r="AX189" s="9" t="str">
        <f>IFERROR(MID(VLOOKUP($B189,Seqs!$A:$B,2,0),AY189,1),"")</f>
        <v>C</v>
      </c>
      <c r="AY189" s="9">
        <v>322</v>
      </c>
      <c r="AZ189" s="111" t="str">
        <f>VLOOKUP(B189,Classification!A:D,2,0)</f>
        <v>A</v>
      </c>
      <c r="BA189" s="99" t="str">
        <f>VLOOKUP(B189,Classification!A:D,4,0)</f>
        <v>Opsins</v>
      </c>
      <c r="BB189" s="36" t="b">
        <f t="shared" ref="BB189" si="1734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0">
        <f t="shared" ref="BC189" si="1735">_xlfn.AGGREGATE(9,6,CH189:CS189)-_xlfn.AGGREGATE(9,6,BV189:CG189)+12</f>
        <v>250</v>
      </c>
      <c r="BD189" s="40" t="s">
        <v>23</v>
      </c>
      <c r="BE189" s="9" t="s">
        <v>1297</v>
      </c>
      <c r="BF189" s="121">
        <v>3.03</v>
      </c>
      <c r="BG189" s="51" t="s">
        <v>1</v>
      </c>
      <c r="BH189" s="51" t="s">
        <v>1</v>
      </c>
      <c r="BJ189" s="112" t="s">
        <v>1293</v>
      </c>
      <c r="BK189" s="113" t="s">
        <v>1293</v>
      </c>
      <c r="BL189" s="113" t="s">
        <v>1293</v>
      </c>
      <c r="BM189" s="113" t="s">
        <v>1293</v>
      </c>
      <c r="BN189" s="113" t="s">
        <v>1293</v>
      </c>
      <c r="BO189" s="113" t="s">
        <v>1293</v>
      </c>
      <c r="BP189" s="113" t="s">
        <v>1293</v>
      </c>
      <c r="BQ189" s="113" t="s">
        <v>1293</v>
      </c>
      <c r="BR189" s="113" t="s">
        <v>1293</v>
      </c>
      <c r="BS189" s="113" t="s">
        <v>1293</v>
      </c>
      <c r="BT189" s="113" t="s">
        <v>1293</v>
      </c>
      <c r="BU189" s="113" t="s">
        <v>1293</v>
      </c>
      <c r="BV189" s="112">
        <f t="shared" ref="BV189" si="1736">E189</f>
        <v>33</v>
      </c>
      <c r="BW189" s="114">
        <f t="shared" ref="BW189" si="1737">I189</f>
        <v>66</v>
      </c>
      <c r="BX189" s="115">
        <f t="shared" ref="BX189" si="1738">M189</f>
        <v>73</v>
      </c>
      <c r="BY189" s="114">
        <f t="shared" ref="BY189" si="1739">Q189</f>
        <v>102</v>
      </c>
      <c r="BZ189" s="115">
        <f t="shared" ref="BZ189" si="1740">U189</f>
        <v>107</v>
      </c>
      <c r="CA189" s="114" t="str">
        <f t="shared" ref="CA189" si="1741">Y189</f>
        <v>-</v>
      </c>
      <c r="CB189" s="115">
        <f t="shared" ref="CB189" si="1742">AC189</f>
        <v>149</v>
      </c>
      <c r="CC189" s="114">
        <f t="shared" ref="CC189" si="1743">AG189</f>
        <v>187</v>
      </c>
      <c r="CD189" s="115">
        <f t="shared" ref="CD189" si="1744">AK189</f>
        <v>199</v>
      </c>
      <c r="CE189" s="114">
        <f t="shared" ref="CE189" si="1745">AO189</f>
        <v>240</v>
      </c>
      <c r="CF189" s="115">
        <f t="shared" ref="CF189" si="1746">AS189</f>
        <v>284</v>
      </c>
      <c r="CG189" s="114">
        <f t="shared" ref="CG189" si="1747">AW189</f>
        <v>310</v>
      </c>
      <c r="CH189" s="112">
        <f t="shared" ref="CH189" si="1748">G189</f>
        <v>64</v>
      </c>
      <c r="CI189" s="114">
        <f t="shared" ref="CI189" si="1749">K189</f>
        <v>69</v>
      </c>
      <c r="CJ189" s="115">
        <f t="shared" ref="CJ189" si="1750">O189</f>
        <v>101</v>
      </c>
      <c r="CK189" s="115">
        <f t="shared" ref="CK189" si="1751">S189</f>
        <v>106</v>
      </c>
      <c r="CL189" s="115">
        <f t="shared" ref="CL189" si="1752">W189</f>
        <v>141</v>
      </c>
      <c r="CM189" s="115" t="str">
        <f t="shared" ref="CM189" si="1753">AA189</f>
        <v>-</v>
      </c>
      <c r="CN189" s="115">
        <f t="shared" ref="CN189" si="1754">AE189</f>
        <v>173</v>
      </c>
      <c r="CO189" s="115">
        <f t="shared" ref="CO189" si="1755">AI189</f>
        <v>189</v>
      </c>
      <c r="CP189" s="115">
        <f t="shared" ref="CP189" si="1756">AM189</f>
        <v>236</v>
      </c>
      <c r="CQ189" s="115">
        <f t="shared" ref="CQ189" si="1757">AQ189</f>
        <v>278</v>
      </c>
      <c r="CR189" s="115">
        <f t="shared" ref="CR189" si="1758">AU189</f>
        <v>309</v>
      </c>
      <c r="CS189" s="115">
        <f t="shared" ref="CS189" si="1759">AY189</f>
        <v>322</v>
      </c>
      <c r="CT189" s="110">
        <f t="shared" ref="CT189" si="1760">M189-K189</f>
        <v>4</v>
      </c>
    </row>
    <row r="190" spans="1:1030" s="12" customFormat="1" x14ac:dyDescent="0.2">
      <c r="A190" s="9" t="str">
        <f t="shared" ref="A190" si="1761">CONCATENATE(B190,"_",C190)</f>
        <v>opsd_bovin_6FKC</v>
      </c>
      <c r="B190" s="9" t="s">
        <v>920</v>
      </c>
      <c r="C190" s="9" t="s">
        <v>1501</v>
      </c>
      <c r="D190" s="9" t="str">
        <f>IFERROR(MID(VLOOKUP($B190,Seqs!$A:$B,2,0),E190,1),"")</f>
        <v>E</v>
      </c>
      <c r="E190" s="9">
        <v>33</v>
      </c>
      <c r="F190" s="9" t="str">
        <f>IFERROR(MID(VLOOKUP($B190,Seqs!$A:$B,2,0),G190,1),"")</f>
        <v>Q</v>
      </c>
      <c r="G190" s="9">
        <v>64</v>
      </c>
      <c r="H190" s="9" t="str">
        <f>IFERROR(MID(VLOOKUP($B190,Seqs!$A:$B,2,0),I190,1),"")</f>
        <v>K</v>
      </c>
      <c r="I190" s="110">
        <v>66</v>
      </c>
      <c r="J190" s="9" t="str">
        <f>IFERROR(MID(VLOOKUP($B190,Seqs!$A:$B,2,0),K190,1),"")</f>
        <v>R</v>
      </c>
      <c r="K190" s="110">
        <v>69</v>
      </c>
      <c r="L190" s="9" t="str">
        <f>IFERROR(MID(VLOOKUP($B190,Seqs!$A:$B,2,0),M190,1),"")</f>
        <v>N</v>
      </c>
      <c r="M190" s="9">
        <v>73</v>
      </c>
      <c r="N190" s="9" t="str">
        <f>IFERROR(MID(VLOOKUP($B190,Seqs!$A:$B,2,0),O190,1),"")</f>
        <v>G</v>
      </c>
      <c r="O190" s="9">
        <v>101</v>
      </c>
      <c r="P190" s="9" t="str">
        <f>IFERROR(MID(VLOOKUP($B190,Seqs!$A:$B,2,0),Q190,1),"")</f>
        <v>Y</v>
      </c>
      <c r="Q190" s="9">
        <v>102</v>
      </c>
      <c r="R190" s="9" t="str">
        <f>IFERROR(MID(VLOOKUP($B190,Seqs!$A:$B,2,0),S190,1),"")</f>
        <v>G</v>
      </c>
      <c r="S190" s="9">
        <v>106</v>
      </c>
      <c r="T190" s="9" t="str">
        <f>IFERROR(MID(VLOOKUP($B190,Seqs!$A:$B,2,0),U190,1),"")</f>
        <v>P</v>
      </c>
      <c r="U190" s="9">
        <v>107</v>
      </c>
      <c r="V190" s="9" t="str">
        <f>IFERROR(MID(VLOOKUP($B190,Seqs!$A:$B,2,0),W190,1),"")</f>
        <v>K</v>
      </c>
      <c r="W190" s="9">
        <v>141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G</v>
      </c>
      <c r="AC190" s="9">
        <v>149</v>
      </c>
      <c r="AD190" s="9" t="str">
        <f>IFERROR(MID(VLOOKUP($B190,Seqs!$A:$B,2,0),AE190,1),"")</f>
        <v>V</v>
      </c>
      <c r="AE190" s="9">
        <v>173</v>
      </c>
      <c r="AF190" s="9" t="str">
        <f>IFERROR(MID(VLOOKUP($B190,Seqs!$A:$B,2,0),AG190,1),"")</f>
        <v>C</v>
      </c>
      <c r="AG190" s="9">
        <v>187</v>
      </c>
      <c r="AH190" s="9" t="str">
        <f>IFERROR(MID(VLOOKUP($B190,Seqs!$A:$B,2,0),AI190,1),"")</f>
        <v>I</v>
      </c>
      <c r="AI190" s="9">
        <v>189</v>
      </c>
      <c r="AJ190" s="9" t="str">
        <f>IFERROR(MID(VLOOKUP($B190,Seqs!$A:$B,2,0),AK190,1),"")</f>
        <v>N</v>
      </c>
      <c r="AK190" s="9">
        <v>199</v>
      </c>
      <c r="AL190" s="9" t="str">
        <f>IFERROR(MID(VLOOKUP($B190,Seqs!$A:$B,2,0),AM190,1),"")</f>
        <v>Q</v>
      </c>
      <c r="AM190" s="9">
        <v>236</v>
      </c>
      <c r="AN190" s="9" t="str">
        <f>IFERROR(MID(VLOOKUP($B190,Seqs!$A:$B,2,0),AO190,1),"")</f>
        <v>S</v>
      </c>
      <c r="AO190" s="9">
        <v>240</v>
      </c>
      <c r="AP190" s="9" t="str">
        <f>IFERROR(MID(VLOOKUP($B190,Seqs!$A:$B,2,0),AQ190,1),"")</f>
        <v>H</v>
      </c>
      <c r="AQ190" s="9">
        <v>278</v>
      </c>
      <c r="AR190" s="9" t="str">
        <f>IFERROR(MID(VLOOKUP($B190,Seqs!$A:$B,2,0),AS190,1),"")</f>
        <v>G</v>
      </c>
      <c r="AS190" s="9">
        <v>284</v>
      </c>
      <c r="AT190" s="9" t="str">
        <f>IFERROR(MID(VLOOKUP($B190,Seqs!$A:$B,2,0),AU190,1),"")</f>
        <v>M</v>
      </c>
      <c r="AU190" s="9">
        <v>309</v>
      </c>
      <c r="AV190" s="9" t="str">
        <f>IFERROR(MID(VLOOKUP($B190,Seqs!$A:$B,2,0),AW190,1),"")</f>
        <v>N</v>
      </c>
      <c r="AW190" s="9">
        <v>310</v>
      </c>
      <c r="AX190" s="9" t="str">
        <f>IFERROR(MID(VLOOKUP($B190,Seqs!$A:$B,2,0),AY190,1),"")</f>
        <v>C</v>
      </c>
      <c r="AY190" s="9">
        <v>322</v>
      </c>
      <c r="AZ190" s="111" t="str">
        <f>VLOOKUP(B190,Classification!A:D,2,0)</f>
        <v>A</v>
      </c>
      <c r="BA190" s="99" t="str">
        <f>VLOOKUP(B190,Classification!A:D,4,0)</f>
        <v>Opsins</v>
      </c>
      <c r="BB190" s="36" t="b">
        <f t="shared" ref="BB190" si="1762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0">
        <f t="shared" ref="BC190" si="1763">_xlfn.AGGREGATE(9,6,CH190:CS190)-_xlfn.AGGREGATE(9,6,BV190:CG190)+12</f>
        <v>250</v>
      </c>
      <c r="BD190" s="40" t="s">
        <v>23</v>
      </c>
      <c r="BE190" s="9" t="s">
        <v>1297</v>
      </c>
      <c r="BF190" s="121">
        <v>2.46</v>
      </c>
      <c r="BG190" s="51" t="s">
        <v>1</v>
      </c>
      <c r="BH190" s="51" t="s">
        <v>1</v>
      </c>
      <c r="BJ190" s="112" t="s">
        <v>1293</v>
      </c>
      <c r="BK190" s="113" t="s">
        <v>1293</v>
      </c>
      <c r="BL190" s="113" t="s">
        <v>1293</v>
      </c>
      <c r="BM190" s="113" t="s">
        <v>1293</v>
      </c>
      <c r="BN190" s="113" t="s">
        <v>1293</v>
      </c>
      <c r="BO190" s="113" t="s">
        <v>1293</v>
      </c>
      <c r="BP190" s="113" t="s">
        <v>1293</v>
      </c>
      <c r="BQ190" s="113" t="s">
        <v>1293</v>
      </c>
      <c r="BR190" s="113" t="s">
        <v>1293</v>
      </c>
      <c r="BS190" s="113" t="s">
        <v>1293</v>
      </c>
      <c r="BT190" s="113" t="s">
        <v>1293</v>
      </c>
      <c r="BU190" s="113" t="s">
        <v>1293</v>
      </c>
      <c r="BV190" s="112">
        <f t="shared" ref="BV190" si="1764">E190</f>
        <v>33</v>
      </c>
      <c r="BW190" s="114">
        <f t="shared" ref="BW190" si="1765">I190</f>
        <v>66</v>
      </c>
      <c r="BX190" s="115">
        <f t="shared" ref="BX190" si="1766">M190</f>
        <v>73</v>
      </c>
      <c r="BY190" s="114">
        <f t="shared" ref="BY190" si="1767">Q190</f>
        <v>102</v>
      </c>
      <c r="BZ190" s="115">
        <f t="shared" ref="BZ190" si="1768">U190</f>
        <v>107</v>
      </c>
      <c r="CA190" s="114" t="str">
        <f t="shared" ref="CA190" si="1769">Y190</f>
        <v>-</v>
      </c>
      <c r="CB190" s="115">
        <f t="shared" ref="CB190" si="1770">AC190</f>
        <v>149</v>
      </c>
      <c r="CC190" s="114">
        <f t="shared" ref="CC190" si="1771">AG190</f>
        <v>187</v>
      </c>
      <c r="CD190" s="115">
        <f t="shared" ref="CD190" si="1772">AK190</f>
        <v>199</v>
      </c>
      <c r="CE190" s="114">
        <f t="shared" ref="CE190" si="1773">AO190</f>
        <v>240</v>
      </c>
      <c r="CF190" s="115">
        <f t="shared" ref="CF190" si="1774">AS190</f>
        <v>284</v>
      </c>
      <c r="CG190" s="114">
        <f t="shared" ref="CG190" si="1775">AW190</f>
        <v>310</v>
      </c>
      <c r="CH190" s="112">
        <f t="shared" ref="CH190" si="1776">G190</f>
        <v>64</v>
      </c>
      <c r="CI190" s="114">
        <f t="shared" ref="CI190" si="1777">K190</f>
        <v>69</v>
      </c>
      <c r="CJ190" s="115">
        <f t="shared" ref="CJ190" si="1778">O190</f>
        <v>101</v>
      </c>
      <c r="CK190" s="115">
        <f t="shared" ref="CK190" si="1779">S190</f>
        <v>106</v>
      </c>
      <c r="CL190" s="115">
        <f t="shared" ref="CL190" si="1780">W190</f>
        <v>141</v>
      </c>
      <c r="CM190" s="115" t="str">
        <f t="shared" ref="CM190" si="1781">AA190</f>
        <v>-</v>
      </c>
      <c r="CN190" s="115">
        <f t="shared" ref="CN190" si="1782">AE190</f>
        <v>173</v>
      </c>
      <c r="CO190" s="115">
        <f t="shared" ref="CO190" si="1783">AI190</f>
        <v>189</v>
      </c>
      <c r="CP190" s="115">
        <f t="shared" ref="CP190" si="1784">AM190</f>
        <v>236</v>
      </c>
      <c r="CQ190" s="115">
        <f t="shared" ref="CQ190" si="1785">AQ190</f>
        <v>278</v>
      </c>
      <c r="CR190" s="115">
        <f t="shared" ref="CR190" si="1786">AU190</f>
        <v>309</v>
      </c>
      <c r="CS190" s="115">
        <f t="shared" ref="CS190" si="1787">AY190</f>
        <v>322</v>
      </c>
      <c r="CT190" s="110">
        <f t="shared" ref="CT190" si="1788">M190-K190</f>
        <v>4</v>
      </c>
    </row>
    <row r="191" spans="1:1030" s="12" customFormat="1" x14ac:dyDescent="0.2">
      <c r="A191" s="9" t="str">
        <f t="shared" ref="A191" si="1789">CONCATENATE(B191,"_",C191)</f>
        <v>opsd_bovin_6FKD</v>
      </c>
      <c r="B191" s="9" t="s">
        <v>920</v>
      </c>
      <c r="C191" s="9" t="s">
        <v>1502</v>
      </c>
      <c r="D191" s="9" t="str">
        <f>IFERROR(MID(VLOOKUP($B191,Seqs!$A:$B,2,0),E191,1),"")</f>
        <v>E</v>
      </c>
      <c r="E191" s="9">
        <v>33</v>
      </c>
      <c r="F191" s="9" t="str">
        <f>IFERROR(MID(VLOOKUP($B191,Seqs!$A:$B,2,0),G191,1),"")</f>
        <v>Q</v>
      </c>
      <c r="G191" s="9">
        <v>64</v>
      </c>
      <c r="H191" s="9" t="str">
        <f>IFERROR(MID(VLOOKUP($B191,Seqs!$A:$B,2,0),I191,1),"")</f>
        <v>K</v>
      </c>
      <c r="I191" s="110">
        <v>66</v>
      </c>
      <c r="J191" s="9" t="str">
        <f>IFERROR(MID(VLOOKUP($B191,Seqs!$A:$B,2,0),K191,1),"")</f>
        <v>R</v>
      </c>
      <c r="K191" s="110">
        <v>69</v>
      </c>
      <c r="L191" s="9" t="str">
        <f>IFERROR(MID(VLOOKUP($B191,Seqs!$A:$B,2,0),M191,1),"")</f>
        <v>N</v>
      </c>
      <c r="M191" s="9">
        <v>73</v>
      </c>
      <c r="N191" s="9" t="str">
        <f>IFERROR(MID(VLOOKUP($B191,Seqs!$A:$B,2,0),O191,1),"")</f>
        <v>G</v>
      </c>
      <c r="O191" s="9">
        <v>101</v>
      </c>
      <c r="P191" s="9" t="str">
        <f>IFERROR(MID(VLOOKUP($B191,Seqs!$A:$B,2,0),Q191,1),"")</f>
        <v>Y</v>
      </c>
      <c r="Q191" s="9">
        <v>102</v>
      </c>
      <c r="R191" s="9" t="str">
        <f>IFERROR(MID(VLOOKUP($B191,Seqs!$A:$B,2,0),S191,1),"")</f>
        <v>G</v>
      </c>
      <c r="S191" s="9">
        <v>106</v>
      </c>
      <c r="T191" s="9" t="str">
        <f>IFERROR(MID(VLOOKUP($B191,Seqs!$A:$B,2,0),U191,1),"")</f>
        <v>P</v>
      </c>
      <c r="U191" s="9">
        <v>107</v>
      </c>
      <c r="V191" s="9" t="str">
        <f>IFERROR(MID(VLOOKUP($B191,Seqs!$A:$B,2,0),W191,1),"")</f>
        <v>K</v>
      </c>
      <c r="W191" s="9">
        <v>141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G</v>
      </c>
      <c r="AC191" s="9">
        <v>149</v>
      </c>
      <c r="AD191" s="9" t="str">
        <f>IFERROR(MID(VLOOKUP($B191,Seqs!$A:$B,2,0),AE191,1),"")</f>
        <v>V</v>
      </c>
      <c r="AE191" s="9">
        <v>173</v>
      </c>
      <c r="AF191" s="9" t="str">
        <f>IFERROR(MID(VLOOKUP($B191,Seqs!$A:$B,2,0),AG191,1),"")</f>
        <v>C</v>
      </c>
      <c r="AG191" s="9">
        <v>187</v>
      </c>
      <c r="AH191" s="9" t="str">
        <f>IFERROR(MID(VLOOKUP($B191,Seqs!$A:$B,2,0),AI191,1),"")</f>
        <v>I</v>
      </c>
      <c r="AI191" s="9">
        <v>189</v>
      </c>
      <c r="AJ191" s="9" t="str">
        <f>IFERROR(MID(VLOOKUP($B191,Seqs!$A:$B,2,0),AK191,1),"")</f>
        <v>N</v>
      </c>
      <c r="AK191" s="9">
        <v>199</v>
      </c>
      <c r="AL191" s="9" t="str">
        <f>IFERROR(MID(VLOOKUP($B191,Seqs!$A:$B,2,0),AM191,1),"")</f>
        <v>Q</v>
      </c>
      <c r="AM191" s="9">
        <v>236</v>
      </c>
      <c r="AN191" s="9" t="str">
        <f>IFERROR(MID(VLOOKUP($B191,Seqs!$A:$B,2,0),AO191,1),"")</f>
        <v>S</v>
      </c>
      <c r="AO191" s="9">
        <v>240</v>
      </c>
      <c r="AP191" s="9" t="str">
        <f>IFERROR(MID(VLOOKUP($B191,Seqs!$A:$B,2,0),AQ191,1),"")</f>
        <v>H</v>
      </c>
      <c r="AQ191" s="9">
        <v>278</v>
      </c>
      <c r="AR191" s="9" t="str">
        <f>IFERROR(MID(VLOOKUP($B191,Seqs!$A:$B,2,0),AS191,1),"")</f>
        <v>G</v>
      </c>
      <c r="AS191" s="9">
        <v>284</v>
      </c>
      <c r="AT191" s="9" t="str">
        <f>IFERROR(MID(VLOOKUP($B191,Seqs!$A:$B,2,0),AU191,1),"")</f>
        <v>M</v>
      </c>
      <c r="AU191" s="9">
        <v>309</v>
      </c>
      <c r="AV191" s="9" t="str">
        <f>IFERROR(MID(VLOOKUP($B191,Seqs!$A:$B,2,0),AW191,1),"")</f>
        <v>N</v>
      </c>
      <c r="AW191" s="9">
        <v>310</v>
      </c>
      <c r="AX191" s="9" t="str">
        <f>IFERROR(MID(VLOOKUP($B191,Seqs!$A:$B,2,0),AY191,1),"")</f>
        <v>C</v>
      </c>
      <c r="AY191" s="9">
        <v>322</v>
      </c>
      <c r="AZ191" s="111" t="str">
        <f>VLOOKUP(B191,Classification!A:D,2,0)</f>
        <v>A</v>
      </c>
      <c r="BA191" s="99" t="str">
        <f>VLOOKUP(B191,Classification!A:D,4,0)</f>
        <v>Opsins</v>
      </c>
      <c r="BB191" s="36" t="b">
        <f t="shared" ref="BB191" si="1790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0">
        <f t="shared" ref="BC191" si="1791">_xlfn.AGGREGATE(9,6,CH191:CS191)-_xlfn.AGGREGATE(9,6,BV191:CG191)+12</f>
        <v>250</v>
      </c>
      <c r="BD191" s="40" t="s">
        <v>23</v>
      </c>
      <c r="BE191" s="9" t="s">
        <v>1297</v>
      </c>
      <c r="BF191" s="121">
        <v>2.4900000000000002</v>
      </c>
      <c r="BG191" s="51" t="s">
        <v>1</v>
      </c>
      <c r="BH191" s="51" t="s">
        <v>1</v>
      </c>
      <c r="BJ191" s="112" t="s">
        <v>1293</v>
      </c>
      <c r="BK191" s="113" t="s">
        <v>1293</v>
      </c>
      <c r="BL191" s="113" t="s">
        <v>1293</v>
      </c>
      <c r="BM191" s="113" t="s">
        <v>1293</v>
      </c>
      <c r="BN191" s="113" t="s">
        <v>1293</v>
      </c>
      <c r="BO191" s="113" t="s">
        <v>1293</v>
      </c>
      <c r="BP191" s="113" t="s">
        <v>1293</v>
      </c>
      <c r="BQ191" s="113" t="s">
        <v>1293</v>
      </c>
      <c r="BR191" s="113" t="s">
        <v>1293</v>
      </c>
      <c r="BS191" s="113" t="s">
        <v>1293</v>
      </c>
      <c r="BT191" s="113" t="s">
        <v>1293</v>
      </c>
      <c r="BU191" s="113" t="s">
        <v>1293</v>
      </c>
      <c r="BV191" s="112">
        <f t="shared" ref="BV191" si="1792">E191</f>
        <v>33</v>
      </c>
      <c r="BW191" s="114">
        <f t="shared" ref="BW191" si="1793">I191</f>
        <v>66</v>
      </c>
      <c r="BX191" s="115">
        <f t="shared" ref="BX191" si="1794">M191</f>
        <v>73</v>
      </c>
      <c r="BY191" s="114">
        <f t="shared" ref="BY191" si="1795">Q191</f>
        <v>102</v>
      </c>
      <c r="BZ191" s="115">
        <f t="shared" ref="BZ191" si="1796">U191</f>
        <v>107</v>
      </c>
      <c r="CA191" s="114" t="str">
        <f t="shared" ref="CA191" si="1797">Y191</f>
        <v>-</v>
      </c>
      <c r="CB191" s="115">
        <f t="shared" ref="CB191" si="1798">AC191</f>
        <v>149</v>
      </c>
      <c r="CC191" s="114">
        <f t="shared" ref="CC191" si="1799">AG191</f>
        <v>187</v>
      </c>
      <c r="CD191" s="115">
        <f t="shared" ref="CD191" si="1800">AK191</f>
        <v>199</v>
      </c>
      <c r="CE191" s="114">
        <f t="shared" ref="CE191" si="1801">AO191</f>
        <v>240</v>
      </c>
      <c r="CF191" s="115">
        <f t="shared" ref="CF191" si="1802">AS191</f>
        <v>284</v>
      </c>
      <c r="CG191" s="114">
        <f t="shared" ref="CG191" si="1803">AW191</f>
        <v>310</v>
      </c>
      <c r="CH191" s="112">
        <f t="shared" ref="CH191" si="1804">G191</f>
        <v>64</v>
      </c>
      <c r="CI191" s="114">
        <f t="shared" ref="CI191" si="1805">K191</f>
        <v>69</v>
      </c>
      <c r="CJ191" s="115">
        <f t="shared" ref="CJ191" si="1806">O191</f>
        <v>101</v>
      </c>
      <c r="CK191" s="115">
        <f t="shared" ref="CK191" si="1807">S191</f>
        <v>106</v>
      </c>
      <c r="CL191" s="115">
        <f t="shared" ref="CL191" si="1808">W191</f>
        <v>141</v>
      </c>
      <c r="CM191" s="115" t="str">
        <f t="shared" ref="CM191" si="1809">AA191</f>
        <v>-</v>
      </c>
      <c r="CN191" s="115">
        <f t="shared" ref="CN191" si="1810">AE191</f>
        <v>173</v>
      </c>
      <c r="CO191" s="115">
        <f t="shared" ref="CO191" si="1811">AI191</f>
        <v>189</v>
      </c>
      <c r="CP191" s="115">
        <f t="shared" ref="CP191" si="1812">AM191</f>
        <v>236</v>
      </c>
      <c r="CQ191" s="115">
        <f t="shared" ref="CQ191" si="1813">AQ191</f>
        <v>278</v>
      </c>
      <c r="CR191" s="115">
        <f t="shared" ref="CR191" si="1814">AU191</f>
        <v>309</v>
      </c>
      <c r="CS191" s="115">
        <f t="shared" ref="CS191" si="1815">AY191</f>
        <v>322</v>
      </c>
      <c r="CT191" s="110">
        <f t="shared" ref="CT191" si="1816">M191-K191</f>
        <v>4</v>
      </c>
    </row>
    <row r="192" spans="1:1030" x14ac:dyDescent="0.2">
      <c r="A192" s="3" t="str">
        <f t="shared" si="1507"/>
        <v>opsd_human__wt</v>
      </c>
      <c r="B192" s="3" t="s">
        <v>339</v>
      </c>
      <c r="C192" s="3" t="s">
        <v>100</v>
      </c>
      <c r="D192" s="3" t="str">
        <f>IFERROR(MID(VLOOKUP($B192,Seqs!$A:$B,2,0),E192,1),"")</f>
        <v>P</v>
      </c>
      <c r="E192" s="3">
        <v>34</v>
      </c>
      <c r="F192" s="3" t="str">
        <f>IFERROR(MID(VLOOKUP($B192,Seqs!$A:$B,2,0),G192,1),"")</f>
        <v>H</v>
      </c>
      <c r="G192" s="3">
        <v>65</v>
      </c>
      <c r="H192" s="3" t="str">
        <f>IFERROR(MID(VLOOKUP($B192,Seqs!$A:$B,2,0),I192,1),"")</f>
        <v>K</v>
      </c>
      <c r="I192" s="23">
        <v>66</v>
      </c>
      <c r="J192" s="3" t="str">
        <f>IFERROR(MID(VLOOKUP($B192,Seqs!$A:$B,2,0),K192,1),"")</f>
        <v>R</v>
      </c>
      <c r="K192" s="23">
        <v>69</v>
      </c>
      <c r="L192" s="3" t="str">
        <f>IFERROR(MID(VLOOKUP($B192,Seqs!$A:$B,2,0),M192,1),"")</f>
        <v>T</v>
      </c>
      <c r="M192" s="3">
        <v>70</v>
      </c>
      <c r="N192" s="3" t="str">
        <f>IFERROR(MID(VLOOKUP($B192,Seqs!$A:$B,2,0),O192,1),"")</f>
        <v>H</v>
      </c>
      <c r="O192" s="3">
        <v>100</v>
      </c>
      <c r="P192" s="3" t="str">
        <f>IFERROR(MID(VLOOKUP($B192,Seqs!$A:$B,2,0),Q192,1),"")</f>
        <v>Y</v>
      </c>
      <c r="Q192" s="3">
        <v>102</v>
      </c>
      <c r="R192" s="3" t="str">
        <f>IFERROR(MID(VLOOKUP($B192,Seqs!$A:$B,2,0),S192,1),"")</f>
        <v>F</v>
      </c>
      <c r="S192" s="3">
        <v>105</v>
      </c>
      <c r="T192" s="3" t="str">
        <f>IFERROR(MID(VLOOKUP($B192,Seqs!$A:$B,2,0),U192,1),"")</f>
        <v>G</v>
      </c>
      <c r="U192" s="3">
        <v>106</v>
      </c>
      <c r="V192" s="3" t="str">
        <f>IFERROR(MID(VLOOKUP($B192,Seqs!$A:$B,2,0),W192,1),"")</f>
        <v>K</v>
      </c>
      <c r="W192" s="3">
        <v>141</v>
      </c>
      <c r="X192" s="3" t="str">
        <f>IFERROR(MID(VLOOKUP($B192,Seqs!$A:$B,2,0),Y192,1),"")</f>
        <v>P</v>
      </c>
      <c r="Y192" s="3">
        <v>142</v>
      </c>
      <c r="Z192" s="3" t="str">
        <f>IFERROR(MID(VLOOKUP($B192,Seqs!$A:$B,2,0),AA192,1),"")</f>
        <v>F</v>
      </c>
      <c r="AA192" s="3">
        <v>148</v>
      </c>
      <c r="AB192" s="3" t="str">
        <f>IFERROR(MID(VLOOKUP($B192,Seqs!$A:$B,2,0),AC192,1),"")</f>
        <v>G</v>
      </c>
      <c r="AC192" s="9">
        <v>149</v>
      </c>
      <c r="AD192" s="3" t="str">
        <f>IFERROR(MID(VLOOKUP($B192,Seqs!$A:$B,2,0),AE192,1),"")</f>
        <v>A</v>
      </c>
      <c r="AE192" s="3">
        <v>173</v>
      </c>
      <c r="AF192" s="3" t="str">
        <f>IFERROR(MID(VLOOKUP($B192,Seqs!$A:$B,2,0),AG192,1),"")</f>
        <v>C</v>
      </c>
      <c r="AG192" s="3">
        <v>187</v>
      </c>
      <c r="AH192" s="3" t="str">
        <f>IFERROR(MID(VLOOKUP($B192,Seqs!$A:$B,2,0),AI192,1),"")</f>
        <v>I</v>
      </c>
      <c r="AI192" s="3">
        <v>189</v>
      </c>
      <c r="AJ192" s="3" t="str">
        <f>IFERROR(MID(VLOOKUP($B192,Seqs!$A:$B,2,0),AK192,1),"")</f>
        <v>N</v>
      </c>
      <c r="AK192" s="3">
        <v>199</v>
      </c>
      <c r="AL192" s="3" t="str">
        <f>IFERROR(MID(VLOOKUP($B192,Seqs!$A:$B,2,0),AM192,1),"")</f>
        <v>Q</v>
      </c>
      <c r="AM192" s="3">
        <v>237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H</v>
      </c>
      <c r="AQ192" s="3">
        <v>278</v>
      </c>
      <c r="AR192" s="3" t="str">
        <f>IFERROR(MID(VLOOKUP($B192,Seqs!$A:$B,2,0),AS192,1),"")</f>
        <v>G</v>
      </c>
      <c r="AS192" s="3">
        <v>284</v>
      </c>
      <c r="AT192" s="3" t="str">
        <f>IFERROR(MID(VLOOKUP($B192,Seqs!$A:$B,2,0),AU192,1),"")</f>
        <v>M</v>
      </c>
      <c r="AU192" s="3">
        <v>309</v>
      </c>
      <c r="AV192" s="3" t="str">
        <f>IFERROR(MID(VLOOKUP($B192,Seqs!$A:$B,2,0),AW192,1),"")</f>
        <v>N</v>
      </c>
      <c r="AW192" s="3">
        <v>310</v>
      </c>
      <c r="AX192" s="3" t="str">
        <f>IFERROR(MID(VLOOKUP($B192,Seqs!$A:$B,2,0),AY192,1),"")</f>
        <v>C</v>
      </c>
      <c r="AY192" s="3">
        <v>322</v>
      </c>
      <c r="AZ192" s="78" t="str">
        <f>VLOOKUP(B192,Classification!A:D,2,0)</f>
        <v>A</v>
      </c>
      <c r="BA192" s="95" t="str">
        <f>VLOOKUP(B192,Classification!A:D,4,0)</f>
        <v>Opsins</v>
      </c>
      <c r="BB192" s="27" t="b">
        <f t="shared" si="1508"/>
        <v>1</v>
      </c>
      <c r="BC192" s="23">
        <f t="shared" si="1481"/>
        <v>258</v>
      </c>
      <c r="BD192" s="56" t="s">
        <v>1379</v>
      </c>
      <c r="BE192" s="3" t="s">
        <v>23</v>
      </c>
      <c r="BF192" s="120" t="s">
        <v>23</v>
      </c>
      <c r="BG192" s="49" t="s">
        <v>1379</v>
      </c>
      <c r="BH192" s="49" t="s">
        <v>1384</v>
      </c>
      <c r="BI192" s="1"/>
      <c r="BJ192" s="71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1">
        <f t="shared" si="1482"/>
        <v>34</v>
      </c>
      <c r="BW192" s="72">
        <f t="shared" si="1483"/>
        <v>66</v>
      </c>
      <c r="BX192" s="73">
        <f t="shared" si="1484"/>
        <v>70</v>
      </c>
      <c r="BY192" s="72">
        <f t="shared" si="1485"/>
        <v>102</v>
      </c>
      <c r="BZ192" s="73">
        <f t="shared" si="1486"/>
        <v>106</v>
      </c>
      <c r="CA192" s="72">
        <f t="shared" si="1487"/>
        <v>142</v>
      </c>
      <c r="CB192" s="73">
        <f t="shared" si="1488"/>
        <v>149</v>
      </c>
      <c r="CC192" s="72">
        <f t="shared" si="1489"/>
        <v>187</v>
      </c>
      <c r="CD192" s="73">
        <f t="shared" si="1490"/>
        <v>199</v>
      </c>
      <c r="CE192" s="72">
        <f t="shared" si="1491"/>
        <v>241</v>
      </c>
      <c r="CF192" s="73">
        <f t="shared" si="1492"/>
        <v>284</v>
      </c>
      <c r="CG192" s="72">
        <f t="shared" si="1493"/>
        <v>310</v>
      </c>
      <c r="CH192" s="71">
        <f t="shared" si="1494"/>
        <v>65</v>
      </c>
      <c r="CI192" s="72">
        <f t="shared" si="1495"/>
        <v>69</v>
      </c>
      <c r="CJ192" s="73">
        <f t="shared" si="1496"/>
        <v>100</v>
      </c>
      <c r="CK192" s="73">
        <f t="shared" si="1497"/>
        <v>105</v>
      </c>
      <c r="CL192" s="73">
        <f t="shared" si="1498"/>
        <v>141</v>
      </c>
      <c r="CM192" s="73">
        <f t="shared" si="1499"/>
        <v>148</v>
      </c>
      <c r="CN192" s="73">
        <f t="shared" si="1500"/>
        <v>173</v>
      </c>
      <c r="CO192" s="73">
        <f t="shared" si="1501"/>
        <v>189</v>
      </c>
      <c r="CP192" s="73">
        <f t="shared" si="1502"/>
        <v>237</v>
      </c>
      <c r="CQ192" s="73">
        <f t="shared" si="1503"/>
        <v>278</v>
      </c>
      <c r="CR192" s="73">
        <f t="shared" si="1504"/>
        <v>309</v>
      </c>
      <c r="CS192" s="73">
        <f t="shared" si="1505"/>
        <v>322</v>
      </c>
      <c r="CT192" s="23">
        <f t="shared" si="1506"/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1507"/>
        <v>opsd_human_4ZWJ</v>
      </c>
      <c r="B193" s="3" t="s">
        <v>339</v>
      </c>
      <c r="C193" s="3" t="s">
        <v>55</v>
      </c>
      <c r="D193" s="3" t="str">
        <f>IFERROR(MID(VLOOKUP($B193,Seqs!$A:$B,2,0),E193,1),"")</f>
        <v>P</v>
      </c>
      <c r="E193" s="3">
        <v>34</v>
      </c>
      <c r="F193" s="3" t="str">
        <f>IFERROR(MID(VLOOKUP($B193,Seqs!$A:$B,2,0),G193,1),"")</f>
        <v>H</v>
      </c>
      <c r="G193" s="3">
        <v>65</v>
      </c>
      <c r="H193" s="3" t="str">
        <f>IFERROR(MID(VLOOKUP($B193,Seqs!$A:$B,2,0),I193,1),"")</f>
        <v>K</v>
      </c>
      <c r="I193" s="23">
        <v>66</v>
      </c>
      <c r="J193" s="3" t="str">
        <f>IFERROR(MID(VLOOKUP($B193,Seqs!$A:$B,2,0),K193,1),"")</f>
        <v>R</v>
      </c>
      <c r="K193" s="23">
        <v>69</v>
      </c>
      <c r="L193" s="3" t="str">
        <f>IFERROR(MID(VLOOKUP($B193,Seqs!$A:$B,2,0),M193,1),"")</f>
        <v>T</v>
      </c>
      <c r="M193" s="3">
        <v>70</v>
      </c>
      <c r="N193" s="3" t="str">
        <f>IFERROR(MID(VLOOKUP($B193,Seqs!$A:$B,2,0),O193,1),"")</f>
        <v>H</v>
      </c>
      <c r="O193" s="3">
        <v>100</v>
      </c>
      <c r="P193" s="3" t="str">
        <f>IFERROR(MID(VLOOKUP($B193,Seqs!$A:$B,2,0),Q193,1),"")</f>
        <v>Y</v>
      </c>
      <c r="Q193" s="3">
        <v>102</v>
      </c>
      <c r="R193" s="3" t="str">
        <f>IFERROR(MID(VLOOKUP($B193,Seqs!$A:$B,2,0),S193,1),"")</f>
        <v>F</v>
      </c>
      <c r="S193" s="3">
        <v>105</v>
      </c>
      <c r="T193" s="3" t="str">
        <f>IFERROR(MID(VLOOKUP($B193,Seqs!$A:$B,2,0),U193,1),"")</f>
        <v>G</v>
      </c>
      <c r="U193" s="3">
        <v>106</v>
      </c>
      <c r="V193" s="3" t="str">
        <f>IFERROR(MID(VLOOKUP($B193,Seqs!$A:$B,2,0),W193,1),"")</f>
        <v>K</v>
      </c>
      <c r="W193" s="3">
        <v>141</v>
      </c>
      <c r="X193" s="3" t="str">
        <f>IFERROR(MID(VLOOKUP($B193,Seqs!$A:$B,2,0),Y193,1),"")</f>
        <v>P</v>
      </c>
      <c r="Y193" s="3">
        <v>142</v>
      </c>
      <c r="Z193" s="3" t="str">
        <f>IFERROR(MID(VLOOKUP($B193,Seqs!$A:$B,2,0),AA193,1),"")</f>
        <v>F</v>
      </c>
      <c r="AA193" s="3">
        <v>148</v>
      </c>
      <c r="AB193" s="3" t="str">
        <f>IFERROR(MID(VLOOKUP($B193,Seqs!$A:$B,2,0),AC193,1),"")</f>
        <v>G</v>
      </c>
      <c r="AC193" s="9">
        <v>149</v>
      </c>
      <c r="AD193" s="3" t="str">
        <f>IFERROR(MID(VLOOKUP($B193,Seqs!$A:$B,2,0),AE193,1),"")</f>
        <v>A</v>
      </c>
      <c r="AE193" s="3">
        <v>173</v>
      </c>
      <c r="AF193" s="3" t="str">
        <f>IFERROR(MID(VLOOKUP($B193,Seqs!$A:$B,2,0),AG193,1),"")</f>
        <v>C</v>
      </c>
      <c r="AG193" s="3">
        <v>187</v>
      </c>
      <c r="AH193" s="3" t="str">
        <f>IFERROR(MID(VLOOKUP($B193,Seqs!$A:$B,2,0),AI193,1),"")</f>
        <v>I</v>
      </c>
      <c r="AI193" s="3">
        <v>189</v>
      </c>
      <c r="AJ193" s="3" t="str">
        <f>IFERROR(MID(VLOOKUP($B193,Seqs!$A:$B,2,0),AK193,1),"")</f>
        <v>N</v>
      </c>
      <c r="AK193" s="3">
        <v>199</v>
      </c>
      <c r="AL193" s="3" t="str">
        <f>IFERROR(MID(VLOOKUP($B193,Seqs!$A:$B,2,0),AM193,1),"")</f>
        <v>Q</v>
      </c>
      <c r="AM193" s="3">
        <v>237</v>
      </c>
      <c r="AN193" s="3" t="str">
        <f>IFERROR(MID(VLOOKUP($B193,Seqs!$A:$B,2,0),AO193,1),"")</f>
        <v>A</v>
      </c>
      <c r="AO193" s="3">
        <v>241</v>
      </c>
      <c r="AP193" s="3" t="str">
        <f>IFERROR(MID(VLOOKUP($B193,Seqs!$A:$B,2,0),AQ193,1),"")</f>
        <v>H</v>
      </c>
      <c r="AQ193" s="3">
        <v>278</v>
      </c>
      <c r="AR193" s="3" t="str">
        <f>IFERROR(MID(VLOOKUP($B193,Seqs!$A:$B,2,0),AS193,1),"")</f>
        <v>G</v>
      </c>
      <c r="AS193" s="3">
        <v>284</v>
      </c>
      <c r="AT193" s="3" t="str">
        <f>IFERROR(MID(VLOOKUP($B193,Seqs!$A:$B,2,0),AU193,1),"")</f>
        <v>M</v>
      </c>
      <c r="AU193" s="3">
        <v>309</v>
      </c>
      <c r="AV193" s="3" t="str">
        <f>IFERROR(MID(VLOOKUP($B193,Seqs!$A:$B,2,0),AW193,1),"")</f>
        <v>N</v>
      </c>
      <c r="AW193" s="3">
        <v>310</v>
      </c>
      <c r="AX193" s="3" t="str">
        <f>IFERROR(MID(VLOOKUP($B193,Seqs!$A:$B,2,0),AY193,1),"")</f>
        <v>C</v>
      </c>
      <c r="AY193" s="3">
        <v>322</v>
      </c>
      <c r="AZ193" s="78" t="str">
        <f>VLOOKUP(B193,Classification!A:D,2,0)</f>
        <v>A</v>
      </c>
      <c r="BA193" s="95" t="str">
        <f>VLOOKUP(B193,Classification!A:D,4,0)</f>
        <v>Opsins</v>
      </c>
      <c r="BB193" s="27" t="b">
        <f t="shared" si="1508"/>
        <v>1</v>
      </c>
      <c r="BC193" s="23">
        <f t="shared" si="1481"/>
        <v>258</v>
      </c>
      <c r="BD193" s="2" t="s">
        <v>1382</v>
      </c>
      <c r="BE193" s="3" t="s">
        <v>1297</v>
      </c>
      <c r="BF193" s="120">
        <v>3.3</v>
      </c>
      <c r="BG193" s="49" t="s">
        <v>1384</v>
      </c>
      <c r="BH193" s="49" t="s">
        <v>1384</v>
      </c>
      <c r="BI193" s="1"/>
      <c r="BJ193" s="71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1">
        <f t="shared" si="1482"/>
        <v>34</v>
      </c>
      <c r="BW193" s="72">
        <f t="shared" si="1483"/>
        <v>66</v>
      </c>
      <c r="BX193" s="73">
        <f t="shared" si="1484"/>
        <v>70</v>
      </c>
      <c r="BY193" s="72">
        <f t="shared" si="1485"/>
        <v>102</v>
      </c>
      <c r="BZ193" s="73">
        <f t="shared" si="1486"/>
        <v>106</v>
      </c>
      <c r="CA193" s="72">
        <f t="shared" si="1487"/>
        <v>142</v>
      </c>
      <c r="CB193" s="73">
        <f t="shared" si="1488"/>
        <v>149</v>
      </c>
      <c r="CC193" s="72">
        <f t="shared" si="1489"/>
        <v>187</v>
      </c>
      <c r="CD193" s="73">
        <f t="shared" si="1490"/>
        <v>199</v>
      </c>
      <c r="CE193" s="72">
        <f t="shared" si="1491"/>
        <v>241</v>
      </c>
      <c r="CF193" s="73">
        <f t="shared" si="1492"/>
        <v>284</v>
      </c>
      <c r="CG193" s="72">
        <f t="shared" si="1493"/>
        <v>310</v>
      </c>
      <c r="CH193" s="71">
        <f t="shared" si="1494"/>
        <v>65</v>
      </c>
      <c r="CI193" s="72">
        <f t="shared" si="1495"/>
        <v>69</v>
      </c>
      <c r="CJ193" s="73">
        <f t="shared" si="1496"/>
        <v>100</v>
      </c>
      <c r="CK193" s="73">
        <f t="shared" si="1497"/>
        <v>105</v>
      </c>
      <c r="CL193" s="73">
        <f t="shared" si="1498"/>
        <v>141</v>
      </c>
      <c r="CM193" s="73">
        <f t="shared" si="1499"/>
        <v>148</v>
      </c>
      <c r="CN193" s="73">
        <f t="shared" si="1500"/>
        <v>173</v>
      </c>
      <c r="CO193" s="73">
        <f t="shared" si="1501"/>
        <v>189</v>
      </c>
      <c r="CP193" s="73">
        <f t="shared" si="1502"/>
        <v>237</v>
      </c>
      <c r="CQ193" s="73">
        <f t="shared" si="1503"/>
        <v>278</v>
      </c>
      <c r="CR193" s="73">
        <f t="shared" si="1504"/>
        <v>309</v>
      </c>
      <c r="CS193" s="73">
        <f t="shared" si="1505"/>
        <v>322</v>
      </c>
      <c r="CT193" s="23">
        <f t="shared" si="1506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 t="shared" si="1507"/>
        <v>opsd_human_5DGY</v>
      </c>
      <c r="B194" s="3" t="s">
        <v>339</v>
      </c>
      <c r="C194" s="3" t="s">
        <v>1445</v>
      </c>
      <c r="D194" s="3" t="str">
        <f>IFERROR(MID(VLOOKUP($B194,Seqs!$A:$B,2,0),E194,1),"")</f>
        <v>P</v>
      </c>
      <c r="E194" s="3">
        <v>34</v>
      </c>
      <c r="F194" s="3" t="str">
        <f>IFERROR(MID(VLOOKUP($B194,Seqs!$A:$B,2,0),G194,1),"")</f>
        <v>H</v>
      </c>
      <c r="G194" s="3">
        <v>65</v>
      </c>
      <c r="H194" s="3" t="str">
        <f>IFERROR(MID(VLOOKUP($B194,Seqs!$A:$B,2,0),I194,1),"")</f>
        <v>K</v>
      </c>
      <c r="I194" s="23">
        <v>66</v>
      </c>
      <c r="J194" s="3" t="str">
        <f>IFERROR(MID(VLOOKUP($B194,Seqs!$A:$B,2,0),K194,1),"")</f>
        <v>R</v>
      </c>
      <c r="K194" s="23">
        <v>69</v>
      </c>
      <c r="L194" s="3" t="str">
        <f>IFERROR(MID(VLOOKUP($B194,Seqs!$A:$B,2,0),M194,1),"")</f>
        <v>T</v>
      </c>
      <c r="M194" s="3">
        <v>70</v>
      </c>
      <c r="N194" s="3" t="str">
        <f>IFERROR(MID(VLOOKUP($B194,Seqs!$A:$B,2,0),O194,1),"")</f>
        <v>H</v>
      </c>
      <c r="O194" s="3">
        <v>100</v>
      </c>
      <c r="P194" s="3" t="str">
        <f>IFERROR(MID(VLOOKUP($B194,Seqs!$A:$B,2,0),Q194,1),"")</f>
        <v>Y</v>
      </c>
      <c r="Q194" s="3">
        <v>102</v>
      </c>
      <c r="R194" s="3" t="str">
        <f>IFERROR(MID(VLOOKUP($B194,Seqs!$A:$B,2,0),S194,1),"")</f>
        <v>F</v>
      </c>
      <c r="S194" s="3">
        <v>105</v>
      </c>
      <c r="T194" s="3" t="str">
        <f>IFERROR(MID(VLOOKUP($B194,Seqs!$A:$B,2,0),U194,1),"")</f>
        <v>G</v>
      </c>
      <c r="U194" s="3">
        <v>106</v>
      </c>
      <c r="V194" s="3" t="str">
        <f>IFERROR(MID(VLOOKUP($B194,Seqs!$A:$B,2,0),W194,1),"")</f>
        <v>K</v>
      </c>
      <c r="W194" s="3">
        <v>141</v>
      </c>
      <c r="X194" s="3" t="str">
        <f>IFERROR(MID(VLOOKUP($B194,Seqs!$A:$B,2,0),Y194,1),"")</f>
        <v>P</v>
      </c>
      <c r="Y194" s="3">
        <v>142</v>
      </c>
      <c r="Z194" s="3" t="str">
        <f>IFERROR(MID(VLOOKUP($B194,Seqs!$A:$B,2,0),AA194,1),"")</f>
        <v>F</v>
      </c>
      <c r="AA194" s="3">
        <v>148</v>
      </c>
      <c r="AB194" s="3" t="str">
        <f>IFERROR(MID(VLOOKUP($B194,Seqs!$A:$B,2,0),AC194,1),"")</f>
        <v>G</v>
      </c>
      <c r="AC194" s="3">
        <v>149</v>
      </c>
      <c r="AD194" s="3" t="str">
        <f>IFERROR(MID(VLOOKUP($B194,Seqs!$A:$B,2,0),AE194,1),"")</f>
        <v>A</v>
      </c>
      <c r="AE194" s="3">
        <v>173</v>
      </c>
      <c r="AF194" s="3" t="str">
        <f>IFERROR(MID(VLOOKUP($B194,Seqs!$A:$B,2,0),AG194,1),"")</f>
        <v>C</v>
      </c>
      <c r="AG194" s="3">
        <v>187</v>
      </c>
      <c r="AH194" s="3" t="str">
        <f>IFERROR(MID(VLOOKUP($B194,Seqs!$A:$B,2,0),AI194,1),"")</f>
        <v>I</v>
      </c>
      <c r="AI194" s="3">
        <v>189</v>
      </c>
      <c r="AJ194" s="3" t="str">
        <f>IFERROR(MID(VLOOKUP($B194,Seqs!$A:$B,2,0),AK194,1),"")</f>
        <v>N</v>
      </c>
      <c r="AK194" s="3">
        <v>199</v>
      </c>
      <c r="AL194" s="3" t="str">
        <f>IFERROR(MID(VLOOKUP($B194,Seqs!$A:$B,2,0),AM194,1),"")</f>
        <v>Q</v>
      </c>
      <c r="AM194" s="3">
        <v>237</v>
      </c>
      <c r="AN194" s="3" t="str">
        <f>IFERROR(MID(VLOOKUP($B194,Seqs!$A:$B,2,0),AO194,1),"")</f>
        <v>A</v>
      </c>
      <c r="AO194" s="3">
        <v>241</v>
      </c>
      <c r="AP194" s="3" t="str">
        <f>IFERROR(MID(VLOOKUP($B194,Seqs!$A:$B,2,0),AQ194,1),"")</f>
        <v>H</v>
      </c>
      <c r="AQ194" s="3">
        <v>278</v>
      </c>
      <c r="AR194" s="3" t="str">
        <f>IFERROR(MID(VLOOKUP($B194,Seqs!$A:$B,2,0),AS194,1),"")</f>
        <v>G</v>
      </c>
      <c r="AS194" s="3">
        <v>284</v>
      </c>
      <c r="AT194" s="3" t="str">
        <f>IFERROR(MID(VLOOKUP($B194,Seqs!$A:$B,2,0),AU194,1),"")</f>
        <v>M</v>
      </c>
      <c r="AU194" s="3">
        <v>309</v>
      </c>
      <c r="AV194" s="3" t="str">
        <f>IFERROR(MID(VLOOKUP($B194,Seqs!$A:$B,2,0),AW194,1),"")</f>
        <v>N</v>
      </c>
      <c r="AW194" s="3">
        <v>310</v>
      </c>
      <c r="AX194" s="3" t="str">
        <f>IFERROR(MID(VLOOKUP($B194,Seqs!$A:$B,2,0),AY194,1),"")</f>
        <v>C</v>
      </c>
      <c r="AY194" s="3">
        <v>322</v>
      </c>
      <c r="AZ194" s="78" t="str">
        <f>VLOOKUP(B194,Classification!A:D,2,0)</f>
        <v>A</v>
      </c>
      <c r="BA194" s="95" t="str">
        <f>VLOOKUP(B194,Classification!A:D,4,0)</f>
        <v>Opsins</v>
      </c>
      <c r="BB194" s="27" t="b">
        <f t="shared" si="1508"/>
        <v>1</v>
      </c>
      <c r="BC194" s="23">
        <f t="shared" si="1481"/>
        <v>258</v>
      </c>
      <c r="BD194" s="2" t="s">
        <v>23</v>
      </c>
      <c r="BE194" s="3" t="s">
        <v>1297</v>
      </c>
      <c r="BF194" s="120">
        <v>7.7</v>
      </c>
      <c r="BG194" s="49" t="s">
        <v>1444</v>
      </c>
      <c r="BH194" s="49" t="s">
        <v>1444</v>
      </c>
      <c r="BI194" s="1"/>
      <c r="BJ194" s="71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1">
        <f t="shared" si="1482"/>
        <v>34</v>
      </c>
      <c r="BW194" s="72">
        <f t="shared" si="1483"/>
        <v>66</v>
      </c>
      <c r="BX194" s="73">
        <f t="shared" si="1484"/>
        <v>70</v>
      </c>
      <c r="BY194" s="72">
        <f t="shared" si="1485"/>
        <v>102</v>
      </c>
      <c r="BZ194" s="73">
        <f t="shared" si="1486"/>
        <v>106</v>
      </c>
      <c r="CA194" s="72">
        <f t="shared" si="1487"/>
        <v>142</v>
      </c>
      <c r="CB194" s="73">
        <f t="shared" si="1488"/>
        <v>149</v>
      </c>
      <c r="CC194" s="72">
        <f t="shared" si="1489"/>
        <v>187</v>
      </c>
      <c r="CD194" s="73">
        <f t="shared" si="1490"/>
        <v>199</v>
      </c>
      <c r="CE194" s="72">
        <f t="shared" si="1491"/>
        <v>241</v>
      </c>
      <c r="CF194" s="73">
        <f t="shared" si="1492"/>
        <v>284</v>
      </c>
      <c r="CG194" s="72">
        <f t="shared" si="1493"/>
        <v>310</v>
      </c>
      <c r="CH194" s="71">
        <f t="shared" si="1494"/>
        <v>65</v>
      </c>
      <c r="CI194" s="72">
        <f t="shared" si="1495"/>
        <v>69</v>
      </c>
      <c r="CJ194" s="73">
        <f t="shared" si="1496"/>
        <v>100</v>
      </c>
      <c r="CK194" s="73">
        <f t="shared" si="1497"/>
        <v>105</v>
      </c>
      <c r="CL194" s="73">
        <f t="shared" si="1498"/>
        <v>141</v>
      </c>
      <c r="CM194" s="73">
        <f t="shared" si="1499"/>
        <v>148</v>
      </c>
      <c r="CN194" s="73">
        <f t="shared" si="1500"/>
        <v>173</v>
      </c>
      <c r="CO194" s="73">
        <f t="shared" si="1501"/>
        <v>189</v>
      </c>
      <c r="CP194" s="73">
        <f t="shared" si="1502"/>
        <v>237</v>
      </c>
      <c r="CQ194" s="73">
        <f t="shared" si="1503"/>
        <v>278</v>
      </c>
      <c r="CR194" s="73">
        <f t="shared" si="1504"/>
        <v>309</v>
      </c>
      <c r="CS194" s="73">
        <f t="shared" si="1505"/>
        <v>322</v>
      </c>
      <c r="CT194" s="23">
        <f t="shared" si="1506"/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 t="shared" ref="A195" si="1817">CONCATENATE(B195,"_",C195)</f>
        <v>opsd_human_5W0P</v>
      </c>
      <c r="B195" s="3" t="s">
        <v>339</v>
      </c>
      <c r="C195" s="3" t="s">
        <v>1443</v>
      </c>
      <c r="D195" s="3" t="str">
        <f>IFERROR(MID(VLOOKUP($B195,Seqs!$A:$B,2,0),E195,1),"")</f>
        <v>P</v>
      </c>
      <c r="E195" s="3">
        <v>34</v>
      </c>
      <c r="F195" s="3" t="str">
        <f>IFERROR(MID(VLOOKUP($B195,Seqs!$A:$B,2,0),G195,1),"")</f>
        <v>H</v>
      </c>
      <c r="G195" s="3">
        <v>65</v>
      </c>
      <c r="H195" s="3" t="str">
        <f>IFERROR(MID(VLOOKUP($B195,Seqs!$A:$B,2,0),I195,1),"")</f>
        <v>K</v>
      </c>
      <c r="I195" s="23">
        <v>66</v>
      </c>
      <c r="J195" s="3" t="str">
        <f>IFERROR(MID(VLOOKUP($B195,Seqs!$A:$B,2,0),K195,1),"")</f>
        <v>R</v>
      </c>
      <c r="K195" s="23">
        <v>69</v>
      </c>
      <c r="L195" s="3" t="str">
        <f>IFERROR(MID(VLOOKUP($B195,Seqs!$A:$B,2,0),M195,1),"")</f>
        <v>T</v>
      </c>
      <c r="M195" s="3">
        <v>70</v>
      </c>
      <c r="N195" s="3" t="str">
        <f>IFERROR(MID(VLOOKUP($B195,Seqs!$A:$B,2,0),O195,1),"")</f>
        <v>H</v>
      </c>
      <c r="O195" s="3">
        <v>100</v>
      </c>
      <c r="P195" s="3" t="str">
        <f>IFERROR(MID(VLOOKUP($B195,Seqs!$A:$B,2,0),Q195,1),"")</f>
        <v>Y</v>
      </c>
      <c r="Q195" s="3">
        <v>102</v>
      </c>
      <c r="R195" s="3" t="str">
        <f>IFERROR(MID(VLOOKUP($B195,Seqs!$A:$B,2,0),S195,1),"")</f>
        <v>F</v>
      </c>
      <c r="S195" s="3">
        <v>105</v>
      </c>
      <c r="T195" s="3" t="str">
        <f>IFERROR(MID(VLOOKUP($B195,Seqs!$A:$B,2,0),U195,1),"")</f>
        <v>G</v>
      </c>
      <c r="U195" s="3">
        <v>106</v>
      </c>
      <c r="V195" s="3" t="str">
        <f>IFERROR(MID(VLOOKUP($B195,Seqs!$A:$B,2,0),W195,1),"")</f>
        <v>K</v>
      </c>
      <c r="W195" s="3">
        <v>141</v>
      </c>
      <c r="X195" s="3" t="str">
        <f>IFERROR(MID(VLOOKUP($B195,Seqs!$A:$B,2,0),Y195,1),"")</f>
        <v>P</v>
      </c>
      <c r="Y195" s="3">
        <v>142</v>
      </c>
      <c r="Z195" s="3" t="str">
        <f>IFERROR(MID(VLOOKUP($B195,Seqs!$A:$B,2,0),AA195,1),"")</f>
        <v>F</v>
      </c>
      <c r="AA195" s="3">
        <v>148</v>
      </c>
      <c r="AB195" s="3" t="str">
        <f>IFERROR(MID(VLOOKUP($B195,Seqs!$A:$B,2,0),AC195,1),"")</f>
        <v>G</v>
      </c>
      <c r="AC195" s="3">
        <v>149</v>
      </c>
      <c r="AD195" s="3" t="str">
        <f>IFERROR(MID(VLOOKUP($B195,Seqs!$A:$B,2,0),AE195,1),"")</f>
        <v>A</v>
      </c>
      <c r="AE195" s="3">
        <v>173</v>
      </c>
      <c r="AF195" s="3" t="str">
        <f>IFERROR(MID(VLOOKUP($B195,Seqs!$A:$B,2,0),AG195,1),"")</f>
        <v>C</v>
      </c>
      <c r="AG195" s="3">
        <v>187</v>
      </c>
      <c r="AH195" s="3" t="str">
        <f>IFERROR(MID(VLOOKUP($B195,Seqs!$A:$B,2,0),AI195,1),"")</f>
        <v>I</v>
      </c>
      <c r="AI195" s="3">
        <v>189</v>
      </c>
      <c r="AJ195" s="3" t="str">
        <f>IFERROR(MID(VLOOKUP($B195,Seqs!$A:$B,2,0),AK195,1),"")</f>
        <v>N</v>
      </c>
      <c r="AK195" s="3">
        <v>199</v>
      </c>
      <c r="AL195" s="3" t="str">
        <f>IFERROR(MID(VLOOKUP($B195,Seqs!$A:$B,2,0),AM195,1),"")</f>
        <v>Q</v>
      </c>
      <c r="AM195" s="3">
        <v>237</v>
      </c>
      <c r="AN195" s="3" t="str">
        <f>IFERROR(MID(VLOOKUP($B195,Seqs!$A:$B,2,0),AO195,1),"")</f>
        <v>A</v>
      </c>
      <c r="AO195" s="3">
        <v>241</v>
      </c>
      <c r="AP195" s="3" t="str">
        <f>IFERROR(MID(VLOOKUP($B195,Seqs!$A:$B,2,0),AQ195,1),"")</f>
        <v>H</v>
      </c>
      <c r="AQ195" s="3">
        <v>278</v>
      </c>
      <c r="AR195" s="3" t="str">
        <f>IFERROR(MID(VLOOKUP($B195,Seqs!$A:$B,2,0),AS195,1),"")</f>
        <v>G</v>
      </c>
      <c r="AS195" s="3">
        <v>284</v>
      </c>
      <c r="AT195" s="3" t="str">
        <f>IFERROR(MID(VLOOKUP($B195,Seqs!$A:$B,2,0),AU195,1),"")</f>
        <v>M</v>
      </c>
      <c r="AU195" s="3">
        <v>309</v>
      </c>
      <c r="AV195" s="3" t="str">
        <f>IFERROR(MID(VLOOKUP($B195,Seqs!$A:$B,2,0),AW195,1),"")</f>
        <v>N</v>
      </c>
      <c r="AW195" s="3">
        <v>310</v>
      </c>
      <c r="AX195" s="3" t="str">
        <f>IFERROR(MID(VLOOKUP($B195,Seqs!$A:$B,2,0),AY195,1),"")</f>
        <v>C</v>
      </c>
      <c r="AY195" s="3">
        <v>322</v>
      </c>
      <c r="AZ195" s="78" t="str">
        <f>VLOOKUP(B195,Classification!A:D,2,0)</f>
        <v>A</v>
      </c>
      <c r="BA195" s="95" t="str">
        <f>VLOOKUP(B195,Classification!A:D,4,0)</f>
        <v>Opsins</v>
      </c>
      <c r="BB195" s="27" t="b">
        <f t="shared" ref="BB195" si="1818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 t="shared" ref="BC195" si="1819">_xlfn.AGGREGATE(9,6,CH195:CS195)-_xlfn.AGGREGATE(9,6,BV195:CG195)+12</f>
        <v>258</v>
      </c>
      <c r="BD195" s="2" t="s">
        <v>23</v>
      </c>
      <c r="BE195" s="3" t="s">
        <v>1297</v>
      </c>
      <c r="BF195" s="120">
        <v>3.01</v>
      </c>
      <c r="BG195" s="49" t="s">
        <v>1444</v>
      </c>
      <c r="BH195" s="49" t="s">
        <v>1444</v>
      </c>
      <c r="BI195" s="1"/>
      <c r="BJ195" s="71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1">
        <f t="shared" ref="BV195" si="1820">E195</f>
        <v>34</v>
      </c>
      <c r="BW195" s="72">
        <f t="shared" ref="BW195" si="1821">I195</f>
        <v>66</v>
      </c>
      <c r="BX195" s="73">
        <f t="shared" ref="BX195" si="1822">M195</f>
        <v>70</v>
      </c>
      <c r="BY195" s="72">
        <f t="shared" ref="BY195" si="1823">Q195</f>
        <v>102</v>
      </c>
      <c r="BZ195" s="73">
        <f t="shared" ref="BZ195" si="1824">U195</f>
        <v>106</v>
      </c>
      <c r="CA195" s="72">
        <f t="shared" ref="CA195" si="1825">Y195</f>
        <v>142</v>
      </c>
      <c r="CB195" s="73">
        <f t="shared" ref="CB195" si="1826">AC195</f>
        <v>149</v>
      </c>
      <c r="CC195" s="72">
        <f t="shared" ref="CC195" si="1827">AG195</f>
        <v>187</v>
      </c>
      <c r="CD195" s="73">
        <f t="shared" ref="CD195" si="1828">AK195</f>
        <v>199</v>
      </c>
      <c r="CE195" s="72">
        <f t="shared" ref="CE195" si="1829">AO195</f>
        <v>241</v>
      </c>
      <c r="CF195" s="73">
        <f t="shared" ref="CF195" si="1830">AS195</f>
        <v>284</v>
      </c>
      <c r="CG195" s="72">
        <f t="shared" ref="CG195" si="1831">AW195</f>
        <v>310</v>
      </c>
      <c r="CH195" s="71">
        <f t="shared" ref="CH195" si="1832">G195</f>
        <v>65</v>
      </c>
      <c r="CI195" s="72">
        <f t="shared" ref="CI195" si="1833">K195</f>
        <v>69</v>
      </c>
      <c r="CJ195" s="73">
        <f t="shared" ref="CJ195" si="1834">O195</f>
        <v>100</v>
      </c>
      <c r="CK195" s="73">
        <f t="shared" ref="CK195" si="1835">S195</f>
        <v>105</v>
      </c>
      <c r="CL195" s="73">
        <f t="shared" ref="CL195" si="1836">W195</f>
        <v>141</v>
      </c>
      <c r="CM195" s="73">
        <f t="shared" ref="CM195" si="1837">AA195</f>
        <v>148</v>
      </c>
      <c r="CN195" s="73">
        <f t="shared" ref="CN195" si="1838">AE195</f>
        <v>173</v>
      </c>
      <c r="CO195" s="73">
        <f t="shared" ref="CO195" si="1839">AI195</f>
        <v>189</v>
      </c>
      <c r="CP195" s="73">
        <f t="shared" ref="CP195" si="1840">AM195</f>
        <v>237</v>
      </c>
      <c r="CQ195" s="73">
        <f t="shared" ref="CQ195" si="1841">AQ195</f>
        <v>278</v>
      </c>
      <c r="CR195" s="73">
        <f t="shared" ref="CR195" si="1842">AU195</f>
        <v>309</v>
      </c>
      <c r="CS195" s="73">
        <f t="shared" ref="CS195" si="1843">AY195</f>
        <v>322</v>
      </c>
      <c r="CT195" s="23">
        <f t="shared" ref="CT195" si="1844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1507"/>
        <v>opsd_todpa__wt</v>
      </c>
      <c r="B196" s="3" t="s">
        <v>922</v>
      </c>
      <c r="C196" s="3" t="s">
        <v>100</v>
      </c>
      <c r="D196" s="3" t="str">
        <f>IFERROR(MID(VLOOKUP($B196,Seqs!$A:$B,2,0),E196,1),"")</f>
        <v>D</v>
      </c>
      <c r="E196" s="3">
        <v>31</v>
      </c>
      <c r="F196" s="3" t="str">
        <f>IFERROR(MID(VLOOKUP($B196,Seqs!$A:$B,2,0),G196,1),"")</f>
        <v>T</v>
      </c>
      <c r="G196" s="3">
        <v>62</v>
      </c>
      <c r="H196" s="3" t="str">
        <f>IFERROR(MID(VLOOKUP($B196,Seqs!$A:$B,2,0),I196,1),"")</f>
        <v>K</v>
      </c>
      <c r="I196" s="23">
        <v>63</v>
      </c>
      <c r="J196" s="3" t="str">
        <f>IFERROR(MID(VLOOKUP($B196,Seqs!$A:$B,2,0),K196,1),"")</f>
        <v>Q</v>
      </c>
      <c r="K196" s="23">
        <v>66</v>
      </c>
      <c r="L196" s="3" t="str">
        <f>IFERROR(MID(VLOOKUP($B196,Seqs!$A:$B,2,0),M196,1),"")</f>
        <v>T</v>
      </c>
      <c r="M196" s="3">
        <v>67</v>
      </c>
      <c r="N196" s="3" t="str">
        <f>IFERROR(MID(VLOOKUP($B196,Seqs!$A:$B,2,0),O196,1),"")</f>
        <v>K</v>
      </c>
      <c r="O196" s="3">
        <v>99</v>
      </c>
      <c r="P196" s="3" t="str">
        <f>IFERROR(MID(VLOOKUP($B196,Seqs!$A:$B,2,0),Q196,1),"")</f>
        <v>K</v>
      </c>
      <c r="Q196" s="3">
        <v>100</v>
      </c>
      <c r="R196" s="3" t="str">
        <f>IFERROR(MID(VLOOKUP($B196,Seqs!$A:$B,2,0),S196,1),"")</f>
        <v>F</v>
      </c>
      <c r="S196" s="3">
        <v>103</v>
      </c>
      <c r="T196" s="3" t="str">
        <f>IFERROR(MID(VLOOKUP($B196,Seqs!$A:$B,2,0),U196,1),"")</f>
        <v>G</v>
      </c>
      <c r="U196" s="3">
        <v>104</v>
      </c>
      <c r="V196" s="3" t="str">
        <f>IFERROR(MID(VLOOKUP($B196,Seqs!$A:$B,2,0),W196,1),"")</f>
        <v>R</v>
      </c>
      <c r="W196" s="3">
        <v>139</v>
      </c>
      <c r="X196" s="3" t="str">
        <f>IFERROR(MID(VLOOKUP($B196,Seqs!$A:$B,2,0),Y196,1),"")</f>
        <v>P</v>
      </c>
      <c r="Y196" s="3">
        <v>140</v>
      </c>
      <c r="Z196" s="3" t="str">
        <f>IFERROR(MID(VLOOKUP($B196,Seqs!$A:$B,2,0),AA196,1),"")</f>
        <v>M</v>
      </c>
      <c r="AA196" s="3">
        <v>147</v>
      </c>
      <c r="AB196" s="3" t="str">
        <f>IFERROR(MID(VLOOKUP($B196,Seqs!$A:$B,2,0),AC196,1),"")</f>
        <v>S</v>
      </c>
      <c r="AC196" s="9">
        <v>148</v>
      </c>
      <c r="AD196" s="3" t="str">
        <f>IFERROR(MID(VLOOKUP($B196,Seqs!$A:$B,2,0),AE196,1),"")</f>
        <v>F</v>
      </c>
      <c r="AE196" s="3">
        <v>172</v>
      </c>
      <c r="AF196" s="3" t="str">
        <f>IFERROR(MID(VLOOKUP($B196,Seqs!$A:$B,2,0),AG196,1),"")</f>
        <v>C</v>
      </c>
      <c r="AG196" s="3">
        <v>186</v>
      </c>
      <c r="AH196" s="3" t="str">
        <f>IFERROR(MID(VLOOKUP($B196,Seqs!$A:$B,2,0),AI196,1),"")</f>
        <v>F</v>
      </c>
      <c r="AI196" s="3">
        <v>188</v>
      </c>
      <c r="AJ196" s="3" t="str">
        <f>IFERROR(MID(VLOOKUP($B196,Seqs!$A:$B,2,0),AK196,1),"")</f>
        <v>D</v>
      </c>
      <c r="AK196" s="3">
        <v>194</v>
      </c>
      <c r="AL196" s="3" t="str">
        <f>IFERROR(MID(VLOOKUP($B196,Seqs!$A:$B,2,0),AM196,1),"")</f>
        <v>K</v>
      </c>
      <c r="AM196" s="3">
        <v>239</v>
      </c>
      <c r="AN196" s="3" t="str">
        <f>IFERROR(MID(VLOOKUP($B196,Seqs!$A:$B,2,0),AO196,1),"")</f>
        <v>K</v>
      </c>
      <c r="AO196" s="3">
        <v>244</v>
      </c>
      <c r="AP196" s="3" t="str">
        <f>IFERROR(MID(VLOOKUP($B196,Seqs!$A:$B,2,0),AQ196,1),"")</f>
        <v>G</v>
      </c>
      <c r="AQ196" s="3">
        <v>287</v>
      </c>
      <c r="AR196" s="3" t="str">
        <f>IFERROR(MID(VLOOKUP($B196,Seqs!$A:$B,2,0),AS196,1),"")</f>
        <v>T</v>
      </c>
      <c r="AS196" s="3">
        <v>293</v>
      </c>
      <c r="AT196" s="3" t="str">
        <f>IFERROR(MID(VLOOKUP($B196,Seqs!$A:$B,2,0),AU196,1),"")</f>
        <v>S</v>
      </c>
      <c r="AU196" s="3">
        <v>318</v>
      </c>
      <c r="AV196" s="3" t="str">
        <f>IFERROR(MID(VLOOKUP($B196,Seqs!$A:$B,2,0),AW196,1),"")</f>
        <v>H</v>
      </c>
      <c r="AW196" s="3">
        <v>319</v>
      </c>
      <c r="AX196" s="3" t="str">
        <f>IFERROR(MID(VLOOKUP($B196,Seqs!$A:$B,2,0),AY196,1),"")</f>
        <v>F</v>
      </c>
      <c r="AY196" s="3">
        <v>330</v>
      </c>
      <c r="AZ196" s="78" t="str">
        <f>VLOOKUP(B196,Classification!A:D,2,0)</f>
        <v>A</v>
      </c>
      <c r="BA196" s="95" t="str">
        <f>VLOOKUP(B196,Classification!A:D,4,0)</f>
        <v>Opsins</v>
      </c>
      <c r="BB196" s="27" t="b">
        <f t="shared" si="1508"/>
        <v>1</v>
      </c>
      <c r="BC196" s="23">
        <f t="shared" si="1481"/>
        <v>273</v>
      </c>
      <c r="BD196" s="56" t="s">
        <v>1379</v>
      </c>
      <c r="BE196" s="3" t="s">
        <v>23</v>
      </c>
      <c r="BF196" s="120" t="s">
        <v>23</v>
      </c>
      <c r="BG196" s="49" t="s">
        <v>1379</v>
      </c>
      <c r="BH196" s="49" t="s">
        <v>1384</v>
      </c>
      <c r="BI196" s="1"/>
      <c r="BJ196" s="71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1">
        <f t="shared" si="1482"/>
        <v>31</v>
      </c>
      <c r="BW196" s="72">
        <f t="shared" si="1483"/>
        <v>63</v>
      </c>
      <c r="BX196" s="73">
        <f t="shared" si="1484"/>
        <v>67</v>
      </c>
      <c r="BY196" s="72">
        <f t="shared" si="1485"/>
        <v>100</v>
      </c>
      <c r="BZ196" s="73">
        <f t="shared" si="1486"/>
        <v>104</v>
      </c>
      <c r="CA196" s="72">
        <f t="shared" si="1487"/>
        <v>140</v>
      </c>
      <c r="CB196" s="73">
        <f t="shared" si="1488"/>
        <v>148</v>
      </c>
      <c r="CC196" s="72">
        <f t="shared" si="1489"/>
        <v>186</v>
      </c>
      <c r="CD196" s="73">
        <f t="shared" si="1490"/>
        <v>194</v>
      </c>
      <c r="CE196" s="72">
        <f t="shared" si="1491"/>
        <v>244</v>
      </c>
      <c r="CF196" s="73">
        <f t="shared" si="1492"/>
        <v>293</v>
      </c>
      <c r="CG196" s="72">
        <f t="shared" si="1493"/>
        <v>319</v>
      </c>
      <c r="CH196" s="71">
        <f t="shared" si="1494"/>
        <v>62</v>
      </c>
      <c r="CI196" s="72">
        <f t="shared" si="1495"/>
        <v>66</v>
      </c>
      <c r="CJ196" s="73">
        <f t="shared" si="1496"/>
        <v>99</v>
      </c>
      <c r="CK196" s="73">
        <f t="shared" si="1497"/>
        <v>103</v>
      </c>
      <c r="CL196" s="73">
        <f t="shared" si="1498"/>
        <v>139</v>
      </c>
      <c r="CM196" s="73">
        <f t="shared" si="1499"/>
        <v>147</v>
      </c>
      <c r="CN196" s="73">
        <f t="shared" si="1500"/>
        <v>172</v>
      </c>
      <c r="CO196" s="73">
        <f t="shared" si="1501"/>
        <v>188</v>
      </c>
      <c r="CP196" s="73">
        <f t="shared" si="1502"/>
        <v>239</v>
      </c>
      <c r="CQ196" s="73">
        <f t="shared" si="1503"/>
        <v>287</v>
      </c>
      <c r="CR196" s="73">
        <f t="shared" si="1504"/>
        <v>318</v>
      </c>
      <c r="CS196" s="73">
        <f t="shared" si="1505"/>
        <v>330</v>
      </c>
      <c r="CT196" s="23">
        <f t="shared" si="1506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si="1507"/>
        <v>opsd_todpa_2Z73</v>
      </c>
      <c r="B197" s="3" t="s">
        <v>922</v>
      </c>
      <c r="C197" s="3" t="s">
        <v>97</v>
      </c>
      <c r="D197" s="3" t="str">
        <f>IFERROR(MID(VLOOKUP($B197,Seqs!$A:$B,2,0),E197,1),"")</f>
        <v>D</v>
      </c>
      <c r="E197" s="3">
        <v>31</v>
      </c>
      <c r="F197" s="3" t="str">
        <f>IFERROR(MID(VLOOKUP($B197,Seqs!$A:$B,2,0),G197,1),"")</f>
        <v>T</v>
      </c>
      <c r="G197" s="3">
        <v>62</v>
      </c>
      <c r="H197" s="3" t="str">
        <f>IFERROR(MID(VLOOKUP($B197,Seqs!$A:$B,2,0),I197,1),"")</f>
        <v>K</v>
      </c>
      <c r="I197" s="23">
        <v>63</v>
      </c>
      <c r="J197" s="3" t="str">
        <f>IFERROR(MID(VLOOKUP($B197,Seqs!$A:$B,2,0),K197,1),"")</f>
        <v>Q</v>
      </c>
      <c r="K197" s="23">
        <v>66</v>
      </c>
      <c r="L197" s="3" t="str">
        <f>IFERROR(MID(VLOOKUP($B197,Seqs!$A:$B,2,0),M197,1),"")</f>
        <v>T</v>
      </c>
      <c r="M197" s="3">
        <v>67</v>
      </c>
      <c r="N197" s="3" t="str">
        <f>IFERROR(MID(VLOOKUP($B197,Seqs!$A:$B,2,0),O197,1),"")</f>
        <v>K</v>
      </c>
      <c r="O197" s="3">
        <v>99</v>
      </c>
      <c r="P197" s="3" t="str">
        <f>IFERROR(MID(VLOOKUP($B197,Seqs!$A:$B,2,0),Q197,1),"")</f>
        <v>K</v>
      </c>
      <c r="Q197" s="3">
        <v>100</v>
      </c>
      <c r="R197" s="3" t="str">
        <f>IFERROR(MID(VLOOKUP($B197,Seqs!$A:$B,2,0),S197,1),"")</f>
        <v>F</v>
      </c>
      <c r="S197" s="3">
        <v>103</v>
      </c>
      <c r="T197" s="3" t="str">
        <f>IFERROR(MID(VLOOKUP($B197,Seqs!$A:$B,2,0),U197,1),"")</f>
        <v>G</v>
      </c>
      <c r="U197" s="3">
        <v>104</v>
      </c>
      <c r="V197" s="3" t="str">
        <f>IFERROR(MID(VLOOKUP($B197,Seqs!$A:$B,2,0),W197,1),"")</f>
        <v>R</v>
      </c>
      <c r="W197" s="3">
        <v>139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148</v>
      </c>
      <c r="AD197" s="3" t="str">
        <f>IFERROR(MID(VLOOKUP($B197,Seqs!$A:$B,2,0),AE197,1),"")</f>
        <v>F</v>
      </c>
      <c r="AE197" s="3">
        <v>172</v>
      </c>
      <c r="AF197" s="3" t="str">
        <f>IFERROR(MID(VLOOKUP($B197,Seqs!$A:$B,2,0),AG197,1),"")</f>
        <v>C</v>
      </c>
      <c r="AG197" s="3">
        <v>186</v>
      </c>
      <c r="AH197" s="3" t="str">
        <f>IFERROR(MID(VLOOKUP($B197,Seqs!$A:$B,2,0),AI197,1),"")</f>
        <v>F</v>
      </c>
      <c r="AI197" s="3">
        <v>188</v>
      </c>
      <c r="AJ197" s="3" t="str">
        <f>IFERROR(MID(VLOOKUP($B197,Seqs!$A:$B,2,0),AK197,1),"")</f>
        <v>D</v>
      </c>
      <c r="AK197" s="3">
        <v>194</v>
      </c>
      <c r="AL197" s="3" t="str">
        <f>IFERROR(MID(VLOOKUP($B197,Seqs!$A:$B,2,0),AM197,1),"")</f>
        <v>K</v>
      </c>
      <c r="AM197" s="3">
        <v>239</v>
      </c>
      <c r="AN197" s="3" t="str">
        <f>IFERROR(MID(VLOOKUP($B197,Seqs!$A:$B,2,0),AO197,1),"")</f>
        <v>K</v>
      </c>
      <c r="AO197" s="3">
        <v>244</v>
      </c>
      <c r="AP197" s="3" t="str">
        <f>IFERROR(MID(VLOOKUP($B197,Seqs!$A:$B,2,0),AQ197,1),"")</f>
        <v>G</v>
      </c>
      <c r="AQ197" s="3">
        <v>287</v>
      </c>
      <c r="AR197" s="3" t="str">
        <f>IFERROR(MID(VLOOKUP($B197,Seqs!$A:$B,2,0),AS197,1),"")</f>
        <v>T</v>
      </c>
      <c r="AS197" s="3">
        <v>293</v>
      </c>
      <c r="AT197" s="3" t="str">
        <f>IFERROR(MID(VLOOKUP($B197,Seqs!$A:$B,2,0),AU197,1),"")</f>
        <v>S</v>
      </c>
      <c r="AU197" s="3">
        <v>318</v>
      </c>
      <c r="AV197" s="3" t="str">
        <f>IFERROR(MID(VLOOKUP($B197,Seqs!$A:$B,2,0),AW197,1),"")</f>
        <v>H</v>
      </c>
      <c r="AW197" s="3">
        <v>319</v>
      </c>
      <c r="AX197" s="3" t="str">
        <f>IFERROR(MID(VLOOKUP($B197,Seqs!$A:$B,2,0),AY197,1),"")</f>
        <v>F</v>
      </c>
      <c r="AY197" s="3">
        <v>330</v>
      </c>
      <c r="AZ197" s="78" t="str">
        <f>VLOOKUP(B197,Classification!A:D,2,0)</f>
        <v>A</v>
      </c>
      <c r="BA197" s="95" t="str">
        <f>VLOOKUP(B197,Classification!A:D,4,0)</f>
        <v>Opsins</v>
      </c>
      <c r="BB197" s="27" t="b">
        <f t="shared" si="1508"/>
        <v>1</v>
      </c>
      <c r="BC197" s="23">
        <f t="shared" si="1481"/>
        <v>266</v>
      </c>
      <c r="BD197" s="2" t="s">
        <v>1383</v>
      </c>
      <c r="BE197" s="3" t="s">
        <v>1381</v>
      </c>
      <c r="BF197" s="120">
        <v>2.5</v>
      </c>
      <c r="BG197" s="49" t="s">
        <v>1384</v>
      </c>
      <c r="BH197" s="49" t="s">
        <v>1384</v>
      </c>
      <c r="BI197" s="1"/>
      <c r="BJ197" s="71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1">
        <f t="shared" si="1482"/>
        <v>31</v>
      </c>
      <c r="BW197" s="72">
        <f t="shared" si="1483"/>
        <v>63</v>
      </c>
      <c r="BX197" s="73">
        <f t="shared" si="1484"/>
        <v>67</v>
      </c>
      <c r="BY197" s="72">
        <f t="shared" si="1485"/>
        <v>100</v>
      </c>
      <c r="BZ197" s="73">
        <f t="shared" si="1486"/>
        <v>104</v>
      </c>
      <c r="CA197" s="72" t="str">
        <f t="shared" si="1487"/>
        <v>-</v>
      </c>
      <c r="CB197" s="73">
        <f t="shared" si="1488"/>
        <v>148</v>
      </c>
      <c r="CC197" s="72">
        <f t="shared" si="1489"/>
        <v>186</v>
      </c>
      <c r="CD197" s="73">
        <f t="shared" si="1490"/>
        <v>194</v>
      </c>
      <c r="CE197" s="72">
        <f t="shared" si="1491"/>
        <v>244</v>
      </c>
      <c r="CF197" s="73">
        <f t="shared" si="1492"/>
        <v>293</v>
      </c>
      <c r="CG197" s="72">
        <f t="shared" si="1493"/>
        <v>319</v>
      </c>
      <c r="CH197" s="71">
        <f t="shared" si="1494"/>
        <v>62</v>
      </c>
      <c r="CI197" s="72">
        <f t="shared" si="1495"/>
        <v>66</v>
      </c>
      <c r="CJ197" s="73">
        <f t="shared" si="1496"/>
        <v>99</v>
      </c>
      <c r="CK197" s="73">
        <f t="shared" si="1497"/>
        <v>103</v>
      </c>
      <c r="CL197" s="73">
        <f t="shared" si="1498"/>
        <v>139</v>
      </c>
      <c r="CM197" s="73" t="str">
        <f t="shared" si="1499"/>
        <v>-</v>
      </c>
      <c r="CN197" s="73">
        <f t="shared" si="1500"/>
        <v>172</v>
      </c>
      <c r="CO197" s="73">
        <f t="shared" si="1501"/>
        <v>188</v>
      </c>
      <c r="CP197" s="73">
        <f t="shared" si="1502"/>
        <v>239</v>
      </c>
      <c r="CQ197" s="73">
        <f t="shared" si="1503"/>
        <v>287</v>
      </c>
      <c r="CR197" s="73">
        <f t="shared" si="1504"/>
        <v>318</v>
      </c>
      <c r="CS197" s="73">
        <f t="shared" si="1505"/>
        <v>330</v>
      </c>
      <c r="CT197" s="23">
        <f t="shared" si="1506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2"/>
    </row>
    <row r="198" spans="1:1030" x14ac:dyDescent="0.2">
      <c r="A198" s="3" t="str">
        <f t="shared" si="1507"/>
        <v>ox1r_human__wt</v>
      </c>
      <c r="B198" s="3" t="s">
        <v>1175</v>
      </c>
      <c r="C198" s="3" t="s">
        <v>100</v>
      </c>
      <c r="D198" s="3" t="str">
        <f>IFERROR(MID(VLOOKUP($B198,Seqs!$A:$B,2,0),E198,1),"")</f>
        <v>E</v>
      </c>
      <c r="E198" s="3">
        <v>46</v>
      </c>
      <c r="F198" s="3" t="str">
        <f>IFERROR(MID(VLOOKUP($B198,Seqs!$A:$B,2,0),G198,1),"")</f>
        <v>N</v>
      </c>
      <c r="G198" s="3">
        <v>74</v>
      </c>
      <c r="H198" s="3" t="str">
        <f>IFERROR(MID(VLOOKUP($B198,Seqs!$A:$B,2,0),I198,1),"")</f>
        <v>H</v>
      </c>
      <c r="I198" s="23">
        <v>75</v>
      </c>
      <c r="J198" s="3" t="str">
        <f>IFERROR(MID(VLOOKUP($B198,Seqs!$A:$B,2,0),K198,1),"")</f>
        <v>R</v>
      </c>
      <c r="K198" s="23">
        <v>78</v>
      </c>
      <c r="L198" s="3" t="str">
        <f>IFERROR(MID(VLOOKUP($B198,Seqs!$A:$B,2,0),M198,1),"")</f>
        <v>T</v>
      </c>
      <c r="M198" s="3">
        <v>79</v>
      </c>
      <c r="N198" s="3" t="str">
        <f>IFERROR(MID(VLOOKUP($B198,Seqs!$A:$B,2,0),O198,1),"")</f>
        <v>T</v>
      </c>
      <c r="O198" s="3">
        <v>109</v>
      </c>
      <c r="P198" s="3" t="str">
        <f>IFERROR(MID(VLOOKUP($B198,Seqs!$A:$B,2,0),Q198,1),"")</f>
        <v>S</v>
      </c>
      <c r="Q198" s="3">
        <v>111</v>
      </c>
      <c r="R198" s="3" t="str">
        <f>IFERROR(MID(VLOOKUP($B198,Seqs!$A:$B,2,0),S198,1),"")</f>
        <v>F</v>
      </c>
      <c r="S198" s="3">
        <v>114</v>
      </c>
      <c r="T198" s="3" t="str">
        <f>IFERROR(MID(VLOOKUP($B198,Seqs!$A:$B,2,0),U198,1),"")</f>
        <v>G</v>
      </c>
      <c r="U198" s="3">
        <v>115</v>
      </c>
      <c r="V198" s="3" t="str">
        <f>IFERROR(MID(VLOOKUP($B198,Seqs!$A:$B,2,0),W198,1),"")</f>
        <v>H</v>
      </c>
      <c r="W198" s="3">
        <v>150</v>
      </c>
      <c r="X198" s="3" t="str">
        <f>IFERROR(MID(VLOOKUP($B198,Seqs!$A:$B,2,0),Y198,1),"")</f>
        <v>P</v>
      </c>
      <c r="Y198" s="3">
        <v>151</v>
      </c>
      <c r="Z198" s="3" t="str">
        <f>IFERROR(MID(VLOOKUP($B198,Seqs!$A:$B,2,0),AA198,1),"")</f>
        <v>F</v>
      </c>
      <c r="AA198" s="74">
        <v>154</v>
      </c>
      <c r="AB198" s="3" t="str">
        <f>IFERROR(MID(VLOOKUP($B198,Seqs!$A:$B,2,0),AC198,1),"")</f>
        <v>T</v>
      </c>
      <c r="AC198" s="9">
        <v>157</v>
      </c>
      <c r="AD198" s="3" t="str">
        <f>IFERROR(MID(VLOOKUP($B198,Seqs!$A:$B,2,0),AE198,1),"")</f>
        <v>M</v>
      </c>
      <c r="AE198" s="3">
        <v>183</v>
      </c>
      <c r="AF198" s="3" t="str">
        <f>IFERROR(MID(VLOOKUP($B198,Seqs!$A:$B,2,0),AG198,1),"")</f>
        <v>C</v>
      </c>
      <c r="AG198" s="3">
        <v>202</v>
      </c>
      <c r="AH198" s="3" t="str">
        <f>IFERROR(MID(VLOOKUP($B198,Seqs!$A:$B,2,0),AI198,1),"")</f>
        <v>E</v>
      </c>
      <c r="AI198" s="3">
        <v>204</v>
      </c>
      <c r="AJ198" s="3" t="str">
        <f>IFERROR(MID(VLOOKUP($B198,Seqs!$A:$B,2,0),AK198,1),"")</f>
        <v>D</v>
      </c>
      <c r="AK198" s="3">
        <v>209</v>
      </c>
      <c r="AL198" s="3" t="str">
        <f>IFERROR(MID(VLOOKUP($B198,Seqs!$A:$B,2,0),AM198,1),"")</f>
        <v>P</v>
      </c>
      <c r="AM198" s="3">
        <v>248</v>
      </c>
      <c r="AN198" s="3" t="str">
        <f>IFERROR(MID(VLOOKUP($B198,Seqs!$A:$B,2,0),AO198,1),"")</f>
        <v>F</v>
      </c>
      <c r="AO198" s="3">
        <v>283</v>
      </c>
      <c r="AP198" s="3" t="str">
        <f>IFERROR(MID(VLOOKUP($B198,Seqs!$A:$B,2,0),AQ198,1),"")</f>
        <v>F</v>
      </c>
      <c r="AQ198" s="3">
        <v>324</v>
      </c>
      <c r="AR198" s="3" t="str">
        <f>IFERROR(MID(VLOOKUP($B198,Seqs!$A:$B,2,0),AS198,1),"")</f>
        <v>R</v>
      </c>
      <c r="AS198" s="3">
        <v>333</v>
      </c>
      <c r="AT198" s="3" t="str">
        <f>IFERROR(MID(VLOOKUP($B198,Seqs!$A:$B,2,0),AU198,1),"")</f>
        <v>L</v>
      </c>
      <c r="AU198" s="3">
        <v>361</v>
      </c>
      <c r="AV198" s="3" t="str">
        <f>IFERROR(MID(VLOOKUP($B198,Seqs!$A:$B,2,0),AW198,1),"")</f>
        <v>S</v>
      </c>
      <c r="AW198" s="3">
        <v>362</v>
      </c>
      <c r="AX198" s="3" t="str">
        <f>IFERROR(MID(VLOOKUP($B198,Seqs!$A:$B,2,0),AY198,1),"")</f>
        <v>F</v>
      </c>
      <c r="AY198" s="3">
        <v>373</v>
      </c>
      <c r="AZ198" s="78" t="str">
        <f>VLOOKUP(B198,Classification!A:D,2,0)</f>
        <v>A</v>
      </c>
      <c r="BA198" s="95" t="str">
        <f>VLOOKUP(B198,Classification!A:D,4,0)</f>
        <v>Orexin</v>
      </c>
      <c r="BB198" s="27" t="b">
        <f t="shared" si="1508"/>
        <v>1</v>
      </c>
      <c r="BC198" s="23">
        <f t="shared" si="1481"/>
        <v>261</v>
      </c>
      <c r="BD198" s="56" t="s">
        <v>1379</v>
      </c>
      <c r="BE198" s="3" t="s">
        <v>23</v>
      </c>
      <c r="BF198" s="120" t="s">
        <v>23</v>
      </c>
      <c r="BG198" s="49" t="s">
        <v>1379</v>
      </c>
      <c r="BH198" s="49" t="s">
        <v>1384</v>
      </c>
      <c r="BI198" s="1"/>
      <c r="BJ198" s="71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1">
        <f t="shared" si="1482"/>
        <v>46</v>
      </c>
      <c r="BW198" s="72">
        <f t="shared" si="1483"/>
        <v>75</v>
      </c>
      <c r="BX198" s="73">
        <f t="shared" si="1484"/>
        <v>79</v>
      </c>
      <c r="BY198" s="72">
        <f t="shared" si="1485"/>
        <v>111</v>
      </c>
      <c r="BZ198" s="73">
        <f t="shared" si="1486"/>
        <v>115</v>
      </c>
      <c r="CA198" s="72">
        <f t="shared" si="1487"/>
        <v>151</v>
      </c>
      <c r="CB198" s="73">
        <f t="shared" si="1488"/>
        <v>157</v>
      </c>
      <c r="CC198" s="72">
        <f t="shared" si="1489"/>
        <v>202</v>
      </c>
      <c r="CD198" s="73">
        <f t="shared" si="1490"/>
        <v>209</v>
      </c>
      <c r="CE198" s="72">
        <f t="shared" si="1491"/>
        <v>283</v>
      </c>
      <c r="CF198" s="73">
        <f t="shared" si="1492"/>
        <v>333</v>
      </c>
      <c r="CG198" s="72">
        <f t="shared" si="1493"/>
        <v>362</v>
      </c>
      <c r="CH198" s="71">
        <f t="shared" si="1494"/>
        <v>74</v>
      </c>
      <c r="CI198" s="72">
        <f t="shared" si="1495"/>
        <v>78</v>
      </c>
      <c r="CJ198" s="73">
        <f t="shared" si="1496"/>
        <v>109</v>
      </c>
      <c r="CK198" s="73">
        <f t="shared" si="1497"/>
        <v>114</v>
      </c>
      <c r="CL198" s="73">
        <f t="shared" si="1498"/>
        <v>150</v>
      </c>
      <c r="CM198" s="73">
        <f t="shared" si="1499"/>
        <v>154</v>
      </c>
      <c r="CN198" s="73">
        <f t="shared" si="1500"/>
        <v>183</v>
      </c>
      <c r="CO198" s="73">
        <f t="shared" si="1501"/>
        <v>204</v>
      </c>
      <c r="CP198" s="73">
        <f t="shared" si="1502"/>
        <v>248</v>
      </c>
      <c r="CQ198" s="73">
        <f t="shared" si="1503"/>
        <v>324</v>
      </c>
      <c r="CR198" s="73">
        <f t="shared" si="1504"/>
        <v>361</v>
      </c>
      <c r="CS198" s="73">
        <f t="shared" si="1505"/>
        <v>373</v>
      </c>
      <c r="CT198" s="23">
        <f t="shared" si="1506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30" x14ac:dyDescent="0.2">
      <c r="A199" s="3" t="str">
        <f t="shared" si="1507"/>
        <v>ox1r_human_4ZJ8</v>
      </c>
      <c r="B199" s="3" t="s">
        <v>1175</v>
      </c>
      <c r="C199" s="3" t="s">
        <v>90</v>
      </c>
      <c r="D199" s="3" t="str">
        <f>IFERROR(MID(VLOOKUP($B199,Seqs!$A:$B,2,0),E199,1),"")</f>
        <v>E</v>
      </c>
      <c r="E199" s="3">
        <v>46</v>
      </c>
      <c r="F199" s="3" t="str">
        <f>IFERROR(MID(VLOOKUP($B199,Seqs!$A:$B,2,0),G199,1),"")</f>
        <v>N</v>
      </c>
      <c r="G199" s="3">
        <v>74</v>
      </c>
      <c r="H199" s="3" t="str">
        <f>IFERROR(MID(VLOOKUP($B199,Seqs!$A:$B,2,0),I199,1),"")</f>
        <v>H</v>
      </c>
      <c r="I199" s="23">
        <v>75</v>
      </c>
      <c r="J199" s="3" t="str">
        <f>IFERROR(MID(VLOOKUP($B199,Seqs!$A:$B,2,0),K199,1),"")</f>
        <v>R</v>
      </c>
      <c r="K199" s="23">
        <v>78</v>
      </c>
      <c r="L199" s="3" t="str">
        <f>IFERROR(MID(VLOOKUP($B199,Seqs!$A:$B,2,0),M199,1),"")</f>
        <v>T</v>
      </c>
      <c r="M199" s="3">
        <v>79</v>
      </c>
      <c r="N199" s="3" t="str">
        <f>IFERROR(MID(VLOOKUP($B199,Seqs!$A:$B,2,0),O199,1),"")</f>
        <v>T</v>
      </c>
      <c r="O199" s="3">
        <v>109</v>
      </c>
      <c r="P199" s="3" t="str">
        <f>IFERROR(MID(VLOOKUP($B199,Seqs!$A:$B,2,0),Q199,1),"")</f>
        <v>S</v>
      </c>
      <c r="Q199" s="3">
        <v>111</v>
      </c>
      <c r="R199" s="3" t="str">
        <f>IFERROR(MID(VLOOKUP($B199,Seqs!$A:$B,2,0),S199,1),"")</f>
        <v>F</v>
      </c>
      <c r="S199" s="3">
        <v>114</v>
      </c>
      <c r="T199" s="3" t="str">
        <f>IFERROR(MID(VLOOKUP($B199,Seqs!$A:$B,2,0),U199,1),"")</f>
        <v>G</v>
      </c>
      <c r="U199" s="3">
        <v>115</v>
      </c>
      <c r="V199" s="3" t="str">
        <f>IFERROR(MID(VLOOKUP($B199,Seqs!$A:$B,2,0),W199,1),"")</f>
        <v>H</v>
      </c>
      <c r="W199" s="3">
        <v>150</v>
      </c>
      <c r="X199" s="3" t="str">
        <f>IFERROR(MID(VLOOKUP($B199,Seqs!$A:$B,2,0),Y199,1),"")</f>
        <v>P</v>
      </c>
      <c r="Y199" s="3">
        <v>151</v>
      </c>
      <c r="Z199" s="3" t="str">
        <f>IFERROR(MID(VLOOKUP($B199,Seqs!$A:$B,2,0),AA199,1),"")</f>
        <v>F</v>
      </c>
      <c r="AA199" s="3">
        <v>154</v>
      </c>
      <c r="AB199" s="3" t="str">
        <f>IFERROR(MID(VLOOKUP($B199,Seqs!$A:$B,2,0),AC199,1),"")</f>
        <v>T</v>
      </c>
      <c r="AC199" s="9">
        <v>157</v>
      </c>
      <c r="AD199" s="3" t="str">
        <f>IFERROR(MID(VLOOKUP($B199,Seqs!$A:$B,2,0),AE199,1),"")</f>
        <v>M</v>
      </c>
      <c r="AE199" s="3">
        <v>183</v>
      </c>
      <c r="AF199" s="3" t="str">
        <f>IFERROR(MID(VLOOKUP($B199,Seqs!$A:$B,2,0),AG199,1),"")</f>
        <v>C</v>
      </c>
      <c r="AG199" s="3">
        <v>202</v>
      </c>
      <c r="AH199" s="3" t="str">
        <f>IFERROR(MID(VLOOKUP($B199,Seqs!$A:$B,2,0),AI199,1),"")</f>
        <v>E</v>
      </c>
      <c r="AI199" s="3">
        <v>204</v>
      </c>
      <c r="AJ199" s="3" t="str">
        <f>IFERROR(MID(VLOOKUP($B199,Seqs!$A:$B,2,0),AK199,1),"")</f>
        <v>D</v>
      </c>
      <c r="AK199" s="3">
        <v>209</v>
      </c>
      <c r="AL199" s="3" t="str">
        <f>IFERROR(MID(VLOOKUP($B199,Seqs!$A:$B,2,0),AM199,1),"")</f>
        <v>L</v>
      </c>
      <c r="AM199" s="3">
        <v>242</v>
      </c>
      <c r="AN199" s="3" t="str">
        <f>IFERROR(MID(VLOOKUP($B199,Seqs!$A:$B,2,0),AO199,1),"")</f>
        <v>K</v>
      </c>
      <c r="AO199" s="3">
        <v>288</v>
      </c>
      <c r="AP199" s="3" t="str">
        <f>IFERROR(MID(VLOOKUP($B199,Seqs!$A:$B,2,0),AQ199,1),"")</f>
        <v>F</v>
      </c>
      <c r="AQ199" s="3">
        <v>324</v>
      </c>
      <c r="AR199" s="3" t="str">
        <f>IFERROR(MID(VLOOKUP($B199,Seqs!$A:$B,2,0),AS199,1),"")</f>
        <v>R</v>
      </c>
      <c r="AS199" s="3">
        <v>333</v>
      </c>
      <c r="AT199" s="3" t="str">
        <f>IFERROR(MID(VLOOKUP($B199,Seqs!$A:$B,2,0),AU199,1),"")</f>
        <v>L</v>
      </c>
      <c r="AU199" s="3">
        <v>361</v>
      </c>
      <c r="AV199" s="3" t="str">
        <f>IFERROR(MID(VLOOKUP($B199,Seqs!$A:$B,2,0),AW199,1),"")</f>
        <v>S</v>
      </c>
      <c r="AW199" s="3">
        <v>362</v>
      </c>
      <c r="AX199" s="3" t="str">
        <f>IFERROR(MID(VLOOKUP($B199,Seqs!$A:$B,2,0),AY199,1),"")</f>
        <v>F</v>
      </c>
      <c r="AY199" s="3">
        <v>373</v>
      </c>
      <c r="AZ199" s="78" t="str">
        <f>VLOOKUP(B199,Classification!A:D,2,0)</f>
        <v>A</v>
      </c>
      <c r="BA199" s="95" t="str">
        <f>VLOOKUP(B199,Classification!A:D,4,0)</f>
        <v>Orexin</v>
      </c>
      <c r="BB199" s="27" t="b">
        <f t="shared" si="1508"/>
        <v>1</v>
      </c>
      <c r="BC199" s="23">
        <f t="shared" si="1481"/>
        <v>250</v>
      </c>
      <c r="BD199" s="4" t="s">
        <v>1383</v>
      </c>
      <c r="BE199" s="3" t="s">
        <v>1381</v>
      </c>
      <c r="BF199" s="120">
        <v>2.75</v>
      </c>
      <c r="BG199" s="49" t="s">
        <v>1384</v>
      </c>
      <c r="BH199" s="49" t="s">
        <v>1384</v>
      </c>
      <c r="BI199" s="1"/>
      <c r="BJ199" s="71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1">
        <f t="shared" si="1482"/>
        <v>46</v>
      </c>
      <c r="BW199" s="72">
        <f t="shared" si="1483"/>
        <v>75</v>
      </c>
      <c r="BX199" s="73">
        <f t="shared" si="1484"/>
        <v>79</v>
      </c>
      <c r="BY199" s="72">
        <f t="shared" si="1485"/>
        <v>111</v>
      </c>
      <c r="BZ199" s="73">
        <f t="shared" si="1486"/>
        <v>115</v>
      </c>
      <c r="CA199" s="72">
        <f t="shared" si="1487"/>
        <v>151</v>
      </c>
      <c r="CB199" s="73">
        <f t="shared" si="1488"/>
        <v>157</v>
      </c>
      <c r="CC199" s="72">
        <f t="shared" si="1489"/>
        <v>202</v>
      </c>
      <c r="CD199" s="73">
        <f t="shared" si="1490"/>
        <v>209</v>
      </c>
      <c r="CE199" s="72">
        <f t="shared" si="1491"/>
        <v>288</v>
      </c>
      <c r="CF199" s="73">
        <f t="shared" si="1492"/>
        <v>333</v>
      </c>
      <c r="CG199" s="72">
        <f t="shared" si="1493"/>
        <v>362</v>
      </c>
      <c r="CH199" s="71">
        <f t="shared" si="1494"/>
        <v>74</v>
      </c>
      <c r="CI199" s="72">
        <f t="shared" si="1495"/>
        <v>78</v>
      </c>
      <c r="CJ199" s="73">
        <f t="shared" si="1496"/>
        <v>109</v>
      </c>
      <c r="CK199" s="73">
        <f t="shared" si="1497"/>
        <v>114</v>
      </c>
      <c r="CL199" s="73">
        <f t="shared" si="1498"/>
        <v>150</v>
      </c>
      <c r="CM199" s="73">
        <f t="shared" si="1499"/>
        <v>154</v>
      </c>
      <c r="CN199" s="73">
        <f t="shared" si="1500"/>
        <v>183</v>
      </c>
      <c r="CO199" s="73">
        <f t="shared" si="1501"/>
        <v>204</v>
      </c>
      <c r="CP199" s="73">
        <f t="shared" si="1502"/>
        <v>242</v>
      </c>
      <c r="CQ199" s="73">
        <f t="shared" si="1503"/>
        <v>324</v>
      </c>
      <c r="CR199" s="73">
        <f t="shared" si="1504"/>
        <v>361</v>
      </c>
      <c r="CS199" s="73">
        <f t="shared" si="1505"/>
        <v>373</v>
      </c>
      <c r="CT199" s="23">
        <f t="shared" si="1506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2"/>
    </row>
    <row r="200" spans="1:1030" x14ac:dyDescent="0.2">
      <c r="A200" s="3" t="str">
        <f t="shared" si="1507"/>
        <v>ox1r_human_4ZJC</v>
      </c>
      <c r="B200" s="3" t="s">
        <v>1175</v>
      </c>
      <c r="C200" s="3" t="s">
        <v>91</v>
      </c>
      <c r="D200" s="3" t="str">
        <f>IFERROR(MID(VLOOKUP($B200,Seqs!$A:$B,2,0),E200,1),"")</f>
        <v>E</v>
      </c>
      <c r="E200" s="3">
        <v>46</v>
      </c>
      <c r="F200" s="3" t="str">
        <f>IFERROR(MID(VLOOKUP($B200,Seqs!$A:$B,2,0),G200,1),"")</f>
        <v>N</v>
      </c>
      <c r="G200" s="3">
        <v>74</v>
      </c>
      <c r="H200" s="3" t="str">
        <f>IFERROR(MID(VLOOKUP($B200,Seqs!$A:$B,2,0),I200,1),"")</f>
        <v>H</v>
      </c>
      <c r="I200" s="23">
        <v>75</v>
      </c>
      <c r="J200" s="3" t="str">
        <f>IFERROR(MID(VLOOKUP($B200,Seqs!$A:$B,2,0),K200,1),"")</f>
        <v>R</v>
      </c>
      <c r="K200" s="23">
        <v>78</v>
      </c>
      <c r="L200" s="3" t="str">
        <f>IFERROR(MID(VLOOKUP($B200,Seqs!$A:$B,2,0),M200,1),"")</f>
        <v>T</v>
      </c>
      <c r="M200" s="3">
        <v>79</v>
      </c>
      <c r="N200" s="3" t="str">
        <f>IFERROR(MID(VLOOKUP($B200,Seqs!$A:$B,2,0),O200,1),"")</f>
        <v>T</v>
      </c>
      <c r="O200" s="3">
        <v>109</v>
      </c>
      <c r="P200" s="3" t="str">
        <f>IFERROR(MID(VLOOKUP($B200,Seqs!$A:$B,2,0),Q200,1),"")</f>
        <v>S</v>
      </c>
      <c r="Q200" s="3">
        <v>111</v>
      </c>
      <c r="R200" s="3" t="str">
        <f>IFERROR(MID(VLOOKUP($B200,Seqs!$A:$B,2,0),S200,1),"")</f>
        <v>F</v>
      </c>
      <c r="S200" s="3">
        <v>114</v>
      </c>
      <c r="T200" s="3" t="str">
        <f>IFERROR(MID(VLOOKUP($B200,Seqs!$A:$B,2,0),U200,1),"")</f>
        <v>G</v>
      </c>
      <c r="U200" s="3">
        <v>115</v>
      </c>
      <c r="V200" s="3" t="str">
        <f>IFERROR(MID(VLOOKUP($B200,Seqs!$A:$B,2,0),W200,1),"")</f>
        <v>H</v>
      </c>
      <c r="W200" s="3">
        <v>150</v>
      </c>
      <c r="X200" s="3" t="str">
        <f>IFERROR(MID(VLOOKUP($B200,Seqs!$A:$B,2,0),Y200,1),"")</f>
        <v>P</v>
      </c>
      <c r="Y200" s="3">
        <v>151</v>
      </c>
      <c r="Z200" s="3" t="str">
        <f>IFERROR(MID(VLOOKUP($B200,Seqs!$A:$B,2,0),AA200,1),"")</f>
        <v>F</v>
      </c>
      <c r="AA200" s="3">
        <v>154</v>
      </c>
      <c r="AB200" s="3" t="str">
        <f>IFERROR(MID(VLOOKUP($B200,Seqs!$A:$B,2,0),AC200,1),"")</f>
        <v>T</v>
      </c>
      <c r="AC200" s="9">
        <v>157</v>
      </c>
      <c r="AD200" s="3" t="str">
        <f>IFERROR(MID(VLOOKUP($B200,Seqs!$A:$B,2,0),AE200,1),"")</f>
        <v>M</v>
      </c>
      <c r="AE200" s="3">
        <v>183</v>
      </c>
      <c r="AF200" s="3" t="str">
        <f>IFERROR(MID(VLOOKUP($B200,Seqs!$A:$B,2,0),AG200,1),"")</f>
        <v>C</v>
      </c>
      <c r="AG200" s="3">
        <v>202</v>
      </c>
      <c r="AH200" s="3" t="str">
        <f>IFERROR(MID(VLOOKUP($B200,Seqs!$A:$B,2,0),AI200,1),"")</f>
        <v>E</v>
      </c>
      <c r="AI200" s="3">
        <v>204</v>
      </c>
      <c r="AJ200" s="3" t="str">
        <f>IFERROR(MID(VLOOKUP($B200,Seqs!$A:$B,2,0),AK200,1),"")</f>
        <v>D</v>
      </c>
      <c r="AK200" s="3">
        <v>209</v>
      </c>
      <c r="AL200" s="3" t="str">
        <f>IFERROR(MID(VLOOKUP($B200,Seqs!$A:$B,2,0),AM200,1),"")</f>
        <v>L</v>
      </c>
      <c r="AM200" s="3">
        <v>242</v>
      </c>
      <c r="AN200" s="3" t="str">
        <f>IFERROR(MID(VLOOKUP($B200,Seqs!$A:$B,2,0),AO200,1),"")</f>
        <v>K</v>
      </c>
      <c r="AO200" s="3">
        <v>288</v>
      </c>
      <c r="AP200" s="3" t="str">
        <f>IFERROR(MID(VLOOKUP($B200,Seqs!$A:$B,2,0),AQ200,1),"")</f>
        <v>F</v>
      </c>
      <c r="AQ200" s="3">
        <v>324</v>
      </c>
      <c r="AR200" s="3" t="str">
        <f>IFERROR(MID(VLOOKUP($B200,Seqs!$A:$B,2,0),AS200,1),"")</f>
        <v>R</v>
      </c>
      <c r="AS200" s="3">
        <v>333</v>
      </c>
      <c r="AT200" s="3" t="str">
        <f>IFERROR(MID(VLOOKUP($B200,Seqs!$A:$B,2,0),AU200,1),"")</f>
        <v>L</v>
      </c>
      <c r="AU200" s="3">
        <v>361</v>
      </c>
      <c r="AV200" s="3" t="str">
        <f>IFERROR(MID(VLOOKUP($B200,Seqs!$A:$B,2,0),AW200,1),"")</f>
        <v>S</v>
      </c>
      <c r="AW200" s="3">
        <v>362</v>
      </c>
      <c r="AX200" s="3" t="str">
        <f>IFERROR(MID(VLOOKUP($B200,Seqs!$A:$B,2,0),AY200,1),"")</f>
        <v>F</v>
      </c>
      <c r="AY200" s="3">
        <v>373</v>
      </c>
      <c r="AZ200" s="78" t="str">
        <f>VLOOKUP(B200,Classification!A:D,2,0)</f>
        <v>A</v>
      </c>
      <c r="BA200" s="95" t="str">
        <f>VLOOKUP(B200,Classification!A:D,4,0)</f>
        <v>Orexin</v>
      </c>
      <c r="BB200" s="27" t="b">
        <f t="shared" si="1508"/>
        <v>1</v>
      </c>
      <c r="BC200" s="23">
        <f t="shared" si="1481"/>
        <v>250</v>
      </c>
      <c r="BD200" s="2" t="s">
        <v>23</v>
      </c>
      <c r="BE200" s="3" t="s">
        <v>1381</v>
      </c>
      <c r="BF200" s="120">
        <v>2.83</v>
      </c>
      <c r="BG200" s="49" t="s">
        <v>1384</v>
      </c>
      <c r="BH200" s="49" t="s">
        <v>1384</v>
      </c>
      <c r="BI200" s="1"/>
      <c r="BJ200" s="71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1">
        <f t="shared" si="1482"/>
        <v>46</v>
      </c>
      <c r="BW200" s="72">
        <f t="shared" si="1483"/>
        <v>75</v>
      </c>
      <c r="BX200" s="73">
        <f t="shared" si="1484"/>
        <v>79</v>
      </c>
      <c r="BY200" s="72">
        <f t="shared" si="1485"/>
        <v>111</v>
      </c>
      <c r="BZ200" s="73">
        <f t="shared" si="1486"/>
        <v>115</v>
      </c>
      <c r="CA200" s="72">
        <f t="shared" si="1487"/>
        <v>151</v>
      </c>
      <c r="CB200" s="73">
        <f t="shared" si="1488"/>
        <v>157</v>
      </c>
      <c r="CC200" s="72">
        <f t="shared" si="1489"/>
        <v>202</v>
      </c>
      <c r="CD200" s="73">
        <f t="shared" si="1490"/>
        <v>209</v>
      </c>
      <c r="CE200" s="72">
        <f t="shared" si="1491"/>
        <v>288</v>
      </c>
      <c r="CF200" s="73">
        <f t="shared" si="1492"/>
        <v>333</v>
      </c>
      <c r="CG200" s="72">
        <f t="shared" si="1493"/>
        <v>362</v>
      </c>
      <c r="CH200" s="71">
        <f t="shared" si="1494"/>
        <v>74</v>
      </c>
      <c r="CI200" s="72">
        <f t="shared" si="1495"/>
        <v>78</v>
      </c>
      <c r="CJ200" s="73">
        <f t="shared" si="1496"/>
        <v>109</v>
      </c>
      <c r="CK200" s="73">
        <f t="shared" si="1497"/>
        <v>114</v>
      </c>
      <c r="CL200" s="73">
        <f t="shared" si="1498"/>
        <v>150</v>
      </c>
      <c r="CM200" s="73">
        <f t="shared" si="1499"/>
        <v>154</v>
      </c>
      <c r="CN200" s="73">
        <f t="shared" si="1500"/>
        <v>183</v>
      </c>
      <c r="CO200" s="73">
        <f t="shared" si="1501"/>
        <v>204</v>
      </c>
      <c r="CP200" s="73">
        <f t="shared" si="1502"/>
        <v>242</v>
      </c>
      <c r="CQ200" s="73">
        <f t="shared" si="1503"/>
        <v>324</v>
      </c>
      <c r="CR200" s="73">
        <f t="shared" si="1504"/>
        <v>361</v>
      </c>
      <c r="CS200" s="73">
        <f t="shared" si="1505"/>
        <v>373</v>
      </c>
      <c r="CT200" s="23">
        <f t="shared" si="1506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2"/>
    </row>
    <row r="201" spans="1:1030" x14ac:dyDescent="0.2">
      <c r="A201" s="3" t="str">
        <f t="shared" si="1507"/>
        <v>ox2r_human__wt</v>
      </c>
      <c r="B201" s="3" t="s">
        <v>1176</v>
      </c>
      <c r="C201" s="3" t="s">
        <v>100</v>
      </c>
      <c r="D201" s="3" t="str">
        <f>IFERROR(MID(VLOOKUP($B201,Seqs!$A:$B,2,0),E201,1),"")</f>
        <v>Y</v>
      </c>
      <c r="E201" s="3">
        <v>53</v>
      </c>
      <c r="F201" s="3" t="str">
        <f>IFERROR(MID(VLOOKUP($B201,Seqs!$A:$B,2,0),G201,1),"")</f>
        <v>N</v>
      </c>
      <c r="G201" s="3">
        <v>82</v>
      </c>
      <c r="H201" s="3" t="str">
        <f>IFERROR(MID(VLOOKUP($B201,Seqs!$A:$B,2,0),I201,1),"")</f>
        <v>H</v>
      </c>
      <c r="I201" s="23">
        <v>83</v>
      </c>
      <c r="J201" s="3" t="str">
        <f>IFERROR(MID(VLOOKUP($B201,Seqs!$A:$B,2,0),K201,1),"")</f>
        <v>R</v>
      </c>
      <c r="K201" s="23">
        <v>86</v>
      </c>
      <c r="L201" s="3" t="str">
        <f>IFERROR(MID(VLOOKUP($B201,Seqs!$A:$B,2,0),M201,1),"")</f>
        <v>T</v>
      </c>
      <c r="M201" s="3">
        <v>87</v>
      </c>
      <c r="N201" s="3" t="str">
        <f>IFERROR(MID(VLOOKUP($B201,Seqs!$A:$B,2,0),O201,1),"")</f>
        <v>E</v>
      </c>
      <c r="O201" s="106">
        <v>118</v>
      </c>
      <c r="P201" s="3" t="str">
        <f>IFERROR(MID(VLOOKUP($B201,Seqs!$A:$B,2,0),Q201,1),"")</f>
        <v>T</v>
      </c>
      <c r="Q201" s="3">
        <v>119</v>
      </c>
      <c r="R201" s="3" t="str">
        <f>IFERROR(MID(VLOOKUP($B201,Seqs!$A:$B,2,0),S201,1),"")</f>
        <v>F</v>
      </c>
      <c r="S201" s="3">
        <v>122</v>
      </c>
      <c r="T201" s="3" t="str">
        <f>IFERROR(MID(VLOOKUP($B201,Seqs!$A:$B,2,0),U201,1),"")</f>
        <v>G</v>
      </c>
      <c r="U201" s="3">
        <v>123</v>
      </c>
      <c r="V201" s="3" t="str">
        <f>IFERROR(MID(VLOOKUP($B201,Seqs!$A:$B,2,0),W201,1),"")</f>
        <v>H</v>
      </c>
      <c r="W201" s="3">
        <v>158</v>
      </c>
      <c r="X201" s="3" t="str">
        <f>IFERROR(MID(VLOOKUP($B201,Seqs!$A:$B,2,0),Y201,1),"")</f>
        <v>P</v>
      </c>
      <c r="Y201" s="3">
        <v>159</v>
      </c>
      <c r="Z201" s="3" t="str">
        <f>IFERROR(MID(VLOOKUP($B201,Seqs!$A:$B,2,0),AA201,1),"")</f>
        <v>F</v>
      </c>
      <c r="AA201" s="74">
        <v>162</v>
      </c>
      <c r="AB201" s="3" t="str">
        <f>IFERROR(MID(VLOOKUP($B201,Seqs!$A:$B,2,0),AC201,1),"")</f>
        <v>T</v>
      </c>
      <c r="AC201" s="9">
        <v>165</v>
      </c>
      <c r="AD201" s="3" t="str">
        <f>IFERROR(MID(VLOOKUP($B201,Seqs!$A:$B,2,0),AE201,1),"")</f>
        <v>M</v>
      </c>
      <c r="AE201" s="3">
        <v>191</v>
      </c>
      <c r="AF201" s="3" t="str">
        <f>IFERROR(MID(VLOOKUP($B201,Seqs!$A:$B,2,0),AG201,1),"")</f>
        <v>C</v>
      </c>
      <c r="AG201" s="3">
        <v>210</v>
      </c>
      <c r="AH201" s="3" t="str">
        <f>IFERROR(MID(VLOOKUP($B201,Seqs!$A:$B,2,0),AI201,1),"")</f>
        <v>E</v>
      </c>
      <c r="AI201" s="3">
        <v>212</v>
      </c>
      <c r="AJ201" s="3" t="str">
        <f>IFERROR(MID(VLOOKUP($B201,Seqs!$A:$B,2,0),AK201,1),"")</f>
        <v>I</v>
      </c>
      <c r="AK201" s="106">
        <v>218</v>
      </c>
      <c r="AL201" s="3" t="str">
        <f>IFERROR(MID(VLOOKUP($B201,Seqs!$A:$B,2,0),AM201,1),"")</f>
        <v>P</v>
      </c>
      <c r="AM201" s="3">
        <v>256</v>
      </c>
      <c r="AN201" s="3" t="str">
        <f>IFERROR(MID(VLOOKUP($B201,Seqs!$A:$B,2,0),AO201,1),"")</f>
        <v>V</v>
      </c>
      <c r="AO201" s="3">
        <v>289</v>
      </c>
      <c r="AP201" s="3" t="str">
        <f>IFERROR(MID(VLOOKUP($B201,Seqs!$A:$B,2,0),AQ201,1),"")</f>
        <v>F</v>
      </c>
      <c r="AQ201" s="3">
        <v>330</v>
      </c>
      <c r="AR201" s="3" t="str">
        <f>IFERROR(MID(VLOOKUP($B201,Seqs!$A:$B,2,0),AS201,1),"")</f>
        <v>D</v>
      </c>
      <c r="AS201" s="106">
        <v>338</v>
      </c>
      <c r="AT201" s="3" t="str">
        <f>IFERROR(MID(VLOOKUP($B201,Seqs!$A:$B,2,0),AU201,1),"")</f>
        <v>L</v>
      </c>
      <c r="AU201" s="3">
        <v>367</v>
      </c>
      <c r="AV201" s="3" t="str">
        <f>IFERROR(MID(VLOOKUP($B201,Seqs!$A:$B,2,0),AW201,1),"")</f>
        <v>S</v>
      </c>
      <c r="AW201" s="3">
        <v>368</v>
      </c>
      <c r="AX201" s="3" t="str">
        <f>IFERROR(MID(VLOOKUP($B201,Seqs!$A:$B,2,0),AY201,1),"")</f>
        <v>F</v>
      </c>
      <c r="AY201" s="3">
        <v>379</v>
      </c>
      <c r="AZ201" s="78" t="str">
        <f>VLOOKUP(B201,Classification!A:D,2,0)</f>
        <v>A</v>
      </c>
      <c r="BA201" s="95" t="str">
        <f>VLOOKUP(B201,Classification!A:D,4,0)</f>
        <v>Orexin</v>
      </c>
      <c r="BB201" s="27" t="b">
        <f t="shared" si="1508"/>
        <v>1</v>
      </c>
      <c r="BC201" s="23">
        <f t="shared" si="1481"/>
        <v>263</v>
      </c>
      <c r="BD201" s="56" t="s">
        <v>1379</v>
      </c>
      <c r="BE201" s="3" t="s">
        <v>23</v>
      </c>
      <c r="BF201" s="120" t="s">
        <v>23</v>
      </c>
      <c r="BG201" s="49" t="s">
        <v>1379</v>
      </c>
      <c r="BH201" s="49" t="s">
        <v>1384</v>
      </c>
      <c r="BI201" s="1"/>
      <c r="BJ201" s="71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1">
        <f t="shared" si="1482"/>
        <v>53</v>
      </c>
      <c r="BW201" s="72">
        <f t="shared" si="1483"/>
        <v>83</v>
      </c>
      <c r="BX201" s="73">
        <f t="shared" si="1484"/>
        <v>87</v>
      </c>
      <c r="BY201" s="72">
        <f t="shared" si="1485"/>
        <v>119</v>
      </c>
      <c r="BZ201" s="73">
        <f t="shared" si="1486"/>
        <v>123</v>
      </c>
      <c r="CA201" s="72">
        <f t="shared" si="1487"/>
        <v>159</v>
      </c>
      <c r="CB201" s="73">
        <f t="shared" si="1488"/>
        <v>165</v>
      </c>
      <c r="CC201" s="72">
        <f t="shared" si="1489"/>
        <v>210</v>
      </c>
      <c r="CD201" s="73">
        <f t="shared" si="1490"/>
        <v>218</v>
      </c>
      <c r="CE201" s="72">
        <f t="shared" si="1491"/>
        <v>289</v>
      </c>
      <c r="CF201" s="73">
        <f t="shared" si="1492"/>
        <v>338</v>
      </c>
      <c r="CG201" s="72">
        <f t="shared" si="1493"/>
        <v>368</v>
      </c>
      <c r="CH201" s="71">
        <f t="shared" si="1494"/>
        <v>82</v>
      </c>
      <c r="CI201" s="72">
        <f t="shared" si="1495"/>
        <v>86</v>
      </c>
      <c r="CJ201" s="73">
        <f t="shared" si="1496"/>
        <v>118</v>
      </c>
      <c r="CK201" s="73">
        <f t="shared" si="1497"/>
        <v>122</v>
      </c>
      <c r="CL201" s="73">
        <f t="shared" si="1498"/>
        <v>158</v>
      </c>
      <c r="CM201" s="73">
        <f t="shared" si="1499"/>
        <v>162</v>
      </c>
      <c r="CN201" s="73">
        <f t="shared" si="1500"/>
        <v>191</v>
      </c>
      <c r="CO201" s="73">
        <f t="shared" si="1501"/>
        <v>212</v>
      </c>
      <c r="CP201" s="73">
        <f t="shared" si="1502"/>
        <v>256</v>
      </c>
      <c r="CQ201" s="73">
        <f t="shared" si="1503"/>
        <v>330</v>
      </c>
      <c r="CR201" s="73">
        <f t="shared" si="1504"/>
        <v>367</v>
      </c>
      <c r="CS201" s="73">
        <f t="shared" si="1505"/>
        <v>379</v>
      </c>
      <c r="CT201" s="23">
        <f t="shared" si="1506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1507"/>
        <v>ox2r_human_4S0V</v>
      </c>
      <c r="B202" s="3" t="s">
        <v>1176</v>
      </c>
      <c r="C202" s="3" t="s">
        <v>92</v>
      </c>
      <c r="D202" s="3" t="str">
        <f>IFERROR(MID(VLOOKUP($B202,Seqs!$A:$B,2,0),E202,1),"")</f>
        <v>Y</v>
      </c>
      <c r="E202" s="3">
        <v>53</v>
      </c>
      <c r="F202" s="3" t="str">
        <f>IFERROR(MID(VLOOKUP($B202,Seqs!$A:$B,2,0),G202,1),"")</f>
        <v>N</v>
      </c>
      <c r="G202" s="3">
        <v>82</v>
      </c>
      <c r="H202" s="3" t="str">
        <f>IFERROR(MID(VLOOKUP($B202,Seqs!$A:$B,2,0),I202,1),"")</f>
        <v>H</v>
      </c>
      <c r="I202" s="23">
        <v>83</v>
      </c>
      <c r="J202" s="3" t="str">
        <f>IFERROR(MID(VLOOKUP($B202,Seqs!$A:$B,2,0),K202,1),"")</f>
        <v>R</v>
      </c>
      <c r="K202" s="23">
        <v>86</v>
      </c>
      <c r="L202" s="3" t="str">
        <f>IFERROR(MID(VLOOKUP($B202,Seqs!$A:$B,2,0),M202,1),"")</f>
        <v>T</v>
      </c>
      <c r="M202" s="3">
        <v>87</v>
      </c>
      <c r="N202" s="3" t="str">
        <f>IFERROR(MID(VLOOKUP($B202,Seqs!$A:$B,2,0),O202,1),"")</f>
        <v>E</v>
      </c>
      <c r="O202" s="106">
        <v>118</v>
      </c>
      <c r="P202" s="3" t="str">
        <f>IFERROR(MID(VLOOKUP($B202,Seqs!$A:$B,2,0),Q202,1),"")</f>
        <v>T</v>
      </c>
      <c r="Q202" s="3">
        <v>119</v>
      </c>
      <c r="R202" s="3" t="str">
        <f>IFERROR(MID(VLOOKUP($B202,Seqs!$A:$B,2,0),S202,1),"")</f>
        <v>F</v>
      </c>
      <c r="S202" s="3">
        <v>122</v>
      </c>
      <c r="T202" s="3" t="str">
        <f>IFERROR(MID(VLOOKUP($B202,Seqs!$A:$B,2,0),U202,1),"")</f>
        <v>G</v>
      </c>
      <c r="U202" s="3">
        <v>123</v>
      </c>
      <c r="V202" s="3" t="str">
        <f>IFERROR(MID(VLOOKUP($B202,Seqs!$A:$B,2,0),W202,1),"")</f>
        <v>H</v>
      </c>
      <c r="W202" s="3">
        <v>158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T</v>
      </c>
      <c r="AC202" s="9">
        <v>165</v>
      </c>
      <c r="AD202" s="3" t="str">
        <f>IFERROR(MID(VLOOKUP($B202,Seqs!$A:$B,2,0),AE202,1),"")</f>
        <v>M</v>
      </c>
      <c r="AE202" s="3">
        <v>191</v>
      </c>
      <c r="AF202" s="3" t="str">
        <f>IFERROR(MID(VLOOKUP($B202,Seqs!$A:$B,2,0),AG202,1),"")</f>
        <v>C</v>
      </c>
      <c r="AG202" s="3">
        <v>210</v>
      </c>
      <c r="AH202" s="3" t="str">
        <f>IFERROR(MID(VLOOKUP($B202,Seqs!$A:$B,2,0),AI202,1),"")</f>
        <v>E</v>
      </c>
      <c r="AI202" s="3">
        <v>212</v>
      </c>
      <c r="AJ202" s="3" t="str">
        <f>IFERROR(MID(VLOOKUP($B202,Seqs!$A:$B,2,0),AK202,1),"")</f>
        <v>I</v>
      </c>
      <c r="AK202" s="106">
        <v>218</v>
      </c>
      <c r="AL202" s="3" t="str">
        <f>IFERROR(MID(VLOOKUP($B202,Seqs!$A:$B,2,0),AM202,1),"")</f>
        <v>C</v>
      </c>
      <c r="AM202" s="106">
        <v>252</v>
      </c>
      <c r="AN202" s="3" t="str">
        <f>IFERROR(MID(VLOOKUP($B202,Seqs!$A:$B,2,0),AO202,1),"")</f>
        <v>K</v>
      </c>
      <c r="AO202" s="3">
        <v>294</v>
      </c>
      <c r="AP202" s="3" t="str">
        <f>IFERROR(MID(VLOOKUP($B202,Seqs!$A:$B,2,0),AQ202,1),"")</f>
        <v>F</v>
      </c>
      <c r="AQ202" s="3">
        <v>330</v>
      </c>
      <c r="AR202" s="3" t="str">
        <f>IFERROR(MID(VLOOKUP($B202,Seqs!$A:$B,2,0),AS202,1),"")</f>
        <v>R</v>
      </c>
      <c r="AS202" s="3">
        <v>339</v>
      </c>
      <c r="AT202" s="3" t="str">
        <f>IFERROR(MID(VLOOKUP($B202,Seqs!$A:$B,2,0),AU202,1),"")</f>
        <v>L</v>
      </c>
      <c r="AU202" s="3">
        <v>367</v>
      </c>
      <c r="AV202" s="3" t="str">
        <f>IFERROR(MID(VLOOKUP($B202,Seqs!$A:$B,2,0),AW202,1),"")</f>
        <v>S</v>
      </c>
      <c r="AW202" s="3">
        <v>368</v>
      </c>
      <c r="AX202" s="3" t="str">
        <f>IFERROR(MID(VLOOKUP($B202,Seqs!$A:$B,2,0),AY202,1),"")</f>
        <v>F</v>
      </c>
      <c r="AY202" s="3">
        <v>379</v>
      </c>
      <c r="AZ202" s="78" t="str">
        <f>VLOOKUP(B202,Classification!A:D,2,0)</f>
        <v>A</v>
      </c>
      <c r="BA202" s="95" t="str">
        <f>VLOOKUP(B202,Classification!A:D,4,0)</f>
        <v>Orexin</v>
      </c>
      <c r="BB202" s="27" t="b">
        <f t="shared" si="1508"/>
        <v>1</v>
      </c>
      <c r="BC202" s="23">
        <f t="shared" si="1481"/>
        <v>250</v>
      </c>
      <c r="BD202" s="2" t="s">
        <v>23</v>
      </c>
      <c r="BE202" s="3" t="s">
        <v>1381</v>
      </c>
      <c r="BF202" s="120">
        <v>2.5</v>
      </c>
      <c r="BG202" s="49" t="s">
        <v>1384</v>
      </c>
      <c r="BH202" s="49" t="s">
        <v>1384</v>
      </c>
      <c r="BI202" s="1"/>
      <c r="BJ202" s="71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1">
        <f t="shared" si="1482"/>
        <v>53</v>
      </c>
      <c r="BW202" s="72">
        <f t="shared" si="1483"/>
        <v>83</v>
      </c>
      <c r="BX202" s="73">
        <f t="shared" si="1484"/>
        <v>87</v>
      </c>
      <c r="BY202" s="72">
        <f t="shared" si="1485"/>
        <v>119</v>
      </c>
      <c r="BZ202" s="73">
        <f t="shared" si="1486"/>
        <v>123</v>
      </c>
      <c r="CA202" s="72" t="str">
        <f t="shared" si="1487"/>
        <v>-</v>
      </c>
      <c r="CB202" s="73">
        <f t="shared" si="1488"/>
        <v>165</v>
      </c>
      <c r="CC202" s="72">
        <f t="shared" si="1489"/>
        <v>210</v>
      </c>
      <c r="CD202" s="73">
        <f t="shared" si="1490"/>
        <v>218</v>
      </c>
      <c r="CE202" s="72">
        <f t="shared" si="1491"/>
        <v>294</v>
      </c>
      <c r="CF202" s="73">
        <f t="shared" si="1492"/>
        <v>339</v>
      </c>
      <c r="CG202" s="72">
        <f t="shared" si="1493"/>
        <v>368</v>
      </c>
      <c r="CH202" s="71">
        <f t="shared" si="1494"/>
        <v>82</v>
      </c>
      <c r="CI202" s="72">
        <f t="shared" si="1495"/>
        <v>86</v>
      </c>
      <c r="CJ202" s="73">
        <f t="shared" si="1496"/>
        <v>118</v>
      </c>
      <c r="CK202" s="73">
        <f t="shared" si="1497"/>
        <v>122</v>
      </c>
      <c r="CL202" s="73">
        <f t="shared" si="1498"/>
        <v>158</v>
      </c>
      <c r="CM202" s="73" t="str">
        <f t="shared" si="1499"/>
        <v>-</v>
      </c>
      <c r="CN202" s="73">
        <f t="shared" si="1500"/>
        <v>191</v>
      </c>
      <c r="CO202" s="73">
        <f t="shared" si="1501"/>
        <v>212</v>
      </c>
      <c r="CP202" s="73">
        <f t="shared" si="1502"/>
        <v>252</v>
      </c>
      <c r="CQ202" s="73">
        <f t="shared" si="1503"/>
        <v>330</v>
      </c>
      <c r="CR202" s="73">
        <f t="shared" si="1504"/>
        <v>367</v>
      </c>
      <c r="CS202" s="73">
        <f t="shared" si="1505"/>
        <v>379</v>
      </c>
      <c r="CT202" s="23">
        <f t="shared" si="1506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s="12" customFormat="1" x14ac:dyDescent="0.2">
      <c r="A203" s="9" t="str">
        <f t="shared" ref="A203" si="1845">CONCATENATE(B203,"_",C203)</f>
        <v>ox2r_human_5WQC</v>
      </c>
      <c r="B203" s="9" t="s">
        <v>1176</v>
      </c>
      <c r="C203" s="9" t="s">
        <v>1459</v>
      </c>
      <c r="D203" s="9" t="str">
        <f>IFERROR(MID(VLOOKUP($B203,Seqs!$A:$B,2,0),E203,1),"")</f>
        <v>Y</v>
      </c>
      <c r="E203" s="9">
        <v>53</v>
      </c>
      <c r="F203" s="9" t="str">
        <f>IFERROR(MID(VLOOKUP($B203,Seqs!$A:$B,2,0),G203,1),"")</f>
        <v>N</v>
      </c>
      <c r="G203" s="9">
        <v>82</v>
      </c>
      <c r="H203" s="9" t="str">
        <f>IFERROR(MID(VLOOKUP($B203,Seqs!$A:$B,2,0),I203,1),"")</f>
        <v>H</v>
      </c>
      <c r="I203" s="110">
        <v>83</v>
      </c>
      <c r="J203" s="9" t="str">
        <f>IFERROR(MID(VLOOKUP($B203,Seqs!$A:$B,2,0),K203,1),"")</f>
        <v>R</v>
      </c>
      <c r="K203" s="110">
        <v>86</v>
      </c>
      <c r="L203" s="9" t="str">
        <f>IFERROR(MID(VLOOKUP($B203,Seqs!$A:$B,2,0),M203,1),"")</f>
        <v>T</v>
      </c>
      <c r="M203" s="9">
        <v>87</v>
      </c>
      <c r="N203" s="9" t="str">
        <f>IFERROR(MID(VLOOKUP($B203,Seqs!$A:$B,2,0),O203,1),"")</f>
        <v>E</v>
      </c>
      <c r="O203" s="9">
        <v>118</v>
      </c>
      <c r="P203" s="9" t="str">
        <f>IFERROR(MID(VLOOKUP($B203,Seqs!$A:$B,2,0),Q203,1),"")</f>
        <v>T</v>
      </c>
      <c r="Q203" s="9">
        <v>119</v>
      </c>
      <c r="R203" s="9" t="str">
        <f>IFERROR(MID(VLOOKUP($B203,Seqs!$A:$B,2,0),S203,1),"")</f>
        <v>F</v>
      </c>
      <c r="S203" s="9">
        <v>122</v>
      </c>
      <c r="T203" s="9" t="str">
        <f>IFERROR(MID(VLOOKUP($B203,Seqs!$A:$B,2,0),U203,1),"")</f>
        <v>G</v>
      </c>
      <c r="U203" s="9">
        <v>123</v>
      </c>
      <c r="V203" s="9" t="str">
        <f>IFERROR(MID(VLOOKUP($B203,Seqs!$A:$B,2,0),W203,1),"")</f>
        <v>H</v>
      </c>
      <c r="W203" s="9">
        <v>158</v>
      </c>
      <c r="X203" s="9" t="str">
        <f>IFERROR(MID(VLOOKUP($B203,Seqs!$A:$B,2,0),Y203,1),"")</f>
        <v/>
      </c>
      <c r="Y203" s="9" t="s">
        <v>23</v>
      </c>
      <c r="Z203" s="9" t="str">
        <f>IFERROR(MID(VLOOKUP($B203,Seqs!$A:$B,2,0),AA203,1),"")</f>
        <v/>
      </c>
      <c r="AA203" s="9" t="s">
        <v>23</v>
      </c>
      <c r="AB203" s="9" t="str">
        <f>IFERROR(MID(VLOOKUP($B203,Seqs!$A:$B,2,0),AC203,1),"")</f>
        <v>T</v>
      </c>
      <c r="AC203" s="9">
        <v>165</v>
      </c>
      <c r="AD203" s="9" t="str">
        <f>IFERROR(MID(VLOOKUP($B203,Seqs!$A:$B,2,0),AE203,1),"")</f>
        <v>M</v>
      </c>
      <c r="AE203" s="9">
        <v>191</v>
      </c>
      <c r="AF203" s="9" t="str">
        <f>IFERROR(MID(VLOOKUP($B203,Seqs!$A:$B,2,0),AG203,1),"")</f>
        <v>C</v>
      </c>
      <c r="AG203" s="9">
        <v>210</v>
      </c>
      <c r="AH203" s="9" t="str">
        <f>IFERROR(MID(VLOOKUP($B203,Seqs!$A:$B,2,0),AI203,1),"")</f>
        <v>E</v>
      </c>
      <c r="AI203" s="9">
        <v>212</v>
      </c>
      <c r="AJ203" s="9" t="str">
        <f>IFERROR(MID(VLOOKUP($B203,Seqs!$A:$B,2,0),AK203,1),"")</f>
        <v>I</v>
      </c>
      <c r="AK203" s="9">
        <v>218</v>
      </c>
      <c r="AL203" s="9" t="str">
        <f>IFERROR(MID(VLOOKUP($B203,Seqs!$A:$B,2,0),AM203,1),"")</f>
        <v>C</v>
      </c>
      <c r="AM203" s="9">
        <v>252</v>
      </c>
      <c r="AN203" s="9" t="str">
        <f>IFERROR(MID(VLOOKUP($B203,Seqs!$A:$B,2,0),AO203,1),"")</f>
        <v>K</v>
      </c>
      <c r="AO203" s="9">
        <v>294</v>
      </c>
      <c r="AP203" s="9" t="str">
        <f>IFERROR(MID(VLOOKUP($B203,Seqs!$A:$B,2,0),AQ203,1),"")</f>
        <v>F</v>
      </c>
      <c r="AQ203" s="9">
        <v>330</v>
      </c>
      <c r="AR203" s="9" t="str">
        <f>IFERROR(MID(VLOOKUP($B203,Seqs!$A:$B,2,0),AS203,1),"")</f>
        <v>D</v>
      </c>
      <c r="AS203" s="9">
        <v>338</v>
      </c>
      <c r="AT203" s="9" t="str">
        <f>IFERROR(MID(VLOOKUP($B203,Seqs!$A:$B,2,0),AU203,1),"")</f>
        <v>L</v>
      </c>
      <c r="AU203" s="9">
        <v>367</v>
      </c>
      <c r="AV203" s="9" t="str">
        <f>IFERROR(MID(VLOOKUP($B203,Seqs!$A:$B,2,0),AW203,1),"")</f>
        <v>S</v>
      </c>
      <c r="AW203" s="9">
        <v>368</v>
      </c>
      <c r="AX203" s="9" t="str">
        <f>IFERROR(MID(VLOOKUP($B203,Seqs!$A:$B,2,0),AY203,1),"")</f>
        <v>C</v>
      </c>
      <c r="AY203" s="9">
        <v>383</v>
      </c>
      <c r="AZ203" s="111" t="str">
        <f>VLOOKUP(B203,Classification!A:D,2,0)</f>
        <v>A</v>
      </c>
      <c r="BA203" s="99" t="str">
        <f>VLOOKUP(B203,Classification!A:D,4,0)</f>
        <v>Orexin</v>
      </c>
      <c r="BB203" s="36" t="b">
        <f t="shared" ref="BB203" si="1846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10">
        <f t="shared" ref="BC203" si="1847">_xlfn.AGGREGATE(9,6,CH203:CS203)-_xlfn.AGGREGATE(9,6,BV203:CG203)+12</f>
        <v>255</v>
      </c>
      <c r="BD203" s="40" t="s">
        <v>23</v>
      </c>
      <c r="BE203" s="9" t="s">
        <v>1381</v>
      </c>
      <c r="BF203" s="121">
        <v>1.96</v>
      </c>
      <c r="BG203" s="51" t="s">
        <v>1</v>
      </c>
      <c r="BH203" s="51" t="s">
        <v>1</v>
      </c>
      <c r="BJ203" s="112" t="s">
        <v>1293</v>
      </c>
      <c r="BK203" s="113" t="s">
        <v>1293</v>
      </c>
      <c r="BL203" s="113" t="s">
        <v>1293</v>
      </c>
      <c r="BM203" s="113" t="s">
        <v>1293</v>
      </c>
      <c r="BN203" s="113" t="s">
        <v>1293</v>
      </c>
      <c r="BO203" s="113" t="s">
        <v>1293</v>
      </c>
      <c r="BP203" s="113" t="s">
        <v>1293</v>
      </c>
      <c r="BQ203" s="113" t="s">
        <v>1293</v>
      </c>
      <c r="BR203" s="113" t="s">
        <v>1293</v>
      </c>
      <c r="BS203" s="113" t="s">
        <v>1293</v>
      </c>
      <c r="BT203" s="113" t="s">
        <v>1293</v>
      </c>
      <c r="BU203" s="113" t="s">
        <v>1293</v>
      </c>
      <c r="BV203" s="112">
        <f t="shared" ref="BV203" si="1848">E203</f>
        <v>53</v>
      </c>
      <c r="BW203" s="114">
        <f t="shared" ref="BW203" si="1849">I203</f>
        <v>83</v>
      </c>
      <c r="BX203" s="115">
        <f t="shared" ref="BX203" si="1850">M203</f>
        <v>87</v>
      </c>
      <c r="BY203" s="114">
        <f t="shared" ref="BY203" si="1851">Q203</f>
        <v>119</v>
      </c>
      <c r="BZ203" s="115">
        <f t="shared" ref="BZ203" si="1852">U203</f>
        <v>123</v>
      </c>
      <c r="CA203" s="114" t="str">
        <f t="shared" ref="CA203" si="1853">Y203</f>
        <v>-</v>
      </c>
      <c r="CB203" s="115">
        <f t="shared" ref="CB203" si="1854">AC203</f>
        <v>165</v>
      </c>
      <c r="CC203" s="114">
        <f t="shared" ref="CC203" si="1855">AG203</f>
        <v>210</v>
      </c>
      <c r="CD203" s="115">
        <f t="shared" ref="CD203" si="1856">AK203</f>
        <v>218</v>
      </c>
      <c r="CE203" s="114">
        <f t="shared" ref="CE203" si="1857">AO203</f>
        <v>294</v>
      </c>
      <c r="CF203" s="115">
        <f t="shared" ref="CF203" si="1858">AS203</f>
        <v>338</v>
      </c>
      <c r="CG203" s="114">
        <f t="shared" ref="CG203" si="1859">AW203</f>
        <v>368</v>
      </c>
      <c r="CH203" s="112">
        <f t="shared" ref="CH203" si="1860">G203</f>
        <v>82</v>
      </c>
      <c r="CI203" s="114">
        <f t="shared" ref="CI203" si="1861">K203</f>
        <v>86</v>
      </c>
      <c r="CJ203" s="115">
        <f t="shared" ref="CJ203" si="1862">O203</f>
        <v>118</v>
      </c>
      <c r="CK203" s="115">
        <f t="shared" ref="CK203" si="1863">S203</f>
        <v>122</v>
      </c>
      <c r="CL203" s="115">
        <f t="shared" ref="CL203" si="1864">W203</f>
        <v>158</v>
      </c>
      <c r="CM203" s="115" t="str">
        <f t="shared" ref="CM203" si="1865">AA203</f>
        <v>-</v>
      </c>
      <c r="CN203" s="115">
        <f t="shared" ref="CN203" si="1866">AE203</f>
        <v>191</v>
      </c>
      <c r="CO203" s="115">
        <f t="shared" ref="CO203" si="1867">AI203</f>
        <v>212</v>
      </c>
      <c r="CP203" s="115">
        <f t="shared" ref="CP203" si="1868">AM203</f>
        <v>252</v>
      </c>
      <c r="CQ203" s="115">
        <f t="shared" ref="CQ203" si="1869">AQ203</f>
        <v>330</v>
      </c>
      <c r="CR203" s="115">
        <f t="shared" ref="CR203" si="1870">AU203</f>
        <v>367</v>
      </c>
      <c r="CS203" s="115">
        <f t="shared" ref="CS203" si="1871">AY203</f>
        <v>383</v>
      </c>
      <c r="CT203" s="110">
        <f t="shared" ref="CT203" si="1872">M203-K203</f>
        <v>1</v>
      </c>
    </row>
    <row r="204" spans="1:1030" s="12" customFormat="1" x14ac:dyDescent="0.2">
      <c r="A204" s="9" t="str">
        <f t="shared" ref="A204" si="1873">CONCATENATE(B204,"_",C204)</f>
        <v>ox2r_human_5WS3</v>
      </c>
      <c r="B204" s="9" t="s">
        <v>1176</v>
      </c>
      <c r="C204" s="9" t="s">
        <v>1460</v>
      </c>
      <c r="D204" s="9" t="str">
        <f>IFERROR(MID(VLOOKUP($B204,Seqs!$A:$B,2,0),E204,1),"")</f>
        <v>Y</v>
      </c>
      <c r="E204" s="9">
        <v>53</v>
      </c>
      <c r="F204" s="9" t="str">
        <f>IFERROR(MID(VLOOKUP($B204,Seqs!$A:$B,2,0),G204,1),"")</f>
        <v>N</v>
      </c>
      <c r="G204" s="9">
        <v>82</v>
      </c>
      <c r="H204" s="9" t="str">
        <f>IFERROR(MID(VLOOKUP($B204,Seqs!$A:$B,2,0),I204,1),"")</f>
        <v>H</v>
      </c>
      <c r="I204" s="110">
        <v>83</v>
      </c>
      <c r="J204" s="9" t="str">
        <f>IFERROR(MID(VLOOKUP($B204,Seqs!$A:$B,2,0),K204,1),"")</f>
        <v>R</v>
      </c>
      <c r="K204" s="110">
        <v>86</v>
      </c>
      <c r="L204" s="9" t="str">
        <f>IFERROR(MID(VLOOKUP($B204,Seqs!$A:$B,2,0),M204,1),"")</f>
        <v>T</v>
      </c>
      <c r="M204" s="9">
        <v>87</v>
      </c>
      <c r="N204" s="9" t="str">
        <f>IFERROR(MID(VLOOKUP($B204,Seqs!$A:$B,2,0),O204,1),"")</f>
        <v>E</v>
      </c>
      <c r="O204" s="9">
        <v>118</v>
      </c>
      <c r="P204" s="9" t="str">
        <f>IFERROR(MID(VLOOKUP($B204,Seqs!$A:$B,2,0),Q204,1),"")</f>
        <v>T</v>
      </c>
      <c r="Q204" s="9">
        <v>119</v>
      </c>
      <c r="R204" s="9" t="str">
        <f>IFERROR(MID(VLOOKUP($B204,Seqs!$A:$B,2,0),S204,1),"")</f>
        <v>F</v>
      </c>
      <c r="S204" s="9">
        <v>122</v>
      </c>
      <c r="T204" s="9" t="str">
        <f>IFERROR(MID(VLOOKUP($B204,Seqs!$A:$B,2,0),U204,1),"")</f>
        <v>G</v>
      </c>
      <c r="U204" s="9">
        <v>123</v>
      </c>
      <c r="V204" s="9" t="str">
        <f>IFERROR(MID(VLOOKUP($B204,Seqs!$A:$B,2,0),W204,1),"")</f>
        <v>H</v>
      </c>
      <c r="W204" s="9">
        <v>158</v>
      </c>
      <c r="X204" s="9" t="str">
        <f>IFERROR(MID(VLOOKUP($B204,Seqs!$A:$B,2,0),Y204,1),"")</f>
        <v/>
      </c>
      <c r="Y204" s="9" t="s">
        <v>23</v>
      </c>
      <c r="Z204" s="9" t="str">
        <f>IFERROR(MID(VLOOKUP($B204,Seqs!$A:$B,2,0),AA204,1),"")</f>
        <v/>
      </c>
      <c r="AA204" s="9" t="s">
        <v>23</v>
      </c>
      <c r="AB204" s="9" t="str">
        <f>IFERROR(MID(VLOOKUP($B204,Seqs!$A:$B,2,0),AC204,1),"")</f>
        <v>T</v>
      </c>
      <c r="AC204" s="9">
        <v>165</v>
      </c>
      <c r="AD204" s="9" t="str">
        <f>IFERROR(MID(VLOOKUP($B204,Seqs!$A:$B,2,0),AE204,1),"")</f>
        <v>M</v>
      </c>
      <c r="AE204" s="9">
        <v>191</v>
      </c>
      <c r="AF204" s="9" t="str">
        <f>IFERROR(MID(VLOOKUP($B204,Seqs!$A:$B,2,0),AG204,1),"")</f>
        <v>C</v>
      </c>
      <c r="AG204" s="9">
        <v>210</v>
      </c>
      <c r="AH204" s="9" t="str">
        <f>IFERROR(MID(VLOOKUP($B204,Seqs!$A:$B,2,0),AI204,1),"")</f>
        <v>E</v>
      </c>
      <c r="AI204" s="9">
        <v>212</v>
      </c>
      <c r="AJ204" s="9" t="str">
        <f>IFERROR(MID(VLOOKUP($B204,Seqs!$A:$B,2,0),AK204,1),"")</f>
        <v>I</v>
      </c>
      <c r="AK204" s="9">
        <v>218</v>
      </c>
      <c r="AL204" s="9" t="str">
        <f>IFERROR(MID(VLOOKUP($B204,Seqs!$A:$B,2,0),AM204,1),"")</f>
        <v>C</v>
      </c>
      <c r="AM204" s="9">
        <v>252</v>
      </c>
      <c r="AN204" s="9" t="str">
        <f>IFERROR(MID(VLOOKUP($B204,Seqs!$A:$B,2,0),AO204,1),"")</f>
        <v>K</v>
      </c>
      <c r="AO204" s="9">
        <v>294</v>
      </c>
      <c r="AP204" s="9" t="str">
        <f>IFERROR(MID(VLOOKUP($B204,Seqs!$A:$B,2,0),AQ204,1),"")</f>
        <v>F</v>
      </c>
      <c r="AQ204" s="9">
        <v>330</v>
      </c>
      <c r="AR204" s="9" t="str">
        <f>IFERROR(MID(VLOOKUP($B204,Seqs!$A:$B,2,0),AS204,1),"")</f>
        <v>D</v>
      </c>
      <c r="AS204" s="9">
        <v>338</v>
      </c>
      <c r="AT204" s="9" t="str">
        <f>IFERROR(MID(VLOOKUP($B204,Seqs!$A:$B,2,0),AU204,1),"")</f>
        <v>L</v>
      </c>
      <c r="AU204" s="9">
        <v>367</v>
      </c>
      <c r="AV204" s="9" t="str">
        <f>IFERROR(MID(VLOOKUP($B204,Seqs!$A:$B,2,0),AW204,1),"")</f>
        <v>S</v>
      </c>
      <c r="AW204" s="9">
        <v>368</v>
      </c>
      <c r="AX204" s="9" t="str">
        <f>IFERROR(MID(VLOOKUP($B204,Seqs!$A:$B,2,0),AY204,1),"")</f>
        <v>C</v>
      </c>
      <c r="AY204" s="9">
        <v>383</v>
      </c>
      <c r="AZ204" s="111" t="str">
        <f>VLOOKUP(B204,Classification!A:D,2,0)</f>
        <v>A</v>
      </c>
      <c r="BA204" s="99" t="str">
        <f>VLOOKUP(B204,Classification!A:D,4,0)</f>
        <v>Orexin</v>
      </c>
      <c r="BB204" s="36" t="b">
        <f t="shared" ref="BB204" si="1874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10">
        <f t="shared" ref="BC204" si="1875">_xlfn.AGGREGATE(9,6,CH204:CS204)-_xlfn.AGGREGATE(9,6,BV204:CG204)+12</f>
        <v>255</v>
      </c>
      <c r="BD204" s="40" t="s">
        <v>1383</v>
      </c>
      <c r="BE204" s="9" t="s">
        <v>1381</v>
      </c>
      <c r="BF204" s="121">
        <v>2.2999999999999998</v>
      </c>
      <c r="BG204" s="51" t="s">
        <v>1</v>
      </c>
      <c r="BH204" s="51" t="s">
        <v>1</v>
      </c>
      <c r="BJ204" s="112" t="s">
        <v>1293</v>
      </c>
      <c r="BK204" s="113" t="s">
        <v>1293</v>
      </c>
      <c r="BL204" s="113" t="s">
        <v>1293</v>
      </c>
      <c r="BM204" s="113" t="s">
        <v>1293</v>
      </c>
      <c r="BN204" s="113" t="s">
        <v>1293</v>
      </c>
      <c r="BO204" s="113" t="s">
        <v>1293</v>
      </c>
      <c r="BP204" s="113" t="s">
        <v>1293</v>
      </c>
      <c r="BQ204" s="113" t="s">
        <v>1293</v>
      </c>
      <c r="BR204" s="113" t="s">
        <v>1293</v>
      </c>
      <c r="BS204" s="113" t="s">
        <v>1293</v>
      </c>
      <c r="BT204" s="113" t="s">
        <v>1293</v>
      </c>
      <c r="BU204" s="113" t="s">
        <v>1293</v>
      </c>
      <c r="BV204" s="112">
        <f t="shared" ref="BV204" si="1876">E204</f>
        <v>53</v>
      </c>
      <c r="BW204" s="114">
        <f t="shared" ref="BW204" si="1877">I204</f>
        <v>83</v>
      </c>
      <c r="BX204" s="115">
        <f t="shared" ref="BX204" si="1878">M204</f>
        <v>87</v>
      </c>
      <c r="BY204" s="114">
        <f t="shared" ref="BY204" si="1879">Q204</f>
        <v>119</v>
      </c>
      <c r="BZ204" s="115">
        <f t="shared" ref="BZ204" si="1880">U204</f>
        <v>123</v>
      </c>
      <c r="CA204" s="114" t="str">
        <f t="shared" ref="CA204" si="1881">Y204</f>
        <v>-</v>
      </c>
      <c r="CB204" s="115">
        <f t="shared" ref="CB204" si="1882">AC204</f>
        <v>165</v>
      </c>
      <c r="CC204" s="114">
        <f t="shared" ref="CC204" si="1883">AG204</f>
        <v>210</v>
      </c>
      <c r="CD204" s="115">
        <f t="shared" ref="CD204" si="1884">AK204</f>
        <v>218</v>
      </c>
      <c r="CE204" s="114">
        <f t="shared" ref="CE204" si="1885">AO204</f>
        <v>294</v>
      </c>
      <c r="CF204" s="115">
        <f t="shared" ref="CF204" si="1886">AS204</f>
        <v>338</v>
      </c>
      <c r="CG204" s="114">
        <f t="shared" ref="CG204" si="1887">AW204</f>
        <v>368</v>
      </c>
      <c r="CH204" s="112">
        <f t="shared" ref="CH204" si="1888">G204</f>
        <v>82</v>
      </c>
      <c r="CI204" s="114">
        <f t="shared" ref="CI204" si="1889">K204</f>
        <v>86</v>
      </c>
      <c r="CJ204" s="115">
        <f t="shared" ref="CJ204" si="1890">O204</f>
        <v>118</v>
      </c>
      <c r="CK204" s="115">
        <f t="shared" ref="CK204" si="1891">S204</f>
        <v>122</v>
      </c>
      <c r="CL204" s="115">
        <f t="shared" ref="CL204" si="1892">W204</f>
        <v>158</v>
      </c>
      <c r="CM204" s="115" t="str">
        <f t="shared" ref="CM204" si="1893">AA204</f>
        <v>-</v>
      </c>
      <c r="CN204" s="115">
        <f t="shared" ref="CN204" si="1894">AE204</f>
        <v>191</v>
      </c>
      <c r="CO204" s="115">
        <f t="shared" ref="CO204" si="1895">AI204</f>
        <v>212</v>
      </c>
      <c r="CP204" s="115">
        <f t="shared" ref="CP204" si="1896">AM204</f>
        <v>252</v>
      </c>
      <c r="CQ204" s="115">
        <f t="shared" ref="CQ204" si="1897">AQ204</f>
        <v>330</v>
      </c>
      <c r="CR204" s="115">
        <f t="shared" ref="CR204" si="1898">AU204</f>
        <v>367</v>
      </c>
      <c r="CS204" s="115">
        <f t="shared" ref="CS204" si="1899">AY204</f>
        <v>383</v>
      </c>
      <c r="CT204" s="110">
        <f t="shared" ref="CT204" si="1900">M204-K204</f>
        <v>1</v>
      </c>
    </row>
    <row r="205" spans="1:1030" x14ac:dyDescent="0.2">
      <c r="A205" s="3" t="str">
        <f t="shared" si="1507"/>
        <v>p2ry1_human__wt</v>
      </c>
      <c r="B205" s="3" t="s">
        <v>345</v>
      </c>
      <c r="C205" s="3" t="s">
        <v>100</v>
      </c>
      <c r="D205" s="3" t="str">
        <f>IFERROR(MID(VLOOKUP($B205,Seqs!$A:$B,2,0),E205,1),"")</f>
        <v>F</v>
      </c>
      <c r="E205" s="3">
        <v>49</v>
      </c>
      <c r="F205" s="3" t="str">
        <f>IFERROR(MID(VLOOKUP($B205,Seqs!$A:$B,2,0),G205,1),"")</f>
        <v>H</v>
      </c>
      <c r="G205" s="3">
        <v>79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S</v>
      </c>
      <c r="M205" s="3">
        <v>84</v>
      </c>
      <c r="N205" s="3" t="str">
        <f>IFERROR(MID(VLOOKUP($B205,Seqs!$A:$B,2,0),O205,1),"")</f>
        <v>N</v>
      </c>
      <c r="O205" s="3">
        <v>113</v>
      </c>
      <c r="P205" s="3" t="str">
        <f>IFERROR(MID(VLOOKUP($B205,Seqs!$A:$B,2,0),Q205,1),"")</f>
        <v>D</v>
      </c>
      <c r="Q205" s="3">
        <v>116</v>
      </c>
      <c r="R205" s="3" t="str">
        <f>IFERROR(MID(VLOOKUP($B205,Seqs!$A:$B,2,0),S205,1),"")</f>
        <v>F</v>
      </c>
      <c r="S205" s="3">
        <v>119</v>
      </c>
      <c r="T205" s="3" t="str">
        <f>IFERROR(MID(VLOOKUP($B205,Seqs!$A:$B,2,0),U205,1),"")</f>
        <v>G</v>
      </c>
      <c r="U205" s="3">
        <v>120</v>
      </c>
      <c r="V205" s="3" t="str">
        <f>IFERROR(MID(VLOOKUP($B205,Seqs!$A:$B,2,0),W205,1),"")</f>
        <v>Y</v>
      </c>
      <c r="W205" s="3">
        <v>155</v>
      </c>
      <c r="X205" s="3" t="str">
        <f>IFERROR(MID(VLOOKUP($B205,Seqs!$A:$B,2,0),Y205,1),"")</f>
        <v>P</v>
      </c>
      <c r="Y205" s="3">
        <v>156</v>
      </c>
      <c r="Z205" s="3" t="str">
        <f>IFERROR(MID(VLOOKUP($B205,Seqs!$A:$B,2,0),AA205,1),"")</f>
        <v>L</v>
      </c>
      <c r="AA205" s="3">
        <v>163</v>
      </c>
      <c r="AB205" s="3" t="str">
        <f>IFERROR(MID(VLOOKUP($B205,Seqs!$A:$B,2,0),AC205,1),"")</f>
        <v>K</v>
      </c>
      <c r="AC205" s="9">
        <v>164</v>
      </c>
      <c r="AD205" s="3" t="str">
        <f>IFERROR(MID(VLOOKUP($B205,Seqs!$A:$B,2,0),AE205,1),"")</f>
        <v>S</v>
      </c>
      <c r="AE205" s="3">
        <v>190</v>
      </c>
      <c r="AF205" s="3" t="str">
        <f>IFERROR(MID(VLOOKUP($B205,Seqs!$A:$B,2,0),AG205,1),"")</f>
        <v>C</v>
      </c>
      <c r="AG205" s="3">
        <v>202</v>
      </c>
      <c r="AH205" s="3" t="str">
        <f>IFERROR(MID(VLOOKUP($B205,Seqs!$A:$B,2,0),AI205,1),"")</f>
        <v>D</v>
      </c>
      <c r="AI205" s="3">
        <v>204</v>
      </c>
      <c r="AJ205" s="3" t="str">
        <f>IFERROR(MID(VLOOKUP($B205,Seqs!$A:$B,2,0),AK205,1),"")</f>
        <v>L</v>
      </c>
      <c r="AK205" s="3">
        <v>211</v>
      </c>
      <c r="AL205" s="3" t="str">
        <f>IFERROR(MID(VLOOKUP($B205,Seqs!$A:$B,2,0),AM205,1),"")</f>
        <v>K</v>
      </c>
      <c r="AM205" s="3">
        <v>247</v>
      </c>
      <c r="AN205" s="3" t="str">
        <f>IFERROR(MID(VLOOKUP($B205,Seqs!$A:$B,2,0),AO205,1),"")</f>
        <v>P</v>
      </c>
      <c r="AO205" s="3">
        <v>253</v>
      </c>
      <c r="AP205" s="3" t="str">
        <f>IFERROR(MID(VLOOKUP($B205,Seqs!$A:$B,2,0),AQ205,1),"")</f>
        <v>D</v>
      </c>
      <c r="AQ205" s="3">
        <v>289</v>
      </c>
      <c r="AR205" s="3" t="str">
        <f>IFERROR(MID(VLOOKUP($B205,Seqs!$A:$B,2,0),AS205,1),"")</f>
        <v>M</v>
      </c>
      <c r="AS205" s="3">
        <v>295</v>
      </c>
      <c r="AT205" s="3" t="str">
        <f>IFERROR(MID(VLOOKUP($B205,Seqs!$A:$B,2,0),AU205,1),"")</f>
        <v>A</v>
      </c>
      <c r="AU205" s="3">
        <v>327</v>
      </c>
      <c r="AV205" s="3" t="str">
        <f>IFERROR(MID(VLOOKUP($B205,Seqs!$A:$B,2,0),AW205,1),"")</f>
        <v>G</v>
      </c>
      <c r="AW205" s="3">
        <v>328</v>
      </c>
      <c r="AX205" s="3" t="str">
        <f>IFERROR(MID(VLOOKUP($B205,Seqs!$A:$B,2,0),AY205,1),"")</f>
        <v>R</v>
      </c>
      <c r="AY205" s="3">
        <v>340</v>
      </c>
      <c r="AZ205" s="78" t="str">
        <f>VLOOKUP(B205,Classification!A:D,2,0)</f>
        <v>A</v>
      </c>
      <c r="BA205" s="95" t="str">
        <f>VLOOKUP(B205,Classification!A:D,4,0)</f>
        <v>P2Y</v>
      </c>
      <c r="BB205" s="27" t="b">
        <f t="shared" si="1508"/>
        <v>1</v>
      </c>
      <c r="BC205" s="23">
        <f t="shared" si="1481"/>
        <v>260</v>
      </c>
      <c r="BD205" s="56" t="s">
        <v>1379</v>
      </c>
      <c r="BE205" s="3" t="s">
        <v>23</v>
      </c>
      <c r="BF205" s="120" t="s">
        <v>23</v>
      </c>
      <c r="BG205" s="49" t="s">
        <v>1379</v>
      </c>
      <c r="BH205" s="49" t="s">
        <v>1384</v>
      </c>
      <c r="BI205" s="1"/>
      <c r="BJ205" s="71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1">
        <f t="shared" si="1482"/>
        <v>49</v>
      </c>
      <c r="BW205" s="72" t="str">
        <f t="shared" si="1483"/>
        <v>-</v>
      </c>
      <c r="BX205" s="73">
        <f t="shared" si="1484"/>
        <v>84</v>
      </c>
      <c r="BY205" s="72">
        <f t="shared" si="1485"/>
        <v>116</v>
      </c>
      <c r="BZ205" s="73">
        <f t="shared" si="1486"/>
        <v>120</v>
      </c>
      <c r="CA205" s="72">
        <f t="shared" si="1487"/>
        <v>156</v>
      </c>
      <c r="CB205" s="73">
        <f t="shared" si="1488"/>
        <v>164</v>
      </c>
      <c r="CC205" s="72">
        <f t="shared" si="1489"/>
        <v>202</v>
      </c>
      <c r="CD205" s="73">
        <f t="shared" si="1490"/>
        <v>211</v>
      </c>
      <c r="CE205" s="72">
        <f t="shared" si="1491"/>
        <v>253</v>
      </c>
      <c r="CF205" s="73">
        <f t="shared" si="1492"/>
        <v>295</v>
      </c>
      <c r="CG205" s="72">
        <f t="shared" si="1493"/>
        <v>328</v>
      </c>
      <c r="CH205" s="71">
        <f t="shared" si="1494"/>
        <v>79</v>
      </c>
      <c r="CI205" s="72" t="str">
        <f t="shared" si="1495"/>
        <v>-</v>
      </c>
      <c r="CJ205" s="73">
        <f t="shared" si="1496"/>
        <v>113</v>
      </c>
      <c r="CK205" s="73">
        <f t="shared" si="1497"/>
        <v>119</v>
      </c>
      <c r="CL205" s="73">
        <f t="shared" si="1498"/>
        <v>155</v>
      </c>
      <c r="CM205" s="73">
        <f t="shared" si="1499"/>
        <v>163</v>
      </c>
      <c r="CN205" s="73">
        <f t="shared" si="1500"/>
        <v>190</v>
      </c>
      <c r="CO205" s="73">
        <f t="shared" si="1501"/>
        <v>204</v>
      </c>
      <c r="CP205" s="73">
        <f t="shared" si="1502"/>
        <v>247</v>
      </c>
      <c r="CQ205" s="73">
        <f t="shared" si="1503"/>
        <v>289</v>
      </c>
      <c r="CR205" s="73">
        <f t="shared" si="1504"/>
        <v>327</v>
      </c>
      <c r="CS205" s="73">
        <f t="shared" si="1505"/>
        <v>340</v>
      </c>
      <c r="CT205" s="23" t="e">
        <f t="shared" si="1506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1507"/>
        <v>p2ry1_human_4XNV</v>
      </c>
      <c r="B206" s="3" t="s">
        <v>345</v>
      </c>
      <c r="C206" s="3" t="s">
        <v>1152</v>
      </c>
      <c r="D206" s="3" t="str">
        <f>IFERROR(MID(VLOOKUP($B206,Seqs!$A:$B,2,0),E206,1),"")</f>
        <v>F</v>
      </c>
      <c r="E206" s="3">
        <v>49</v>
      </c>
      <c r="F206" s="3" t="str">
        <f>IFERROR(MID(VLOOKUP($B206,Seqs!$A:$B,2,0),G206,1),"")</f>
        <v>H</v>
      </c>
      <c r="G206" s="3">
        <v>79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S</v>
      </c>
      <c r="M206" s="3">
        <v>84</v>
      </c>
      <c r="N206" s="3" t="str">
        <f>IFERROR(MID(VLOOKUP($B206,Seqs!$A:$B,2,0),O206,1),"")</f>
        <v>N</v>
      </c>
      <c r="O206" s="3">
        <v>113</v>
      </c>
      <c r="P206" s="3" t="str">
        <f>IFERROR(MID(VLOOKUP($B206,Seqs!$A:$B,2,0),Q206,1),"")</f>
        <v>D</v>
      </c>
      <c r="Q206" s="3">
        <v>116</v>
      </c>
      <c r="R206" s="3" t="str">
        <f>IFERROR(MID(VLOOKUP($B206,Seqs!$A:$B,2,0),S206,1),"")</f>
        <v>F</v>
      </c>
      <c r="S206" s="3">
        <v>119</v>
      </c>
      <c r="T206" s="3" t="str">
        <f>IFERROR(MID(VLOOKUP($B206,Seqs!$A:$B,2,0),U206,1),"")</f>
        <v>G</v>
      </c>
      <c r="U206" s="3">
        <v>120</v>
      </c>
      <c r="V206" s="3" t="str">
        <f>IFERROR(MID(VLOOKUP($B206,Seqs!$A:$B,2,0),W206,1),"")</f>
        <v>Y</v>
      </c>
      <c r="W206" s="3">
        <v>155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G</v>
      </c>
      <c r="AC206" s="9">
        <v>161</v>
      </c>
      <c r="AD206" s="3" t="str">
        <f>IFERROR(MID(VLOOKUP($B206,Seqs!$A:$B,2,0),AE206,1),"")</f>
        <v>S</v>
      </c>
      <c r="AE206" s="3">
        <v>190</v>
      </c>
      <c r="AF206" s="3" t="str">
        <f>IFERROR(MID(VLOOKUP($B206,Seqs!$A:$B,2,0),AG206,1),"")</f>
        <v>C</v>
      </c>
      <c r="AG206" s="3">
        <v>202</v>
      </c>
      <c r="AH206" s="3" t="str">
        <f>IFERROR(MID(VLOOKUP($B206,Seqs!$A:$B,2,0),AI206,1),"")</f>
        <v>D</v>
      </c>
      <c r="AI206" s="3">
        <v>204</v>
      </c>
      <c r="AJ206" s="3" t="str">
        <f>IFERROR(MID(VLOOKUP($B206,Seqs!$A:$B,2,0),AK206,1),"")</f>
        <v>L</v>
      </c>
      <c r="AK206" s="3">
        <v>211</v>
      </c>
      <c r="AL206" s="3" t="str">
        <f>IFERROR(MID(VLOOKUP($B206,Seqs!$A:$B,2,0),AM206,1),"")</f>
        <v>K</v>
      </c>
      <c r="AM206" s="3">
        <v>247</v>
      </c>
      <c r="AN206" s="3" t="str">
        <f>IFERROR(MID(VLOOKUP($B206,Seqs!$A:$B,2,0),AO206,1),"")</f>
        <v>P</v>
      </c>
      <c r="AO206" s="3">
        <v>253</v>
      </c>
      <c r="AP206" s="3" t="str">
        <f>IFERROR(MID(VLOOKUP($B206,Seqs!$A:$B,2,0),AQ206,1),"")</f>
        <v>D</v>
      </c>
      <c r="AQ206" s="3">
        <v>289</v>
      </c>
      <c r="AR206" s="3" t="str">
        <f>IFERROR(MID(VLOOKUP($B206,Seqs!$A:$B,2,0),AS206,1),"")</f>
        <v>M</v>
      </c>
      <c r="AS206" s="3">
        <v>295</v>
      </c>
      <c r="AT206" s="3" t="str">
        <f>IFERROR(MID(VLOOKUP($B206,Seqs!$A:$B,2,0),AU206,1),"")</f>
        <v>L</v>
      </c>
      <c r="AU206" s="3">
        <v>326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8" t="str">
        <f>VLOOKUP(B206,Classification!A:D,2,0)</f>
        <v>A</v>
      </c>
      <c r="BA206" s="95" t="str">
        <f>VLOOKUP(B206,Classification!A:D,4,0)</f>
        <v>P2Y</v>
      </c>
      <c r="BB206" s="27" t="b">
        <f t="shared" si="1508"/>
        <v>1</v>
      </c>
      <c r="BC206" s="23">
        <f t="shared" si="1481"/>
        <v>243</v>
      </c>
      <c r="BD206" s="4" t="s">
        <v>23</v>
      </c>
      <c r="BE206" s="3" t="s">
        <v>1439</v>
      </c>
      <c r="BF206" s="120">
        <v>2.2000000000000002</v>
      </c>
      <c r="BG206" s="49" t="s">
        <v>1384</v>
      </c>
      <c r="BH206" s="49" t="s">
        <v>1384</v>
      </c>
      <c r="BI206" s="3" t="s">
        <v>1169</v>
      </c>
      <c r="BJ206" s="71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1">
        <f t="shared" si="1482"/>
        <v>49</v>
      </c>
      <c r="BW206" s="72" t="str">
        <f t="shared" si="1483"/>
        <v>-</v>
      </c>
      <c r="BX206" s="73">
        <f t="shared" si="1484"/>
        <v>84</v>
      </c>
      <c r="BY206" s="72">
        <f t="shared" si="1485"/>
        <v>116</v>
      </c>
      <c r="BZ206" s="73">
        <f t="shared" si="1486"/>
        <v>120</v>
      </c>
      <c r="CA206" s="72" t="str">
        <f t="shared" si="1487"/>
        <v>-</v>
      </c>
      <c r="CB206" s="73">
        <f t="shared" si="1488"/>
        <v>161</v>
      </c>
      <c r="CC206" s="72">
        <f t="shared" si="1489"/>
        <v>202</v>
      </c>
      <c r="CD206" s="73">
        <f t="shared" si="1490"/>
        <v>211</v>
      </c>
      <c r="CE206" s="72">
        <f t="shared" si="1491"/>
        <v>253</v>
      </c>
      <c r="CF206" s="73">
        <f t="shared" si="1492"/>
        <v>295</v>
      </c>
      <c r="CG206" s="72" t="str">
        <f t="shared" si="1493"/>
        <v>-</v>
      </c>
      <c r="CH206" s="71">
        <f t="shared" si="1494"/>
        <v>79</v>
      </c>
      <c r="CI206" s="72" t="str">
        <f t="shared" si="1495"/>
        <v>-</v>
      </c>
      <c r="CJ206" s="73">
        <f t="shared" si="1496"/>
        <v>113</v>
      </c>
      <c r="CK206" s="73">
        <f t="shared" si="1497"/>
        <v>119</v>
      </c>
      <c r="CL206" s="73">
        <f t="shared" si="1498"/>
        <v>155</v>
      </c>
      <c r="CM206" s="73" t="str">
        <f t="shared" si="1499"/>
        <v>-</v>
      </c>
      <c r="CN206" s="73">
        <f t="shared" si="1500"/>
        <v>190</v>
      </c>
      <c r="CO206" s="73">
        <f t="shared" si="1501"/>
        <v>204</v>
      </c>
      <c r="CP206" s="73">
        <f t="shared" si="1502"/>
        <v>247</v>
      </c>
      <c r="CQ206" s="73">
        <f t="shared" si="1503"/>
        <v>289</v>
      </c>
      <c r="CR206" s="73">
        <f t="shared" si="1504"/>
        <v>326</v>
      </c>
      <c r="CS206" s="73" t="str">
        <f t="shared" si="1505"/>
        <v>-</v>
      </c>
      <c r="CT206" s="23" t="e">
        <f t="shared" si="1506"/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1507"/>
        <v>p2ry1_human_4XNW</v>
      </c>
      <c r="B207" s="3" t="s">
        <v>345</v>
      </c>
      <c r="C207" s="3" t="s">
        <v>1056</v>
      </c>
      <c r="D207" s="3" t="str">
        <f>IFERROR(MID(VLOOKUP($B207,Seqs!$A:$B,2,0),E207,1),"")</f>
        <v>F</v>
      </c>
      <c r="E207" s="3">
        <v>49</v>
      </c>
      <c r="F207" s="3" t="str">
        <f>IFERROR(MID(VLOOKUP($B207,Seqs!$A:$B,2,0),G207,1),"")</f>
        <v>H</v>
      </c>
      <c r="G207" s="3">
        <v>79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84</v>
      </c>
      <c r="N207" s="3" t="str">
        <f>IFERROR(MID(VLOOKUP($B207,Seqs!$A:$B,2,0),O207,1),"")</f>
        <v>N</v>
      </c>
      <c r="O207" s="3">
        <v>113</v>
      </c>
      <c r="P207" s="3" t="str">
        <f>IFERROR(MID(VLOOKUP($B207,Seqs!$A:$B,2,0),Q207,1),"")</f>
        <v>D</v>
      </c>
      <c r="Q207" s="3">
        <v>116</v>
      </c>
      <c r="R207" s="3" t="str">
        <f>IFERROR(MID(VLOOKUP($B207,Seqs!$A:$B,2,0),S207,1),"")</f>
        <v>F</v>
      </c>
      <c r="S207" s="3">
        <v>119</v>
      </c>
      <c r="T207" s="3" t="str">
        <f>IFERROR(MID(VLOOKUP($B207,Seqs!$A:$B,2,0),U207,1),"")</f>
        <v>G</v>
      </c>
      <c r="U207" s="3">
        <v>120</v>
      </c>
      <c r="V207" s="3" t="str">
        <f>IFERROR(MID(VLOOKUP($B207,Seqs!$A:$B,2,0),W207,1),"")</f>
        <v>Y</v>
      </c>
      <c r="W207" s="3">
        <v>155</v>
      </c>
      <c r="X207" s="3" t="str">
        <f>IFERROR(MID(VLOOKUP($B207,Seqs!$A:$B,2,0),Y207,1),"")</f>
        <v>P</v>
      </c>
      <c r="Y207" s="3">
        <v>156</v>
      </c>
      <c r="Z207" s="3" t="str">
        <f>IFERROR(MID(VLOOKUP($B207,Seqs!$A:$B,2,0),AA207,1),"")</f>
        <v>L</v>
      </c>
      <c r="AA207" s="3">
        <v>163</v>
      </c>
      <c r="AB207" s="3" t="str">
        <f>IFERROR(MID(VLOOKUP($B207,Seqs!$A:$B,2,0),AC207,1),"")</f>
        <v>K</v>
      </c>
      <c r="AC207" s="9">
        <v>164</v>
      </c>
      <c r="AD207" s="3" t="str">
        <f>IFERROR(MID(VLOOKUP($B207,Seqs!$A:$B,2,0),AE207,1),"")</f>
        <v>S</v>
      </c>
      <c r="AE207" s="3">
        <v>190</v>
      </c>
      <c r="AF207" s="3" t="str">
        <f>IFERROR(MID(VLOOKUP($B207,Seqs!$A:$B,2,0),AG207,1),"")</f>
        <v>C</v>
      </c>
      <c r="AG207" s="3">
        <v>202</v>
      </c>
      <c r="AH207" s="3" t="str">
        <f>IFERROR(MID(VLOOKUP($B207,Seqs!$A:$B,2,0),AI207,1),"")</f>
        <v>D</v>
      </c>
      <c r="AI207" s="3">
        <v>204</v>
      </c>
      <c r="AJ207" s="3" t="str">
        <f>IFERROR(MID(VLOOKUP($B207,Seqs!$A:$B,2,0),AK207,1),"")</f>
        <v>L</v>
      </c>
      <c r="AK207" s="3">
        <v>211</v>
      </c>
      <c r="AL207" s="3" t="str">
        <f>IFERROR(MID(VLOOKUP($B207,Seqs!$A:$B,2,0),AM207,1),"")</f>
        <v>K</v>
      </c>
      <c r="AM207" s="3">
        <v>247</v>
      </c>
      <c r="AN207" s="3" t="str">
        <f>IFERROR(MID(VLOOKUP($B207,Seqs!$A:$B,2,0),AO207,1),"")</f>
        <v>P</v>
      </c>
      <c r="AO207" s="3">
        <v>253</v>
      </c>
      <c r="AP207" s="3" t="str">
        <f>IFERROR(MID(VLOOKUP($B207,Seqs!$A:$B,2,0),AQ207,1),"")</f>
        <v>D</v>
      </c>
      <c r="AQ207" s="3">
        <v>289</v>
      </c>
      <c r="AR207" s="3" t="str">
        <f>IFERROR(MID(VLOOKUP($B207,Seqs!$A:$B,2,0),AS207,1),"")</f>
        <v>M</v>
      </c>
      <c r="AS207" s="3">
        <v>295</v>
      </c>
      <c r="AT207" s="3" t="str">
        <f>IFERROR(MID(VLOOKUP($B207,Seqs!$A:$B,2,0),AU207,1),"")</f>
        <v>L</v>
      </c>
      <c r="AU207" s="3">
        <v>326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8" t="str">
        <f>VLOOKUP(B207,Classification!A:D,2,0)</f>
        <v>A</v>
      </c>
      <c r="BA207" s="95" t="str">
        <f>VLOOKUP(B207,Classification!A:D,4,0)</f>
        <v>P2Y</v>
      </c>
      <c r="BB207" s="27" t="b">
        <f t="shared" si="1508"/>
        <v>1</v>
      </c>
      <c r="BC207" s="23">
        <f t="shared" si="1481"/>
        <v>247</v>
      </c>
      <c r="BD207" s="2" t="s">
        <v>1440</v>
      </c>
      <c r="BE207" s="3" t="s">
        <v>1439</v>
      </c>
      <c r="BF207" s="120">
        <v>2.7</v>
      </c>
      <c r="BG207" s="49" t="s">
        <v>1384</v>
      </c>
      <c r="BH207" s="49" t="s">
        <v>1384</v>
      </c>
      <c r="BI207" s="1"/>
      <c r="BJ207" s="71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1">
        <f t="shared" si="1482"/>
        <v>49</v>
      </c>
      <c r="BW207" s="72" t="str">
        <f t="shared" si="1483"/>
        <v>-</v>
      </c>
      <c r="BX207" s="73">
        <f t="shared" si="1484"/>
        <v>84</v>
      </c>
      <c r="BY207" s="72">
        <f t="shared" si="1485"/>
        <v>116</v>
      </c>
      <c r="BZ207" s="73">
        <f t="shared" si="1486"/>
        <v>120</v>
      </c>
      <c r="CA207" s="72">
        <f t="shared" si="1487"/>
        <v>156</v>
      </c>
      <c r="CB207" s="73">
        <f t="shared" si="1488"/>
        <v>164</v>
      </c>
      <c r="CC207" s="72">
        <f t="shared" si="1489"/>
        <v>202</v>
      </c>
      <c r="CD207" s="73">
        <f t="shared" si="1490"/>
        <v>211</v>
      </c>
      <c r="CE207" s="72">
        <f t="shared" si="1491"/>
        <v>253</v>
      </c>
      <c r="CF207" s="73">
        <f t="shared" si="1492"/>
        <v>295</v>
      </c>
      <c r="CG207" s="72" t="str">
        <f t="shared" si="1493"/>
        <v>-</v>
      </c>
      <c r="CH207" s="71">
        <f t="shared" si="1494"/>
        <v>79</v>
      </c>
      <c r="CI207" s="72" t="str">
        <f t="shared" si="1495"/>
        <v>-</v>
      </c>
      <c r="CJ207" s="73">
        <f t="shared" si="1496"/>
        <v>113</v>
      </c>
      <c r="CK207" s="73">
        <f t="shared" si="1497"/>
        <v>119</v>
      </c>
      <c r="CL207" s="73">
        <f t="shared" si="1498"/>
        <v>155</v>
      </c>
      <c r="CM207" s="73">
        <f t="shared" si="1499"/>
        <v>163</v>
      </c>
      <c r="CN207" s="73">
        <f t="shared" si="1500"/>
        <v>190</v>
      </c>
      <c r="CO207" s="73">
        <f t="shared" si="1501"/>
        <v>204</v>
      </c>
      <c r="CP207" s="73">
        <f t="shared" si="1502"/>
        <v>247</v>
      </c>
      <c r="CQ207" s="73">
        <f t="shared" si="1503"/>
        <v>289</v>
      </c>
      <c r="CR207" s="73">
        <f t="shared" si="1504"/>
        <v>326</v>
      </c>
      <c r="CS207" s="73" t="str">
        <f t="shared" si="1505"/>
        <v>-</v>
      </c>
      <c r="CT207" s="23" t="e">
        <f t="shared" si="1506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1507"/>
        <v>p2y12_human__wt</v>
      </c>
      <c r="B208" s="3" t="s">
        <v>352</v>
      </c>
      <c r="C208" s="3" t="s">
        <v>100</v>
      </c>
      <c r="D208" s="3" t="str">
        <f>IFERROR(MID(VLOOKUP($B208,Seqs!$A:$B,2,0),E208,1),"")</f>
        <v>Y</v>
      </c>
      <c r="E208" s="3">
        <v>21</v>
      </c>
      <c r="F208" s="3" t="str">
        <f>IFERROR(MID(VLOOKUP($B208,Seqs!$A:$B,2,0),G208,1),"")</f>
        <v>I</v>
      </c>
      <c r="G208" s="3">
        <v>53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57</v>
      </c>
      <c r="N208" s="3" t="str">
        <f>IFERROR(MID(VLOOKUP($B208,Seqs!$A:$B,2,0),O208,1),"")</f>
        <v>K</v>
      </c>
      <c r="O208" s="3">
        <v>86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G</v>
      </c>
      <c r="U208" s="3">
        <v>90</v>
      </c>
      <c r="V208" s="3" t="str">
        <f>IFERROR(MID(VLOOKUP($B208,Seqs!$A:$B,2,0),W208,1),"")</f>
        <v>R</v>
      </c>
      <c r="W208" s="3">
        <v>128</v>
      </c>
      <c r="X208" s="3" t="str">
        <f>IFERROR(MID(VLOOKUP($B208,Seqs!$A:$B,2,0),Y208,1),"")</f>
        <v>P</v>
      </c>
      <c r="Y208" s="3">
        <v>129</v>
      </c>
      <c r="Z208" s="3" t="str">
        <f>IFERROR(MID(VLOOKUP($B208,Seqs!$A:$B,2,0),AA208,1),"")</f>
        <v>K</v>
      </c>
      <c r="AA208" s="74">
        <v>136</v>
      </c>
      <c r="AB208" s="3" t="str">
        <f>IFERROR(MID(VLOOKUP($B208,Seqs!$A:$B,2,0),AC208,1),"")</f>
        <v>N</v>
      </c>
      <c r="AC208" s="9">
        <v>137</v>
      </c>
      <c r="AD208" s="3" t="str">
        <f>IFERROR(MID(VLOOKUP($B208,Seqs!$A:$B,2,0),AE208,1),"")</f>
        <v>T</v>
      </c>
      <c r="AE208" s="3">
        <v>163</v>
      </c>
      <c r="AF208" s="3" t="str">
        <f>IFERROR(MID(VLOOKUP($B208,Seqs!$A:$B,2,0),AG208,1),"")</f>
        <v>C</v>
      </c>
      <c r="AG208" s="3">
        <v>175</v>
      </c>
      <c r="AH208" s="3" t="str">
        <f>IFERROR(MID(VLOOKUP($B208,Seqs!$A:$B,2,0),AI208,1),"")</f>
        <v>F</v>
      </c>
      <c r="AI208" s="3">
        <v>177</v>
      </c>
      <c r="AJ208" s="3" t="str">
        <f>IFERROR(MID(VLOOKUP($B208,Seqs!$A:$B,2,0),AK208,1),"")</f>
        <v>E</v>
      </c>
      <c r="AK208" s="3">
        <v>181</v>
      </c>
      <c r="AL208" s="3" t="str">
        <f>IFERROR(MID(VLOOKUP($B208,Seqs!$A:$B,2,0),AM208,1),"")</f>
        <v>T</v>
      </c>
      <c r="AM208" s="3">
        <v>223</v>
      </c>
      <c r="AN208" s="3" t="str">
        <f>IFERROR(MID(VLOOKUP($B208,Seqs!$A:$B,2,0),AO208,1),"")</f>
        <v>P</v>
      </c>
      <c r="AO208" s="3">
        <v>230</v>
      </c>
      <c r="AP208" s="3" t="str">
        <f>IFERROR(MID(VLOOKUP($B208,Seqs!$A:$B,2,0),AQ208,1),"")</f>
        <v>R</v>
      </c>
      <c r="AQ208" s="3">
        <v>265</v>
      </c>
      <c r="AR208" s="3" t="str">
        <f>IFERROR(MID(VLOOKUP($B208,Seqs!$A:$B,2,0),AS208,1),"")</f>
        <v>D</v>
      </c>
      <c r="AS208" s="3">
        <v>269</v>
      </c>
      <c r="AT208" s="3" t="str">
        <f>IFERROR(MID(VLOOKUP($B208,Seqs!$A:$B,2,0),AU208,1),"")</f>
        <v>L</v>
      </c>
      <c r="AU208" s="3">
        <v>301</v>
      </c>
      <c r="AV208" s="3" t="str">
        <f>IFERROR(MID(VLOOKUP($B208,Seqs!$A:$B,2,0),AW208,1),"")</f>
        <v>C</v>
      </c>
      <c r="AW208" s="3">
        <v>302</v>
      </c>
      <c r="AX208" s="3" t="str">
        <f>IFERROR(MID(VLOOKUP($B208,Seqs!$A:$B,2,0),AY208,1),"")</f>
        <v>M</v>
      </c>
      <c r="AY208" s="3">
        <v>312</v>
      </c>
      <c r="AZ208" s="78" t="str">
        <f>VLOOKUP(B208,Classification!A:D,2,0)</f>
        <v>A</v>
      </c>
      <c r="BA208" s="95" t="str">
        <f>VLOOKUP(B208,Classification!A:D,4,0)</f>
        <v>P2Y</v>
      </c>
      <c r="BB208" s="27" t="b">
        <f t="shared" si="1508"/>
        <v>1</v>
      </c>
      <c r="BC208" s="23">
        <f t="shared" si="1481"/>
        <v>265</v>
      </c>
      <c r="BD208" s="56" t="s">
        <v>1379</v>
      </c>
      <c r="BE208" s="3" t="s">
        <v>23</v>
      </c>
      <c r="BF208" s="120" t="s">
        <v>23</v>
      </c>
      <c r="BG208" s="49" t="s">
        <v>1379</v>
      </c>
      <c r="BH208" s="49" t="s">
        <v>1384</v>
      </c>
      <c r="BI208" s="1"/>
      <c r="BJ208" s="71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1">
        <f t="shared" si="1482"/>
        <v>21</v>
      </c>
      <c r="BW208" s="72" t="str">
        <f t="shared" si="1483"/>
        <v>-</v>
      </c>
      <c r="BX208" s="73">
        <f t="shared" si="1484"/>
        <v>57</v>
      </c>
      <c r="BY208" s="72" t="str">
        <f t="shared" si="1485"/>
        <v>-</v>
      </c>
      <c r="BZ208" s="73">
        <f t="shared" si="1486"/>
        <v>90</v>
      </c>
      <c r="CA208" s="72">
        <f t="shared" si="1487"/>
        <v>129</v>
      </c>
      <c r="CB208" s="73">
        <f t="shared" si="1488"/>
        <v>137</v>
      </c>
      <c r="CC208" s="72">
        <f t="shared" si="1489"/>
        <v>175</v>
      </c>
      <c r="CD208" s="73">
        <f t="shared" si="1490"/>
        <v>181</v>
      </c>
      <c r="CE208" s="72">
        <f t="shared" si="1491"/>
        <v>230</v>
      </c>
      <c r="CF208" s="73">
        <f t="shared" si="1492"/>
        <v>269</v>
      </c>
      <c r="CG208" s="72">
        <f t="shared" si="1493"/>
        <v>302</v>
      </c>
      <c r="CH208" s="71">
        <f t="shared" si="1494"/>
        <v>53</v>
      </c>
      <c r="CI208" s="72" t="str">
        <f t="shared" si="1495"/>
        <v>-</v>
      </c>
      <c r="CJ208" s="73">
        <f t="shared" si="1496"/>
        <v>86</v>
      </c>
      <c r="CK208" s="73" t="str">
        <f t="shared" si="1497"/>
        <v>-</v>
      </c>
      <c r="CL208" s="73">
        <f t="shared" si="1498"/>
        <v>128</v>
      </c>
      <c r="CM208" s="73">
        <f t="shared" si="1499"/>
        <v>136</v>
      </c>
      <c r="CN208" s="73">
        <f t="shared" si="1500"/>
        <v>163</v>
      </c>
      <c r="CO208" s="73">
        <f t="shared" si="1501"/>
        <v>177</v>
      </c>
      <c r="CP208" s="73">
        <f t="shared" si="1502"/>
        <v>223</v>
      </c>
      <c r="CQ208" s="73">
        <f t="shared" si="1503"/>
        <v>265</v>
      </c>
      <c r="CR208" s="73">
        <f t="shared" si="1504"/>
        <v>301</v>
      </c>
      <c r="CS208" s="73">
        <f t="shared" si="1505"/>
        <v>312</v>
      </c>
      <c r="CT208" s="23" t="e">
        <f t="shared" si="1506"/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si="1507"/>
        <v>p2y12_human_4NTJ</v>
      </c>
      <c r="B209" s="3" t="s">
        <v>352</v>
      </c>
      <c r="C209" s="3" t="s">
        <v>1049</v>
      </c>
      <c r="D209" s="3" t="str">
        <f>IFERROR(MID(VLOOKUP($B209,Seqs!$A:$B,2,0),E209,1),"")</f>
        <v>Y</v>
      </c>
      <c r="E209" s="3">
        <v>21</v>
      </c>
      <c r="F209" s="3" t="str">
        <f>IFERROR(MID(VLOOKUP($B209,Seqs!$A:$B,2,0),G209,1),"")</f>
        <v>I</v>
      </c>
      <c r="G209" s="3">
        <v>53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S</v>
      </c>
      <c r="M209" s="3">
        <v>57</v>
      </c>
      <c r="N209" s="3" t="str">
        <f>IFERROR(MID(VLOOKUP($B209,Seqs!$A:$B,2,0),O209,1),"")</f>
        <v>K</v>
      </c>
      <c r="O209" s="3">
        <v>86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92</v>
      </c>
      <c r="V209" s="3" t="str">
        <f>IFERROR(MID(VLOOKUP($B209,Seqs!$A:$B,2,0),W209,1),"")</f>
        <v>R</v>
      </c>
      <c r="W209" s="3">
        <v>128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N</v>
      </c>
      <c r="AC209" s="9">
        <v>137</v>
      </c>
      <c r="AD209" s="3" t="str">
        <f>IFERROR(MID(VLOOKUP($B209,Seqs!$A:$B,2,0),AE209,1),"")</f>
        <v>L</v>
      </c>
      <c r="AE209" s="3">
        <v>162</v>
      </c>
      <c r="AF209" s="3" t="str">
        <f>IFERROR(MID(VLOOKUP($B209,Seqs!$A:$B,2,0),AG209,1),"")</f>
        <v>C</v>
      </c>
      <c r="AG209" s="3">
        <v>175</v>
      </c>
      <c r="AH209" s="3" t="str">
        <f>IFERROR(MID(VLOOKUP($B209,Seqs!$A:$B,2,0),AI209,1),"")</f>
        <v>F</v>
      </c>
      <c r="AI209" s="3">
        <v>177</v>
      </c>
      <c r="AJ209" s="3" t="str">
        <f>IFERROR(MID(VLOOKUP($B209,Seqs!$A:$B,2,0),AK209,1),"")</f>
        <v>E</v>
      </c>
      <c r="AK209" s="3">
        <v>181</v>
      </c>
      <c r="AL209" s="3" t="str">
        <f>IFERROR(MID(VLOOKUP($B209,Seqs!$A:$B,2,0),AM209,1),"")</f>
        <v>T</v>
      </c>
      <c r="AM209" s="3">
        <v>223</v>
      </c>
      <c r="AN209" s="3" t="str">
        <f>IFERROR(MID(VLOOKUP($B209,Seqs!$A:$B,2,0),AO209,1),"")</f>
        <v>I</v>
      </c>
      <c r="AO209" s="3">
        <v>240</v>
      </c>
      <c r="AP209" s="3" t="str">
        <f>IFERROR(MID(VLOOKUP($B209,Seqs!$A:$B,2,0),AQ209,1),"")</f>
        <v>L</v>
      </c>
      <c r="AQ209" s="3">
        <v>261</v>
      </c>
      <c r="AR209" s="3" t="str">
        <f>IFERROR(MID(VLOOKUP($B209,Seqs!$A:$B,2,0),AS209,1),"")</f>
        <v>D</v>
      </c>
      <c r="AS209" s="3">
        <v>269</v>
      </c>
      <c r="AT209" s="3" t="str">
        <f>IFERROR(MID(VLOOKUP($B209,Seqs!$A:$B,2,0),AU209,1),"")</f>
        <v>L</v>
      </c>
      <c r="AU209" s="3">
        <v>301</v>
      </c>
      <c r="AV209" s="3" t="str">
        <f>IFERROR(MID(VLOOKUP($B209,Seqs!$A:$B,2,0),AW209,1),"")</f>
        <v>C</v>
      </c>
      <c r="AW209" s="3">
        <v>302</v>
      </c>
      <c r="AX209" s="3" t="str">
        <f>IFERROR(MID(VLOOKUP($B209,Seqs!$A:$B,2,0),AY209,1),"")</f>
        <v>M</v>
      </c>
      <c r="AY209" s="3">
        <v>312</v>
      </c>
      <c r="AZ209" s="78" t="str">
        <f>VLOOKUP(B209,Classification!A:D,2,0)</f>
        <v>A</v>
      </c>
      <c r="BA209" s="95" t="str">
        <f>VLOOKUP(B209,Classification!A:D,4,0)</f>
        <v>P2Y</v>
      </c>
      <c r="BB209" s="27" t="b">
        <f t="shared" si="1508"/>
        <v>1</v>
      </c>
      <c r="BC209" s="23">
        <f t="shared" si="1481"/>
        <v>241</v>
      </c>
      <c r="BD209" s="2" t="s">
        <v>1440</v>
      </c>
      <c r="BE209" s="3" t="s">
        <v>1439</v>
      </c>
      <c r="BF209" s="120">
        <v>2.62</v>
      </c>
      <c r="BG209" s="49" t="s">
        <v>1384</v>
      </c>
      <c r="BH209" s="49" t="s">
        <v>1384</v>
      </c>
      <c r="BI209" s="3" t="s">
        <v>1171</v>
      </c>
      <c r="BJ209" s="71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1">
        <f t="shared" si="1482"/>
        <v>21</v>
      </c>
      <c r="BW209" s="72" t="str">
        <f t="shared" si="1483"/>
        <v>-</v>
      </c>
      <c r="BX209" s="73">
        <f t="shared" si="1484"/>
        <v>57</v>
      </c>
      <c r="BY209" s="72" t="str">
        <f t="shared" si="1485"/>
        <v>-</v>
      </c>
      <c r="BZ209" s="73">
        <f t="shared" si="1486"/>
        <v>92</v>
      </c>
      <c r="CA209" s="72" t="str">
        <f t="shared" si="1487"/>
        <v>-</v>
      </c>
      <c r="CB209" s="73">
        <f t="shared" si="1488"/>
        <v>137</v>
      </c>
      <c r="CC209" s="72">
        <f t="shared" si="1489"/>
        <v>175</v>
      </c>
      <c r="CD209" s="73">
        <f t="shared" si="1490"/>
        <v>181</v>
      </c>
      <c r="CE209" s="72">
        <f t="shared" si="1491"/>
        <v>240</v>
      </c>
      <c r="CF209" s="73">
        <f t="shared" si="1492"/>
        <v>269</v>
      </c>
      <c r="CG209" s="72">
        <f t="shared" si="1493"/>
        <v>302</v>
      </c>
      <c r="CH209" s="71">
        <f t="shared" si="1494"/>
        <v>53</v>
      </c>
      <c r="CI209" s="72" t="str">
        <f t="shared" si="1495"/>
        <v>-</v>
      </c>
      <c r="CJ209" s="73">
        <f t="shared" si="1496"/>
        <v>86</v>
      </c>
      <c r="CK209" s="73" t="str">
        <f t="shared" si="1497"/>
        <v>-</v>
      </c>
      <c r="CL209" s="73">
        <f t="shared" si="1498"/>
        <v>128</v>
      </c>
      <c r="CM209" s="73" t="str">
        <f t="shared" si="1499"/>
        <v>-</v>
      </c>
      <c r="CN209" s="73">
        <f t="shared" si="1500"/>
        <v>162</v>
      </c>
      <c r="CO209" s="73">
        <f t="shared" si="1501"/>
        <v>177</v>
      </c>
      <c r="CP209" s="73">
        <f t="shared" si="1502"/>
        <v>223</v>
      </c>
      <c r="CQ209" s="73">
        <f t="shared" si="1503"/>
        <v>261</v>
      </c>
      <c r="CR209" s="73">
        <f t="shared" si="1504"/>
        <v>301</v>
      </c>
      <c r="CS209" s="73">
        <f t="shared" si="1505"/>
        <v>312</v>
      </c>
      <c r="CT209" s="23" t="e">
        <f t="shared" si="1506"/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 t="shared" si="1507"/>
        <v>p2y12_human_4PXZ</v>
      </c>
      <c r="B210" s="3" t="s">
        <v>352</v>
      </c>
      <c r="C210" s="3" t="s">
        <v>1153</v>
      </c>
      <c r="D210" s="3" t="str">
        <f>IFERROR(MID(VLOOKUP($B210,Seqs!$A:$B,2,0),E210,1),"")</f>
        <v>I</v>
      </c>
      <c r="E210" s="3">
        <v>23</v>
      </c>
      <c r="F210" s="3" t="str">
        <f>IFERROR(MID(VLOOKUP($B210,Seqs!$A:$B,2,0),G210,1),"")</f>
        <v>I</v>
      </c>
      <c r="G210" s="3">
        <v>53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S</v>
      </c>
      <c r="M210" s="3">
        <v>57</v>
      </c>
      <c r="N210" s="3" t="str">
        <f>IFERROR(MID(VLOOKUP($B210,Seqs!$A:$B,2,0),O210,1),"")</f>
        <v>K</v>
      </c>
      <c r="O210" s="3">
        <v>86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G</v>
      </c>
      <c r="U210" s="3">
        <v>90</v>
      </c>
      <c r="V210" s="3" t="str">
        <f>IFERROR(MID(VLOOKUP($B210,Seqs!$A:$B,2,0),W210,1),"")</f>
        <v>R</v>
      </c>
      <c r="W210" s="3">
        <v>128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N</v>
      </c>
      <c r="AC210" s="9">
        <v>137</v>
      </c>
      <c r="AD210" s="3" t="str">
        <f>IFERROR(MID(VLOOKUP($B210,Seqs!$A:$B,2,0),AE210,1),"")</f>
        <v>T</v>
      </c>
      <c r="AE210" s="3">
        <v>163</v>
      </c>
      <c r="AF210" s="3" t="str">
        <f>IFERROR(MID(VLOOKUP($B210,Seqs!$A:$B,2,0),AG210,1),"")</f>
        <v>C</v>
      </c>
      <c r="AG210" s="3">
        <v>175</v>
      </c>
      <c r="AH210" s="3" t="str">
        <f>IFERROR(MID(VLOOKUP($B210,Seqs!$A:$B,2,0),AI210,1),"")</f>
        <v>F</v>
      </c>
      <c r="AI210" s="3">
        <v>177</v>
      </c>
      <c r="AJ210" s="3" t="str">
        <f>IFERROR(MID(VLOOKUP($B210,Seqs!$A:$B,2,0),AK210,1),"")</f>
        <v>E</v>
      </c>
      <c r="AK210" s="3">
        <v>181</v>
      </c>
      <c r="AL210" s="3" t="str">
        <f>IFERROR(MID(VLOOKUP($B210,Seqs!$A:$B,2,0),AM210,1),"")</f>
        <v>S</v>
      </c>
      <c r="AM210" s="3">
        <v>219</v>
      </c>
      <c r="AN210" s="3" t="str">
        <f>IFERROR(MID(VLOOKUP($B210,Seqs!$A:$B,2,0),AO210,1),"")</f>
        <v>V</v>
      </c>
      <c r="AO210" s="3">
        <v>236</v>
      </c>
      <c r="AP210" s="3" t="str">
        <f>IFERROR(MID(VLOOKUP($B210,Seqs!$A:$B,2,0),AQ210,1),"")</f>
        <v>R</v>
      </c>
      <c r="AQ210" s="3">
        <v>265</v>
      </c>
      <c r="AR210" s="3" t="str">
        <f>IFERROR(MID(VLOOKUP($B210,Seqs!$A:$B,2,0),AS210,1),"")</f>
        <v>D</v>
      </c>
      <c r="AS210" s="3">
        <v>269</v>
      </c>
      <c r="AT210" s="3" t="str">
        <f>IFERROR(MID(VLOOKUP($B210,Seqs!$A:$B,2,0),AU210,1),"")</f>
        <v>C</v>
      </c>
      <c r="AU210" s="3">
        <v>292</v>
      </c>
      <c r="AV210" s="3" t="str">
        <f>IFERROR(MID(VLOOKUP($B210,Seqs!$A:$B,2,0),AW210,1),"")</f>
        <v/>
      </c>
      <c r="AW210" s="3" t="s">
        <v>23</v>
      </c>
      <c r="AX210" s="3" t="str">
        <f>IFERROR(MID(VLOOKUP($B210,Seqs!$A:$B,2,0),AY210,1),"")</f>
        <v/>
      </c>
      <c r="AY210" s="3" t="s">
        <v>23</v>
      </c>
      <c r="AZ210" s="78" t="str">
        <f>VLOOKUP(B210,Classification!A:D,2,0)</f>
        <v>A</v>
      </c>
      <c r="BA210" s="95" t="str">
        <f>VLOOKUP(B210,Classification!A:D,4,0)</f>
        <v>P2Y</v>
      </c>
      <c r="BB210" s="27" t="b">
        <f t="shared" si="1508"/>
        <v>1</v>
      </c>
      <c r="BC210" s="23">
        <f t="shared" si="1481"/>
        <v>227</v>
      </c>
      <c r="BD210" s="4" t="s">
        <v>23</v>
      </c>
      <c r="BE210" s="3" t="s">
        <v>1439</v>
      </c>
      <c r="BF210" s="120">
        <v>2.5</v>
      </c>
      <c r="BG210" s="49" t="s">
        <v>1384</v>
      </c>
      <c r="BH210" s="49" t="s">
        <v>1384</v>
      </c>
      <c r="BI210" s="1"/>
      <c r="BJ210" s="71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1">
        <f t="shared" si="1482"/>
        <v>23</v>
      </c>
      <c r="BW210" s="72" t="str">
        <f t="shared" si="1483"/>
        <v>-</v>
      </c>
      <c r="BX210" s="73">
        <f t="shared" si="1484"/>
        <v>57</v>
      </c>
      <c r="BY210" s="72" t="str">
        <f t="shared" si="1485"/>
        <v>-</v>
      </c>
      <c r="BZ210" s="73">
        <f t="shared" si="1486"/>
        <v>90</v>
      </c>
      <c r="CA210" s="72" t="str">
        <f t="shared" si="1487"/>
        <v>-</v>
      </c>
      <c r="CB210" s="73">
        <f t="shared" si="1488"/>
        <v>137</v>
      </c>
      <c r="CC210" s="72">
        <f t="shared" si="1489"/>
        <v>175</v>
      </c>
      <c r="CD210" s="73">
        <f t="shared" si="1490"/>
        <v>181</v>
      </c>
      <c r="CE210" s="72">
        <f t="shared" si="1491"/>
        <v>236</v>
      </c>
      <c r="CF210" s="73">
        <f t="shared" si="1492"/>
        <v>269</v>
      </c>
      <c r="CG210" s="72" t="str">
        <f t="shared" si="1493"/>
        <v>-</v>
      </c>
      <c r="CH210" s="71">
        <f t="shared" si="1494"/>
        <v>53</v>
      </c>
      <c r="CI210" s="72" t="str">
        <f t="shared" si="1495"/>
        <v>-</v>
      </c>
      <c r="CJ210" s="73">
        <f t="shared" si="1496"/>
        <v>86</v>
      </c>
      <c r="CK210" s="73" t="str">
        <f t="shared" si="1497"/>
        <v>-</v>
      </c>
      <c r="CL210" s="73">
        <f t="shared" si="1498"/>
        <v>128</v>
      </c>
      <c r="CM210" s="73" t="str">
        <f t="shared" si="1499"/>
        <v>-</v>
      </c>
      <c r="CN210" s="73">
        <f t="shared" si="1500"/>
        <v>163</v>
      </c>
      <c r="CO210" s="73">
        <f t="shared" si="1501"/>
        <v>177</v>
      </c>
      <c r="CP210" s="73">
        <f t="shared" si="1502"/>
        <v>219</v>
      </c>
      <c r="CQ210" s="73">
        <f t="shared" si="1503"/>
        <v>265</v>
      </c>
      <c r="CR210" s="73">
        <f t="shared" si="1504"/>
        <v>292</v>
      </c>
      <c r="CS210" s="73" t="str">
        <f t="shared" si="1505"/>
        <v>-</v>
      </c>
      <c r="CT210" s="23" t="e">
        <f t="shared" si="1506"/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 t="shared" si="1507"/>
        <v>p2y12_human_4PY0</v>
      </c>
      <c r="B211" s="3" t="s">
        <v>352</v>
      </c>
      <c r="C211" s="3" t="s">
        <v>1051</v>
      </c>
      <c r="D211" s="3" t="str">
        <f>IFERROR(MID(VLOOKUP($B211,Seqs!$A:$B,2,0),E211,1),"")</f>
        <v>I</v>
      </c>
      <c r="E211" s="3">
        <v>23</v>
      </c>
      <c r="F211" s="3" t="str">
        <f>IFERROR(MID(VLOOKUP($B211,Seqs!$A:$B,2,0),G211,1),"")</f>
        <v>I</v>
      </c>
      <c r="G211" s="3">
        <v>53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S</v>
      </c>
      <c r="M211" s="3">
        <v>57</v>
      </c>
      <c r="N211" s="3" t="str">
        <f>IFERROR(MID(VLOOKUP($B211,Seqs!$A:$B,2,0),O211,1),"")</f>
        <v>K</v>
      </c>
      <c r="O211" s="3">
        <v>86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G</v>
      </c>
      <c r="U211" s="3">
        <v>90</v>
      </c>
      <c r="V211" s="3" t="str">
        <f>IFERROR(MID(VLOOKUP($B211,Seqs!$A:$B,2,0),W211,1),"")</f>
        <v>R</v>
      </c>
      <c r="W211" s="3">
        <v>128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N</v>
      </c>
      <c r="AC211" s="9">
        <v>137</v>
      </c>
      <c r="AD211" s="3" t="str">
        <f>IFERROR(MID(VLOOKUP($B211,Seqs!$A:$B,2,0),AE211,1),"")</f>
        <v>T</v>
      </c>
      <c r="AE211" s="3">
        <v>163</v>
      </c>
      <c r="AF211" s="3" t="str">
        <f>IFERROR(MID(VLOOKUP($B211,Seqs!$A:$B,2,0),AG211,1),"")</f>
        <v>C</v>
      </c>
      <c r="AG211" s="3">
        <v>175</v>
      </c>
      <c r="AH211" s="3" t="str">
        <f>IFERROR(MID(VLOOKUP($B211,Seqs!$A:$B,2,0),AI211,1),"")</f>
        <v>F</v>
      </c>
      <c r="AI211" s="3">
        <v>177</v>
      </c>
      <c r="AJ211" s="3" t="str">
        <f>IFERROR(MID(VLOOKUP($B211,Seqs!$A:$B,2,0),AK211,1),"")</f>
        <v>E</v>
      </c>
      <c r="AK211" s="3">
        <v>181</v>
      </c>
      <c r="AL211" s="3" t="str">
        <f>IFERROR(MID(VLOOKUP($B211,Seqs!$A:$B,2,0),AM211,1),"")</f>
        <v>S</v>
      </c>
      <c r="AM211" s="3">
        <v>219</v>
      </c>
      <c r="AN211" s="3" t="str">
        <f>IFERROR(MID(VLOOKUP($B211,Seqs!$A:$B,2,0),AO211,1),"")</f>
        <v>V</v>
      </c>
      <c r="AO211" s="3">
        <v>236</v>
      </c>
      <c r="AP211" s="3" t="str">
        <f>IFERROR(MID(VLOOKUP($B211,Seqs!$A:$B,2,0),AQ211,1),"")</f>
        <v>R</v>
      </c>
      <c r="AQ211" s="3">
        <v>265</v>
      </c>
      <c r="AR211" s="3" t="str">
        <f>IFERROR(MID(VLOOKUP($B211,Seqs!$A:$B,2,0),AS211,1),"")</f>
        <v>D</v>
      </c>
      <c r="AS211" s="3">
        <v>269</v>
      </c>
      <c r="AT211" s="3" t="str">
        <f>IFERROR(MID(VLOOKUP($B211,Seqs!$A:$B,2,0),AU211,1),"")</f>
        <v>C</v>
      </c>
      <c r="AU211" s="3">
        <v>292</v>
      </c>
      <c r="AV211" s="3" t="str">
        <f>IFERROR(MID(VLOOKUP($B211,Seqs!$A:$B,2,0),AW211,1),"")</f>
        <v/>
      </c>
      <c r="AW211" s="3" t="s">
        <v>23</v>
      </c>
      <c r="AX211" s="3" t="str">
        <f>IFERROR(MID(VLOOKUP($B211,Seqs!$A:$B,2,0),AY211,1),"")</f>
        <v/>
      </c>
      <c r="AY211" s="3" t="s">
        <v>23</v>
      </c>
      <c r="AZ211" s="78" t="str">
        <f>VLOOKUP(B211,Classification!A:D,2,0)</f>
        <v>A</v>
      </c>
      <c r="BA211" s="95" t="str">
        <f>VLOOKUP(B211,Classification!A:D,4,0)</f>
        <v>P2Y</v>
      </c>
      <c r="BB211" s="27" t="b">
        <f t="shared" si="1508"/>
        <v>1</v>
      </c>
      <c r="BC211" s="23">
        <f t="shared" si="1481"/>
        <v>227</v>
      </c>
      <c r="BD211" s="4" t="s">
        <v>23</v>
      </c>
      <c r="BE211" s="3" t="s">
        <v>1439</v>
      </c>
      <c r="BF211" s="120">
        <v>3.1</v>
      </c>
      <c r="BG211" s="49" t="s">
        <v>1384</v>
      </c>
      <c r="BH211" s="49" t="s">
        <v>1384</v>
      </c>
      <c r="BI211" s="1"/>
      <c r="BJ211" s="71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1">
        <f t="shared" si="1482"/>
        <v>23</v>
      </c>
      <c r="BW211" s="72" t="str">
        <f t="shared" si="1483"/>
        <v>-</v>
      </c>
      <c r="BX211" s="73">
        <f t="shared" si="1484"/>
        <v>57</v>
      </c>
      <c r="BY211" s="72" t="str">
        <f t="shared" si="1485"/>
        <v>-</v>
      </c>
      <c r="BZ211" s="73">
        <f t="shared" si="1486"/>
        <v>90</v>
      </c>
      <c r="CA211" s="72" t="str">
        <f t="shared" si="1487"/>
        <v>-</v>
      </c>
      <c r="CB211" s="73">
        <f t="shared" si="1488"/>
        <v>137</v>
      </c>
      <c r="CC211" s="72">
        <f t="shared" si="1489"/>
        <v>175</v>
      </c>
      <c r="CD211" s="73">
        <f t="shared" si="1490"/>
        <v>181</v>
      </c>
      <c r="CE211" s="72">
        <f t="shared" si="1491"/>
        <v>236</v>
      </c>
      <c r="CF211" s="73">
        <f t="shared" si="1492"/>
        <v>269</v>
      </c>
      <c r="CG211" s="72" t="str">
        <f t="shared" si="1493"/>
        <v>-</v>
      </c>
      <c r="CH211" s="71">
        <f t="shared" si="1494"/>
        <v>53</v>
      </c>
      <c r="CI211" s="72" t="str">
        <f t="shared" si="1495"/>
        <v>-</v>
      </c>
      <c r="CJ211" s="73">
        <f t="shared" si="1496"/>
        <v>86</v>
      </c>
      <c r="CK211" s="73" t="str">
        <f t="shared" si="1497"/>
        <v>-</v>
      </c>
      <c r="CL211" s="73">
        <f t="shared" si="1498"/>
        <v>128</v>
      </c>
      <c r="CM211" s="73" t="str">
        <f t="shared" si="1499"/>
        <v>-</v>
      </c>
      <c r="CN211" s="73">
        <f t="shared" si="1500"/>
        <v>163</v>
      </c>
      <c r="CO211" s="73">
        <f t="shared" si="1501"/>
        <v>177</v>
      </c>
      <c r="CP211" s="73">
        <f t="shared" si="1502"/>
        <v>219</v>
      </c>
      <c r="CQ211" s="73">
        <f t="shared" si="1503"/>
        <v>265</v>
      </c>
      <c r="CR211" s="73">
        <f t="shared" si="1504"/>
        <v>292</v>
      </c>
      <c r="CS211" s="73" t="str">
        <f t="shared" si="1505"/>
        <v>-</v>
      </c>
      <c r="CT211" s="23" t="e">
        <f t="shared" si="1506"/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x14ac:dyDescent="0.2">
      <c r="A212" s="3" t="str">
        <f t="shared" si="1507"/>
        <v>par1_human__wt</v>
      </c>
      <c r="B212" s="3" t="s">
        <v>355</v>
      </c>
      <c r="C212" s="3" t="s">
        <v>100</v>
      </c>
      <c r="D212" s="3" t="str">
        <f>IFERROR(MID(VLOOKUP($B212,Seqs!$A:$B,2,0),E212,1),"")</f>
        <v>S</v>
      </c>
      <c r="E212" s="3">
        <v>99</v>
      </c>
      <c r="F212" s="3" t="str">
        <f>IFERROR(MID(VLOOKUP($B212,Seqs!$A:$B,2,0),G212,1),"")</f>
        <v>K</v>
      </c>
      <c r="G212" s="3">
        <v>130</v>
      </c>
      <c r="H212" s="3" t="str">
        <f>IFERROR(MID(VLOOKUP($B212,Seqs!$A:$B,2,0),I212,1),"")</f>
        <v>M</v>
      </c>
      <c r="I212" s="23">
        <v>131</v>
      </c>
      <c r="J212" s="3" t="str">
        <f>IFERROR(MID(VLOOKUP($B212,Seqs!$A:$B,2,0),K212,1),"")</f>
        <v>K</v>
      </c>
      <c r="K212" s="23">
        <v>134</v>
      </c>
      <c r="L212" s="3" t="str">
        <f>IFERROR(MID(VLOOKUP($B212,Seqs!$A:$B,2,0),M212,1),"")</f>
        <v>K</v>
      </c>
      <c r="M212" s="3">
        <v>135</v>
      </c>
      <c r="N212" s="3" t="str">
        <f>IFERROR(MID(VLOOKUP($B212,Seqs!$A:$B,2,0),O212,1),"")</f>
        <v>S</v>
      </c>
      <c r="O212" s="3">
        <v>164</v>
      </c>
      <c r="P212" s="3" t="str">
        <f>IFERROR(MID(VLOOKUP($B212,Seqs!$A:$B,2,0),Q212,1),"")</f>
        <v>D</v>
      </c>
      <c r="Q212" s="3">
        <v>167</v>
      </c>
      <c r="R212" s="3" t="str">
        <f>IFERROR(MID(VLOOKUP($B212,Seqs!$A:$B,2,0),S212,1),"")</f>
        <v>F</v>
      </c>
      <c r="S212" s="3">
        <v>170</v>
      </c>
      <c r="T212" s="3" t="str">
        <f>IFERROR(MID(VLOOKUP($B212,Seqs!$A:$B,2,0),U212,1),"")</f>
        <v>G</v>
      </c>
      <c r="U212" s="3">
        <v>171</v>
      </c>
      <c r="V212" s="3" t="str">
        <f>IFERROR(MID(VLOOKUP($B212,Seqs!$A:$B,2,0),W212,1),"")</f>
        <v>Y</v>
      </c>
      <c r="W212" s="3">
        <v>206</v>
      </c>
      <c r="X212" s="3" t="str">
        <f>IFERROR(MID(VLOOKUP($B212,Seqs!$A:$B,2,0),Y212,1),"")</f>
        <v>P</v>
      </c>
      <c r="Y212" s="3">
        <v>207</v>
      </c>
      <c r="Z212" s="3" t="str">
        <f>IFERROR(MID(VLOOKUP($B212,Seqs!$A:$B,2,0),AA212,1),"")</f>
        <v>R</v>
      </c>
      <c r="AA212" s="3">
        <v>214</v>
      </c>
      <c r="AB212" s="3" t="str">
        <f>IFERROR(MID(VLOOKUP($B212,Seqs!$A:$B,2,0),AC212,1),"")</f>
        <v>T</v>
      </c>
      <c r="AC212" s="9">
        <v>215</v>
      </c>
      <c r="AD212" s="3" t="str">
        <f>IFERROR(MID(VLOOKUP($B212,Seqs!$A:$B,2,0),AE212,1),"")</f>
        <v>K</v>
      </c>
      <c r="AE212" s="3">
        <v>240</v>
      </c>
      <c r="AF212" s="3" t="str">
        <f>IFERROR(MID(VLOOKUP($B212,Seqs!$A:$B,2,0),AG212,1),"")</f>
        <v>C</v>
      </c>
      <c r="AG212" s="3">
        <v>254</v>
      </c>
      <c r="AH212" s="3" t="str">
        <f>IFERROR(MID(VLOOKUP($B212,Seqs!$A:$B,2,0),AI212,1),"")</f>
        <v>D</v>
      </c>
      <c r="AI212" s="3">
        <v>256</v>
      </c>
      <c r="AJ212" s="3" t="str">
        <f>IFERROR(MID(VLOOKUP($B212,Seqs!$A:$B,2,0),AK212,1),"")</f>
        <v>E</v>
      </c>
      <c r="AK212" s="3">
        <v>264</v>
      </c>
      <c r="AL212" s="3" t="str">
        <f>IFERROR(MID(VLOOKUP($B212,Seqs!$A:$B,2,0),AM212,1),"")</f>
        <v>S</v>
      </c>
      <c r="AM212" s="3">
        <v>299</v>
      </c>
      <c r="AN212" s="3" t="str">
        <f>IFERROR(MID(VLOOKUP($B212,Seqs!$A:$B,2,0),AO212,1),"")</f>
        <v>N</v>
      </c>
      <c r="AO212" s="3">
        <v>304</v>
      </c>
      <c r="AP212" s="3" t="str">
        <f>IFERROR(MID(VLOOKUP($B212,Seqs!$A:$B,2,0),AQ212,1),"")</f>
        <v>L</v>
      </c>
      <c r="AQ212" s="3">
        <v>340</v>
      </c>
      <c r="AR212" s="3" t="str">
        <f>IFERROR(MID(VLOOKUP($B212,Seqs!$A:$B,2,0),AS212,1),"")</f>
        <v>T</v>
      </c>
      <c r="AS212" s="3">
        <v>346</v>
      </c>
      <c r="AT212" s="3" t="str">
        <f>IFERROR(MID(VLOOKUP($B212,Seqs!$A:$B,2,0),AU212,1),"")</f>
        <v>A</v>
      </c>
      <c r="AU212" s="3">
        <v>374</v>
      </c>
      <c r="AV212" s="3" t="str">
        <f>IFERROR(MID(VLOOKUP($B212,Seqs!$A:$B,2,0),AW212,1),"")</f>
        <v>S</v>
      </c>
      <c r="AW212" s="3">
        <v>375</v>
      </c>
      <c r="AX212" s="3" t="str">
        <f>IFERROR(MID(VLOOKUP($B212,Seqs!$A:$B,2,0),AY212,1),"")</f>
        <v>K</v>
      </c>
      <c r="AY212" s="3">
        <v>389</v>
      </c>
      <c r="AZ212" s="78" t="str">
        <f>VLOOKUP(B212,Classification!A:D,2,0)</f>
        <v>A</v>
      </c>
      <c r="BA212" s="95" t="str">
        <f>VLOOKUP(B212,Classification!A:D,4,0)</f>
        <v>Proteinase-activated</v>
      </c>
      <c r="BB212" s="27" t="b">
        <f t="shared" si="1508"/>
        <v>1</v>
      </c>
      <c r="BC212" s="23">
        <f t="shared" si="1481"/>
        <v>260</v>
      </c>
      <c r="BD212" s="56" t="s">
        <v>1379</v>
      </c>
      <c r="BE212" s="3" t="s">
        <v>23</v>
      </c>
      <c r="BF212" s="120" t="s">
        <v>23</v>
      </c>
      <c r="BG212" s="49" t="s">
        <v>1379</v>
      </c>
      <c r="BH212" s="49" t="s">
        <v>1384</v>
      </c>
      <c r="BI212" s="1"/>
      <c r="BJ212" s="71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1">
        <f t="shared" si="1482"/>
        <v>99</v>
      </c>
      <c r="BW212" s="72">
        <f t="shared" si="1483"/>
        <v>131</v>
      </c>
      <c r="BX212" s="73">
        <f t="shared" si="1484"/>
        <v>135</v>
      </c>
      <c r="BY212" s="72">
        <f t="shared" si="1485"/>
        <v>167</v>
      </c>
      <c r="BZ212" s="73">
        <f t="shared" si="1486"/>
        <v>171</v>
      </c>
      <c r="CA212" s="72">
        <f t="shared" si="1487"/>
        <v>207</v>
      </c>
      <c r="CB212" s="73">
        <f t="shared" si="1488"/>
        <v>215</v>
      </c>
      <c r="CC212" s="72">
        <f t="shared" si="1489"/>
        <v>254</v>
      </c>
      <c r="CD212" s="73">
        <f t="shared" si="1490"/>
        <v>264</v>
      </c>
      <c r="CE212" s="72">
        <f t="shared" si="1491"/>
        <v>304</v>
      </c>
      <c r="CF212" s="73">
        <f t="shared" si="1492"/>
        <v>346</v>
      </c>
      <c r="CG212" s="72">
        <f t="shared" si="1493"/>
        <v>375</v>
      </c>
      <c r="CH212" s="71">
        <f t="shared" si="1494"/>
        <v>130</v>
      </c>
      <c r="CI212" s="72">
        <f t="shared" si="1495"/>
        <v>134</v>
      </c>
      <c r="CJ212" s="73">
        <f t="shared" si="1496"/>
        <v>164</v>
      </c>
      <c r="CK212" s="73">
        <f t="shared" si="1497"/>
        <v>170</v>
      </c>
      <c r="CL212" s="73">
        <f t="shared" si="1498"/>
        <v>206</v>
      </c>
      <c r="CM212" s="73">
        <f t="shared" si="1499"/>
        <v>214</v>
      </c>
      <c r="CN212" s="73">
        <f t="shared" si="1500"/>
        <v>240</v>
      </c>
      <c r="CO212" s="73">
        <f t="shared" si="1501"/>
        <v>256</v>
      </c>
      <c r="CP212" s="73">
        <f t="shared" si="1502"/>
        <v>299</v>
      </c>
      <c r="CQ212" s="73">
        <f t="shared" si="1503"/>
        <v>340</v>
      </c>
      <c r="CR212" s="73">
        <f t="shared" si="1504"/>
        <v>374</v>
      </c>
      <c r="CS212" s="73">
        <f t="shared" si="1505"/>
        <v>389</v>
      </c>
      <c r="CT212" s="23">
        <f t="shared" si="1506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29" x14ac:dyDescent="0.2">
      <c r="A213" s="3" t="str">
        <f t="shared" si="1507"/>
        <v>par1_human_3VW7</v>
      </c>
      <c r="B213" s="3" t="s">
        <v>355</v>
      </c>
      <c r="C213" s="3" t="s">
        <v>93</v>
      </c>
      <c r="D213" s="3" t="str">
        <f>IFERROR(MID(VLOOKUP($B213,Seqs!$A:$B,2,0),E213,1),"")</f>
        <v>S</v>
      </c>
      <c r="E213" s="3">
        <v>99</v>
      </c>
      <c r="F213" s="3" t="str">
        <f>IFERROR(MID(VLOOKUP($B213,Seqs!$A:$B,2,0),G213,1),"")</f>
        <v>K</v>
      </c>
      <c r="G213" s="3">
        <v>130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K</v>
      </c>
      <c r="M213" s="3">
        <v>135</v>
      </c>
      <c r="N213" s="3" t="str">
        <f>IFERROR(MID(VLOOKUP($B213,Seqs!$A:$B,2,0),O213,1),"")</f>
        <v>S</v>
      </c>
      <c r="O213" s="3">
        <v>164</v>
      </c>
      <c r="P213" s="3" t="str">
        <f>IFERROR(MID(VLOOKUP($B213,Seqs!$A:$B,2,0),Q213,1),"")</f>
        <v>D</v>
      </c>
      <c r="Q213" s="3">
        <v>167</v>
      </c>
      <c r="R213" s="3" t="str">
        <f>IFERROR(MID(VLOOKUP($B213,Seqs!$A:$B,2,0),S213,1),"")</f>
        <v>F</v>
      </c>
      <c r="S213" s="3">
        <v>170</v>
      </c>
      <c r="T213" s="3" t="str">
        <f>IFERROR(MID(VLOOKUP($B213,Seqs!$A:$B,2,0),U213,1),"")</f>
        <v>G</v>
      </c>
      <c r="U213" s="3">
        <v>171</v>
      </c>
      <c r="V213" s="3" t="str">
        <f>IFERROR(MID(VLOOKUP($B213,Seqs!$A:$B,2,0),W213,1),"")</f>
        <v>Y</v>
      </c>
      <c r="W213" s="3">
        <v>206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T</v>
      </c>
      <c r="AC213" s="9">
        <v>215</v>
      </c>
      <c r="AD213" s="3" t="str">
        <f>IFERROR(MID(VLOOKUP($B213,Seqs!$A:$B,2,0),AE213,1),"")</f>
        <v>K</v>
      </c>
      <c r="AE213" s="3">
        <v>240</v>
      </c>
      <c r="AF213" s="3" t="str">
        <f>IFERROR(MID(VLOOKUP($B213,Seqs!$A:$B,2,0),AG213,1),"")</f>
        <v>C</v>
      </c>
      <c r="AG213" s="3">
        <v>254</v>
      </c>
      <c r="AH213" s="3" t="str">
        <f>IFERROR(MID(VLOOKUP($B213,Seqs!$A:$B,2,0),AI213,1),"")</f>
        <v>D</v>
      </c>
      <c r="AI213" s="3">
        <v>256</v>
      </c>
      <c r="AJ213" s="3" t="str">
        <f>IFERROR(MID(VLOOKUP($B213,Seqs!$A:$B,2,0),AK213,1),"")</f>
        <v>E</v>
      </c>
      <c r="AK213" s="3">
        <v>264</v>
      </c>
      <c r="AL213" s="3" t="str">
        <f>IFERROR(MID(VLOOKUP($B213,Seqs!$A:$B,2,0),AM213,1),"")</f>
        <v>S</v>
      </c>
      <c r="AM213" s="3">
        <v>300</v>
      </c>
      <c r="AN213" s="3" t="str">
        <f>IFERROR(MID(VLOOKUP($B213,Seqs!$A:$B,2,0),AO213,1),"")</f>
        <v>N</v>
      </c>
      <c r="AO213" s="3">
        <v>304</v>
      </c>
      <c r="AP213" s="3" t="str">
        <f>IFERROR(MID(VLOOKUP($B213,Seqs!$A:$B,2,0),AQ213,1),"")</f>
        <v>L</v>
      </c>
      <c r="AQ213" s="3">
        <v>340</v>
      </c>
      <c r="AR213" s="3" t="str">
        <f>IFERROR(MID(VLOOKUP($B213,Seqs!$A:$B,2,0),AS213,1),"")</f>
        <v>T</v>
      </c>
      <c r="AS213" s="3">
        <v>346</v>
      </c>
      <c r="AT213" s="3" t="str">
        <f>IFERROR(MID(VLOOKUP($B213,Seqs!$A:$B,2,0),AU213,1),"")</f>
        <v>Y</v>
      </c>
      <c r="AU213" s="3">
        <v>372</v>
      </c>
      <c r="AV213" s="3" t="str">
        <f>IFERROR(MID(VLOOKUP($B213,Seqs!$A:$B,2,0),AW213,1),"")</f>
        <v/>
      </c>
      <c r="AW213" s="3" t="s">
        <v>23</v>
      </c>
      <c r="AX213" s="3" t="str">
        <f>IFERROR(MID(VLOOKUP($B213,Seqs!$A:$B,2,0),AY213,1),"")</f>
        <v/>
      </c>
      <c r="AY213" s="3" t="s">
        <v>23</v>
      </c>
      <c r="AZ213" s="78" t="str">
        <f>VLOOKUP(B213,Classification!A:D,2,0)</f>
        <v>A</v>
      </c>
      <c r="BA213" s="95" t="str">
        <f>VLOOKUP(B213,Classification!A:D,4,0)</f>
        <v>Proteinase-activated</v>
      </c>
      <c r="BB213" s="27" t="b">
        <f t="shared" si="1508"/>
        <v>1</v>
      </c>
      <c r="BC213" s="23">
        <f t="shared" si="1481"/>
        <v>235</v>
      </c>
      <c r="BD213" s="2" t="s">
        <v>1440</v>
      </c>
      <c r="BE213" s="3" t="s">
        <v>1439</v>
      </c>
      <c r="BF213" s="120">
        <v>2.2000000000000002</v>
      </c>
      <c r="BG213" s="49" t="s">
        <v>1384</v>
      </c>
      <c r="BH213" s="49" t="s">
        <v>1384</v>
      </c>
      <c r="BI213" s="1"/>
      <c r="BJ213" s="71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1">
        <f t="shared" si="1482"/>
        <v>99</v>
      </c>
      <c r="BW213" s="72" t="str">
        <f t="shared" si="1483"/>
        <v>-</v>
      </c>
      <c r="BX213" s="73">
        <f t="shared" si="1484"/>
        <v>135</v>
      </c>
      <c r="BY213" s="72">
        <f t="shared" si="1485"/>
        <v>167</v>
      </c>
      <c r="BZ213" s="73">
        <f t="shared" si="1486"/>
        <v>171</v>
      </c>
      <c r="CA213" s="72" t="str">
        <f t="shared" si="1487"/>
        <v>-</v>
      </c>
      <c r="CB213" s="73">
        <f t="shared" si="1488"/>
        <v>215</v>
      </c>
      <c r="CC213" s="72">
        <f t="shared" si="1489"/>
        <v>254</v>
      </c>
      <c r="CD213" s="73">
        <f t="shared" si="1490"/>
        <v>264</v>
      </c>
      <c r="CE213" s="72">
        <f t="shared" si="1491"/>
        <v>304</v>
      </c>
      <c r="CF213" s="73">
        <f t="shared" si="1492"/>
        <v>346</v>
      </c>
      <c r="CG213" s="72" t="str">
        <f t="shared" si="1493"/>
        <v>-</v>
      </c>
      <c r="CH213" s="71">
        <f t="shared" si="1494"/>
        <v>130</v>
      </c>
      <c r="CI213" s="72" t="str">
        <f t="shared" si="1495"/>
        <v>-</v>
      </c>
      <c r="CJ213" s="73">
        <f t="shared" si="1496"/>
        <v>164</v>
      </c>
      <c r="CK213" s="73">
        <f t="shared" si="1497"/>
        <v>170</v>
      </c>
      <c r="CL213" s="73">
        <f t="shared" si="1498"/>
        <v>206</v>
      </c>
      <c r="CM213" s="73" t="str">
        <f t="shared" si="1499"/>
        <v>-</v>
      </c>
      <c r="CN213" s="73">
        <f t="shared" si="1500"/>
        <v>240</v>
      </c>
      <c r="CO213" s="73">
        <f t="shared" si="1501"/>
        <v>256</v>
      </c>
      <c r="CP213" s="73">
        <f t="shared" si="1502"/>
        <v>300</v>
      </c>
      <c r="CQ213" s="73">
        <f t="shared" si="1503"/>
        <v>340</v>
      </c>
      <c r="CR213" s="73">
        <f t="shared" si="1504"/>
        <v>372</v>
      </c>
      <c r="CS213" s="73" t="str">
        <f t="shared" si="1505"/>
        <v>-</v>
      </c>
      <c r="CT213" s="23" t="e">
        <f t="shared" si="1506"/>
        <v>#VALUE!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ref="A214:A215" si="1901">CONCATENATE(B214,"_",C214)</f>
        <v>par2_human__wt</v>
      </c>
      <c r="B214" s="3" t="s">
        <v>356</v>
      </c>
      <c r="C214" s="3" t="s">
        <v>100</v>
      </c>
      <c r="D214" s="3" t="str">
        <f>IFERROR(MID(VLOOKUP($B214,Seqs!$A:$B,2,0),E214,1),"")</f>
        <v>G</v>
      </c>
      <c r="E214" s="3">
        <v>71</v>
      </c>
      <c r="F214" s="3" t="str">
        <f>IFERROR(MID(VLOOKUP($B214,Seqs!$A:$B,2,0),G214,1),"")</f>
        <v>R</v>
      </c>
      <c r="G214" s="3">
        <v>103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H</v>
      </c>
      <c r="M214" s="3">
        <v>108</v>
      </c>
      <c r="N214" s="3" t="str">
        <f>IFERROR(MID(VLOOKUP($B214,Seqs!$A:$B,2,0),O214,1),"")</f>
        <v>H</v>
      </c>
      <c r="O214" s="3">
        <v>137</v>
      </c>
      <c r="P214" s="3" t="str">
        <f>IFERROR(MID(VLOOKUP($B214,Seqs!$A:$B,2,0),Q214,1),"")</f>
        <v>G</v>
      </c>
      <c r="Q214" s="3">
        <v>138</v>
      </c>
      <c r="R214" s="3" t="str">
        <f>IFERROR(MID(VLOOKUP($B214,Seqs!$A:$B,2,0),S214,1),"")</f>
        <v>Y</v>
      </c>
      <c r="S214" s="3">
        <v>143</v>
      </c>
      <c r="T214" s="3" t="str">
        <f>IFERROR(MID(VLOOKUP($B214,Seqs!$A:$B,2,0),U214,1),"")</f>
        <v>G</v>
      </c>
      <c r="U214" s="3">
        <v>144</v>
      </c>
      <c r="V214" s="3" t="str">
        <f>IFERROR(MID(VLOOKUP($B214,Seqs!$A:$B,2,0),W214,1),"")</f>
        <v>N</v>
      </c>
      <c r="W214" s="3">
        <v>179</v>
      </c>
      <c r="X214" s="3" t="str">
        <f>IFERROR(MID(VLOOKUP($B214,Seqs!$A:$B,2,0),Y214,1),"")</f>
        <v>P</v>
      </c>
      <c r="Y214" s="3">
        <v>180</v>
      </c>
      <c r="Z214" s="3" t="str">
        <f>IFERROR(MID(VLOOKUP($B214,Seqs!$A:$B,2,0),AA214,1),"")</f>
        <v>K</v>
      </c>
      <c r="AA214" s="3">
        <v>186</v>
      </c>
      <c r="AB214" s="3" t="str">
        <f>IFERROR(MID(VLOOKUP($B214,Seqs!$A:$B,2,0),AC214,1),"")</f>
        <v>K</v>
      </c>
      <c r="AC214" s="3">
        <v>187</v>
      </c>
      <c r="AD214" s="3" t="str">
        <f>IFERROR(MID(VLOOKUP($B214,Seqs!$A:$B,2,0),AE214,1),"")</f>
        <v>V</v>
      </c>
      <c r="AE214" s="3">
        <v>211</v>
      </c>
      <c r="AF214" s="3" t="str">
        <f>IFERROR(MID(VLOOKUP($B214,Seqs!$A:$B,2,0),AG214,1),"")</f>
        <v>C</v>
      </c>
      <c r="AG214" s="3">
        <v>226</v>
      </c>
      <c r="AH214" s="3" t="str">
        <f>IFERROR(MID(VLOOKUP($B214,Seqs!$A:$B,2,0),AI214,1),"")</f>
        <v>D</v>
      </c>
      <c r="AI214" s="3">
        <v>228</v>
      </c>
      <c r="AJ214" s="3" t="str">
        <f>IFERROR(MID(VLOOKUP($B214,Seqs!$A:$B,2,0),AK214,1),"")</f>
        <v>L</v>
      </c>
      <c r="AK214" s="3">
        <v>235</v>
      </c>
      <c r="AL214" s="3" t="str">
        <f>IFERROR(MID(VLOOKUP($B214,Seqs!$A:$B,2,0),AM214,1),"")</f>
        <v>S</v>
      </c>
      <c r="AM214" s="3">
        <v>272</v>
      </c>
      <c r="AN214" s="3" t="str">
        <f>IFERROR(MID(VLOOKUP($B214,Seqs!$A:$B,2,0),AO214,1),"")</f>
        <v>S</v>
      </c>
      <c r="AO214" s="3">
        <v>278</v>
      </c>
      <c r="AP214" s="3" t="str">
        <f>IFERROR(MID(VLOOKUP($B214,Seqs!$A:$B,2,0),AQ214,1),"")</f>
        <v>Q</v>
      </c>
      <c r="AQ214" s="3">
        <v>317</v>
      </c>
      <c r="AR214" s="3" t="str">
        <f>IFERROR(MID(VLOOKUP($B214,Seqs!$A:$B,2,0),AS214,1),"")</f>
        <v>V</v>
      </c>
      <c r="AS214" s="3">
        <v>322</v>
      </c>
      <c r="AT214" s="3" t="str">
        <f>IFERROR(MID(VLOOKUP($B214,Seqs!$A:$B,2,0),AU214,1),"")</f>
        <v>V</v>
      </c>
      <c r="AU214" s="3">
        <v>347</v>
      </c>
      <c r="AV214" s="3" t="str">
        <f>IFERROR(MID(VLOOKUP($B214,Seqs!$A:$B,2,0),AW214,1),"")</f>
        <v>S</v>
      </c>
      <c r="AW214" s="3">
        <v>348</v>
      </c>
      <c r="AX214" s="3" t="str">
        <f>IFERROR(MID(VLOOKUP($B214,Seqs!$A:$B,2,0),AY214,1),"")</f>
        <v>R</v>
      </c>
      <c r="AY214" s="3">
        <v>362</v>
      </c>
      <c r="AZ214" s="78" t="str">
        <f>VLOOKUP(B214,Classification!A:D,2,0)</f>
        <v>A</v>
      </c>
      <c r="BA214" s="95" t="str">
        <f>VLOOKUP(B214,Classification!A:D,4,0)</f>
        <v>Proteinase-activated</v>
      </c>
      <c r="BB214" s="27" t="b">
        <f t="shared" ref="BB214:BB215" si="1902"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 t="shared" ref="BC214:BC215" si="1903">_xlfn.AGGREGATE(9,6,CH214:CS214)-_xlfn.AGGREGATE(9,6,BV214:CG214)+12</f>
        <v>260</v>
      </c>
      <c r="BD214" s="2" t="s">
        <v>23</v>
      </c>
      <c r="BE214" s="3" t="s">
        <v>23</v>
      </c>
      <c r="BF214" s="120" t="s">
        <v>23</v>
      </c>
      <c r="BG214" s="49" t="s">
        <v>1384</v>
      </c>
      <c r="BH214" s="49" t="s">
        <v>1384</v>
      </c>
      <c r="BI214" s="1"/>
      <c r="BJ214" s="71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1">
        <f t="shared" ref="BV214:BV215" si="1904">E214</f>
        <v>71</v>
      </c>
      <c r="BW214" s="72" t="str">
        <f t="shared" ref="BW214:BW215" si="1905">I214</f>
        <v>-</v>
      </c>
      <c r="BX214" s="73">
        <f t="shared" ref="BX214:BX215" si="1906">M214</f>
        <v>108</v>
      </c>
      <c r="BY214" s="72">
        <f t="shared" ref="BY214:BY215" si="1907">Q214</f>
        <v>138</v>
      </c>
      <c r="BZ214" s="73">
        <f t="shared" ref="BZ214:BZ215" si="1908">U214</f>
        <v>144</v>
      </c>
      <c r="CA214" s="72">
        <f t="shared" ref="CA214:CA215" si="1909">Y214</f>
        <v>180</v>
      </c>
      <c r="CB214" s="73">
        <f t="shared" ref="CB214:CB215" si="1910">AC214</f>
        <v>187</v>
      </c>
      <c r="CC214" s="72">
        <f t="shared" ref="CC214:CC215" si="1911">AG214</f>
        <v>226</v>
      </c>
      <c r="CD214" s="73">
        <f t="shared" ref="CD214:CD215" si="1912">AK214</f>
        <v>235</v>
      </c>
      <c r="CE214" s="72">
        <f t="shared" ref="CE214:CE215" si="1913">AO214</f>
        <v>278</v>
      </c>
      <c r="CF214" s="73">
        <f t="shared" ref="CF214:CF215" si="1914">AS214</f>
        <v>322</v>
      </c>
      <c r="CG214" s="72">
        <f t="shared" ref="CG214:CG215" si="1915">AW214</f>
        <v>348</v>
      </c>
      <c r="CH214" s="71">
        <f t="shared" ref="CH214:CH215" si="1916">G214</f>
        <v>103</v>
      </c>
      <c r="CI214" s="72" t="str">
        <f t="shared" ref="CI214:CI215" si="1917">K214</f>
        <v>-</v>
      </c>
      <c r="CJ214" s="73">
        <f t="shared" ref="CJ214:CJ215" si="1918">O214</f>
        <v>137</v>
      </c>
      <c r="CK214" s="73">
        <f t="shared" ref="CK214:CK215" si="1919">S214</f>
        <v>143</v>
      </c>
      <c r="CL214" s="73">
        <f t="shared" ref="CL214:CL215" si="1920">W214</f>
        <v>179</v>
      </c>
      <c r="CM214" s="73">
        <f t="shared" ref="CM214:CM215" si="1921">AA214</f>
        <v>186</v>
      </c>
      <c r="CN214" s="73">
        <f t="shared" ref="CN214:CN215" si="1922">AE214</f>
        <v>211</v>
      </c>
      <c r="CO214" s="73">
        <f t="shared" ref="CO214:CO215" si="1923">AI214</f>
        <v>228</v>
      </c>
      <c r="CP214" s="73">
        <f t="shared" ref="CP214:CP215" si="1924">AM214</f>
        <v>272</v>
      </c>
      <c r="CQ214" s="73">
        <f t="shared" ref="CQ214:CQ215" si="1925">AQ214</f>
        <v>317</v>
      </c>
      <c r="CR214" s="73">
        <f t="shared" ref="CR214:CR215" si="1926">AU214</f>
        <v>347</v>
      </c>
      <c r="CS214" s="73">
        <f t="shared" ref="CS214:CS215" si="1927">AY214</f>
        <v>362</v>
      </c>
      <c r="CT214" s="23" t="e">
        <f t="shared" ref="CT214:CT215" si="1928"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 t="shared" si="1901"/>
        <v>par2_human_5NDD</v>
      </c>
      <c r="B215" s="3" t="s">
        <v>356</v>
      </c>
      <c r="C215" s="3" t="s">
        <v>1403</v>
      </c>
      <c r="D215" s="3" t="str">
        <f>IFERROR(MID(VLOOKUP($B215,Seqs!$A:$B,2,0),E215,1),"")</f>
        <v>G</v>
      </c>
      <c r="E215" s="3">
        <v>71</v>
      </c>
      <c r="F215" s="3" t="str">
        <f>IFERROR(MID(VLOOKUP($B215,Seqs!$A:$B,2,0),G215,1),"")</f>
        <v>R</v>
      </c>
      <c r="G215" s="3">
        <v>103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H</v>
      </c>
      <c r="M215" s="3">
        <v>108</v>
      </c>
      <c r="N215" s="3" t="str">
        <f>IFERROR(MID(VLOOKUP($B215,Seqs!$A:$B,2,0),O215,1),"")</f>
        <v>H</v>
      </c>
      <c r="O215" s="3">
        <v>137</v>
      </c>
      <c r="P215" s="3" t="str">
        <f>IFERROR(MID(VLOOKUP($B215,Seqs!$A:$B,2,0),Q215,1),"")</f>
        <v>G</v>
      </c>
      <c r="Q215" s="3">
        <v>138</v>
      </c>
      <c r="R215" s="3" t="str">
        <f>IFERROR(MID(VLOOKUP($B215,Seqs!$A:$B,2,0),S215,1),"")</f>
        <v>Y</v>
      </c>
      <c r="S215" s="3">
        <v>143</v>
      </c>
      <c r="T215" s="3" t="str">
        <f>IFERROR(MID(VLOOKUP($B215,Seqs!$A:$B,2,0),U215,1),"")</f>
        <v>G</v>
      </c>
      <c r="U215" s="3">
        <v>144</v>
      </c>
      <c r="V215" s="3" t="str">
        <f>IFERROR(MID(VLOOKUP($B215,Seqs!$A:$B,2,0),W215,1),"")</f>
        <v>N</v>
      </c>
      <c r="W215" s="3">
        <v>179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H</v>
      </c>
      <c r="AC215" s="3">
        <v>183</v>
      </c>
      <c r="AD215" s="3" t="str">
        <f>IFERROR(MID(VLOOKUP($B215,Seqs!$A:$B,2,0),AE215,1),"")</f>
        <v>V</v>
      </c>
      <c r="AE215" s="3">
        <v>211</v>
      </c>
      <c r="AF215" s="3" t="str">
        <f>IFERROR(MID(VLOOKUP($B215,Seqs!$A:$B,2,0),AG215,1),"")</f>
        <v>C</v>
      </c>
      <c r="AG215" s="3">
        <v>226</v>
      </c>
      <c r="AH215" s="3" t="str">
        <f>IFERROR(MID(VLOOKUP($B215,Seqs!$A:$B,2,0),AI215,1),"")</f>
        <v>D</v>
      </c>
      <c r="AI215" s="3">
        <v>228</v>
      </c>
      <c r="AJ215" s="3" t="str">
        <f>IFERROR(MID(VLOOKUP($B215,Seqs!$A:$B,2,0),AK215,1),"")</f>
        <v>L</v>
      </c>
      <c r="AK215" s="3">
        <v>235</v>
      </c>
      <c r="AL215" s="3" t="str">
        <f>IFERROR(MID(VLOOKUP($B215,Seqs!$A:$B,2,0),AM215,1),"")</f>
        <v>L</v>
      </c>
      <c r="AM215" s="3">
        <v>269</v>
      </c>
      <c r="AN215" s="3" t="str">
        <f>IFERROR(MID(VLOOKUP($B215,Seqs!$A:$B,2,0),AO215,1),"")</f>
        <v>S</v>
      </c>
      <c r="AO215" s="3">
        <v>278</v>
      </c>
      <c r="AP215" s="3" t="str">
        <f>IFERROR(MID(VLOOKUP($B215,Seqs!$A:$B,2,0),AQ215,1),"")</f>
        <v>Q</v>
      </c>
      <c r="AQ215" s="3">
        <v>317</v>
      </c>
      <c r="AR215" s="3" t="str">
        <f>IFERROR(MID(VLOOKUP($B215,Seqs!$A:$B,2,0),AS215,1),"")</f>
        <v>V</v>
      </c>
      <c r="AS215" s="3">
        <v>322</v>
      </c>
      <c r="AT215" s="3" t="str">
        <f>IFERROR(MID(VLOOKUP($B215,Seqs!$A:$B,2,0),AU215,1),"")</f>
        <v>V</v>
      </c>
      <c r="AU215" s="3">
        <v>347</v>
      </c>
      <c r="AV215" s="3" t="str">
        <f>IFERROR(MID(VLOOKUP($B215,Seqs!$A:$B,2,0),AW215,1),"")</f>
        <v>S</v>
      </c>
      <c r="AW215" s="3">
        <v>348</v>
      </c>
      <c r="AX215" s="3" t="str">
        <f>IFERROR(MID(VLOOKUP($B215,Seqs!$A:$B,2,0),AY215,1),"")</f>
        <v>L</v>
      </c>
      <c r="AY215" s="3">
        <v>359</v>
      </c>
      <c r="AZ215" s="78" t="str">
        <f>VLOOKUP(B215,Classification!A:D,2,0)</f>
        <v>A</v>
      </c>
      <c r="BA215" s="95" t="str">
        <f>VLOOKUP(B215,Classification!A:D,4,0)</f>
        <v>Proteinase-activated</v>
      </c>
      <c r="BB215" s="27" t="b">
        <f t="shared" si="1902"/>
        <v>1</v>
      </c>
      <c r="BC215" s="23">
        <f t="shared" si="1903"/>
        <v>252</v>
      </c>
      <c r="BD215" s="2" t="s">
        <v>1440</v>
      </c>
      <c r="BE215" s="3" t="s">
        <v>1439</v>
      </c>
      <c r="BF215" s="120">
        <v>2.8</v>
      </c>
      <c r="BG215" s="49" t="s">
        <v>1</v>
      </c>
      <c r="BH215" s="49" t="s">
        <v>1384</v>
      </c>
      <c r="BI215" s="1"/>
      <c r="BJ215" s="71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1">
        <f t="shared" si="1904"/>
        <v>71</v>
      </c>
      <c r="BW215" s="72" t="str">
        <f t="shared" si="1905"/>
        <v>-</v>
      </c>
      <c r="BX215" s="73">
        <f t="shared" si="1906"/>
        <v>108</v>
      </c>
      <c r="BY215" s="72">
        <f t="shared" si="1907"/>
        <v>138</v>
      </c>
      <c r="BZ215" s="73">
        <f t="shared" si="1908"/>
        <v>144</v>
      </c>
      <c r="CA215" s="72" t="str">
        <f t="shared" si="1909"/>
        <v>-</v>
      </c>
      <c r="CB215" s="73">
        <f t="shared" si="1910"/>
        <v>183</v>
      </c>
      <c r="CC215" s="72">
        <f t="shared" si="1911"/>
        <v>226</v>
      </c>
      <c r="CD215" s="73">
        <f t="shared" si="1912"/>
        <v>235</v>
      </c>
      <c r="CE215" s="72">
        <f t="shared" si="1913"/>
        <v>278</v>
      </c>
      <c r="CF215" s="73">
        <f t="shared" si="1914"/>
        <v>322</v>
      </c>
      <c r="CG215" s="72">
        <f t="shared" si="1915"/>
        <v>348</v>
      </c>
      <c r="CH215" s="71">
        <f t="shared" si="1916"/>
        <v>103</v>
      </c>
      <c r="CI215" s="72" t="str">
        <f t="shared" si="1917"/>
        <v>-</v>
      </c>
      <c r="CJ215" s="73">
        <f t="shared" si="1918"/>
        <v>137</v>
      </c>
      <c r="CK215" s="73">
        <f t="shared" si="1919"/>
        <v>143</v>
      </c>
      <c r="CL215" s="73">
        <f t="shared" si="1920"/>
        <v>179</v>
      </c>
      <c r="CM215" s="73" t="str">
        <f t="shared" si="1921"/>
        <v>-</v>
      </c>
      <c r="CN215" s="73">
        <f t="shared" si="1922"/>
        <v>211</v>
      </c>
      <c r="CO215" s="73">
        <f t="shared" si="1923"/>
        <v>228</v>
      </c>
      <c r="CP215" s="73">
        <f t="shared" si="1924"/>
        <v>269</v>
      </c>
      <c r="CQ215" s="73">
        <f t="shared" si="1925"/>
        <v>317</v>
      </c>
      <c r="CR215" s="73">
        <f t="shared" si="1926"/>
        <v>347</v>
      </c>
      <c r="CS215" s="73">
        <f t="shared" si="1927"/>
        <v>359</v>
      </c>
      <c r="CT215" s="23" t="e">
        <f t="shared" si="1928"/>
        <v>#VALUE!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 t="shared" ref="A216" si="1929">CONCATENATE(B216,"_",C216)</f>
        <v>par2_human_5NDZ</v>
      </c>
      <c r="B216" s="3" t="s">
        <v>356</v>
      </c>
      <c r="C216" s="3" t="s">
        <v>1404</v>
      </c>
      <c r="D216" s="3" t="str">
        <f>IFERROR(MID(VLOOKUP($B216,Seqs!$A:$B,2,0),E216,1),"")</f>
        <v>G</v>
      </c>
      <c r="E216" s="3">
        <v>71</v>
      </c>
      <c r="F216" s="3" t="str">
        <f>IFERROR(MID(VLOOKUP($B216,Seqs!$A:$B,2,0),G216,1),"")</f>
        <v>R</v>
      </c>
      <c r="G216" s="3">
        <v>103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H</v>
      </c>
      <c r="M216" s="3">
        <v>108</v>
      </c>
      <c r="N216" s="3" t="str">
        <f>IFERROR(MID(VLOOKUP($B216,Seqs!$A:$B,2,0),O216,1),"")</f>
        <v>H</v>
      </c>
      <c r="O216" s="3">
        <v>137</v>
      </c>
      <c r="P216" s="3" t="str">
        <f>IFERROR(MID(VLOOKUP($B216,Seqs!$A:$B,2,0),Q216,1),"")</f>
        <v>G</v>
      </c>
      <c r="Q216" s="3">
        <v>138</v>
      </c>
      <c r="R216" s="3" t="str">
        <f>IFERROR(MID(VLOOKUP($B216,Seqs!$A:$B,2,0),S216,1),"")</f>
        <v>Y</v>
      </c>
      <c r="S216" s="3">
        <v>143</v>
      </c>
      <c r="T216" s="3" t="str">
        <f>IFERROR(MID(VLOOKUP($B216,Seqs!$A:$B,2,0),U216,1),"")</f>
        <v>G</v>
      </c>
      <c r="U216" s="3">
        <v>144</v>
      </c>
      <c r="V216" s="3" t="str">
        <f>IFERROR(MID(VLOOKUP($B216,Seqs!$A:$B,2,0),W216,1),"")</f>
        <v>N</v>
      </c>
      <c r="W216" s="3">
        <v>179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H</v>
      </c>
      <c r="AC216" s="3">
        <v>183</v>
      </c>
      <c r="AD216" s="3" t="str">
        <f>IFERROR(MID(VLOOKUP($B216,Seqs!$A:$B,2,0),AE216,1),"")</f>
        <v>V</v>
      </c>
      <c r="AE216" s="3">
        <v>211</v>
      </c>
      <c r="AF216" s="3" t="str">
        <f>IFERROR(MID(VLOOKUP($B216,Seqs!$A:$B,2,0),AG216,1),"")</f>
        <v>C</v>
      </c>
      <c r="AG216" s="3">
        <v>226</v>
      </c>
      <c r="AH216" s="3" t="str">
        <f>IFERROR(MID(VLOOKUP($B216,Seqs!$A:$B,2,0),AI216,1),"")</f>
        <v>D</v>
      </c>
      <c r="AI216" s="3">
        <v>228</v>
      </c>
      <c r="AJ216" s="3" t="str">
        <f>IFERROR(MID(VLOOKUP($B216,Seqs!$A:$B,2,0),AK216,1),"")</f>
        <v>L</v>
      </c>
      <c r="AK216" s="3">
        <v>235</v>
      </c>
      <c r="AL216" s="3" t="str">
        <f>IFERROR(MID(VLOOKUP($B216,Seqs!$A:$B,2,0),AM216,1),"")</f>
        <v>L</v>
      </c>
      <c r="AM216" s="3">
        <v>269</v>
      </c>
      <c r="AN216" s="3" t="str">
        <f>IFERROR(MID(VLOOKUP($B216,Seqs!$A:$B,2,0),AO216,1),"")</f>
        <v>S</v>
      </c>
      <c r="AO216" s="3">
        <v>278</v>
      </c>
      <c r="AP216" s="3" t="str">
        <f>IFERROR(MID(VLOOKUP($B216,Seqs!$A:$B,2,0),AQ216,1),"")</f>
        <v>Q</v>
      </c>
      <c r="AQ216" s="3">
        <v>317</v>
      </c>
      <c r="AR216" s="3" t="str">
        <f>IFERROR(MID(VLOOKUP($B216,Seqs!$A:$B,2,0),AS216,1),"")</f>
        <v>V</v>
      </c>
      <c r="AS216" s="3">
        <v>322</v>
      </c>
      <c r="AT216" s="3" t="str">
        <f>IFERROR(MID(VLOOKUP($B216,Seqs!$A:$B,2,0),AU216,1),"")</f>
        <v>S</v>
      </c>
      <c r="AU216" s="3">
        <v>348</v>
      </c>
      <c r="AV216" s="3" t="str">
        <f>IFERROR(MID(VLOOKUP($B216,Seqs!$A:$B,2,0),AW216,1),"")</f>
        <v>H</v>
      </c>
      <c r="AW216" s="3">
        <v>349</v>
      </c>
      <c r="AX216" s="3" t="str">
        <f>IFERROR(MID(VLOOKUP($B216,Seqs!$A:$B,2,0),AY216,1),"")</f>
        <v>L</v>
      </c>
      <c r="AY216" s="3">
        <v>359</v>
      </c>
      <c r="AZ216" s="78" t="str">
        <f>VLOOKUP(B216,Classification!A:D,2,0)</f>
        <v>A</v>
      </c>
      <c r="BA216" s="95" t="str">
        <f>VLOOKUP(B216,Classification!A:D,4,0)</f>
        <v>Proteinase-activated</v>
      </c>
      <c r="BB216" s="27" t="b">
        <f t="shared" ref="BB216" si="1930"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 t="shared" ref="BC216" si="1931">_xlfn.AGGREGATE(9,6,CH216:CS216)-_xlfn.AGGREGATE(9,6,BV216:CG216)+12</f>
        <v>252</v>
      </c>
      <c r="BD216" s="2" t="s">
        <v>23</v>
      </c>
      <c r="BE216" s="3" t="s">
        <v>1439</v>
      </c>
      <c r="BF216" s="120">
        <v>3.6</v>
      </c>
      <c r="BG216" s="49" t="s">
        <v>1</v>
      </c>
      <c r="BH216" s="49" t="s">
        <v>1384</v>
      </c>
      <c r="BI216" s="1"/>
      <c r="BJ216" s="71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1">
        <f t="shared" ref="BV216" si="1932">E216</f>
        <v>71</v>
      </c>
      <c r="BW216" s="72" t="str">
        <f t="shared" ref="BW216" si="1933">I216</f>
        <v>-</v>
      </c>
      <c r="BX216" s="73">
        <f t="shared" ref="BX216" si="1934">M216</f>
        <v>108</v>
      </c>
      <c r="BY216" s="72">
        <f t="shared" ref="BY216" si="1935">Q216</f>
        <v>138</v>
      </c>
      <c r="BZ216" s="73">
        <f t="shared" ref="BZ216" si="1936">U216</f>
        <v>144</v>
      </c>
      <c r="CA216" s="72" t="str">
        <f t="shared" ref="CA216" si="1937">Y216</f>
        <v>-</v>
      </c>
      <c r="CB216" s="73">
        <f t="shared" ref="CB216" si="1938">AC216</f>
        <v>183</v>
      </c>
      <c r="CC216" s="72">
        <f t="shared" ref="CC216" si="1939">AG216</f>
        <v>226</v>
      </c>
      <c r="CD216" s="73">
        <f t="shared" ref="CD216" si="1940">AK216</f>
        <v>235</v>
      </c>
      <c r="CE216" s="72">
        <f t="shared" ref="CE216" si="1941">AO216</f>
        <v>278</v>
      </c>
      <c r="CF216" s="73">
        <f t="shared" ref="CF216" si="1942">AS216</f>
        <v>322</v>
      </c>
      <c r="CG216" s="72">
        <f t="shared" ref="CG216" si="1943">AW216</f>
        <v>349</v>
      </c>
      <c r="CH216" s="71">
        <f t="shared" ref="CH216" si="1944">G216</f>
        <v>103</v>
      </c>
      <c r="CI216" s="72" t="str">
        <f t="shared" ref="CI216" si="1945">K216</f>
        <v>-</v>
      </c>
      <c r="CJ216" s="73">
        <f t="shared" ref="CJ216" si="1946">O216</f>
        <v>137</v>
      </c>
      <c r="CK216" s="73">
        <f t="shared" ref="CK216" si="1947">S216</f>
        <v>143</v>
      </c>
      <c r="CL216" s="73">
        <f t="shared" ref="CL216" si="1948">W216</f>
        <v>179</v>
      </c>
      <c r="CM216" s="73" t="str">
        <f t="shared" ref="CM216" si="1949">AA216</f>
        <v>-</v>
      </c>
      <c r="CN216" s="73">
        <f t="shared" ref="CN216" si="1950">AE216</f>
        <v>211</v>
      </c>
      <c r="CO216" s="73">
        <f t="shared" ref="CO216" si="1951">AI216</f>
        <v>228</v>
      </c>
      <c r="CP216" s="73">
        <f t="shared" ref="CP216" si="1952">AM216</f>
        <v>269</v>
      </c>
      <c r="CQ216" s="73">
        <f t="shared" ref="CQ216" si="1953">AQ216</f>
        <v>317</v>
      </c>
      <c r="CR216" s="73">
        <f t="shared" ref="CR216" si="1954">AU216</f>
        <v>348</v>
      </c>
      <c r="CS216" s="73">
        <f t="shared" ref="CS216" si="1955">AY216</f>
        <v>359</v>
      </c>
      <c r="CT216" s="23" t="e">
        <f t="shared" ref="CT216" si="1956">M216-K216</f>
        <v>#VALUE!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 t="shared" ref="A217" si="1957">CONCATENATE(B217,"_",C217)</f>
        <v>par2_human_5NJ6</v>
      </c>
      <c r="B217" s="3" t="s">
        <v>356</v>
      </c>
      <c r="C217" s="3" t="s">
        <v>1406</v>
      </c>
      <c r="D217" s="3" t="str">
        <f>IFERROR(MID(VLOOKUP($B217,Seqs!$A:$B,2,0),E217,1),"")</f>
        <v>G</v>
      </c>
      <c r="E217" s="3">
        <v>71</v>
      </c>
      <c r="F217" s="3" t="str">
        <f>IFERROR(MID(VLOOKUP($B217,Seqs!$A:$B,2,0),G217,1),"")</f>
        <v>R</v>
      </c>
      <c r="G217" s="3">
        <v>103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H</v>
      </c>
      <c r="M217" s="3">
        <v>108</v>
      </c>
      <c r="N217" s="3" t="str">
        <f>IFERROR(MID(VLOOKUP($B217,Seqs!$A:$B,2,0),O217,1),"")</f>
        <v>H</v>
      </c>
      <c r="O217" s="3">
        <v>137</v>
      </c>
      <c r="P217" s="3" t="str">
        <f>IFERROR(MID(VLOOKUP($B217,Seqs!$A:$B,2,0),Q217,1),"")</f>
        <v>G</v>
      </c>
      <c r="Q217" s="3">
        <v>138</v>
      </c>
      <c r="R217" s="3" t="str">
        <f>IFERROR(MID(VLOOKUP($B217,Seqs!$A:$B,2,0),S217,1),"")</f>
        <v>Y</v>
      </c>
      <c r="S217" s="3">
        <v>143</v>
      </c>
      <c r="T217" s="3" t="str">
        <f>IFERROR(MID(VLOOKUP($B217,Seqs!$A:$B,2,0),U217,1),"")</f>
        <v>G</v>
      </c>
      <c r="U217" s="3">
        <v>144</v>
      </c>
      <c r="V217" s="3" t="str">
        <f>IFERROR(MID(VLOOKUP($B217,Seqs!$A:$B,2,0),W217,1),"")</f>
        <v>N</v>
      </c>
      <c r="W217" s="3">
        <v>179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H</v>
      </c>
      <c r="AC217" s="3">
        <v>183</v>
      </c>
      <c r="AD217" s="3" t="str">
        <f>IFERROR(MID(VLOOKUP($B217,Seqs!$A:$B,2,0),AE217,1),"")</f>
        <v>V</v>
      </c>
      <c r="AE217" s="3">
        <v>211</v>
      </c>
      <c r="AF217" s="3" t="str">
        <f>IFERROR(MID(VLOOKUP($B217,Seqs!$A:$B,2,0),AG217,1),"")</f>
        <v>C</v>
      </c>
      <c r="AG217" s="3">
        <v>226</v>
      </c>
      <c r="AH217" s="3" t="str">
        <f>IFERROR(MID(VLOOKUP($B217,Seqs!$A:$B,2,0),AI217,1),"")</f>
        <v>D</v>
      </c>
      <c r="AI217" s="3">
        <v>228</v>
      </c>
      <c r="AJ217" s="3" t="str">
        <f>IFERROR(MID(VLOOKUP($B217,Seqs!$A:$B,2,0),AK217,1),"")</f>
        <v>L</v>
      </c>
      <c r="AK217" s="3">
        <v>235</v>
      </c>
      <c r="AL217" s="3" t="str">
        <f>IFERROR(MID(VLOOKUP($B217,Seqs!$A:$B,2,0),AM217,1),"")</f>
        <v>L</v>
      </c>
      <c r="AM217" s="3">
        <v>269</v>
      </c>
      <c r="AN217" s="3" t="str">
        <f>IFERROR(MID(VLOOKUP($B217,Seqs!$A:$B,2,0),AO217,1),"")</f>
        <v>S</v>
      </c>
      <c r="AO217" s="3">
        <v>278</v>
      </c>
      <c r="AP217" s="3" t="str">
        <f>IFERROR(MID(VLOOKUP($B217,Seqs!$A:$B,2,0),AQ217,1),"")</f>
        <v>Q</v>
      </c>
      <c r="AQ217" s="3">
        <v>317</v>
      </c>
      <c r="AR217" s="3" t="str">
        <f>IFERROR(MID(VLOOKUP($B217,Seqs!$A:$B,2,0),AS217,1),"")</f>
        <v>V</v>
      </c>
      <c r="AS217" s="3">
        <v>322</v>
      </c>
      <c r="AT217" s="3" t="str">
        <f>IFERROR(MID(VLOOKUP($B217,Seqs!$A:$B,2,0),AU217,1),"")</f>
        <v>S</v>
      </c>
      <c r="AU217" s="3">
        <v>348</v>
      </c>
      <c r="AV217" s="3" t="str">
        <f>IFERROR(MID(VLOOKUP($B217,Seqs!$A:$B,2,0),AW217,1),"")</f>
        <v>H</v>
      </c>
      <c r="AW217" s="3">
        <v>349</v>
      </c>
      <c r="AX217" s="3" t="str">
        <f>IFERROR(MID(VLOOKUP($B217,Seqs!$A:$B,2,0),AY217,1),"")</f>
        <v>L</v>
      </c>
      <c r="AY217" s="3">
        <v>359</v>
      </c>
      <c r="AZ217" s="78" t="str">
        <f>VLOOKUP(B217,Classification!A:D,2,0)</f>
        <v>A</v>
      </c>
      <c r="BA217" s="95" t="str">
        <f>VLOOKUP(B217,Classification!A:D,4,0)</f>
        <v>Proteinase-activated</v>
      </c>
      <c r="BB217" s="27" t="b">
        <f t="shared" ref="BB217" si="1958"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 t="shared" ref="BC217" si="1959">_xlfn.AGGREGATE(9,6,CH217:CS217)-_xlfn.AGGREGATE(9,6,BV217:CG217)+12</f>
        <v>252</v>
      </c>
      <c r="BD217" s="2" t="s">
        <v>23</v>
      </c>
      <c r="BE217" s="3" t="s">
        <v>1439</v>
      </c>
      <c r="BF217" s="120">
        <v>4</v>
      </c>
      <c r="BG217" s="49" t="s">
        <v>1</v>
      </c>
      <c r="BH217" s="49" t="s">
        <v>1384</v>
      </c>
      <c r="BI217" s="1"/>
      <c r="BJ217" s="71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1">
        <f t="shared" ref="BV217" si="1960">E217</f>
        <v>71</v>
      </c>
      <c r="BW217" s="72" t="str">
        <f t="shared" ref="BW217" si="1961">I217</f>
        <v>-</v>
      </c>
      <c r="BX217" s="73">
        <f t="shared" ref="BX217" si="1962">M217</f>
        <v>108</v>
      </c>
      <c r="BY217" s="72">
        <f t="shared" ref="BY217" si="1963">Q217</f>
        <v>138</v>
      </c>
      <c r="BZ217" s="73">
        <f t="shared" ref="BZ217" si="1964">U217</f>
        <v>144</v>
      </c>
      <c r="CA217" s="72" t="str">
        <f t="shared" ref="CA217" si="1965">Y217</f>
        <v>-</v>
      </c>
      <c r="CB217" s="73">
        <f t="shared" ref="CB217" si="1966">AC217</f>
        <v>183</v>
      </c>
      <c r="CC217" s="72">
        <f t="shared" ref="CC217" si="1967">AG217</f>
        <v>226</v>
      </c>
      <c r="CD217" s="73">
        <f t="shared" ref="CD217" si="1968">AK217</f>
        <v>235</v>
      </c>
      <c r="CE217" s="72">
        <f t="shared" ref="CE217" si="1969">AO217</f>
        <v>278</v>
      </c>
      <c r="CF217" s="73">
        <f t="shared" ref="CF217" si="1970">AS217</f>
        <v>322</v>
      </c>
      <c r="CG217" s="72">
        <f t="shared" ref="CG217" si="1971">AW217</f>
        <v>349</v>
      </c>
      <c r="CH217" s="71">
        <f t="shared" ref="CH217" si="1972">G217</f>
        <v>103</v>
      </c>
      <c r="CI217" s="72" t="str">
        <f t="shared" ref="CI217" si="1973">K217</f>
        <v>-</v>
      </c>
      <c r="CJ217" s="73">
        <f t="shared" ref="CJ217" si="1974">O217</f>
        <v>137</v>
      </c>
      <c r="CK217" s="73">
        <f t="shared" ref="CK217" si="1975">S217</f>
        <v>143</v>
      </c>
      <c r="CL217" s="73">
        <f t="shared" ref="CL217" si="1976">W217</f>
        <v>179</v>
      </c>
      <c r="CM217" s="73" t="str">
        <f t="shared" ref="CM217" si="1977">AA217</f>
        <v>-</v>
      </c>
      <c r="CN217" s="73">
        <f t="shared" ref="CN217" si="1978">AE217</f>
        <v>211</v>
      </c>
      <c r="CO217" s="73">
        <f t="shared" ref="CO217" si="1979">AI217</f>
        <v>228</v>
      </c>
      <c r="CP217" s="73">
        <f t="shared" ref="CP217" si="1980">AM217</f>
        <v>269</v>
      </c>
      <c r="CQ217" s="73">
        <f t="shared" ref="CQ217" si="1981">AQ217</f>
        <v>317</v>
      </c>
      <c r="CR217" s="73">
        <f t="shared" ref="CR217" si="1982">AU217</f>
        <v>348</v>
      </c>
      <c r="CS217" s="73">
        <f t="shared" ref="CS217" si="1983">AY217</f>
        <v>359</v>
      </c>
      <c r="CT217" s="23" t="e">
        <f t="shared" ref="CT217" si="1984">M217-K217</f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s="12" customFormat="1" x14ac:dyDescent="0.2">
      <c r="A218" s="9" t="str">
        <f t="shared" ref="A218" si="1985">CONCATENATE(B218,"_",C218)</f>
        <v>q08bg4_danre__wt</v>
      </c>
      <c r="B218" s="9" t="s">
        <v>1451</v>
      </c>
      <c r="C218" s="9" t="s">
        <v>100</v>
      </c>
      <c r="D218" s="9" t="str">
        <f>IFERROR(MID(VLOOKUP($B218,Seqs!$A:$B,2,0),E218,1),"")</f>
        <v>K</v>
      </c>
      <c r="E218" s="9">
        <v>26</v>
      </c>
      <c r="F218" s="9" t="str">
        <f>IFERROR(MID(VLOOKUP($B218,Seqs!$A:$B,2,0),G218,1),"")</f>
        <v>S</v>
      </c>
      <c r="G218" s="9">
        <v>55</v>
      </c>
      <c r="H218" s="9" t="str">
        <f>IFERROR(MID(VLOOKUP($B218,Seqs!$A:$B,2,0),I218,1),"")</f>
        <v>L</v>
      </c>
      <c r="I218" s="110">
        <v>56</v>
      </c>
      <c r="J218" s="9" t="str">
        <f>IFERROR(MID(VLOOKUP($B218,Seqs!$A:$B,2,0),K218,1),"")</f>
        <v>R</v>
      </c>
      <c r="K218" s="110">
        <v>59</v>
      </c>
      <c r="L218" s="9" t="str">
        <f>IFERROR(MID(VLOOKUP($B218,Seqs!$A:$B,2,0),M218,1),"")</f>
        <v>N</v>
      </c>
      <c r="M218" s="9">
        <v>60</v>
      </c>
      <c r="N218" s="9" t="str">
        <f>IFERROR(MID(VLOOKUP($B218,Seqs!$A:$B,2,0),O218,1),"")</f>
        <v>Q</v>
      </c>
      <c r="O218" s="9">
        <v>89</v>
      </c>
      <c r="P218" s="9" t="str">
        <f>IFERROR(MID(VLOOKUP($B218,Seqs!$A:$B,2,0),Q218,1),"")</f>
        <v>Q</v>
      </c>
      <c r="Q218" s="9">
        <v>90</v>
      </c>
      <c r="R218" s="9" t="str">
        <f>IFERROR(MID(VLOOKUP($B218,Seqs!$A:$B,2,0),S218,1),"")</f>
        <v>F</v>
      </c>
      <c r="S218" s="9">
        <v>94</v>
      </c>
      <c r="T218" s="9" t="str">
        <f>IFERROR(MID(VLOOKUP($B218,Seqs!$A:$B,2,0),U218,1),"")</f>
        <v>G</v>
      </c>
      <c r="U218" s="9">
        <v>95</v>
      </c>
      <c r="V218" s="9" t="str">
        <f>IFERROR(MID(VLOOKUP($B218,Seqs!$A:$B,2,0),W218,1),"")</f>
        <v>Y</v>
      </c>
      <c r="W218" s="9">
        <v>130</v>
      </c>
      <c r="X218" s="9" t="str">
        <f>IFERROR(MID(VLOOKUP($B218,Seqs!$A:$B,2,0),Y218,1),"")</f>
        <v>P</v>
      </c>
      <c r="Y218" s="9">
        <v>131</v>
      </c>
      <c r="Z218" s="9" t="str">
        <f>IFERROR(MID(VLOOKUP($B218,Seqs!$A:$B,2,0),AA218,1),"")</f>
        <v>R</v>
      </c>
      <c r="AA218" s="9">
        <v>138</v>
      </c>
      <c r="AB218" s="9" t="str">
        <f>IFERROR(MID(VLOOKUP($B218,Seqs!$A:$B,2,0),AC218,1),"")</f>
        <v>T</v>
      </c>
      <c r="AC218" s="9">
        <v>139</v>
      </c>
      <c r="AD218" s="9" t="str">
        <f>IFERROR(MID(VLOOKUP($B218,Seqs!$A:$B,2,0),AE218,1),"")</f>
        <v>N</v>
      </c>
      <c r="AE218" s="9">
        <v>166</v>
      </c>
      <c r="AF218" s="9" t="str">
        <f>IFERROR(MID(VLOOKUP($B218,Seqs!$A:$B,2,0),AG218,1),"")</f>
        <v>C</v>
      </c>
      <c r="AG218" s="9">
        <v>178</v>
      </c>
      <c r="AH218" s="9" t="str">
        <f>IFERROR(MID(VLOOKUP($B218,Seqs!$A:$B,2,0),AI218,1),"")</f>
        <v>E</v>
      </c>
      <c r="AI218" s="9">
        <v>180</v>
      </c>
      <c r="AJ218" s="9" t="str">
        <f>IFERROR(MID(VLOOKUP($B218,Seqs!$A:$B,2,0),AK218,1),"")</f>
        <v>W</v>
      </c>
      <c r="AK218" s="9">
        <v>187</v>
      </c>
      <c r="AL218" s="9" t="str">
        <f>IFERROR(MID(VLOOKUP($B218,Seqs!$A:$B,2,0),AM218,1),"")</f>
        <v>R</v>
      </c>
      <c r="AM218" s="9">
        <v>223</v>
      </c>
      <c r="AN218" s="9" t="str">
        <f>IFERROR(MID(VLOOKUP($B218,Seqs!$A:$B,2,0),AO218,1),"")</f>
        <v>N</v>
      </c>
      <c r="AO218" s="9">
        <v>234</v>
      </c>
      <c r="AP218" s="9" t="str">
        <f>IFERROR(MID(VLOOKUP($B218,Seqs!$A:$B,2,0),AQ218,1),"")</f>
        <v>N</v>
      </c>
      <c r="AQ218" s="9">
        <v>269</v>
      </c>
      <c r="AR218" s="9" t="str">
        <f>IFERROR(MID(VLOOKUP($B218,Seqs!$A:$B,2,0),AS218,1),"")</f>
        <v>G</v>
      </c>
      <c r="AS218" s="9">
        <v>273</v>
      </c>
      <c r="AT218" s="9" t="str">
        <f>IFERROR(MID(VLOOKUP($B218,Seqs!$A:$B,2,0),AU218,1),"")</f>
        <v>T</v>
      </c>
      <c r="AU218" s="9">
        <v>305</v>
      </c>
      <c r="AV218" s="9" t="str">
        <f>IFERROR(MID(VLOOKUP($B218,Seqs!$A:$B,2,0),AW218,1),"")</f>
        <v>S</v>
      </c>
      <c r="AW218" s="9">
        <v>306</v>
      </c>
      <c r="AX218" s="9" t="str">
        <f>IFERROR(MID(VLOOKUP($B218,Seqs!$A:$B,2,0),AY218,1),"")</f>
        <v>G</v>
      </c>
      <c r="AY218" s="9">
        <v>320</v>
      </c>
      <c r="AZ218" s="111" t="str">
        <f>VLOOKUP(B218,Classification!A:D,2,0)</f>
        <v>A</v>
      </c>
      <c r="BA218" s="99" t="str">
        <f>VLOOKUP(B218,Classification!A:D,4,0)</f>
        <v>Lysophospholipid(LPA)</v>
      </c>
      <c r="BB218" s="36" t="b">
        <f t="shared" ref="BB218" si="1986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110">
        <f t="shared" ref="BC218" si="1987">_xlfn.AGGREGATE(9,6,CH218:CS218)-_xlfn.AGGREGATE(9,6,BV218:CG218)+12</f>
        <v>265</v>
      </c>
      <c r="BD218" s="40" t="s">
        <v>23</v>
      </c>
      <c r="BE218" s="9" t="s">
        <v>23</v>
      </c>
      <c r="BF218" s="121" t="s">
        <v>23</v>
      </c>
      <c r="BG218" s="51" t="s">
        <v>1</v>
      </c>
      <c r="BH218" s="51" t="s">
        <v>1384</v>
      </c>
      <c r="BJ218" s="112" t="s">
        <v>1293</v>
      </c>
      <c r="BK218" s="113" t="s">
        <v>1293</v>
      </c>
      <c r="BL218" s="113" t="s">
        <v>1293</v>
      </c>
      <c r="BM218" s="113" t="s">
        <v>1293</v>
      </c>
      <c r="BN218" s="113" t="s">
        <v>1293</v>
      </c>
      <c r="BO218" s="113" t="s">
        <v>1293</v>
      </c>
      <c r="BP218" s="113" t="s">
        <v>1293</v>
      </c>
      <c r="BQ218" s="113" t="s">
        <v>1293</v>
      </c>
      <c r="BR218" s="113" t="s">
        <v>1293</v>
      </c>
      <c r="BS218" s="113" t="s">
        <v>1293</v>
      </c>
      <c r="BT218" s="113" t="s">
        <v>1293</v>
      </c>
      <c r="BU218" s="113" t="s">
        <v>1293</v>
      </c>
      <c r="BV218" s="112">
        <f t="shared" ref="BV218" si="1988">E218</f>
        <v>26</v>
      </c>
      <c r="BW218" s="114">
        <f t="shared" ref="BW218" si="1989">I218</f>
        <v>56</v>
      </c>
      <c r="BX218" s="115">
        <f t="shared" ref="BX218" si="1990">M218</f>
        <v>60</v>
      </c>
      <c r="BY218" s="114">
        <f t="shared" ref="BY218" si="1991">Q218</f>
        <v>90</v>
      </c>
      <c r="BZ218" s="115">
        <f t="shared" ref="BZ218" si="1992">U218</f>
        <v>95</v>
      </c>
      <c r="CA218" s="114">
        <f t="shared" ref="CA218" si="1993">Y218</f>
        <v>131</v>
      </c>
      <c r="CB218" s="115">
        <f t="shared" ref="CB218" si="1994">AC218</f>
        <v>139</v>
      </c>
      <c r="CC218" s="114">
        <f t="shared" ref="CC218" si="1995">AG218</f>
        <v>178</v>
      </c>
      <c r="CD218" s="115">
        <f t="shared" ref="CD218" si="1996">AK218</f>
        <v>187</v>
      </c>
      <c r="CE218" s="114">
        <f t="shared" ref="CE218" si="1997">AO218</f>
        <v>234</v>
      </c>
      <c r="CF218" s="115">
        <f t="shared" ref="CF218" si="1998">AS218</f>
        <v>273</v>
      </c>
      <c r="CG218" s="114">
        <f t="shared" ref="CG218" si="1999">AW218</f>
        <v>306</v>
      </c>
      <c r="CH218" s="112">
        <f t="shared" ref="CH218" si="2000">G218</f>
        <v>55</v>
      </c>
      <c r="CI218" s="114">
        <f t="shared" ref="CI218" si="2001">K218</f>
        <v>59</v>
      </c>
      <c r="CJ218" s="115">
        <f t="shared" ref="CJ218" si="2002">O218</f>
        <v>89</v>
      </c>
      <c r="CK218" s="115">
        <f t="shared" ref="CK218" si="2003">S218</f>
        <v>94</v>
      </c>
      <c r="CL218" s="115">
        <f t="shared" ref="CL218" si="2004">W218</f>
        <v>130</v>
      </c>
      <c r="CM218" s="115">
        <f t="shared" ref="CM218" si="2005">AA218</f>
        <v>138</v>
      </c>
      <c r="CN218" s="115">
        <f t="shared" ref="CN218" si="2006">AE218</f>
        <v>166</v>
      </c>
      <c r="CO218" s="115">
        <f t="shared" ref="CO218" si="2007">AI218</f>
        <v>180</v>
      </c>
      <c r="CP218" s="115">
        <f t="shared" ref="CP218" si="2008">AM218</f>
        <v>223</v>
      </c>
      <c r="CQ218" s="115">
        <f t="shared" ref="CQ218" si="2009">AQ218</f>
        <v>269</v>
      </c>
      <c r="CR218" s="115">
        <f t="shared" ref="CR218" si="2010">AU218</f>
        <v>305</v>
      </c>
      <c r="CS218" s="115">
        <f t="shared" ref="CS218" si="2011">AY218</f>
        <v>320</v>
      </c>
      <c r="CT218" s="110">
        <f t="shared" ref="CT218" si="2012">M218-K218</f>
        <v>1</v>
      </c>
    </row>
    <row r="219" spans="1:1029" s="12" customFormat="1" x14ac:dyDescent="0.2">
      <c r="A219" s="9" t="str">
        <f t="shared" ref="A219" si="2013">CONCATENATE(B219,"_",C219)</f>
        <v>q08bg4_danre_5XSZ</v>
      </c>
      <c r="B219" s="9" t="s">
        <v>1451</v>
      </c>
      <c r="C219" s="9" t="s">
        <v>1453</v>
      </c>
      <c r="D219" s="9" t="str">
        <f>IFERROR(MID(VLOOKUP($B219,Seqs!$A:$B,2,0),E219,1),"")</f>
        <v>K</v>
      </c>
      <c r="E219" s="9">
        <v>26</v>
      </c>
      <c r="F219" s="9" t="str">
        <f>IFERROR(MID(VLOOKUP($B219,Seqs!$A:$B,2,0),G219,1),"")</f>
        <v>S</v>
      </c>
      <c r="G219" s="9">
        <v>55</v>
      </c>
      <c r="H219" s="9" t="str">
        <f>IFERROR(MID(VLOOKUP($B219,Seqs!$A:$B,2,0),I219,1),"")</f>
        <v/>
      </c>
      <c r="I219" s="110" t="s">
        <v>23</v>
      </c>
      <c r="J219" s="9" t="str">
        <f>IFERROR(MID(VLOOKUP($B219,Seqs!$A:$B,2,0),K219,1),"")</f>
        <v/>
      </c>
      <c r="K219" s="110" t="s">
        <v>23</v>
      </c>
      <c r="L219" s="9" t="str">
        <f>IFERROR(MID(VLOOKUP($B219,Seqs!$A:$B,2,0),M219,1),"")</f>
        <v>N</v>
      </c>
      <c r="M219" s="9">
        <v>60</v>
      </c>
      <c r="N219" s="9" t="str">
        <f>IFERROR(MID(VLOOKUP($B219,Seqs!$A:$B,2,0),O219,1),"")</f>
        <v>Q</v>
      </c>
      <c r="O219" s="9">
        <v>89</v>
      </c>
      <c r="P219" s="9" t="str">
        <f>IFERROR(MID(VLOOKUP($B219,Seqs!$A:$B,2,0),Q219,1),"")</f>
        <v>Q</v>
      </c>
      <c r="Q219" s="9">
        <v>90</v>
      </c>
      <c r="R219" s="9" t="str">
        <f>IFERROR(MID(VLOOKUP($B219,Seqs!$A:$B,2,0),S219,1),"")</f>
        <v>F</v>
      </c>
      <c r="S219" s="9">
        <v>94</v>
      </c>
      <c r="T219" s="9" t="str">
        <f>IFERROR(MID(VLOOKUP($B219,Seqs!$A:$B,2,0),U219,1),"")</f>
        <v>G</v>
      </c>
      <c r="U219" s="9">
        <v>95</v>
      </c>
      <c r="V219" s="9" t="str">
        <f>IFERROR(MID(VLOOKUP($B219,Seqs!$A:$B,2,0),W219,1),"")</f>
        <v>Y</v>
      </c>
      <c r="W219" s="9">
        <v>130</v>
      </c>
      <c r="X219" s="9" t="str">
        <f>IFERROR(MID(VLOOKUP($B219,Seqs!$A:$B,2,0),Y219,1),"")</f>
        <v>P</v>
      </c>
      <c r="Y219" s="9">
        <v>131</v>
      </c>
      <c r="Z219" s="9" t="str">
        <f>IFERROR(MID(VLOOKUP($B219,Seqs!$A:$B,2,0),AA219,1),"")</f>
        <v>R</v>
      </c>
      <c r="AA219" s="9">
        <v>138</v>
      </c>
      <c r="AB219" s="9" t="str">
        <f>IFERROR(MID(VLOOKUP($B219,Seqs!$A:$B,2,0),AC219,1),"")</f>
        <v>T</v>
      </c>
      <c r="AC219" s="9">
        <v>139</v>
      </c>
      <c r="AD219" s="9" t="str">
        <f>IFERROR(MID(VLOOKUP($B219,Seqs!$A:$B,2,0),AE219,1),"")</f>
        <v>N</v>
      </c>
      <c r="AE219" s="9">
        <v>166</v>
      </c>
      <c r="AF219" s="9" t="str">
        <f>IFERROR(MID(VLOOKUP($B219,Seqs!$A:$B,2,0),AG219,1),"")</f>
        <v>C</v>
      </c>
      <c r="AG219" s="9">
        <v>178</v>
      </c>
      <c r="AH219" s="9" t="str">
        <f>IFERROR(MID(VLOOKUP($B219,Seqs!$A:$B,2,0),AI219,1),"")</f>
        <v>F</v>
      </c>
      <c r="AI219" s="9">
        <v>179</v>
      </c>
      <c r="AJ219" s="9" t="str">
        <f>IFERROR(MID(VLOOKUP($B219,Seqs!$A:$B,2,0),AK219,1),"")</f>
        <v>W</v>
      </c>
      <c r="AK219" s="9">
        <v>187</v>
      </c>
      <c r="AL219" s="9" t="str">
        <f>IFERROR(MID(VLOOKUP($B219,Seqs!$A:$B,2,0),AM219,1),"")</f>
        <v>R</v>
      </c>
      <c r="AM219" s="9">
        <v>223</v>
      </c>
      <c r="AN219" s="9" t="str">
        <f>IFERROR(MID(VLOOKUP($B219,Seqs!$A:$B,2,0),AO219,1),"")</f>
        <v>N</v>
      </c>
      <c r="AO219" s="9">
        <v>234</v>
      </c>
      <c r="AP219" s="9" t="str">
        <f>IFERROR(MID(VLOOKUP($B219,Seqs!$A:$B,2,0),AQ219,1),"")</f>
        <v>N</v>
      </c>
      <c r="AQ219" s="9">
        <v>269</v>
      </c>
      <c r="AR219" s="9" t="str">
        <f>IFERROR(MID(VLOOKUP($B219,Seqs!$A:$B,2,0),AS219,1),"")</f>
        <v>G</v>
      </c>
      <c r="AS219" s="9">
        <v>273</v>
      </c>
      <c r="AT219" s="9" t="str">
        <f>IFERROR(MID(VLOOKUP($B219,Seqs!$A:$B,2,0),AU219,1),"")</f>
        <v>T</v>
      </c>
      <c r="AU219" s="9">
        <v>308</v>
      </c>
      <c r="AV219" s="9" t="str">
        <f>IFERROR(MID(VLOOKUP($B219,Seqs!$A:$B,2,0),AW219,1),"")</f>
        <v/>
      </c>
      <c r="AW219" s="9" t="s">
        <v>23</v>
      </c>
      <c r="AX219" s="9" t="str">
        <f>IFERROR(MID(VLOOKUP($B219,Seqs!$A:$B,2,0),AY219,1),"")</f>
        <v/>
      </c>
      <c r="AY219" s="9" t="s">
        <v>23</v>
      </c>
      <c r="AZ219" s="111" t="str">
        <f>VLOOKUP(B219,Classification!A:D,2,0)</f>
        <v>A</v>
      </c>
      <c r="BA219" s="99" t="str">
        <f>VLOOKUP(B219,Classification!A:D,4,0)</f>
        <v>Lysophospholipid(LPA)</v>
      </c>
      <c r="BB219" s="36" t="b">
        <f t="shared" ref="BB219" si="2014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110">
        <f t="shared" ref="BC219" si="2015">_xlfn.AGGREGATE(9,6,CH219:CS219)-_xlfn.AGGREGATE(9,6,BV219:CG219)+12</f>
        <v>250</v>
      </c>
      <c r="BD219" s="40" t="s">
        <v>1382</v>
      </c>
      <c r="BE219" s="9" t="s">
        <v>1297</v>
      </c>
      <c r="BF219" s="121">
        <v>3.2</v>
      </c>
      <c r="BG219" s="51" t="s">
        <v>1</v>
      </c>
      <c r="BH219" s="51" t="s">
        <v>1384</v>
      </c>
      <c r="BJ219" s="112" t="s">
        <v>1293</v>
      </c>
      <c r="BK219" s="113" t="s">
        <v>1293</v>
      </c>
      <c r="BL219" s="113" t="s">
        <v>1293</v>
      </c>
      <c r="BM219" s="113" t="s">
        <v>1293</v>
      </c>
      <c r="BN219" s="113" t="s">
        <v>1293</v>
      </c>
      <c r="BO219" s="113" t="s">
        <v>1293</v>
      </c>
      <c r="BP219" s="113" t="s">
        <v>1293</v>
      </c>
      <c r="BQ219" s="113" t="s">
        <v>1293</v>
      </c>
      <c r="BR219" s="113" t="s">
        <v>1293</v>
      </c>
      <c r="BS219" s="113" t="s">
        <v>1293</v>
      </c>
      <c r="BT219" s="113" t="s">
        <v>1293</v>
      </c>
      <c r="BU219" s="113" t="s">
        <v>1293</v>
      </c>
      <c r="BV219" s="112">
        <f t="shared" ref="BV219" si="2016">E219</f>
        <v>26</v>
      </c>
      <c r="BW219" s="114" t="str">
        <f t="shared" ref="BW219" si="2017">I219</f>
        <v>-</v>
      </c>
      <c r="BX219" s="115">
        <f t="shared" ref="BX219" si="2018">M219</f>
        <v>60</v>
      </c>
      <c r="BY219" s="114">
        <f t="shared" ref="BY219" si="2019">Q219</f>
        <v>90</v>
      </c>
      <c r="BZ219" s="115">
        <f t="shared" ref="BZ219" si="2020">U219</f>
        <v>95</v>
      </c>
      <c r="CA219" s="114">
        <f t="shared" ref="CA219" si="2021">Y219</f>
        <v>131</v>
      </c>
      <c r="CB219" s="115">
        <f t="shared" ref="CB219" si="2022">AC219</f>
        <v>139</v>
      </c>
      <c r="CC219" s="114">
        <f t="shared" ref="CC219" si="2023">AG219</f>
        <v>178</v>
      </c>
      <c r="CD219" s="115">
        <f t="shared" ref="CD219" si="2024">AK219</f>
        <v>187</v>
      </c>
      <c r="CE219" s="114">
        <f t="shared" ref="CE219" si="2025">AO219</f>
        <v>234</v>
      </c>
      <c r="CF219" s="115">
        <f t="shared" ref="CF219" si="2026">AS219</f>
        <v>273</v>
      </c>
      <c r="CG219" s="114" t="str">
        <f t="shared" ref="CG219" si="2027">AW219</f>
        <v>-</v>
      </c>
      <c r="CH219" s="112">
        <f t="shared" ref="CH219" si="2028">G219</f>
        <v>55</v>
      </c>
      <c r="CI219" s="114" t="str">
        <f t="shared" ref="CI219" si="2029">K219</f>
        <v>-</v>
      </c>
      <c r="CJ219" s="115">
        <f t="shared" ref="CJ219" si="2030">O219</f>
        <v>89</v>
      </c>
      <c r="CK219" s="115">
        <f t="shared" ref="CK219" si="2031">S219</f>
        <v>94</v>
      </c>
      <c r="CL219" s="115">
        <f t="shared" ref="CL219" si="2032">W219</f>
        <v>130</v>
      </c>
      <c r="CM219" s="115">
        <f t="shared" ref="CM219" si="2033">AA219</f>
        <v>138</v>
      </c>
      <c r="CN219" s="115">
        <f t="shared" ref="CN219" si="2034">AE219</f>
        <v>166</v>
      </c>
      <c r="CO219" s="115">
        <f t="shared" ref="CO219" si="2035">AI219</f>
        <v>179</v>
      </c>
      <c r="CP219" s="115">
        <f t="shared" ref="CP219" si="2036">AM219</f>
        <v>223</v>
      </c>
      <c r="CQ219" s="115">
        <f t="shared" ref="CQ219" si="2037">AQ219</f>
        <v>269</v>
      </c>
      <c r="CR219" s="115">
        <f t="shared" ref="CR219" si="2038">AU219</f>
        <v>308</v>
      </c>
      <c r="CS219" s="115" t="str">
        <f t="shared" ref="CS219" si="2039">AY219</f>
        <v>-</v>
      </c>
      <c r="CT219" s="110" t="e">
        <f t="shared" ref="CT219" si="2040">M219-K219</f>
        <v>#VALUE!</v>
      </c>
    </row>
    <row r="220" spans="1:1029" s="12" customFormat="1" x14ac:dyDescent="0.2">
      <c r="A220" s="9" t="str">
        <f t="shared" ref="A220" si="2041">CONCATENATE(B220,"_",C220)</f>
        <v>q9wtk1_cavpo__wt</v>
      </c>
      <c r="B220" s="9" t="s">
        <v>1463</v>
      </c>
      <c r="C220" s="9" t="s">
        <v>100</v>
      </c>
      <c r="D220" s="9" t="str">
        <f>IFERROR(MID(VLOOKUP($B220,Seqs!$A:$B,2,0),E220,1),"")</f>
        <v>T</v>
      </c>
      <c r="E220" s="9">
        <v>17</v>
      </c>
      <c r="F220" s="9" t="str">
        <f>IFERROR(MID(VLOOKUP($B220,Seqs!$A:$B,2,0),G220,1),"")</f>
        <v>R</v>
      </c>
      <c r="G220" s="9">
        <v>48</v>
      </c>
      <c r="H220" s="9" t="str">
        <f>IFERROR(MID(VLOOKUP($B220,Seqs!$A:$B,2,0),I220,1),"")</f>
        <v>M</v>
      </c>
      <c r="I220" s="110">
        <v>49</v>
      </c>
      <c r="J220" s="9" t="str">
        <f>IFERROR(MID(VLOOKUP($B220,Seqs!$A:$B,2,0),K220,1),"")</f>
        <v>R</v>
      </c>
      <c r="K220" s="110">
        <v>52</v>
      </c>
      <c r="L220" s="9" t="str">
        <f>IFERROR(MID(VLOOKUP($B220,Seqs!$A:$B,2,0),M220,1),"")</f>
        <v>S</v>
      </c>
      <c r="M220" s="9">
        <v>53</v>
      </c>
      <c r="N220" s="9" t="str">
        <f>IFERROR(MID(VLOOKUP($B220,Seqs!$A:$B,2,0),O220,1),"")</f>
        <v>H</v>
      </c>
      <c r="O220" s="9">
        <v>83</v>
      </c>
      <c r="P220" s="9" t="str">
        <f>IFERROR(MID(VLOOKUP($B220,Seqs!$A:$B,2,0),Q220,1),"")</f>
        <v>T</v>
      </c>
      <c r="Q220" s="9">
        <v>84</v>
      </c>
      <c r="R220" s="9" t="str">
        <f>IFERROR(MID(VLOOKUP($B220,Seqs!$A:$B,2,0),S220,1),"")</f>
        <v>F</v>
      </c>
      <c r="S220" s="9">
        <v>87</v>
      </c>
      <c r="T220" s="9" t="str">
        <f>IFERROR(MID(VLOOKUP($B220,Seqs!$A:$B,2,0),U220,1),"")</f>
        <v>K</v>
      </c>
      <c r="U220" s="9">
        <v>88</v>
      </c>
      <c r="V220" s="9" t="str">
        <f>IFERROR(MID(VLOOKUP($B220,Seqs!$A:$B,2,0),W220,1),"")</f>
        <v>S</v>
      </c>
      <c r="W220" s="9">
        <v>123</v>
      </c>
      <c r="X220" s="9" t="str">
        <f>IFERROR(MID(VLOOKUP($B220,Seqs!$A:$B,2,0),Y220,1),"")</f>
        <v>P</v>
      </c>
      <c r="Y220" s="9">
        <v>124</v>
      </c>
      <c r="Z220" s="9" t="str">
        <f>IFERROR(MID(VLOOKUP($B220,Seqs!$A:$B,2,0),AA220,1),"")</f>
        <v>R</v>
      </c>
      <c r="AA220" s="9">
        <v>131</v>
      </c>
      <c r="AB220" s="9" t="str">
        <f>IFERROR(MID(VLOOKUP($B220,Seqs!$A:$B,2,0),AC220,1),"")</f>
        <v>T</v>
      </c>
      <c r="AC220" s="9">
        <v>132</v>
      </c>
      <c r="AD220" s="9" t="str">
        <f>IFERROR(MID(VLOOKUP($B220,Seqs!$A:$B,2,0),AE220,1),"")</f>
        <v>R</v>
      </c>
      <c r="AE220" s="9">
        <v>158</v>
      </c>
      <c r="AF220" s="9" t="str">
        <f>IFERROR(MID(VLOOKUP($B220,Seqs!$A:$B,2,0),AG220,1),"")</f>
        <v>C</v>
      </c>
      <c r="AG220" s="9">
        <v>170</v>
      </c>
      <c r="AH220" s="9" t="str">
        <f>IFERROR(MID(VLOOKUP($B220,Seqs!$A:$B,2,0),AI220,1),"")</f>
        <v>A</v>
      </c>
      <c r="AI220" s="9">
        <v>172</v>
      </c>
      <c r="AJ220" s="9" t="str">
        <f>IFERROR(MID(VLOOKUP($B220,Seqs!$A:$B,2,0),AK220,1),"")</f>
        <v>S</v>
      </c>
      <c r="AK220" s="9">
        <v>176</v>
      </c>
      <c r="AL220" s="9" t="str">
        <f>IFERROR(MID(VLOOKUP($B220,Seqs!$A:$B,2,0),AM220,1),"")</f>
        <v>R</v>
      </c>
      <c r="AM220" s="9">
        <v>213</v>
      </c>
      <c r="AN220" s="9" t="str">
        <f>IFERROR(MID(VLOOKUP($B220,Seqs!$A:$B,2,0),AO220,1),"")</f>
        <v>R</v>
      </c>
      <c r="AO220" s="9">
        <v>218</v>
      </c>
      <c r="AP220" s="9" t="str">
        <f>IFERROR(MID(VLOOKUP($B220,Seqs!$A:$B,2,0),AQ220,1),"")</f>
        <v>A</v>
      </c>
      <c r="AQ220" s="9">
        <v>252</v>
      </c>
      <c r="AR220" s="9" t="str">
        <f>IFERROR(MID(VLOOKUP($B220,Seqs!$A:$B,2,0),AS220,1),"")</f>
        <v>L</v>
      </c>
      <c r="AS220" s="9">
        <v>255</v>
      </c>
      <c r="AT220" s="9" t="str">
        <f>IFERROR(MID(VLOOKUP($B220,Seqs!$A:$B,2,0),AU220,1),"")</f>
        <v>A</v>
      </c>
      <c r="AU220" s="9">
        <v>287</v>
      </c>
      <c r="AV220" s="9" t="str">
        <f>IFERROR(MID(VLOOKUP($B220,Seqs!$A:$B,2,0),AW220,1),"")</f>
        <v>G</v>
      </c>
      <c r="AW220" s="9">
        <v>288</v>
      </c>
      <c r="AX220" s="9" t="str">
        <f>IFERROR(MID(VLOOKUP($B220,Seqs!$A:$B,2,0),AY220,1),"")</f>
        <v>K</v>
      </c>
      <c r="AY220" s="9">
        <v>302</v>
      </c>
      <c r="AZ220" s="111" t="str">
        <f>VLOOKUP(B220,Classification!A:D,2,0)</f>
        <v>A</v>
      </c>
      <c r="BA220" s="99" t="str">
        <f>VLOOKUP(B220,Classification!A:D,4,0)</f>
        <v>Leukotriene</v>
      </c>
      <c r="BB220" s="36" t="b">
        <f t="shared" ref="BB220" si="2042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110">
        <f t="shared" ref="BC220" si="2043">_xlfn.AGGREGATE(9,6,CH220:CS220)-_xlfn.AGGREGATE(9,6,BV220:CG220)+12</f>
        <v>266</v>
      </c>
      <c r="BD220" s="40" t="s">
        <v>23</v>
      </c>
      <c r="BE220" s="9" t="s">
        <v>23</v>
      </c>
      <c r="BF220" s="121" t="s">
        <v>23</v>
      </c>
      <c r="BG220" s="51" t="s">
        <v>1</v>
      </c>
      <c r="BH220" s="51" t="s">
        <v>1</v>
      </c>
      <c r="BJ220" s="112" t="s">
        <v>1293</v>
      </c>
      <c r="BK220" s="113" t="s">
        <v>1293</v>
      </c>
      <c r="BL220" s="113" t="s">
        <v>1293</v>
      </c>
      <c r="BM220" s="113" t="s">
        <v>1293</v>
      </c>
      <c r="BN220" s="113" t="s">
        <v>1293</v>
      </c>
      <c r="BO220" s="113" t="s">
        <v>1293</v>
      </c>
      <c r="BP220" s="113" t="s">
        <v>1293</v>
      </c>
      <c r="BQ220" s="113" t="s">
        <v>1293</v>
      </c>
      <c r="BR220" s="113" t="s">
        <v>1293</v>
      </c>
      <c r="BS220" s="113" t="s">
        <v>1293</v>
      </c>
      <c r="BT220" s="113" t="s">
        <v>1293</v>
      </c>
      <c r="BU220" s="113" t="s">
        <v>1293</v>
      </c>
      <c r="BV220" s="112">
        <f t="shared" ref="BV220" si="2044">E220</f>
        <v>17</v>
      </c>
      <c r="BW220" s="114">
        <f t="shared" ref="BW220" si="2045">I220</f>
        <v>49</v>
      </c>
      <c r="BX220" s="115">
        <f t="shared" ref="BX220" si="2046">M220</f>
        <v>53</v>
      </c>
      <c r="BY220" s="114">
        <f t="shared" ref="BY220" si="2047">Q220</f>
        <v>84</v>
      </c>
      <c r="BZ220" s="115">
        <f t="shared" ref="BZ220" si="2048">U220</f>
        <v>88</v>
      </c>
      <c r="CA220" s="114">
        <f t="shared" ref="CA220" si="2049">Y220</f>
        <v>124</v>
      </c>
      <c r="CB220" s="115">
        <f t="shared" ref="CB220" si="2050">AC220</f>
        <v>132</v>
      </c>
      <c r="CC220" s="114">
        <f t="shared" ref="CC220" si="2051">AG220</f>
        <v>170</v>
      </c>
      <c r="CD220" s="115">
        <f t="shared" ref="CD220" si="2052">AK220</f>
        <v>176</v>
      </c>
      <c r="CE220" s="114">
        <f t="shared" ref="CE220" si="2053">AO220</f>
        <v>218</v>
      </c>
      <c r="CF220" s="115">
        <f t="shared" ref="CF220" si="2054">AS220</f>
        <v>255</v>
      </c>
      <c r="CG220" s="114">
        <f t="shared" ref="CG220" si="2055">AW220</f>
        <v>288</v>
      </c>
      <c r="CH220" s="112">
        <f t="shared" ref="CH220" si="2056">G220</f>
        <v>48</v>
      </c>
      <c r="CI220" s="114">
        <f t="shared" ref="CI220" si="2057">K220</f>
        <v>52</v>
      </c>
      <c r="CJ220" s="115">
        <f t="shared" ref="CJ220" si="2058">O220</f>
        <v>83</v>
      </c>
      <c r="CK220" s="115">
        <f t="shared" ref="CK220" si="2059">S220</f>
        <v>87</v>
      </c>
      <c r="CL220" s="115">
        <f t="shared" ref="CL220" si="2060">W220</f>
        <v>123</v>
      </c>
      <c r="CM220" s="115">
        <f t="shared" ref="CM220" si="2061">AA220</f>
        <v>131</v>
      </c>
      <c r="CN220" s="115">
        <f t="shared" ref="CN220" si="2062">AE220</f>
        <v>158</v>
      </c>
      <c r="CO220" s="115">
        <f t="shared" ref="CO220" si="2063">AI220</f>
        <v>172</v>
      </c>
      <c r="CP220" s="115">
        <f t="shared" ref="CP220" si="2064">AM220</f>
        <v>213</v>
      </c>
      <c r="CQ220" s="115">
        <f t="shared" ref="CQ220" si="2065">AQ220</f>
        <v>252</v>
      </c>
      <c r="CR220" s="115">
        <f t="shared" ref="CR220" si="2066">AU220</f>
        <v>287</v>
      </c>
      <c r="CS220" s="115">
        <f t="shared" ref="CS220" si="2067">AY220</f>
        <v>302</v>
      </c>
      <c r="CT220" s="110">
        <f t="shared" ref="CT220" si="2068">M220-K220</f>
        <v>1</v>
      </c>
    </row>
    <row r="221" spans="1:1029" s="12" customFormat="1" x14ac:dyDescent="0.2">
      <c r="A221" s="9" t="str">
        <f t="shared" ref="A221" si="2069">CONCATENATE(B221,"_",C221)</f>
        <v>q9wtk1_cavpo_5X33</v>
      </c>
      <c r="B221" s="9" t="s">
        <v>1463</v>
      </c>
      <c r="C221" s="9" t="s">
        <v>1464</v>
      </c>
      <c r="D221" s="9" t="str">
        <f>IFERROR(MID(VLOOKUP($B221,Seqs!$A:$B,2,0),E221,1),"")</f>
        <v>T</v>
      </c>
      <c r="E221" s="9">
        <v>17</v>
      </c>
      <c r="F221" s="9" t="str">
        <f>IFERROR(MID(VLOOKUP($B221,Seqs!$A:$B,2,0),G221,1),"")</f>
        <v>R</v>
      </c>
      <c r="G221" s="9">
        <v>48</v>
      </c>
      <c r="H221" s="9" t="str">
        <f>IFERROR(MID(VLOOKUP($B221,Seqs!$A:$B,2,0),I221,1),"")</f>
        <v/>
      </c>
      <c r="I221" s="110" t="s">
        <v>23</v>
      </c>
      <c r="J221" s="9" t="str">
        <f>IFERROR(MID(VLOOKUP($B221,Seqs!$A:$B,2,0),K221,1),"")</f>
        <v/>
      </c>
      <c r="K221" s="110" t="s">
        <v>23</v>
      </c>
      <c r="L221" s="9" t="str">
        <f>IFERROR(MID(VLOOKUP($B221,Seqs!$A:$B,2,0),M221,1),"")</f>
        <v>S</v>
      </c>
      <c r="M221" s="9">
        <v>53</v>
      </c>
      <c r="N221" s="9" t="str">
        <f>IFERROR(MID(VLOOKUP($B221,Seqs!$A:$B,2,0),O221,1),"")</f>
        <v>H</v>
      </c>
      <c r="O221" s="9">
        <v>83</v>
      </c>
      <c r="P221" s="9" t="str">
        <f>IFERROR(MID(VLOOKUP($B221,Seqs!$A:$B,2,0),Q221,1),"")</f>
        <v>T</v>
      </c>
      <c r="Q221" s="9">
        <v>84</v>
      </c>
      <c r="R221" s="9" t="str">
        <f>IFERROR(MID(VLOOKUP($B221,Seqs!$A:$B,2,0),S221,1),"")</f>
        <v>F</v>
      </c>
      <c r="S221" s="9">
        <v>87</v>
      </c>
      <c r="T221" s="9" t="str">
        <f>IFERROR(MID(VLOOKUP($B221,Seqs!$A:$B,2,0),U221,1),"")</f>
        <v>K</v>
      </c>
      <c r="U221" s="9">
        <v>88</v>
      </c>
      <c r="V221" s="9" t="str">
        <f>IFERROR(MID(VLOOKUP($B221,Seqs!$A:$B,2,0),W221,1),"")</f>
        <v>S</v>
      </c>
      <c r="W221" s="9">
        <v>123</v>
      </c>
      <c r="X221" s="9" t="str">
        <f>IFERROR(MID(VLOOKUP($B221,Seqs!$A:$B,2,0),Y221,1),"")</f>
        <v>P</v>
      </c>
      <c r="Y221" s="9">
        <v>124</v>
      </c>
      <c r="Z221" s="9" t="str">
        <f>IFERROR(MID(VLOOKUP($B221,Seqs!$A:$B,2,0),AA221,1),"")</f>
        <v>R</v>
      </c>
      <c r="AA221" s="9">
        <v>131</v>
      </c>
      <c r="AB221" s="9" t="str">
        <f>IFERROR(MID(VLOOKUP($B221,Seqs!$A:$B,2,0),AC221,1),"")</f>
        <v>T</v>
      </c>
      <c r="AC221" s="9">
        <v>132</v>
      </c>
      <c r="AD221" s="9" t="str">
        <f>IFERROR(MID(VLOOKUP($B221,Seqs!$A:$B,2,0),AE221,1),"")</f>
        <v>R</v>
      </c>
      <c r="AE221" s="9">
        <v>158</v>
      </c>
      <c r="AF221" s="9" t="str">
        <f>IFERROR(MID(VLOOKUP($B221,Seqs!$A:$B,2,0),AG221,1),"")</f>
        <v>C</v>
      </c>
      <c r="AG221" s="9">
        <v>170</v>
      </c>
      <c r="AH221" s="9" t="str">
        <f>IFERROR(MID(VLOOKUP($B221,Seqs!$A:$B,2,0),AI221,1),"")</f>
        <v>A</v>
      </c>
      <c r="AI221" s="9">
        <v>172</v>
      </c>
      <c r="AJ221" s="9" t="str">
        <f>IFERROR(MID(VLOOKUP($B221,Seqs!$A:$B,2,0),AK221,1),"")</f>
        <v>S</v>
      </c>
      <c r="AK221" s="9">
        <v>176</v>
      </c>
      <c r="AL221" s="9" t="str">
        <f>IFERROR(MID(VLOOKUP($B221,Seqs!$A:$B,2,0),AM221,1),"")</f>
        <v>R</v>
      </c>
      <c r="AM221" s="9">
        <v>213</v>
      </c>
      <c r="AN221" s="9" t="str">
        <f>IFERROR(MID(VLOOKUP($B221,Seqs!$A:$B,2,0),AO221,1),"")</f>
        <v>I</v>
      </c>
      <c r="AO221" s="9">
        <v>227</v>
      </c>
      <c r="AP221" s="9" t="str">
        <f>IFERROR(MID(VLOOKUP($B221,Seqs!$A:$B,2,0),AQ221,1),"")</f>
        <v>R</v>
      </c>
      <c r="AQ221" s="9">
        <v>249</v>
      </c>
      <c r="AR221" s="9" t="str">
        <f>IFERROR(MID(VLOOKUP($B221,Seqs!$A:$B,2,0),AS221,1),"")</f>
        <v>Q</v>
      </c>
      <c r="AS221" s="9">
        <v>261</v>
      </c>
      <c r="AT221" s="9" t="str">
        <f>IFERROR(MID(VLOOKUP($B221,Seqs!$A:$B,2,0),AU221,1),"")</f>
        <v>S</v>
      </c>
      <c r="AU221" s="9">
        <v>278</v>
      </c>
      <c r="AV221" s="9" t="str">
        <f>IFERROR(MID(VLOOKUP($B221,Seqs!$A:$B,2,0),AW221,1),"")</f>
        <v/>
      </c>
      <c r="AW221" s="9" t="s">
        <v>23</v>
      </c>
      <c r="AX221" s="9" t="str">
        <f>IFERROR(MID(VLOOKUP($B221,Seqs!$A:$B,2,0),AY221,1),"")</f>
        <v/>
      </c>
      <c r="AY221" s="9" t="s">
        <v>23</v>
      </c>
      <c r="AZ221" s="111" t="str">
        <f>VLOOKUP(B221,Classification!A:D,2,0)</f>
        <v>A</v>
      </c>
      <c r="BA221" s="99" t="str">
        <f>VLOOKUP(B221,Classification!A:D,4,0)</f>
        <v>Leukotriene</v>
      </c>
      <c r="BB221" s="36" t="b">
        <f t="shared" ref="BB221" si="2070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110">
        <f t="shared" ref="BC221" si="2071">_xlfn.AGGREGATE(9,6,CH221:CS221)-_xlfn.AGGREGATE(9,6,BV221:CG221)+12</f>
        <v>222</v>
      </c>
      <c r="BD221" s="40" t="s">
        <v>1383</v>
      </c>
      <c r="BE221" s="9" t="s">
        <v>1381</v>
      </c>
      <c r="BF221" s="121">
        <v>3.7</v>
      </c>
      <c r="BG221" s="51" t="s">
        <v>1</v>
      </c>
      <c r="BH221" s="51" t="s">
        <v>1384</v>
      </c>
      <c r="BJ221" s="112" t="s">
        <v>1293</v>
      </c>
      <c r="BK221" s="113" t="s">
        <v>1293</v>
      </c>
      <c r="BL221" s="113" t="s">
        <v>1293</v>
      </c>
      <c r="BM221" s="113" t="s">
        <v>1293</v>
      </c>
      <c r="BN221" s="113" t="s">
        <v>1293</v>
      </c>
      <c r="BO221" s="113" t="s">
        <v>1293</v>
      </c>
      <c r="BP221" s="113" t="s">
        <v>1293</v>
      </c>
      <c r="BQ221" s="113" t="s">
        <v>1293</v>
      </c>
      <c r="BR221" s="113" t="s">
        <v>1293</v>
      </c>
      <c r="BS221" s="113" t="s">
        <v>1293</v>
      </c>
      <c r="BT221" s="113" t="s">
        <v>1293</v>
      </c>
      <c r="BU221" s="113" t="s">
        <v>1293</v>
      </c>
      <c r="BV221" s="112">
        <f t="shared" ref="BV221" si="2072">E221</f>
        <v>17</v>
      </c>
      <c r="BW221" s="114" t="str">
        <f t="shared" ref="BW221" si="2073">I221</f>
        <v>-</v>
      </c>
      <c r="BX221" s="115">
        <f t="shared" ref="BX221" si="2074">M221</f>
        <v>53</v>
      </c>
      <c r="BY221" s="114">
        <f t="shared" ref="BY221" si="2075">Q221</f>
        <v>84</v>
      </c>
      <c r="BZ221" s="115">
        <f t="shared" ref="BZ221" si="2076">U221</f>
        <v>88</v>
      </c>
      <c r="CA221" s="114">
        <f t="shared" ref="CA221" si="2077">Y221</f>
        <v>124</v>
      </c>
      <c r="CB221" s="115">
        <f t="shared" ref="CB221" si="2078">AC221</f>
        <v>132</v>
      </c>
      <c r="CC221" s="114">
        <f t="shared" ref="CC221" si="2079">AG221</f>
        <v>170</v>
      </c>
      <c r="CD221" s="115">
        <f t="shared" ref="CD221" si="2080">AK221</f>
        <v>176</v>
      </c>
      <c r="CE221" s="114">
        <f t="shared" ref="CE221" si="2081">AO221</f>
        <v>227</v>
      </c>
      <c r="CF221" s="115">
        <f t="shared" ref="CF221" si="2082">AS221</f>
        <v>261</v>
      </c>
      <c r="CG221" s="114" t="str">
        <f t="shared" ref="CG221" si="2083">AW221</f>
        <v>-</v>
      </c>
      <c r="CH221" s="112">
        <f t="shared" ref="CH221" si="2084">G221</f>
        <v>48</v>
      </c>
      <c r="CI221" s="114" t="str">
        <f t="shared" ref="CI221" si="2085">K221</f>
        <v>-</v>
      </c>
      <c r="CJ221" s="115">
        <f t="shared" ref="CJ221" si="2086">O221</f>
        <v>83</v>
      </c>
      <c r="CK221" s="115">
        <f t="shared" ref="CK221" si="2087">S221</f>
        <v>87</v>
      </c>
      <c r="CL221" s="115">
        <f t="shared" ref="CL221" si="2088">W221</f>
        <v>123</v>
      </c>
      <c r="CM221" s="115">
        <f t="shared" ref="CM221" si="2089">AA221</f>
        <v>131</v>
      </c>
      <c r="CN221" s="115">
        <f t="shared" ref="CN221" si="2090">AE221</f>
        <v>158</v>
      </c>
      <c r="CO221" s="115">
        <f t="shared" ref="CO221" si="2091">AI221</f>
        <v>172</v>
      </c>
      <c r="CP221" s="115">
        <f t="shared" ref="CP221" si="2092">AM221</f>
        <v>213</v>
      </c>
      <c r="CQ221" s="115">
        <f t="shared" ref="CQ221" si="2093">AQ221</f>
        <v>249</v>
      </c>
      <c r="CR221" s="115">
        <f t="shared" ref="CR221" si="2094">AU221</f>
        <v>278</v>
      </c>
      <c r="CS221" s="115" t="str">
        <f t="shared" ref="CS221" si="2095">AY221</f>
        <v>-</v>
      </c>
      <c r="CT221" s="110" t="e">
        <f t="shared" ref="CT221" si="2096">M221-K221</f>
        <v>#VALUE!</v>
      </c>
    </row>
    <row r="222" spans="1:1029" x14ac:dyDescent="0.2">
      <c r="A222" s="3" t="str">
        <f t="shared" si="1507"/>
        <v>s1pr1_human__wt</v>
      </c>
      <c r="B222" s="3" t="s">
        <v>104</v>
      </c>
      <c r="C222" s="3" t="s">
        <v>100</v>
      </c>
      <c r="D222" s="3" t="str">
        <f>IFERROR(MID(VLOOKUP($B222,Seqs!$A:$B,2,0),E222,1),"")</f>
        <v>E</v>
      </c>
      <c r="E222" s="3">
        <v>42</v>
      </c>
      <c r="F222" s="3" t="str">
        <f>IFERROR(MID(VLOOKUP($B222,Seqs!$A:$B,2,0),G222,1),"")</f>
        <v>T</v>
      </c>
      <c r="G222" s="3">
        <v>73</v>
      </c>
      <c r="H222" s="3" t="str">
        <f>IFERROR(MID(VLOOKUP($B222,Seqs!$A:$B,2,0),I222,1),"")</f>
        <v>K</v>
      </c>
      <c r="I222" s="23">
        <v>74</v>
      </c>
      <c r="J222" s="3" t="str">
        <f>IFERROR(MID(VLOOKUP($B222,Seqs!$A:$B,2,0),K222,1),"")</f>
        <v>H</v>
      </c>
      <c r="K222" s="23">
        <v>77</v>
      </c>
      <c r="L222" s="3" t="str">
        <f>IFERROR(MID(VLOOKUP($B222,Seqs!$A:$B,2,0),M222,1),"")</f>
        <v>R</v>
      </c>
      <c r="M222" s="3">
        <v>78</v>
      </c>
      <c r="N222" s="3" t="str">
        <f>IFERROR(MID(VLOOKUP($B222,Seqs!$A:$B,2,0),O222,1),"")</f>
        <v>L</v>
      </c>
      <c r="O222" s="3">
        <v>104</v>
      </c>
      <c r="P222" s="3" t="str">
        <f>IFERROR(MID(VLOOKUP($B222,Seqs!$A:$B,2,0),Q222,1),"")</f>
        <v>G</v>
      </c>
      <c r="Q222" s="3">
        <v>106</v>
      </c>
      <c r="R222" s="3" t="str">
        <f>IFERROR(MID(VLOOKUP($B222,Seqs!$A:$B,2,0),S222,1),"")</f>
        <v>L</v>
      </c>
      <c r="S222" s="3">
        <v>112</v>
      </c>
      <c r="T222" s="3" t="str">
        <f>IFERROR(MID(VLOOKUP($B222,Seqs!$A:$B,2,0),U222,1),"")</f>
        <v>T</v>
      </c>
      <c r="U222" s="3">
        <v>113</v>
      </c>
      <c r="V222" s="3" t="str">
        <f>IFERROR(MID(VLOOKUP($B222,Seqs!$A:$B,2,0),W222,1),"")</f>
        <v>K</v>
      </c>
      <c r="W222" s="106">
        <v>148</v>
      </c>
      <c r="X222" s="3" t="str">
        <f>IFERROR(MID(VLOOKUP($B222,Seqs!$A:$B,2,0),Y222,1),"")</f>
        <v>M</v>
      </c>
      <c r="Y222" s="106">
        <v>149</v>
      </c>
      <c r="Z222" s="3" t="str">
        <f>IFERROR(MID(VLOOKUP($B222,Seqs!$A:$B,2,0),AA222,1),"")</f>
        <v>S</v>
      </c>
      <c r="AA222" s="106">
        <v>155</v>
      </c>
      <c r="AB222" s="3" t="str">
        <f>IFERROR(MID(VLOOKUP($B222,Seqs!$A:$B,2,0),AC222,1),"")</f>
        <v>N</v>
      </c>
      <c r="AC222" s="106">
        <v>156</v>
      </c>
      <c r="AD222" s="3" t="str">
        <f>IFERROR(MID(VLOOKUP($B222,Seqs!$A:$B,2,0),AE222,1),"")</f>
        <v>G</v>
      </c>
      <c r="AE222" s="3">
        <v>181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H</v>
      </c>
      <c r="AK222" s="3">
        <v>199</v>
      </c>
      <c r="AL222" s="3" t="str">
        <f>IFERROR(MID(VLOOKUP($B222,Seqs!$A:$B,2,0),AM222,1),"")</f>
        <v>T</v>
      </c>
      <c r="AM222" s="3">
        <v>236</v>
      </c>
      <c r="AN222" s="3" t="str">
        <f>IFERROR(MID(VLOOKUP($B222,Seqs!$A:$B,2,0),AO222,1),"")</f>
        <v>S</v>
      </c>
      <c r="AO222" s="3">
        <v>245</v>
      </c>
      <c r="AP222" s="3" t="str">
        <f>IFERROR(MID(VLOOKUP($B222,Seqs!$A:$B,2,0),AQ222,1),"")</f>
        <v>C</v>
      </c>
      <c r="AQ222" s="3">
        <v>282</v>
      </c>
      <c r="AR222" s="3" t="str">
        <f>IFERROR(MID(VLOOKUP($B222,Seqs!$A:$B,2,0),AS222,1),"")</f>
        <v>D</v>
      </c>
      <c r="AS222" s="3">
        <v>288</v>
      </c>
      <c r="AT222" s="3" t="str">
        <f>IFERROR(MID(VLOOKUP($B222,Seqs!$A:$B,2,0),AU222,1),"")</f>
        <v>T</v>
      </c>
      <c r="AU222" s="3">
        <v>314</v>
      </c>
      <c r="AV222" s="3" t="str">
        <f>IFERROR(MID(VLOOKUP($B222,Seqs!$A:$B,2,0),AW222,1),"")</f>
        <v>N</v>
      </c>
      <c r="AW222" s="3">
        <v>315</v>
      </c>
      <c r="AX222" s="3" t="str">
        <f>IFERROR(MID(VLOOKUP($B222,Seqs!$A:$B,2,0),AY222,1),"")</f>
        <v>S</v>
      </c>
      <c r="AY222" s="3">
        <v>327</v>
      </c>
      <c r="AZ222" s="78" t="str">
        <f>VLOOKUP(B222,Classification!A:D,2,0)</f>
        <v>A</v>
      </c>
      <c r="BA222" s="95" t="str">
        <f>VLOOKUP(B222,Classification!A:D,4,0)</f>
        <v>Lysophospholipid(S1P)</v>
      </c>
      <c r="BB222" s="27" t="b">
        <f t="shared" si="1508"/>
        <v>1</v>
      </c>
      <c r="BC222" s="23">
        <f t="shared" si="1481"/>
        <v>256</v>
      </c>
      <c r="BD222" s="56" t="s">
        <v>1379</v>
      </c>
      <c r="BE222" s="3" t="s">
        <v>23</v>
      </c>
      <c r="BF222" s="120" t="s">
        <v>23</v>
      </c>
      <c r="BG222" s="49" t="s">
        <v>1379</v>
      </c>
      <c r="BH222" s="49" t="s">
        <v>1384</v>
      </c>
      <c r="BI222" s="1"/>
      <c r="BJ222" s="71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1">
        <f t="shared" si="1482"/>
        <v>42</v>
      </c>
      <c r="BW222" s="72">
        <f t="shared" si="1483"/>
        <v>74</v>
      </c>
      <c r="BX222" s="73">
        <f t="shared" si="1484"/>
        <v>78</v>
      </c>
      <c r="BY222" s="72">
        <f t="shared" si="1485"/>
        <v>106</v>
      </c>
      <c r="BZ222" s="73">
        <f t="shared" si="1486"/>
        <v>113</v>
      </c>
      <c r="CA222" s="72">
        <f t="shared" si="1487"/>
        <v>149</v>
      </c>
      <c r="CB222" s="73">
        <f t="shared" si="1488"/>
        <v>156</v>
      </c>
      <c r="CC222" s="72" t="str">
        <f t="shared" si="1489"/>
        <v>-</v>
      </c>
      <c r="CD222" s="73">
        <f t="shared" si="1490"/>
        <v>199</v>
      </c>
      <c r="CE222" s="72">
        <f t="shared" si="1491"/>
        <v>245</v>
      </c>
      <c r="CF222" s="73">
        <f t="shared" si="1492"/>
        <v>288</v>
      </c>
      <c r="CG222" s="72">
        <f t="shared" si="1493"/>
        <v>315</v>
      </c>
      <c r="CH222" s="71">
        <f t="shared" si="1494"/>
        <v>73</v>
      </c>
      <c r="CI222" s="72">
        <f t="shared" si="1495"/>
        <v>77</v>
      </c>
      <c r="CJ222" s="73">
        <f t="shared" si="1496"/>
        <v>104</v>
      </c>
      <c r="CK222" s="73">
        <f t="shared" si="1497"/>
        <v>112</v>
      </c>
      <c r="CL222" s="73">
        <f t="shared" si="1498"/>
        <v>148</v>
      </c>
      <c r="CM222" s="73">
        <f t="shared" si="1499"/>
        <v>155</v>
      </c>
      <c r="CN222" s="73">
        <f t="shared" si="1500"/>
        <v>181</v>
      </c>
      <c r="CO222" s="73" t="str">
        <f t="shared" si="1501"/>
        <v>-</v>
      </c>
      <c r="CP222" s="73">
        <f t="shared" si="1502"/>
        <v>236</v>
      </c>
      <c r="CQ222" s="73">
        <f t="shared" si="1503"/>
        <v>282</v>
      </c>
      <c r="CR222" s="73">
        <f t="shared" si="1504"/>
        <v>314</v>
      </c>
      <c r="CS222" s="73">
        <f t="shared" si="1505"/>
        <v>327</v>
      </c>
      <c r="CT222" s="23">
        <f t="shared" si="1506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507"/>
        <v>s1pr1_human_3V2Y</v>
      </c>
      <c r="B223" s="3" t="s">
        <v>104</v>
      </c>
      <c r="C223" s="3" t="s">
        <v>94</v>
      </c>
      <c r="D223" s="3" t="str">
        <f>IFERROR(MID(VLOOKUP($B223,Seqs!$A:$B,2,0),E223,1),"")</f>
        <v>E</v>
      </c>
      <c r="E223" s="3">
        <v>42</v>
      </c>
      <c r="F223" s="3" t="str">
        <f>IFERROR(MID(VLOOKUP($B223,Seqs!$A:$B,2,0),G223,1),"")</f>
        <v>T</v>
      </c>
      <c r="G223" s="3">
        <v>73</v>
      </c>
      <c r="H223" s="3" t="str">
        <f>IFERROR(MID(VLOOKUP($B223,Seqs!$A:$B,2,0),I223,1),"")</f>
        <v>K</v>
      </c>
      <c r="I223" s="23">
        <v>74</v>
      </c>
      <c r="J223" s="3" t="str">
        <f>IFERROR(MID(VLOOKUP($B223,Seqs!$A:$B,2,0),K223,1),"")</f>
        <v>H</v>
      </c>
      <c r="K223" s="23">
        <v>77</v>
      </c>
      <c r="L223" s="3" t="str">
        <f>IFERROR(MID(VLOOKUP($B223,Seqs!$A:$B,2,0),M223,1),"")</f>
        <v>R</v>
      </c>
      <c r="M223" s="3">
        <v>78</v>
      </c>
      <c r="N223" s="3" t="str">
        <f>IFERROR(MID(VLOOKUP($B223,Seqs!$A:$B,2,0),O223,1),"")</f>
        <v>L</v>
      </c>
      <c r="O223" s="3">
        <v>104</v>
      </c>
      <c r="P223" s="3" t="str">
        <f>IFERROR(MID(VLOOKUP($B223,Seqs!$A:$B,2,0),Q223,1),"")</f>
        <v>G</v>
      </c>
      <c r="Q223" s="3">
        <v>106</v>
      </c>
      <c r="R223" s="3" t="str">
        <f>IFERROR(MID(VLOOKUP($B223,Seqs!$A:$B,2,0),S223,1),"")</f>
        <v>L</v>
      </c>
      <c r="S223" s="3">
        <v>112</v>
      </c>
      <c r="T223" s="3" t="str">
        <f>IFERROR(MID(VLOOKUP($B223,Seqs!$A:$B,2,0),U223,1),"")</f>
        <v>T</v>
      </c>
      <c r="U223" s="3">
        <v>113</v>
      </c>
      <c r="V223" s="3" t="str">
        <f>IFERROR(MID(VLOOKUP($B223,Seqs!$A:$B,2,0),W223,1),"")</f>
        <v>T</v>
      </c>
      <c r="W223" s="106">
        <v>145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N</v>
      </c>
      <c r="AC223" s="106">
        <v>156</v>
      </c>
      <c r="AD223" s="3" t="str">
        <f>IFERROR(MID(VLOOKUP($B223,Seqs!$A:$B,2,0),AE223,1),"")</f>
        <v>G</v>
      </c>
      <c r="AE223" s="3">
        <v>181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H</v>
      </c>
      <c r="AK223" s="3">
        <v>199</v>
      </c>
      <c r="AL223" s="3" t="str">
        <f>IFERROR(MID(VLOOKUP($B223,Seqs!$A:$B,2,0),AM223,1),"")</f>
        <v>R</v>
      </c>
      <c r="AM223" s="3">
        <v>231</v>
      </c>
      <c r="AN223" s="3" t="str">
        <f>IFERROR(MID(VLOOKUP($B223,Seqs!$A:$B,2,0),AO223,1),"")</f>
        <v>S</v>
      </c>
      <c r="AO223" s="3">
        <v>251</v>
      </c>
      <c r="AP223" s="3" t="str">
        <f>IFERROR(MID(VLOOKUP($B223,Seqs!$A:$B,2,0),AQ223,1),"")</f>
        <v>C</v>
      </c>
      <c r="AQ223" s="3">
        <v>282</v>
      </c>
      <c r="AR223" s="3" t="str">
        <f>IFERROR(MID(VLOOKUP($B223,Seqs!$A:$B,2,0),AS223,1),"")</f>
        <v>D</v>
      </c>
      <c r="AS223" s="3">
        <v>288</v>
      </c>
      <c r="AT223" s="3" t="str">
        <f>IFERROR(MID(VLOOKUP($B223,Seqs!$A:$B,2,0),AU223,1),"")</f>
        <v>T</v>
      </c>
      <c r="AU223" s="3">
        <v>314</v>
      </c>
      <c r="AV223" s="3" t="str">
        <f>IFERROR(MID(VLOOKUP($B223,Seqs!$A:$B,2,0),AW223,1),"")</f>
        <v>N</v>
      </c>
      <c r="AW223" s="3">
        <v>315</v>
      </c>
      <c r="AX223" s="3" t="str">
        <f>IFERROR(MID(VLOOKUP($B223,Seqs!$A:$B,2,0),AY223,1),"")</f>
        <v>I</v>
      </c>
      <c r="AY223" s="3">
        <v>323</v>
      </c>
      <c r="AZ223" s="78" t="str">
        <f>VLOOKUP(B223,Classification!A:D,2,0)</f>
        <v>A</v>
      </c>
      <c r="BA223" s="95" t="str">
        <f>VLOOKUP(B223,Classification!A:D,4,0)</f>
        <v>Lysophospholipid(S1P)</v>
      </c>
      <c r="BB223" s="27" t="b">
        <f t="shared" si="1508"/>
        <v>1</v>
      </c>
      <c r="BC223" s="23">
        <f t="shared" si="1481"/>
        <v>232</v>
      </c>
      <c r="BD223" s="2" t="s">
        <v>1383</v>
      </c>
      <c r="BE223" s="3" t="s">
        <v>1381</v>
      </c>
      <c r="BF223" s="120">
        <v>2.8</v>
      </c>
      <c r="BG223" s="49" t="s">
        <v>1384</v>
      </c>
      <c r="BH223" s="49" t="s">
        <v>1384</v>
      </c>
      <c r="BI223" s="1"/>
      <c r="BJ223" s="71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1">
        <f t="shared" si="1482"/>
        <v>42</v>
      </c>
      <c r="BW223" s="72">
        <f t="shared" si="1483"/>
        <v>74</v>
      </c>
      <c r="BX223" s="73">
        <f t="shared" si="1484"/>
        <v>78</v>
      </c>
      <c r="BY223" s="72">
        <f t="shared" si="1485"/>
        <v>106</v>
      </c>
      <c r="BZ223" s="73">
        <f t="shared" si="1486"/>
        <v>113</v>
      </c>
      <c r="CA223" s="72" t="str">
        <f t="shared" si="1487"/>
        <v>-</v>
      </c>
      <c r="CB223" s="73">
        <f t="shared" si="1488"/>
        <v>156</v>
      </c>
      <c r="CC223" s="72" t="str">
        <f t="shared" si="1489"/>
        <v>-</v>
      </c>
      <c r="CD223" s="73">
        <f t="shared" si="1490"/>
        <v>199</v>
      </c>
      <c r="CE223" s="72">
        <f t="shared" si="1491"/>
        <v>251</v>
      </c>
      <c r="CF223" s="73">
        <f t="shared" si="1492"/>
        <v>288</v>
      </c>
      <c r="CG223" s="72">
        <f t="shared" si="1493"/>
        <v>315</v>
      </c>
      <c r="CH223" s="71">
        <f t="shared" si="1494"/>
        <v>73</v>
      </c>
      <c r="CI223" s="72">
        <f t="shared" si="1495"/>
        <v>77</v>
      </c>
      <c r="CJ223" s="73">
        <f t="shared" si="1496"/>
        <v>104</v>
      </c>
      <c r="CK223" s="73">
        <f t="shared" si="1497"/>
        <v>112</v>
      </c>
      <c r="CL223" s="73">
        <f t="shared" si="1498"/>
        <v>145</v>
      </c>
      <c r="CM223" s="73" t="str">
        <f t="shared" si="1499"/>
        <v>-</v>
      </c>
      <c r="CN223" s="73">
        <f t="shared" si="1500"/>
        <v>181</v>
      </c>
      <c r="CO223" s="73" t="str">
        <f t="shared" si="1501"/>
        <v>-</v>
      </c>
      <c r="CP223" s="73">
        <f t="shared" si="1502"/>
        <v>231</v>
      </c>
      <c r="CQ223" s="73">
        <f t="shared" si="1503"/>
        <v>282</v>
      </c>
      <c r="CR223" s="73">
        <f t="shared" si="1504"/>
        <v>314</v>
      </c>
      <c r="CS223" s="73">
        <f t="shared" si="1505"/>
        <v>323</v>
      </c>
      <c r="CT223" s="23">
        <f t="shared" si="1506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507"/>
        <v>us28_hcmva__wt</v>
      </c>
      <c r="B224" s="3" t="s">
        <v>924</v>
      </c>
      <c r="C224" s="3" t="s">
        <v>100</v>
      </c>
      <c r="D224" s="3" t="str">
        <f>IFERROR(MID(VLOOKUP($B224,Seqs!$A:$B,2,0),E224,1),"")</f>
        <v>T</v>
      </c>
      <c r="E224" s="3">
        <v>26</v>
      </c>
      <c r="F224" s="3" t="str">
        <f>IFERROR(MID(VLOOKUP($B224,Seqs!$A:$B,2,0),G224,1),"")</f>
        <v>R</v>
      </c>
      <c r="G224" s="3">
        <v>61</v>
      </c>
      <c r="H224" s="3" t="str">
        <f>IFERROR(MID(VLOOKUP($B224,Seqs!$A:$B,2,0),I224,1),"")</f>
        <v>R</v>
      </c>
      <c r="I224" s="23">
        <v>62</v>
      </c>
      <c r="J224" s="3" t="str">
        <f>IFERROR(MID(VLOOKUP($B224,Seqs!$A:$B,2,0),K224,1),"")</f>
        <v>Q</v>
      </c>
      <c r="K224" s="23">
        <v>65</v>
      </c>
      <c r="L224" s="3" t="str">
        <f>IFERROR(MID(VLOOKUP($B224,Seqs!$A:$B,2,0),M224,1),"")</f>
        <v>C</v>
      </c>
      <c r="M224" s="3">
        <v>66</v>
      </c>
      <c r="N224" s="3" t="str">
        <f>IFERROR(MID(VLOOKUP($B224,Seqs!$A:$B,2,0),O224,1),"")</f>
        <v>D</v>
      </c>
      <c r="O224" s="3">
        <v>95</v>
      </c>
      <c r="P224" s="3" t="str">
        <f>IFERROR(MID(VLOOKUP($B224,Seqs!$A:$B,2,0),Q224,1),"")</f>
        <v/>
      </c>
      <c r="Q224" s="3" t="s">
        <v>23</v>
      </c>
      <c r="R224" s="3" t="str">
        <f>IFERROR(MID(VLOOKUP($B224,Seqs!$A:$B,2,0),S224,1),"")</f>
        <v/>
      </c>
      <c r="S224" s="3" t="s">
        <v>23</v>
      </c>
      <c r="T224" s="3" t="str">
        <f>IFERROR(MID(VLOOKUP($B224,Seqs!$A:$B,2,0),U224,1),"")</f>
        <v>P</v>
      </c>
      <c r="U224" s="3">
        <v>103</v>
      </c>
      <c r="V224" s="3" t="str">
        <f>IFERROR(MID(VLOOKUP($B224,Seqs!$A:$B,2,0),W224,1),"")</f>
        <v>Y</v>
      </c>
      <c r="W224" s="3">
        <v>135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P</v>
      </c>
      <c r="AC224" s="9">
        <v>140</v>
      </c>
      <c r="AD224" s="3" t="str">
        <f>IFERROR(MID(VLOOKUP($B224,Seqs!$A:$B,2,0),AE224,1),"")</f>
        <v>V</v>
      </c>
      <c r="AE224" s="3">
        <v>165</v>
      </c>
      <c r="AF224" s="3" t="str">
        <f>IFERROR(MID(VLOOKUP($B224,Seqs!$A:$B,2,0),AG224,1),"")</f>
        <v>C</v>
      </c>
      <c r="AG224" s="3">
        <v>173</v>
      </c>
      <c r="AH224" s="3" t="str">
        <f>IFERROR(MID(VLOOKUP($B224,Seqs!$A:$B,2,0),AI224,1),"")</f>
        <v>T</v>
      </c>
      <c r="AI224" s="3">
        <v>175</v>
      </c>
      <c r="AJ224" s="3" t="str">
        <f>IFERROR(MID(VLOOKUP($B224,Seqs!$A:$B,2,0),AK224,1),"")</f>
        <v>V</v>
      </c>
      <c r="AK224" s="3">
        <v>182</v>
      </c>
      <c r="AL224" s="3" t="str">
        <f>IFERROR(MID(VLOOKUP($B224,Seqs!$A:$B,2,0),AM224,1),"")</f>
        <v>S</v>
      </c>
      <c r="AM224" s="3">
        <v>218</v>
      </c>
      <c r="AN224" s="3" t="str">
        <f>IFERROR(MID(VLOOKUP($B224,Seqs!$A:$B,2,0),AO224,1),"")</f>
        <v>H</v>
      </c>
      <c r="AO224" s="3">
        <v>222</v>
      </c>
      <c r="AP224" s="3" t="str">
        <f>IFERROR(MID(VLOOKUP($B224,Seqs!$A:$B,2,0),AQ224,1),"")</f>
        <v>K</v>
      </c>
      <c r="AQ224" s="3">
        <v>257</v>
      </c>
      <c r="AR224" s="3" t="str">
        <f>IFERROR(MID(VLOOKUP($B224,Seqs!$A:$B,2,0),AS224,1),"")</f>
        <v>S</v>
      </c>
      <c r="AS224" s="3">
        <v>262</v>
      </c>
      <c r="AT224" s="3" t="str">
        <f>IFERROR(MID(VLOOKUP($B224,Seqs!$A:$B,2,0),AU224,1),"")</f>
        <v>V</v>
      </c>
      <c r="AU224" s="3">
        <v>294</v>
      </c>
      <c r="AV224" s="3" t="str">
        <f>IFERROR(MID(VLOOKUP($B224,Seqs!$A:$B,2,0),AW224,1),"")</f>
        <v>G</v>
      </c>
      <c r="AW224" s="3">
        <v>295</v>
      </c>
      <c r="AX224" s="3" t="str">
        <f>IFERROR(MID(VLOOKUP($B224,Seqs!$A:$B,2,0),AY224,1),"")</f>
        <v>R</v>
      </c>
      <c r="AY224" s="3">
        <v>310</v>
      </c>
      <c r="AZ224" s="78" t="str">
        <f>VLOOKUP(B224,Classification!A:D,2,0)</f>
        <v>A</v>
      </c>
      <c r="BA224" s="95" t="str">
        <f>VLOOKUP(B224,Classification!A:D,4,0)</f>
        <v>Chemokine</v>
      </c>
      <c r="BB224" s="27" t="b">
        <f t="shared" si="1508"/>
        <v>1</v>
      </c>
      <c r="BC224" s="23">
        <f t="shared" si="1481"/>
        <v>256</v>
      </c>
      <c r="BD224" s="56" t="s">
        <v>1379</v>
      </c>
      <c r="BE224" s="3" t="s">
        <v>23</v>
      </c>
      <c r="BF224" s="120" t="s">
        <v>23</v>
      </c>
      <c r="BG224" s="49" t="s">
        <v>1379</v>
      </c>
      <c r="BH224" s="49" t="s">
        <v>1384</v>
      </c>
      <c r="BI224" s="1"/>
      <c r="BJ224" s="71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1">
        <f t="shared" si="1482"/>
        <v>26</v>
      </c>
      <c r="BW224" s="72">
        <f t="shared" si="1483"/>
        <v>62</v>
      </c>
      <c r="BX224" s="73">
        <f t="shared" si="1484"/>
        <v>66</v>
      </c>
      <c r="BY224" s="72" t="str">
        <f t="shared" si="1485"/>
        <v>-</v>
      </c>
      <c r="BZ224" s="73">
        <f t="shared" si="1486"/>
        <v>103</v>
      </c>
      <c r="CA224" s="72" t="str">
        <f t="shared" si="1487"/>
        <v>-</v>
      </c>
      <c r="CB224" s="73">
        <f t="shared" si="1488"/>
        <v>140</v>
      </c>
      <c r="CC224" s="72">
        <f t="shared" si="1489"/>
        <v>173</v>
      </c>
      <c r="CD224" s="73">
        <f t="shared" si="1490"/>
        <v>182</v>
      </c>
      <c r="CE224" s="72">
        <f t="shared" si="1491"/>
        <v>222</v>
      </c>
      <c r="CF224" s="73">
        <f t="shared" si="1492"/>
        <v>262</v>
      </c>
      <c r="CG224" s="72">
        <f t="shared" si="1493"/>
        <v>295</v>
      </c>
      <c r="CH224" s="71">
        <f t="shared" si="1494"/>
        <v>61</v>
      </c>
      <c r="CI224" s="72">
        <f t="shared" si="1495"/>
        <v>65</v>
      </c>
      <c r="CJ224" s="73">
        <f t="shared" si="1496"/>
        <v>95</v>
      </c>
      <c r="CK224" s="73" t="str">
        <f t="shared" si="1497"/>
        <v>-</v>
      </c>
      <c r="CL224" s="73">
        <f t="shared" si="1498"/>
        <v>135</v>
      </c>
      <c r="CM224" s="73" t="str">
        <f t="shared" si="1499"/>
        <v>-</v>
      </c>
      <c r="CN224" s="73">
        <f t="shared" si="1500"/>
        <v>165</v>
      </c>
      <c r="CO224" s="73">
        <f t="shared" si="1501"/>
        <v>175</v>
      </c>
      <c r="CP224" s="73">
        <f t="shared" si="1502"/>
        <v>218</v>
      </c>
      <c r="CQ224" s="73">
        <f t="shared" si="1503"/>
        <v>257</v>
      </c>
      <c r="CR224" s="73">
        <f t="shared" si="1504"/>
        <v>294</v>
      </c>
      <c r="CS224" s="73">
        <f t="shared" si="1505"/>
        <v>310</v>
      </c>
      <c r="CT224" s="23">
        <f t="shared" si="1506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30" x14ac:dyDescent="0.2">
      <c r="A225" s="3" t="str">
        <f t="shared" si="1507"/>
        <v>us28_hcmva_4XT1</v>
      </c>
      <c r="B225" s="3" t="s">
        <v>924</v>
      </c>
      <c r="C225" s="3" t="s">
        <v>1124</v>
      </c>
      <c r="D225" s="3" t="str">
        <f>IFERROR(MID(VLOOKUP($B225,Seqs!$A:$B,2,0),E225,1),"")</f>
        <v>T</v>
      </c>
      <c r="E225" s="3">
        <v>26</v>
      </c>
      <c r="F225" s="3" t="str">
        <f>IFERROR(MID(VLOOKUP($B225,Seqs!$A:$B,2,0),G225,1),"")</f>
        <v>R</v>
      </c>
      <c r="G225" s="3">
        <v>61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C</v>
      </c>
      <c r="M225" s="3">
        <v>66</v>
      </c>
      <c r="N225" s="3" t="str">
        <f>IFERROR(MID(VLOOKUP($B225,Seqs!$A:$B,2,0),O225,1),"")</f>
        <v>D</v>
      </c>
      <c r="O225" s="3">
        <v>95</v>
      </c>
      <c r="P225" s="3" t="str">
        <f>IFERROR(MID(VLOOKUP($B225,Seqs!$A:$B,2,0),Q225,1),"")</f>
        <v/>
      </c>
      <c r="Q225" s="3" t="s">
        <v>23</v>
      </c>
      <c r="R225" s="3" t="str">
        <f>IFERROR(MID(VLOOKUP($B225,Seqs!$A:$B,2,0),S225,1),"")</f>
        <v/>
      </c>
      <c r="S225" s="3" t="s">
        <v>23</v>
      </c>
      <c r="T225" s="3" t="str">
        <f>IFERROR(MID(VLOOKUP($B225,Seqs!$A:$B,2,0),U225,1),"")</f>
        <v>P</v>
      </c>
      <c r="U225" s="3">
        <v>103</v>
      </c>
      <c r="V225" s="3" t="str">
        <f>IFERROR(MID(VLOOKUP($B225,Seqs!$A:$B,2,0),W225,1),"")</f>
        <v>Y</v>
      </c>
      <c r="W225" s="3">
        <v>135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P</v>
      </c>
      <c r="AC225" s="9">
        <v>140</v>
      </c>
      <c r="AD225" s="3" t="str">
        <f>IFERROR(MID(VLOOKUP($B225,Seqs!$A:$B,2,0),AE225,1),"")</f>
        <v>V</v>
      </c>
      <c r="AE225" s="3">
        <v>165</v>
      </c>
      <c r="AF225" s="3" t="str">
        <f>IFERROR(MID(VLOOKUP($B225,Seqs!$A:$B,2,0),AG225,1),"")</f>
        <v>C</v>
      </c>
      <c r="AG225" s="3">
        <v>173</v>
      </c>
      <c r="AH225" s="3" t="str">
        <f>IFERROR(MID(VLOOKUP($B225,Seqs!$A:$B,2,0),AI225,1),"")</f>
        <v>T</v>
      </c>
      <c r="AI225" s="3">
        <v>175</v>
      </c>
      <c r="AJ225" s="3" t="str">
        <f>IFERROR(MID(VLOOKUP($B225,Seqs!$A:$B,2,0),AK225,1),"")</f>
        <v>V</v>
      </c>
      <c r="AK225" s="3">
        <v>182</v>
      </c>
      <c r="AL225" s="3" t="str">
        <f>IFERROR(MID(VLOOKUP($B225,Seqs!$A:$B,2,0),AM225,1),"")</f>
        <v>S</v>
      </c>
      <c r="AM225" s="3">
        <v>218</v>
      </c>
      <c r="AN225" s="3" t="str">
        <f>IFERROR(MID(VLOOKUP($B225,Seqs!$A:$B,2,0),AO225,1),"")</f>
        <v>H</v>
      </c>
      <c r="AO225" s="3">
        <v>222</v>
      </c>
      <c r="AP225" s="3" t="str">
        <f>IFERROR(MID(VLOOKUP($B225,Seqs!$A:$B,2,0),AQ225,1),"")</f>
        <v>K</v>
      </c>
      <c r="AQ225" s="3">
        <v>257</v>
      </c>
      <c r="AR225" s="3" t="str">
        <f>IFERROR(MID(VLOOKUP($B225,Seqs!$A:$B,2,0),AS225,1),"")</f>
        <v>C</v>
      </c>
      <c r="AS225" s="3">
        <v>263</v>
      </c>
      <c r="AT225" s="3" t="str">
        <f>IFERROR(MID(VLOOKUP($B225,Seqs!$A:$B,2,0),AU225,1),"")</f>
        <v>V</v>
      </c>
      <c r="AU225" s="3">
        <v>294</v>
      </c>
      <c r="AV225" s="3" t="str">
        <f>IFERROR(MID(VLOOKUP($B225,Seqs!$A:$B,2,0),AW225,1),"")</f>
        <v>G</v>
      </c>
      <c r="AW225" s="3">
        <v>295</v>
      </c>
      <c r="AX225" s="3" t="str">
        <f>IFERROR(MID(VLOOKUP($B225,Seqs!$A:$B,2,0),AY225,1),"")</f>
        <v>R</v>
      </c>
      <c r="AY225" s="3">
        <v>310</v>
      </c>
      <c r="AZ225" s="78" t="str">
        <f>VLOOKUP(B225,Classification!A:D,2,0)</f>
        <v>A</v>
      </c>
      <c r="BA225" s="95" t="str">
        <f>VLOOKUP(B225,Classification!A:D,4,0)</f>
        <v>Chemokine</v>
      </c>
      <c r="BB225" s="27" t="b">
        <f t="shared" si="1508"/>
        <v>1</v>
      </c>
      <c r="BC225" s="23">
        <f t="shared" si="1481"/>
        <v>252</v>
      </c>
      <c r="BD225" s="4" t="s">
        <v>1382</v>
      </c>
      <c r="BE225" s="3" t="s">
        <v>1297</v>
      </c>
      <c r="BF225" s="120">
        <v>2.89</v>
      </c>
      <c r="BG225" s="49" t="s">
        <v>1384</v>
      </c>
      <c r="BH225" s="49" t="s">
        <v>1384</v>
      </c>
      <c r="BI225" s="1"/>
      <c r="BJ225" s="71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1">
        <f t="shared" si="1482"/>
        <v>26</v>
      </c>
      <c r="BW225" s="72" t="str">
        <f t="shared" si="1483"/>
        <v>-</v>
      </c>
      <c r="BX225" s="73">
        <f t="shared" si="1484"/>
        <v>66</v>
      </c>
      <c r="BY225" s="72" t="str">
        <f t="shared" si="1485"/>
        <v>-</v>
      </c>
      <c r="BZ225" s="73">
        <f t="shared" si="1486"/>
        <v>103</v>
      </c>
      <c r="CA225" s="72" t="str">
        <f t="shared" si="1487"/>
        <v>-</v>
      </c>
      <c r="CB225" s="73">
        <f t="shared" si="1488"/>
        <v>140</v>
      </c>
      <c r="CC225" s="72">
        <f t="shared" si="1489"/>
        <v>173</v>
      </c>
      <c r="CD225" s="73">
        <f t="shared" si="1490"/>
        <v>182</v>
      </c>
      <c r="CE225" s="72">
        <f t="shared" si="1491"/>
        <v>222</v>
      </c>
      <c r="CF225" s="73">
        <f t="shared" si="1492"/>
        <v>263</v>
      </c>
      <c r="CG225" s="72">
        <f t="shared" si="1493"/>
        <v>295</v>
      </c>
      <c r="CH225" s="71">
        <f t="shared" si="1494"/>
        <v>61</v>
      </c>
      <c r="CI225" s="72" t="str">
        <f t="shared" si="1495"/>
        <v>-</v>
      </c>
      <c r="CJ225" s="73">
        <f t="shared" si="1496"/>
        <v>95</v>
      </c>
      <c r="CK225" s="73" t="str">
        <f t="shared" si="1497"/>
        <v>-</v>
      </c>
      <c r="CL225" s="73">
        <f t="shared" si="1498"/>
        <v>135</v>
      </c>
      <c r="CM225" s="73" t="str">
        <f t="shared" si="1499"/>
        <v>-</v>
      </c>
      <c r="CN225" s="73">
        <f t="shared" si="1500"/>
        <v>165</v>
      </c>
      <c r="CO225" s="73">
        <f t="shared" si="1501"/>
        <v>175</v>
      </c>
      <c r="CP225" s="73">
        <f t="shared" si="1502"/>
        <v>218</v>
      </c>
      <c r="CQ225" s="73">
        <f t="shared" si="1503"/>
        <v>257</v>
      </c>
      <c r="CR225" s="73">
        <f t="shared" si="1504"/>
        <v>294</v>
      </c>
      <c r="CS225" s="73">
        <f t="shared" si="1505"/>
        <v>310</v>
      </c>
      <c r="CT225" s="23" t="e">
        <f t="shared" si="1506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1507"/>
        <v>us28_hcmva_4XT3</v>
      </c>
      <c r="B226" s="2" t="s">
        <v>924</v>
      </c>
      <c r="C226" s="3" t="s">
        <v>1378</v>
      </c>
      <c r="D226" s="3" t="str">
        <f>IFERROR(MID(VLOOKUP($B226,Seqs!$A:$B,2,0),E226,1),"")</f>
        <v>T</v>
      </c>
      <c r="E226" s="3">
        <v>26</v>
      </c>
      <c r="F226" s="3" t="str">
        <f>IFERROR(MID(VLOOKUP($B226,Seqs!$A:$B,2,0),G226,1),"")</f>
        <v>R</v>
      </c>
      <c r="G226" s="106">
        <v>62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C</v>
      </c>
      <c r="M226" s="3">
        <v>66</v>
      </c>
      <c r="N226" s="3" t="str">
        <f>IFERROR(MID(VLOOKUP($B226,Seqs!$A:$B,2,0),O226,1),"")</f>
        <v>D</v>
      </c>
      <c r="O226" s="3">
        <v>95</v>
      </c>
      <c r="P226" s="3" t="str">
        <f>IFERROR(MID(VLOOKUP($B226,Seqs!$A:$B,2,0),Q226,1),"")</f>
        <v/>
      </c>
      <c r="Q226" s="3" t="s">
        <v>23</v>
      </c>
      <c r="R226" s="3" t="str">
        <f>IFERROR(MID(VLOOKUP($B226,Seqs!$A:$B,2,0),S226,1),"")</f>
        <v/>
      </c>
      <c r="S226" s="3" t="s">
        <v>23</v>
      </c>
      <c r="T226" s="3" t="str">
        <f>IFERROR(MID(VLOOKUP($B226,Seqs!$A:$B,2,0),U226,1),"")</f>
        <v>P</v>
      </c>
      <c r="U226" s="3">
        <v>103</v>
      </c>
      <c r="V226" s="3" t="str">
        <f>IFERROR(MID(VLOOKUP($B226,Seqs!$A:$B,2,0),W226,1),"")</f>
        <v>Y</v>
      </c>
      <c r="W226" s="3">
        <v>135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P</v>
      </c>
      <c r="AC226" s="9">
        <v>140</v>
      </c>
      <c r="AD226" s="3" t="str">
        <f>IFERROR(MID(VLOOKUP($B226,Seqs!$A:$B,2,0),AE226,1),"")</f>
        <v>V</v>
      </c>
      <c r="AE226" s="3">
        <v>165</v>
      </c>
      <c r="AF226" s="3" t="str">
        <f>IFERROR(MID(VLOOKUP($B226,Seqs!$A:$B,2,0),AG226,1),"")</f>
        <v>C</v>
      </c>
      <c r="AG226" s="3">
        <v>173</v>
      </c>
      <c r="AH226" s="3" t="str">
        <f>IFERROR(MID(VLOOKUP($B226,Seqs!$A:$B,2,0),AI226,1),"")</f>
        <v>T</v>
      </c>
      <c r="AI226" s="3">
        <v>175</v>
      </c>
      <c r="AJ226" s="3" t="str">
        <f>IFERROR(MID(VLOOKUP($B226,Seqs!$A:$B,2,0),AK226,1),"")</f>
        <v>V</v>
      </c>
      <c r="AK226" s="3">
        <v>182</v>
      </c>
      <c r="AL226" s="3" t="str">
        <f>IFERROR(MID(VLOOKUP($B226,Seqs!$A:$B,2,0),AM226,1),"")</f>
        <v>S</v>
      </c>
      <c r="AM226" s="3">
        <v>218</v>
      </c>
      <c r="AN226" s="3" t="str">
        <f>IFERROR(MID(VLOOKUP($B226,Seqs!$A:$B,2,0),AO226,1),"")</f>
        <v>H</v>
      </c>
      <c r="AO226" s="3">
        <v>222</v>
      </c>
      <c r="AP226" s="3" t="str">
        <f>IFERROR(MID(VLOOKUP($B226,Seqs!$A:$B,2,0),AQ226,1),"")</f>
        <v>K</v>
      </c>
      <c r="AQ226" s="3">
        <v>257</v>
      </c>
      <c r="AR226" s="3" t="str">
        <f>IFERROR(MID(VLOOKUP($B226,Seqs!$A:$B,2,0),AS226,1),"")</f>
        <v>C</v>
      </c>
      <c r="AS226" s="3">
        <v>263</v>
      </c>
      <c r="AT226" s="3" t="str">
        <f>IFERROR(MID(VLOOKUP($B226,Seqs!$A:$B,2,0),AU226,1),"")</f>
        <v>V</v>
      </c>
      <c r="AU226" s="3">
        <v>294</v>
      </c>
      <c r="AV226" s="3" t="str">
        <f>IFERROR(MID(VLOOKUP($B226,Seqs!$A:$B,2,0),AW226,1),"")</f>
        <v/>
      </c>
      <c r="AW226" s="3" t="s">
        <v>23</v>
      </c>
      <c r="AX226" s="3" t="str">
        <f>IFERROR(MID(VLOOKUP($B226,Seqs!$A:$B,2,0),AY226,1),"")</f>
        <v/>
      </c>
      <c r="AY226" s="3" t="s">
        <v>23</v>
      </c>
      <c r="AZ226" s="78" t="str">
        <f>VLOOKUP(B226,Classification!A:D,2,0)</f>
        <v>A</v>
      </c>
      <c r="BA226" s="95" t="str">
        <f>VLOOKUP(B226,Classification!A:D,4,0)</f>
        <v>Chemokine</v>
      </c>
      <c r="BB226" s="27" t="b">
        <f t="shared" ref="BB226" si="2097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" si="2098">_xlfn.AGGREGATE(9,6,CH226:CS226)-_xlfn.AGGREGATE(9,6,BV226:CG226)+12</f>
        <v>238</v>
      </c>
      <c r="BD226" s="4" t="s">
        <v>23</v>
      </c>
      <c r="BE226" s="3" t="s">
        <v>1297</v>
      </c>
      <c r="BF226" s="120">
        <v>3.8</v>
      </c>
      <c r="BG226" s="49" t="s">
        <v>1384</v>
      </c>
      <c r="BH226" s="49" t="s">
        <v>1384</v>
      </c>
      <c r="BI226" s="1"/>
      <c r="BJ226" s="71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1">
        <f t="shared" ref="BV226" si="2099">E226</f>
        <v>26</v>
      </c>
      <c r="BW226" s="72" t="str">
        <f t="shared" ref="BW226" si="2100">I226</f>
        <v>-</v>
      </c>
      <c r="BX226" s="73">
        <f t="shared" ref="BX226" si="2101">M226</f>
        <v>66</v>
      </c>
      <c r="BY226" s="72" t="str">
        <f t="shared" ref="BY226" si="2102">Q226</f>
        <v>-</v>
      </c>
      <c r="BZ226" s="73">
        <f t="shared" ref="BZ226" si="2103">U226</f>
        <v>103</v>
      </c>
      <c r="CA226" s="72" t="str">
        <f t="shared" ref="CA226" si="2104">Y226</f>
        <v>-</v>
      </c>
      <c r="CB226" s="73">
        <f t="shared" ref="CB226" si="2105">AC226</f>
        <v>140</v>
      </c>
      <c r="CC226" s="72">
        <f t="shared" ref="CC226" si="2106">AG226</f>
        <v>173</v>
      </c>
      <c r="CD226" s="73">
        <f t="shared" ref="CD226" si="2107">AK226</f>
        <v>182</v>
      </c>
      <c r="CE226" s="72">
        <f t="shared" ref="CE226" si="2108">AO226</f>
        <v>222</v>
      </c>
      <c r="CF226" s="73">
        <f t="shared" ref="CF226" si="2109">AS226</f>
        <v>263</v>
      </c>
      <c r="CG226" s="72" t="str">
        <f t="shared" ref="CG226" si="2110">AW226</f>
        <v>-</v>
      </c>
      <c r="CH226" s="71">
        <f t="shared" ref="CH226" si="2111">G226</f>
        <v>62</v>
      </c>
      <c r="CI226" s="72" t="str">
        <f t="shared" ref="CI226" si="2112">K226</f>
        <v>-</v>
      </c>
      <c r="CJ226" s="73">
        <f t="shared" ref="CJ226" si="2113">O226</f>
        <v>95</v>
      </c>
      <c r="CK226" s="73" t="str">
        <f t="shared" ref="CK226" si="2114">S226</f>
        <v>-</v>
      </c>
      <c r="CL226" s="73">
        <f t="shared" ref="CL226" si="2115">W226</f>
        <v>135</v>
      </c>
      <c r="CM226" s="73" t="str">
        <f t="shared" ref="CM226" si="2116">AA226</f>
        <v>-</v>
      </c>
      <c r="CN226" s="73">
        <f t="shared" ref="CN226" si="2117">AE226</f>
        <v>165</v>
      </c>
      <c r="CO226" s="73">
        <f t="shared" ref="CO226" si="2118">AI226</f>
        <v>175</v>
      </c>
      <c r="CP226" s="73">
        <f t="shared" ref="CP226" si="2119">AM226</f>
        <v>218</v>
      </c>
      <c r="CQ226" s="73">
        <f t="shared" ref="CQ226" si="2120">AQ226</f>
        <v>257</v>
      </c>
      <c r="CR226" s="73">
        <f t="shared" ref="CR226" si="2121">AU226</f>
        <v>294</v>
      </c>
      <c r="CS226" s="73" t="str">
        <f t="shared" ref="CS226" si="2122">AY226</f>
        <v>-</v>
      </c>
      <c r="CT226" s="23" t="e">
        <f t="shared" ref="CT226" si="2123">M226-K226</f>
        <v>#VALUE!</v>
      </c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6"/>
      <c r="ACQ226" s="6"/>
      <c r="ACR226" s="6"/>
      <c r="ACS226" s="6"/>
      <c r="ACT226" s="6"/>
      <c r="ACU226" s="6"/>
      <c r="ACV226" s="6"/>
      <c r="ACW226" s="6"/>
      <c r="ACX226" s="6"/>
      <c r="ACY226" s="6"/>
      <c r="ACZ226" s="6"/>
      <c r="ADA226" s="6"/>
      <c r="ADB226" s="6"/>
      <c r="ADC226" s="6"/>
      <c r="ADD226" s="6"/>
      <c r="ADE226" s="6"/>
      <c r="ADF226" s="6"/>
      <c r="ADG226" s="6"/>
      <c r="ADH226" s="6"/>
      <c r="ADI226" s="6"/>
      <c r="ADJ226" s="6"/>
      <c r="ADK226" s="6"/>
      <c r="ADL226" s="6"/>
      <c r="ADM226" s="6"/>
      <c r="ADN226" s="6"/>
      <c r="ADO226" s="6"/>
      <c r="ADP226" s="6"/>
      <c r="ADQ226" s="6"/>
      <c r="ADR226" s="6"/>
      <c r="ADS226" s="6"/>
      <c r="ADT226" s="6"/>
      <c r="ADU226" s="6"/>
      <c r="ADV226" s="6"/>
      <c r="ADW226" s="6"/>
      <c r="ADX226" s="6"/>
      <c r="ADY226" s="6"/>
      <c r="ADZ226" s="6"/>
      <c r="AEA226" s="6"/>
      <c r="AEB226" s="6"/>
      <c r="AEC226" s="6"/>
      <c r="AED226" s="6"/>
      <c r="AEE226" s="6"/>
      <c r="AEF226" s="6"/>
      <c r="AEG226" s="6"/>
      <c r="AEH226" s="6"/>
      <c r="AEI226" s="6"/>
      <c r="AEJ226" s="6"/>
      <c r="AEK226" s="6"/>
      <c r="AEL226" s="6"/>
      <c r="AEM226" s="6"/>
      <c r="AEN226" s="6"/>
      <c r="AEO226" s="6"/>
      <c r="AEP226" s="6"/>
      <c r="AEQ226" s="6"/>
      <c r="AER226" s="6"/>
      <c r="AES226" s="6"/>
      <c r="AET226" s="6"/>
      <c r="AEU226" s="6"/>
      <c r="AEV226" s="6"/>
      <c r="AEW226" s="6"/>
      <c r="AEX226" s="6"/>
      <c r="AEY226" s="6"/>
      <c r="AEZ226" s="6"/>
      <c r="AFA226" s="6"/>
      <c r="AFB226" s="6"/>
      <c r="AFC226" s="6"/>
      <c r="AFD226" s="6"/>
      <c r="AFE226" s="6"/>
      <c r="AFF226" s="6"/>
      <c r="AFG226" s="6"/>
      <c r="AFH226" s="6"/>
      <c r="AFI226" s="6"/>
      <c r="AFJ226" s="6"/>
      <c r="AFK226" s="6"/>
      <c r="AFL226" s="6"/>
      <c r="AFM226" s="6"/>
      <c r="AFN226" s="6"/>
      <c r="AFO226" s="6"/>
      <c r="AFP226" s="6"/>
      <c r="AFQ226" s="6"/>
      <c r="AFR226" s="6"/>
      <c r="AFS226" s="6"/>
      <c r="AFT226" s="6"/>
      <c r="AFU226" s="6"/>
      <c r="AFV226" s="6"/>
      <c r="AFW226" s="6"/>
      <c r="AFX226" s="6"/>
      <c r="AFY226" s="6"/>
      <c r="AFZ226" s="6"/>
      <c r="AGA226" s="6"/>
      <c r="AGB226" s="6"/>
      <c r="AGC226" s="6"/>
      <c r="AGD226" s="6"/>
      <c r="AGE226" s="6"/>
      <c r="AGF226" s="6"/>
      <c r="AGG226" s="6"/>
      <c r="AGH226" s="6"/>
      <c r="AGI226" s="6"/>
      <c r="AGJ226" s="6"/>
      <c r="AGK226" s="6"/>
      <c r="AGL226" s="6"/>
      <c r="AGM226" s="6"/>
      <c r="AGN226" s="6"/>
      <c r="AGO226" s="6"/>
      <c r="AGP226" s="6"/>
      <c r="AGQ226" s="6"/>
      <c r="AGR226" s="6"/>
      <c r="AGS226" s="6"/>
      <c r="AGT226" s="6"/>
      <c r="AGU226" s="6"/>
      <c r="AGV226" s="6"/>
      <c r="AGW226" s="6"/>
      <c r="AGX226" s="6"/>
      <c r="AGY226" s="6"/>
      <c r="AGZ226" s="6"/>
      <c r="AHA226" s="6"/>
      <c r="AHB226" s="6"/>
      <c r="AHC226" s="6"/>
      <c r="AHD226" s="6"/>
      <c r="AHE226" s="6"/>
      <c r="AHF226" s="6"/>
      <c r="AHG226" s="6"/>
      <c r="AHH226" s="6"/>
      <c r="AHI226" s="6"/>
      <c r="AHJ226" s="6"/>
      <c r="AHK226" s="6"/>
      <c r="AHL226" s="6"/>
      <c r="AHM226" s="6"/>
      <c r="AHN226" s="6"/>
      <c r="AHO226" s="6"/>
      <c r="AHP226" s="6"/>
      <c r="AHQ226" s="6"/>
      <c r="AHR226" s="6"/>
      <c r="AHS226" s="6"/>
      <c r="AHT226" s="6"/>
      <c r="AHU226" s="6"/>
      <c r="AHV226" s="6"/>
      <c r="AHW226" s="6"/>
      <c r="AHX226" s="6"/>
      <c r="AHY226" s="6"/>
      <c r="AHZ226" s="6"/>
      <c r="AIA226" s="6"/>
      <c r="AIB226" s="6"/>
      <c r="AIC226" s="6"/>
      <c r="AID226" s="6"/>
      <c r="AIE226" s="6"/>
      <c r="AIF226" s="6"/>
      <c r="AIG226" s="6"/>
      <c r="AIH226" s="6"/>
      <c r="AII226" s="6"/>
      <c r="AIJ226" s="6"/>
      <c r="AIK226" s="6"/>
      <c r="AIL226" s="6"/>
      <c r="AIM226" s="6"/>
      <c r="AIN226" s="6"/>
      <c r="AIO226" s="6"/>
      <c r="AIP226" s="6"/>
      <c r="AIQ226" s="6"/>
      <c r="AIR226" s="6"/>
      <c r="AIS226" s="6"/>
      <c r="AIT226" s="6"/>
      <c r="AIU226" s="6"/>
      <c r="AIV226" s="6"/>
      <c r="AIW226" s="6"/>
      <c r="AIX226" s="6"/>
      <c r="AIY226" s="6"/>
      <c r="AIZ226" s="6"/>
      <c r="AJA226" s="6"/>
      <c r="AJB226" s="6"/>
      <c r="AJC226" s="6"/>
      <c r="AJD226" s="6"/>
      <c r="AJE226" s="6"/>
      <c r="AJF226" s="6"/>
      <c r="AJG226" s="6"/>
      <c r="AJH226" s="6"/>
      <c r="AJI226" s="6"/>
      <c r="AJJ226" s="6"/>
      <c r="AJK226" s="6"/>
      <c r="AJL226" s="6"/>
      <c r="AJM226" s="6"/>
      <c r="AJN226" s="6"/>
      <c r="AJO226" s="6"/>
      <c r="AJP226" s="6"/>
      <c r="AJQ226" s="6"/>
      <c r="AJR226" s="6"/>
      <c r="AJS226" s="6"/>
      <c r="AJT226" s="6"/>
      <c r="AJU226" s="6"/>
      <c r="AJV226" s="6"/>
      <c r="AJW226" s="6"/>
      <c r="AJX226" s="6"/>
      <c r="AJY226" s="6"/>
      <c r="AJZ226" s="6"/>
      <c r="AKA226" s="6"/>
      <c r="AKB226" s="6"/>
      <c r="AKC226" s="6"/>
      <c r="AKD226" s="6"/>
      <c r="AKE226" s="6"/>
      <c r="AKF226" s="6"/>
      <c r="AKG226" s="6"/>
      <c r="AKH226" s="6"/>
      <c r="AKI226" s="6"/>
      <c r="AKJ226" s="6"/>
      <c r="AKK226" s="6"/>
      <c r="AKL226" s="6"/>
      <c r="AKM226" s="6"/>
      <c r="AKN226" s="6"/>
      <c r="AKO226" s="6"/>
      <c r="AKP226" s="6"/>
      <c r="AKQ226" s="6"/>
      <c r="AKR226" s="6"/>
      <c r="AKS226" s="6"/>
      <c r="AKT226" s="6"/>
      <c r="AKU226" s="6"/>
      <c r="AKV226" s="6"/>
      <c r="AKW226" s="6"/>
      <c r="AKX226" s="6"/>
      <c r="AKY226" s="6"/>
      <c r="AKZ226" s="6"/>
      <c r="ALA226" s="6"/>
      <c r="ALB226" s="6"/>
      <c r="ALC226" s="6"/>
      <c r="ALD226" s="6"/>
      <c r="ALE226" s="6"/>
      <c r="ALF226" s="6"/>
      <c r="ALG226" s="6"/>
      <c r="ALH226" s="6"/>
      <c r="ALI226" s="6"/>
      <c r="ALJ226" s="6"/>
      <c r="ALK226" s="6"/>
      <c r="ALL226" s="6"/>
      <c r="ALM226" s="6"/>
      <c r="ALN226" s="6"/>
      <c r="ALO226" s="6"/>
      <c r="ALP226" s="6"/>
      <c r="ALQ226" s="6"/>
      <c r="ALR226" s="6"/>
      <c r="ALS226" s="6"/>
      <c r="ALT226" s="6"/>
      <c r="ALU226" s="6"/>
      <c r="ALV226" s="6"/>
      <c r="ALW226" s="6"/>
      <c r="ALX226" s="6"/>
      <c r="ALY226" s="6"/>
      <c r="ALZ226" s="6"/>
      <c r="AMA226" s="6"/>
      <c r="AMB226" s="6"/>
      <c r="AMC226" s="6"/>
      <c r="AMD226" s="6"/>
      <c r="AME226" s="6"/>
      <c r="AMF226" s="6"/>
      <c r="AMG226" s="6"/>
      <c r="AMH226" s="6"/>
      <c r="AMI226" s="6"/>
      <c r="AMJ226" s="6"/>
      <c r="AMK226" s="6"/>
      <c r="AML226" s="6"/>
      <c r="AMM226" s="6"/>
      <c r="AMN226" s="6"/>
      <c r="AMO226" s="6"/>
      <c r="AMP226" s="6"/>
    </row>
    <row r="227" spans="1:1030" x14ac:dyDescent="0.2">
      <c r="A227" s="3" t="str">
        <f t="shared" ref="A227:A228" si="2124">CONCATENATE(B227,"_",C227)</f>
        <v>calcr_human__wt</v>
      </c>
      <c r="B227" s="2" t="s">
        <v>401</v>
      </c>
      <c r="C227" s="3" t="s">
        <v>100</v>
      </c>
      <c r="D227" s="3" t="str">
        <f>IFERROR(MID(VLOOKUP($B227,Seqs!$A:$B,2,0),E227,1),"")</f>
        <v>T</v>
      </c>
      <c r="E227" s="3">
        <v>132</v>
      </c>
      <c r="F227" s="3" t="str">
        <f>IFERROR(MID(VLOOKUP($B227,Seqs!$A:$B,2,0),G227,1),"")</f>
        <v>F</v>
      </c>
      <c r="G227" s="3">
        <v>173</v>
      </c>
      <c r="H227" s="3" t="str">
        <f>IFERROR(MID(VLOOKUP($B227,Seqs!$A:$B,2,0),I227,1),"")</f>
        <v>R</v>
      </c>
      <c r="I227" s="23">
        <v>174</v>
      </c>
      <c r="J227" s="3" t="str">
        <f>IFERROR(MID(VLOOKUP($B227,Seqs!$A:$B,2,0),K227,1),"")</f>
        <v>G</v>
      </c>
      <c r="K227" s="23">
        <v>177</v>
      </c>
      <c r="L227" s="3" t="str">
        <f>IFERROR(MID(VLOOKUP($B227,Seqs!$A:$B,2,0),M227,1),"")</f>
        <v>C</v>
      </c>
      <c r="M227" s="3">
        <v>178</v>
      </c>
      <c r="N227" s="3" t="str">
        <f>IFERROR(MID(VLOOKUP($B227,Seqs!$A:$B,2,0),O227,1),"")</f>
        <v>V</v>
      </c>
      <c r="O227" s="3">
        <v>205</v>
      </c>
      <c r="P227" s="3" t="str">
        <f>IFERROR(MID(VLOOKUP($B227,Seqs!$A:$B,2,0),Q227,1),"")</f>
        <v/>
      </c>
      <c r="Q227" s="3" t="s">
        <v>23</v>
      </c>
      <c r="R227" s="3" t="str">
        <f>IFERROR(MID(VLOOKUP($B227,Seqs!$A:$B,2,0),S227,1),"")</f>
        <v/>
      </c>
      <c r="S227" s="3" t="s">
        <v>23</v>
      </c>
      <c r="T227" s="3" t="str">
        <f>IFERROR(MID(VLOOKUP($B227,Seqs!$A:$B,2,0),U227,1),"")</f>
        <v>D</v>
      </c>
      <c r="U227" s="3">
        <v>215</v>
      </c>
      <c r="V227" s="3" t="str">
        <f>IFERROR(MID(VLOOKUP($B227,Seqs!$A:$B,2,0),W227,1),"")</f>
        <v>V</v>
      </c>
      <c r="W227" s="3">
        <v>250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R</v>
      </c>
      <c r="AC227" s="3">
        <v>258</v>
      </c>
      <c r="AD227" s="3" t="str">
        <f>IFERROR(MID(VLOOKUP($B227,Seqs!$A:$B,2,0),AE227,1),"")</f>
        <v>F</v>
      </c>
      <c r="AE227" s="3">
        <v>285</v>
      </c>
      <c r="AF227" s="3" t="str">
        <f>IFERROR(MID(VLOOKUP($B227,Seqs!$A:$B,2,0),AG227,1),"")</f>
        <v>C</v>
      </c>
      <c r="AG227" s="3">
        <v>289</v>
      </c>
      <c r="AH227" s="3" t="str">
        <f>IFERROR(MID(VLOOKUP($B227,Seqs!$A:$B,2,0),AI227,1),"")</f>
        <v>L</v>
      </c>
      <c r="AI227" s="3">
        <v>291</v>
      </c>
      <c r="AJ227" s="3" t="str">
        <f>IFERROR(MID(VLOOKUP($B227,Seqs!$A:$B,2,0),AK227,1),"")</f>
        <v>L</v>
      </c>
      <c r="AK227" s="3">
        <v>298</v>
      </c>
      <c r="AL227" s="3" t="str">
        <f>IFERROR(MID(VLOOKUP($B227,Seqs!$A:$B,2,0),AM227,1),"")</f>
        <v>R</v>
      </c>
      <c r="AM227" s="3">
        <v>328</v>
      </c>
      <c r="AN227" s="3" t="str">
        <f>IFERROR(MID(VLOOKUP($B227,Seqs!$A:$B,2,0),AO227,1),"")</f>
        <v>Y</v>
      </c>
      <c r="AO227" s="3">
        <v>338</v>
      </c>
      <c r="AP227" s="3" t="str">
        <f>IFERROR(MID(VLOOKUP($B227,Seqs!$A:$B,2,0),AQ227,1),"")</f>
        <v>W</v>
      </c>
      <c r="AQ227" s="3">
        <v>361</v>
      </c>
      <c r="AR227" s="3" t="str">
        <f>IFERROR(MID(VLOOKUP($B227,Seqs!$A:$B,2,0),AS227,1),"")</f>
        <v>K</v>
      </c>
      <c r="AS227" s="3">
        <v>366</v>
      </c>
      <c r="AT227" s="3" t="str">
        <f>IFERROR(MID(VLOOKUP($B227,Seqs!$A:$B,2,0),AU227,1),"")</f>
        <v>C</v>
      </c>
      <c r="AU227" s="3">
        <v>394</v>
      </c>
      <c r="AV227" s="3" t="str">
        <f>IFERROR(MID(VLOOKUP($B227,Seqs!$A:$B,2,0),AW227,1),"")</f>
        <v>N</v>
      </c>
      <c r="AW227" s="3">
        <v>395</v>
      </c>
      <c r="AX227" s="3" t="str">
        <f>IFERROR(MID(VLOOKUP($B227,Seqs!$A:$B,2,0),AY227,1),"")</f>
        <v>R</v>
      </c>
      <c r="AY227" s="3">
        <v>420</v>
      </c>
      <c r="AZ227" s="78" t="str">
        <f>VLOOKUP(B227,Classification!A:D,2,0)</f>
        <v>B1</v>
      </c>
      <c r="BA227" s="95" t="str">
        <f>VLOOKUP(B227,Classification!A:D,4,0)</f>
        <v>Calcitonin</v>
      </c>
      <c r="BB227" s="27" t="b">
        <f t="shared" ref="BB227:BB228" si="2125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ref="BC227:BC228" si="2126">_xlfn.AGGREGATE(9,6,CH227:CS227)-_xlfn.AGGREGATE(9,6,BV227:CG227)+12</f>
        <v>253</v>
      </c>
      <c r="BD227" s="4" t="s">
        <v>23</v>
      </c>
      <c r="BE227" s="3" t="s">
        <v>23</v>
      </c>
      <c r="BF227" s="120" t="s">
        <v>23</v>
      </c>
      <c r="BG227" s="49" t="s">
        <v>1384</v>
      </c>
      <c r="BH227" s="49" t="s">
        <v>1384</v>
      </c>
      <c r="BI227" s="1"/>
      <c r="BJ227" s="71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1">
        <f t="shared" ref="BV227:BV228" si="2127">E227</f>
        <v>132</v>
      </c>
      <c r="BW227" s="72">
        <f t="shared" ref="BW227:BW228" si="2128">I227</f>
        <v>174</v>
      </c>
      <c r="BX227" s="73">
        <f t="shared" ref="BX227:BX228" si="2129">M227</f>
        <v>178</v>
      </c>
      <c r="BY227" s="72" t="str">
        <f t="shared" ref="BY227:BY228" si="2130">Q227</f>
        <v>-</v>
      </c>
      <c r="BZ227" s="73">
        <f t="shared" ref="BZ227:BZ228" si="2131">U227</f>
        <v>215</v>
      </c>
      <c r="CA227" s="72" t="str">
        <f t="shared" ref="CA227:CA228" si="2132">Y227</f>
        <v>-</v>
      </c>
      <c r="CB227" s="73">
        <f t="shared" ref="CB227:CB228" si="2133">AC227</f>
        <v>258</v>
      </c>
      <c r="CC227" s="72">
        <f t="shared" ref="CC227:CC228" si="2134">AG227</f>
        <v>289</v>
      </c>
      <c r="CD227" s="73">
        <f t="shared" ref="CD227:CD228" si="2135">AK227</f>
        <v>298</v>
      </c>
      <c r="CE227" s="72">
        <f t="shared" ref="CE227:CE228" si="2136">AO227</f>
        <v>338</v>
      </c>
      <c r="CF227" s="73">
        <f t="shared" ref="CF227:CF228" si="2137">AS227</f>
        <v>366</v>
      </c>
      <c r="CG227" s="72">
        <f t="shared" ref="CG227:CG228" si="2138">AW227</f>
        <v>395</v>
      </c>
      <c r="CH227" s="71">
        <f t="shared" ref="CH227:CH228" si="2139">G227</f>
        <v>173</v>
      </c>
      <c r="CI227" s="72">
        <f t="shared" ref="CI227:CI228" si="2140">K227</f>
        <v>177</v>
      </c>
      <c r="CJ227" s="73">
        <f t="shared" ref="CJ227:CJ228" si="2141">O227</f>
        <v>205</v>
      </c>
      <c r="CK227" s="73" t="str">
        <f t="shared" ref="CK227:CK228" si="2142">S227</f>
        <v>-</v>
      </c>
      <c r="CL227" s="73">
        <f t="shared" ref="CL227:CL228" si="2143">W227</f>
        <v>250</v>
      </c>
      <c r="CM227" s="73" t="str">
        <f t="shared" ref="CM227:CM228" si="2144">AA227</f>
        <v>-</v>
      </c>
      <c r="CN227" s="73">
        <f t="shared" ref="CN227:CN228" si="2145">AE227</f>
        <v>285</v>
      </c>
      <c r="CO227" s="73">
        <f t="shared" ref="CO227:CO228" si="2146">AI227</f>
        <v>291</v>
      </c>
      <c r="CP227" s="73">
        <f t="shared" ref="CP227:CP228" si="2147">AM227</f>
        <v>328</v>
      </c>
      <c r="CQ227" s="73">
        <f t="shared" ref="CQ227:CQ228" si="2148">AQ227</f>
        <v>361</v>
      </c>
      <c r="CR227" s="73">
        <f t="shared" ref="CR227:CR228" si="2149">AU227</f>
        <v>394</v>
      </c>
      <c r="CS227" s="73">
        <f t="shared" ref="CS227:CS228" si="2150">AY227</f>
        <v>420</v>
      </c>
      <c r="CT227" s="23">
        <f t="shared" ref="CT227:CT228" si="2151">M227-K227</f>
        <v>1</v>
      </c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6"/>
      <c r="ACQ227" s="6"/>
      <c r="ACR227" s="6"/>
      <c r="ACS227" s="6"/>
      <c r="ACT227" s="6"/>
      <c r="ACU227" s="6"/>
      <c r="ACV227" s="6"/>
      <c r="ACW227" s="6"/>
      <c r="ACX227" s="6"/>
      <c r="ACY227" s="6"/>
      <c r="ACZ227" s="6"/>
      <c r="ADA227" s="6"/>
      <c r="ADB227" s="6"/>
      <c r="ADC227" s="6"/>
      <c r="ADD227" s="6"/>
      <c r="ADE227" s="6"/>
      <c r="ADF227" s="6"/>
      <c r="ADG227" s="6"/>
      <c r="ADH227" s="6"/>
      <c r="ADI227" s="6"/>
      <c r="ADJ227" s="6"/>
      <c r="ADK227" s="6"/>
      <c r="ADL227" s="6"/>
      <c r="ADM227" s="6"/>
      <c r="ADN227" s="6"/>
      <c r="ADO227" s="6"/>
      <c r="ADP227" s="6"/>
      <c r="ADQ227" s="6"/>
      <c r="ADR227" s="6"/>
      <c r="ADS227" s="6"/>
      <c r="ADT227" s="6"/>
      <c r="ADU227" s="6"/>
      <c r="ADV227" s="6"/>
      <c r="ADW227" s="6"/>
      <c r="ADX227" s="6"/>
      <c r="ADY227" s="6"/>
      <c r="ADZ227" s="6"/>
      <c r="AEA227" s="6"/>
      <c r="AEB227" s="6"/>
      <c r="AEC227" s="6"/>
      <c r="AED227" s="6"/>
      <c r="AEE227" s="6"/>
      <c r="AEF227" s="6"/>
      <c r="AEG227" s="6"/>
      <c r="AEH227" s="6"/>
      <c r="AEI227" s="6"/>
      <c r="AEJ227" s="6"/>
      <c r="AEK227" s="6"/>
      <c r="AEL227" s="6"/>
      <c r="AEM227" s="6"/>
      <c r="AEN227" s="6"/>
      <c r="AEO227" s="6"/>
      <c r="AEP227" s="6"/>
      <c r="AEQ227" s="6"/>
      <c r="AER227" s="6"/>
      <c r="AES227" s="6"/>
      <c r="AET227" s="6"/>
      <c r="AEU227" s="6"/>
      <c r="AEV227" s="6"/>
      <c r="AEW227" s="6"/>
      <c r="AEX227" s="6"/>
      <c r="AEY227" s="6"/>
      <c r="AEZ227" s="6"/>
      <c r="AFA227" s="6"/>
      <c r="AFB227" s="6"/>
      <c r="AFC227" s="6"/>
      <c r="AFD227" s="6"/>
      <c r="AFE227" s="6"/>
      <c r="AFF227" s="6"/>
      <c r="AFG227" s="6"/>
      <c r="AFH227" s="6"/>
      <c r="AFI227" s="6"/>
      <c r="AFJ227" s="6"/>
      <c r="AFK227" s="6"/>
      <c r="AFL227" s="6"/>
      <c r="AFM227" s="6"/>
      <c r="AFN227" s="6"/>
      <c r="AFO227" s="6"/>
      <c r="AFP227" s="6"/>
      <c r="AFQ227" s="6"/>
      <c r="AFR227" s="6"/>
      <c r="AFS227" s="6"/>
      <c r="AFT227" s="6"/>
      <c r="AFU227" s="6"/>
      <c r="AFV227" s="6"/>
      <c r="AFW227" s="6"/>
      <c r="AFX227" s="6"/>
      <c r="AFY227" s="6"/>
      <c r="AFZ227" s="6"/>
      <c r="AGA227" s="6"/>
      <c r="AGB227" s="6"/>
      <c r="AGC227" s="6"/>
      <c r="AGD227" s="6"/>
      <c r="AGE227" s="6"/>
      <c r="AGF227" s="6"/>
      <c r="AGG227" s="6"/>
      <c r="AGH227" s="6"/>
      <c r="AGI227" s="6"/>
      <c r="AGJ227" s="6"/>
      <c r="AGK227" s="6"/>
      <c r="AGL227" s="6"/>
      <c r="AGM227" s="6"/>
      <c r="AGN227" s="6"/>
      <c r="AGO227" s="6"/>
      <c r="AGP227" s="6"/>
      <c r="AGQ227" s="6"/>
      <c r="AGR227" s="6"/>
      <c r="AGS227" s="6"/>
      <c r="AGT227" s="6"/>
      <c r="AGU227" s="6"/>
      <c r="AGV227" s="6"/>
      <c r="AGW227" s="6"/>
      <c r="AGX227" s="6"/>
      <c r="AGY227" s="6"/>
      <c r="AGZ227" s="6"/>
      <c r="AHA227" s="6"/>
      <c r="AHB227" s="6"/>
      <c r="AHC227" s="6"/>
      <c r="AHD227" s="6"/>
      <c r="AHE227" s="6"/>
      <c r="AHF227" s="6"/>
      <c r="AHG227" s="6"/>
      <c r="AHH227" s="6"/>
      <c r="AHI227" s="6"/>
      <c r="AHJ227" s="6"/>
      <c r="AHK227" s="6"/>
      <c r="AHL227" s="6"/>
      <c r="AHM227" s="6"/>
      <c r="AHN227" s="6"/>
      <c r="AHO227" s="6"/>
      <c r="AHP227" s="6"/>
      <c r="AHQ227" s="6"/>
      <c r="AHR227" s="6"/>
      <c r="AHS227" s="6"/>
      <c r="AHT227" s="6"/>
      <c r="AHU227" s="6"/>
      <c r="AHV227" s="6"/>
      <c r="AHW227" s="6"/>
      <c r="AHX227" s="6"/>
      <c r="AHY227" s="6"/>
      <c r="AHZ227" s="6"/>
      <c r="AIA227" s="6"/>
      <c r="AIB227" s="6"/>
      <c r="AIC227" s="6"/>
      <c r="AID227" s="6"/>
      <c r="AIE227" s="6"/>
      <c r="AIF227" s="6"/>
      <c r="AIG227" s="6"/>
      <c r="AIH227" s="6"/>
      <c r="AII227" s="6"/>
      <c r="AIJ227" s="6"/>
      <c r="AIK227" s="6"/>
      <c r="AIL227" s="6"/>
      <c r="AIM227" s="6"/>
      <c r="AIN227" s="6"/>
      <c r="AIO227" s="6"/>
      <c r="AIP227" s="6"/>
      <c r="AIQ227" s="6"/>
      <c r="AIR227" s="6"/>
      <c r="AIS227" s="6"/>
      <c r="AIT227" s="6"/>
      <c r="AIU227" s="6"/>
      <c r="AIV227" s="6"/>
      <c r="AIW227" s="6"/>
      <c r="AIX227" s="6"/>
      <c r="AIY227" s="6"/>
      <c r="AIZ227" s="6"/>
      <c r="AJA227" s="6"/>
      <c r="AJB227" s="6"/>
      <c r="AJC227" s="6"/>
      <c r="AJD227" s="6"/>
      <c r="AJE227" s="6"/>
      <c r="AJF227" s="6"/>
      <c r="AJG227" s="6"/>
      <c r="AJH227" s="6"/>
      <c r="AJI227" s="6"/>
      <c r="AJJ227" s="6"/>
      <c r="AJK227" s="6"/>
      <c r="AJL227" s="6"/>
      <c r="AJM227" s="6"/>
      <c r="AJN227" s="6"/>
      <c r="AJO227" s="6"/>
      <c r="AJP227" s="6"/>
      <c r="AJQ227" s="6"/>
      <c r="AJR227" s="6"/>
      <c r="AJS227" s="6"/>
      <c r="AJT227" s="6"/>
      <c r="AJU227" s="6"/>
      <c r="AJV227" s="6"/>
      <c r="AJW227" s="6"/>
      <c r="AJX227" s="6"/>
      <c r="AJY227" s="6"/>
      <c r="AJZ227" s="6"/>
      <c r="AKA227" s="6"/>
      <c r="AKB227" s="6"/>
      <c r="AKC227" s="6"/>
      <c r="AKD227" s="6"/>
      <c r="AKE227" s="6"/>
      <c r="AKF227" s="6"/>
      <c r="AKG227" s="6"/>
      <c r="AKH227" s="6"/>
      <c r="AKI227" s="6"/>
      <c r="AKJ227" s="6"/>
      <c r="AKK227" s="6"/>
      <c r="AKL227" s="6"/>
      <c r="AKM227" s="6"/>
      <c r="AKN227" s="6"/>
      <c r="AKO227" s="6"/>
      <c r="AKP227" s="6"/>
      <c r="AKQ227" s="6"/>
      <c r="AKR227" s="6"/>
      <c r="AKS227" s="6"/>
      <c r="AKT227" s="6"/>
      <c r="AKU227" s="6"/>
      <c r="AKV227" s="6"/>
      <c r="AKW227" s="6"/>
      <c r="AKX227" s="6"/>
      <c r="AKY227" s="6"/>
      <c r="AKZ227" s="6"/>
      <c r="ALA227" s="6"/>
      <c r="ALB227" s="6"/>
      <c r="ALC227" s="6"/>
      <c r="ALD227" s="6"/>
      <c r="ALE227" s="6"/>
      <c r="ALF227" s="6"/>
      <c r="ALG227" s="6"/>
      <c r="ALH227" s="6"/>
      <c r="ALI227" s="6"/>
      <c r="ALJ227" s="6"/>
      <c r="ALK227" s="6"/>
      <c r="ALL227" s="6"/>
      <c r="ALM227" s="6"/>
      <c r="ALN227" s="6"/>
      <c r="ALO227" s="6"/>
      <c r="ALP227" s="6"/>
      <c r="ALQ227" s="6"/>
      <c r="ALR227" s="6"/>
      <c r="ALS227" s="6"/>
      <c r="ALT227" s="6"/>
      <c r="ALU227" s="6"/>
      <c r="ALV227" s="6"/>
      <c r="ALW227" s="6"/>
      <c r="ALX227" s="6"/>
      <c r="ALY227" s="6"/>
      <c r="ALZ227" s="6"/>
      <c r="AMA227" s="6"/>
      <c r="AMB227" s="6"/>
      <c r="AMC227" s="6"/>
      <c r="AMD227" s="6"/>
      <c r="AME227" s="6"/>
      <c r="AMF227" s="6"/>
      <c r="AMG227" s="6"/>
      <c r="AMH227" s="6"/>
      <c r="AMI227" s="6"/>
      <c r="AMJ227" s="6"/>
      <c r="AMK227" s="6"/>
      <c r="AML227" s="6"/>
      <c r="AMM227" s="6"/>
      <c r="AMN227" s="6"/>
      <c r="AMO227" s="6"/>
      <c r="AMP227" s="6"/>
    </row>
    <row r="228" spans="1:1030" x14ac:dyDescent="0.2">
      <c r="A228" s="3" t="str">
        <f t="shared" si="2124"/>
        <v>calcr_human_5UZ7</v>
      </c>
      <c r="B228" s="2" t="s">
        <v>401</v>
      </c>
      <c r="C228" s="3" t="s">
        <v>1409</v>
      </c>
      <c r="D228" s="3" t="str">
        <f>IFERROR(MID(VLOOKUP($B228,Seqs!$A:$B,2,0),E228,1),"")</f>
        <v>A</v>
      </c>
      <c r="E228" s="3">
        <v>136</v>
      </c>
      <c r="F228" s="3" t="str">
        <f>IFERROR(MID(VLOOKUP($B228,Seqs!$A:$B,2,0),G228,1),"")</f>
        <v>F</v>
      </c>
      <c r="G228" s="3">
        <v>173</v>
      </c>
      <c r="H228" s="3" t="str">
        <f>IFERROR(MID(VLOOKUP($B228,Seqs!$A:$B,2,0),I228,1),"")</f>
        <v>R</v>
      </c>
      <c r="I228" s="23">
        <v>174</v>
      </c>
      <c r="J228" s="3" t="str">
        <f>IFERROR(MID(VLOOKUP($B228,Seqs!$A:$B,2,0),K228,1),"")</f>
        <v>G</v>
      </c>
      <c r="K228" s="23">
        <v>177</v>
      </c>
      <c r="L228" s="3" t="str">
        <f>IFERROR(MID(VLOOKUP($B228,Seqs!$A:$B,2,0),M228,1),"")</f>
        <v>C</v>
      </c>
      <c r="M228" s="3">
        <v>178</v>
      </c>
      <c r="N228" s="3" t="str">
        <f>IFERROR(MID(VLOOKUP($B228,Seqs!$A:$B,2,0),O228,1),"")</f>
        <v>V</v>
      </c>
      <c r="O228" s="3">
        <v>205</v>
      </c>
      <c r="P228" s="3" t="str">
        <f>IFERROR(MID(VLOOKUP($B228,Seqs!$A:$B,2,0),Q228,1),"")</f>
        <v/>
      </c>
      <c r="Q228" s="3" t="s">
        <v>23</v>
      </c>
      <c r="R228" s="3" t="str">
        <f>IFERROR(MID(VLOOKUP($B228,Seqs!$A:$B,2,0),S228,1),"")</f>
        <v/>
      </c>
      <c r="S228" s="3" t="s">
        <v>23</v>
      </c>
      <c r="T228" s="3" t="str">
        <f>IFERROR(MID(VLOOKUP($B228,Seqs!$A:$B,2,0),U228,1),"")</f>
        <v>D</v>
      </c>
      <c r="U228" s="3">
        <v>215</v>
      </c>
      <c r="V228" s="3" t="str">
        <f>IFERROR(MID(VLOOKUP($B228,Seqs!$A:$B,2,0),W228,1),"")</f>
        <v>V</v>
      </c>
      <c r="W228" s="3">
        <v>250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R</v>
      </c>
      <c r="AC228" s="3">
        <v>258</v>
      </c>
      <c r="AD228" s="3" t="str">
        <f>IFERROR(MID(VLOOKUP($B228,Seqs!$A:$B,2,0),AE228,1),"")</f>
        <v>F</v>
      </c>
      <c r="AE228" s="3">
        <v>285</v>
      </c>
      <c r="AF228" s="3" t="str">
        <f>IFERROR(MID(VLOOKUP($B228,Seqs!$A:$B,2,0),AG228,1),"")</f>
        <v>C</v>
      </c>
      <c r="AG228" s="3">
        <v>289</v>
      </c>
      <c r="AH228" s="3" t="str">
        <f>IFERROR(MID(VLOOKUP($B228,Seqs!$A:$B,2,0),AI228,1),"")</f>
        <v>L</v>
      </c>
      <c r="AI228" s="3">
        <v>291</v>
      </c>
      <c r="AJ228" s="3" t="str">
        <f>IFERROR(MID(VLOOKUP($B228,Seqs!$A:$B,2,0),AK228,1),"")</f>
        <v>L</v>
      </c>
      <c r="AK228" s="3">
        <v>298</v>
      </c>
      <c r="AL228" s="3" t="str">
        <f>IFERROR(MID(VLOOKUP($B228,Seqs!$A:$B,2,0),AM228,1),"")</f>
        <v>R</v>
      </c>
      <c r="AM228" s="3">
        <v>328</v>
      </c>
      <c r="AN228" s="3" t="str">
        <f>IFERROR(MID(VLOOKUP($B228,Seqs!$A:$B,2,0),AO228,1),"")</f>
        <v>Y</v>
      </c>
      <c r="AO228" s="3">
        <v>338</v>
      </c>
      <c r="AP228" s="3" t="str">
        <f>IFERROR(MID(VLOOKUP($B228,Seqs!$A:$B,2,0),AQ228,1),"")</f>
        <v>P</v>
      </c>
      <c r="AQ228" s="3">
        <v>360</v>
      </c>
      <c r="AR228" s="3" t="str">
        <f>IFERROR(MID(VLOOKUP($B228,Seqs!$A:$B,2,0),AS228,1),"")</f>
        <v>K</v>
      </c>
      <c r="AS228" s="3">
        <v>366</v>
      </c>
      <c r="AT228" s="3" t="str">
        <f>IFERROR(MID(VLOOKUP($B228,Seqs!$A:$B,2,0),AU228,1),"")</f>
        <v>C</v>
      </c>
      <c r="AU228" s="3">
        <v>394</v>
      </c>
      <c r="AV228" s="3" t="str">
        <f>IFERROR(MID(VLOOKUP($B228,Seqs!$A:$B,2,0),AW228,1),"")</f>
        <v>N</v>
      </c>
      <c r="AW228" s="3">
        <v>395</v>
      </c>
      <c r="AX228" s="3" t="str">
        <f>IFERROR(MID(VLOOKUP($B228,Seqs!$A:$B,2,0),AY228,1),"")</f>
        <v>G</v>
      </c>
      <c r="AY228" s="3">
        <v>418</v>
      </c>
      <c r="AZ228" s="78" t="str">
        <f>VLOOKUP(B228,Classification!A:D,2,0)</f>
        <v>B1</v>
      </c>
      <c r="BA228" s="95" t="str">
        <f>VLOOKUP(B228,Classification!A:D,4,0)</f>
        <v>Calcitonin</v>
      </c>
      <c r="BB228" s="27" t="b">
        <f t="shared" si="2125"/>
        <v>1</v>
      </c>
      <c r="BC228" s="23">
        <f t="shared" si="2126"/>
        <v>246</v>
      </c>
      <c r="BD228" s="4" t="s">
        <v>1382</v>
      </c>
      <c r="BE228" s="3" t="s">
        <v>1297</v>
      </c>
      <c r="BF228" s="120">
        <v>4.0999999999999996</v>
      </c>
      <c r="BG228" s="49" t="s">
        <v>1384</v>
      </c>
      <c r="BH228" s="49" t="s">
        <v>1384</v>
      </c>
      <c r="BI228" s="1"/>
      <c r="BJ228" s="71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1">
        <f t="shared" si="2127"/>
        <v>136</v>
      </c>
      <c r="BW228" s="72">
        <f t="shared" si="2128"/>
        <v>174</v>
      </c>
      <c r="BX228" s="73">
        <f t="shared" si="2129"/>
        <v>178</v>
      </c>
      <c r="BY228" s="72" t="str">
        <f t="shared" si="2130"/>
        <v>-</v>
      </c>
      <c r="BZ228" s="73">
        <f t="shared" si="2131"/>
        <v>215</v>
      </c>
      <c r="CA228" s="72" t="str">
        <f t="shared" si="2132"/>
        <v>-</v>
      </c>
      <c r="CB228" s="73">
        <f t="shared" si="2133"/>
        <v>258</v>
      </c>
      <c r="CC228" s="72">
        <f t="shared" si="2134"/>
        <v>289</v>
      </c>
      <c r="CD228" s="73">
        <f t="shared" si="2135"/>
        <v>298</v>
      </c>
      <c r="CE228" s="72">
        <f t="shared" si="2136"/>
        <v>338</v>
      </c>
      <c r="CF228" s="73">
        <f t="shared" si="2137"/>
        <v>366</v>
      </c>
      <c r="CG228" s="72">
        <f t="shared" si="2138"/>
        <v>395</v>
      </c>
      <c r="CH228" s="71">
        <f t="shared" si="2139"/>
        <v>173</v>
      </c>
      <c r="CI228" s="72">
        <f t="shared" si="2140"/>
        <v>177</v>
      </c>
      <c r="CJ228" s="73">
        <f t="shared" si="2141"/>
        <v>205</v>
      </c>
      <c r="CK228" s="73" t="str">
        <f t="shared" si="2142"/>
        <v>-</v>
      </c>
      <c r="CL228" s="73">
        <f t="shared" si="2143"/>
        <v>250</v>
      </c>
      <c r="CM228" s="73" t="str">
        <f t="shared" si="2144"/>
        <v>-</v>
      </c>
      <c r="CN228" s="73">
        <f t="shared" si="2145"/>
        <v>285</v>
      </c>
      <c r="CO228" s="73">
        <f t="shared" si="2146"/>
        <v>291</v>
      </c>
      <c r="CP228" s="73">
        <f t="shared" si="2147"/>
        <v>328</v>
      </c>
      <c r="CQ228" s="73">
        <f t="shared" si="2148"/>
        <v>360</v>
      </c>
      <c r="CR228" s="73">
        <f t="shared" si="2149"/>
        <v>394</v>
      </c>
      <c r="CS228" s="73">
        <f t="shared" si="2150"/>
        <v>418</v>
      </c>
      <c r="CT228" s="23">
        <f t="shared" si="2151"/>
        <v>1</v>
      </c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6"/>
      <c r="ACQ228" s="6"/>
      <c r="ACR228" s="6"/>
      <c r="ACS228" s="6"/>
      <c r="ACT228" s="6"/>
      <c r="ACU228" s="6"/>
      <c r="ACV228" s="6"/>
      <c r="ACW228" s="6"/>
      <c r="ACX228" s="6"/>
      <c r="ACY228" s="6"/>
      <c r="ACZ228" s="6"/>
      <c r="ADA228" s="6"/>
      <c r="ADB228" s="6"/>
      <c r="ADC228" s="6"/>
      <c r="ADD228" s="6"/>
      <c r="ADE228" s="6"/>
      <c r="ADF228" s="6"/>
      <c r="ADG228" s="6"/>
      <c r="ADH228" s="6"/>
      <c r="ADI228" s="6"/>
      <c r="ADJ228" s="6"/>
      <c r="ADK228" s="6"/>
      <c r="ADL228" s="6"/>
      <c r="ADM228" s="6"/>
      <c r="ADN228" s="6"/>
      <c r="ADO228" s="6"/>
      <c r="ADP228" s="6"/>
      <c r="ADQ228" s="6"/>
      <c r="ADR228" s="6"/>
      <c r="ADS228" s="6"/>
      <c r="ADT228" s="6"/>
      <c r="ADU228" s="6"/>
      <c r="ADV228" s="6"/>
      <c r="ADW228" s="6"/>
      <c r="ADX228" s="6"/>
      <c r="ADY228" s="6"/>
      <c r="ADZ228" s="6"/>
      <c r="AEA228" s="6"/>
      <c r="AEB228" s="6"/>
      <c r="AEC228" s="6"/>
      <c r="AED228" s="6"/>
      <c r="AEE228" s="6"/>
      <c r="AEF228" s="6"/>
      <c r="AEG228" s="6"/>
      <c r="AEH228" s="6"/>
      <c r="AEI228" s="6"/>
      <c r="AEJ228" s="6"/>
      <c r="AEK228" s="6"/>
      <c r="AEL228" s="6"/>
      <c r="AEM228" s="6"/>
      <c r="AEN228" s="6"/>
      <c r="AEO228" s="6"/>
      <c r="AEP228" s="6"/>
      <c r="AEQ228" s="6"/>
      <c r="AER228" s="6"/>
      <c r="AES228" s="6"/>
      <c r="AET228" s="6"/>
      <c r="AEU228" s="6"/>
      <c r="AEV228" s="6"/>
      <c r="AEW228" s="6"/>
      <c r="AEX228" s="6"/>
      <c r="AEY228" s="6"/>
      <c r="AEZ228" s="6"/>
      <c r="AFA228" s="6"/>
      <c r="AFB228" s="6"/>
      <c r="AFC228" s="6"/>
      <c r="AFD228" s="6"/>
      <c r="AFE228" s="6"/>
      <c r="AFF228" s="6"/>
      <c r="AFG228" s="6"/>
      <c r="AFH228" s="6"/>
      <c r="AFI228" s="6"/>
      <c r="AFJ228" s="6"/>
      <c r="AFK228" s="6"/>
      <c r="AFL228" s="6"/>
      <c r="AFM228" s="6"/>
      <c r="AFN228" s="6"/>
      <c r="AFO228" s="6"/>
      <c r="AFP228" s="6"/>
      <c r="AFQ228" s="6"/>
      <c r="AFR228" s="6"/>
      <c r="AFS228" s="6"/>
      <c r="AFT228" s="6"/>
      <c r="AFU228" s="6"/>
      <c r="AFV228" s="6"/>
      <c r="AFW228" s="6"/>
      <c r="AFX228" s="6"/>
      <c r="AFY228" s="6"/>
      <c r="AFZ228" s="6"/>
      <c r="AGA228" s="6"/>
      <c r="AGB228" s="6"/>
      <c r="AGC228" s="6"/>
      <c r="AGD228" s="6"/>
      <c r="AGE228" s="6"/>
      <c r="AGF228" s="6"/>
      <c r="AGG228" s="6"/>
      <c r="AGH228" s="6"/>
      <c r="AGI228" s="6"/>
      <c r="AGJ228" s="6"/>
      <c r="AGK228" s="6"/>
      <c r="AGL228" s="6"/>
      <c r="AGM228" s="6"/>
      <c r="AGN228" s="6"/>
      <c r="AGO228" s="6"/>
      <c r="AGP228" s="6"/>
      <c r="AGQ228" s="6"/>
      <c r="AGR228" s="6"/>
      <c r="AGS228" s="6"/>
      <c r="AGT228" s="6"/>
      <c r="AGU228" s="6"/>
      <c r="AGV228" s="6"/>
      <c r="AGW228" s="6"/>
      <c r="AGX228" s="6"/>
      <c r="AGY228" s="6"/>
      <c r="AGZ228" s="6"/>
      <c r="AHA228" s="6"/>
      <c r="AHB228" s="6"/>
      <c r="AHC228" s="6"/>
      <c r="AHD228" s="6"/>
      <c r="AHE228" s="6"/>
      <c r="AHF228" s="6"/>
      <c r="AHG228" s="6"/>
      <c r="AHH228" s="6"/>
      <c r="AHI228" s="6"/>
      <c r="AHJ228" s="6"/>
      <c r="AHK228" s="6"/>
      <c r="AHL228" s="6"/>
      <c r="AHM228" s="6"/>
      <c r="AHN228" s="6"/>
      <c r="AHO228" s="6"/>
      <c r="AHP228" s="6"/>
      <c r="AHQ228" s="6"/>
      <c r="AHR228" s="6"/>
      <c r="AHS228" s="6"/>
      <c r="AHT228" s="6"/>
      <c r="AHU228" s="6"/>
      <c r="AHV228" s="6"/>
      <c r="AHW228" s="6"/>
      <c r="AHX228" s="6"/>
      <c r="AHY228" s="6"/>
      <c r="AHZ228" s="6"/>
      <c r="AIA228" s="6"/>
      <c r="AIB228" s="6"/>
      <c r="AIC228" s="6"/>
      <c r="AID228" s="6"/>
      <c r="AIE228" s="6"/>
      <c r="AIF228" s="6"/>
      <c r="AIG228" s="6"/>
      <c r="AIH228" s="6"/>
      <c r="AII228" s="6"/>
      <c r="AIJ228" s="6"/>
      <c r="AIK228" s="6"/>
      <c r="AIL228" s="6"/>
      <c r="AIM228" s="6"/>
      <c r="AIN228" s="6"/>
      <c r="AIO228" s="6"/>
      <c r="AIP228" s="6"/>
      <c r="AIQ228" s="6"/>
      <c r="AIR228" s="6"/>
      <c r="AIS228" s="6"/>
      <c r="AIT228" s="6"/>
      <c r="AIU228" s="6"/>
      <c r="AIV228" s="6"/>
      <c r="AIW228" s="6"/>
      <c r="AIX228" s="6"/>
      <c r="AIY228" s="6"/>
      <c r="AIZ228" s="6"/>
      <c r="AJA228" s="6"/>
      <c r="AJB228" s="6"/>
      <c r="AJC228" s="6"/>
      <c r="AJD228" s="6"/>
      <c r="AJE228" s="6"/>
      <c r="AJF228" s="6"/>
      <c r="AJG228" s="6"/>
      <c r="AJH228" s="6"/>
      <c r="AJI228" s="6"/>
      <c r="AJJ228" s="6"/>
      <c r="AJK228" s="6"/>
      <c r="AJL228" s="6"/>
      <c r="AJM228" s="6"/>
      <c r="AJN228" s="6"/>
      <c r="AJO228" s="6"/>
      <c r="AJP228" s="6"/>
      <c r="AJQ228" s="6"/>
      <c r="AJR228" s="6"/>
      <c r="AJS228" s="6"/>
      <c r="AJT228" s="6"/>
      <c r="AJU228" s="6"/>
      <c r="AJV228" s="6"/>
      <c r="AJW228" s="6"/>
      <c r="AJX228" s="6"/>
      <c r="AJY228" s="6"/>
      <c r="AJZ228" s="6"/>
      <c r="AKA228" s="6"/>
      <c r="AKB228" s="6"/>
      <c r="AKC228" s="6"/>
      <c r="AKD228" s="6"/>
      <c r="AKE228" s="6"/>
      <c r="AKF228" s="6"/>
      <c r="AKG228" s="6"/>
      <c r="AKH228" s="6"/>
      <c r="AKI228" s="6"/>
      <c r="AKJ228" s="6"/>
      <c r="AKK228" s="6"/>
      <c r="AKL228" s="6"/>
      <c r="AKM228" s="6"/>
      <c r="AKN228" s="6"/>
      <c r="AKO228" s="6"/>
      <c r="AKP228" s="6"/>
      <c r="AKQ228" s="6"/>
      <c r="AKR228" s="6"/>
      <c r="AKS228" s="6"/>
      <c r="AKT228" s="6"/>
      <c r="AKU228" s="6"/>
      <c r="AKV228" s="6"/>
      <c r="AKW228" s="6"/>
      <c r="AKX228" s="6"/>
      <c r="AKY228" s="6"/>
      <c r="AKZ228" s="6"/>
      <c r="ALA228" s="6"/>
      <c r="ALB228" s="6"/>
      <c r="ALC228" s="6"/>
      <c r="ALD228" s="6"/>
      <c r="ALE228" s="6"/>
      <c r="ALF228" s="6"/>
      <c r="ALG228" s="6"/>
      <c r="ALH228" s="6"/>
      <c r="ALI228" s="6"/>
      <c r="ALJ228" s="6"/>
      <c r="ALK228" s="6"/>
      <c r="ALL228" s="6"/>
      <c r="ALM228" s="6"/>
      <c r="ALN228" s="6"/>
      <c r="ALO228" s="6"/>
      <c r="ALP228" s="6"/>
      <c r="ALQ228" s="6"/>
      <c r="ALR228" s="6"/>
      <c r="ALS228" s="6"/>
      <c r="ALT228" s="6"/>
      <c r="ALU228" s="6"/>
      <c r="ALV228" s="6"/>
      <c r="ALW228" s="6"/>
      <c r="ALX228" s="6"/>
      <c r="ALY228" s="6"/>
      <c r="ALZ228" s="6"/>
      <c r="AMA228" s="6"/>
      <c r="AMB228" s="6"/>
      <c r="AMC228" s="6"/>
      <c r="AMD228" s="6"/>
      <c r="AME228" s="6"/>
      <c r="AMF228" s="6"/>
      <c r="AMG228" s="6"/>
      <c r="AMH228" s="6"/>
      <c r="AMI228" s="6"/>
      <c r="AMJ228" s="6"/>
      <c r="AMK228" s="6"/>
      <c r="AML228" s="6"/>
      <c r="AMM228" s="6"/>
      <c r="AMN228" s="6"/>
      <c r="AMO228" s="6"/>
      <c r="AMP228" s="6"/>
    </row>
    <row r="229" spans="1:1030" x14ac:dyDescent="0.2">
      <c r="A229" s="3" t="str">
        <f t="shared" si="1507"/>
        <v>crfr1_human__wt</v>
      </c>
      <c r="B229" s="3" t="s">
        <v>38</v>
      </c>
      <c r="C229" s="3" t="s">
        <v>100</v>
      </c>
      <c r="D229" s="3" t="str">
        <f>IFERROR(MID(VLOOKUP($B229,Seqs!$A:$B,2,0),E229,1),"")</f>
        <v>Q</v>
      </c>
      <c r="E229" s="3">
        <v>103</v>
      </c>
      <c r="F229" s="3" t="str">
        <f>IFERROR(MID(VLOOKUP($B229,Seqs!$A:$B,2,0),G229,1),"")</f>
        <v>L</v>
      </c>
      <c r="G229" s="3">
        <v>144</v>
      </c>
      <c r="H229" s="3" t="str">
        <f>IFERROR(MID(VLOOKUP($B229,Seqs!$A:$B,2,0),I229,1),"")</f>
        <v>R</v>
      </c>
      <c r="I229" s="23">
        <v>145</v>
      </c>
      <c r="J229" s="3" t="str">
        <f>IFERROR(MID(VLOOKUP($B229,Seqs!$A:$B,2,0),K229,1),"")</f>
        <v>R</v>
      </c>
      <c r="K229" s="23">
        <v>148</v>
      </c>
      <c r="L229" s="3" t="str">
        <f>IFERROR(MID(VLOOKUP($B229,Seqs!$A:$B,2,0),M229,1),"")</f>
        <v>C</v>
      </c>
      <c r="M229" s="23">
        <v>149</v>
      </c>
      <c r="N229" s="3" t="str">
        <f>IFERROR(MID(VLOOKUP($B229,Seqs!$A:$B,2,0),O229,1),"")</f>
        <v>T</v>
      </c>
      <c r="O229" s="3">
        <v>175</v>
      </c>
      <c r="P229" s="3" t="str">
        <f>IFERROR(MID(VLOOKUP($B229,Seqs!$A:$B,2,0),Q229,1),"")</f>
        <v/>
      </c>
      <c r="Q229" s="3" t="s">
        <v>23</v>
      </c>
      <c r="R229" s="3" t="str">
        <f>IFERROR(MID(VLOOKUP($B229,Seqs!$A:$B,2,0),S229,1),"")</f>
        <v/>
      </c>
      <c r="S229" s="3" t="s">
        <v>23</v>
      </c>
      <c r="T229" s="3" t="str">
        <f>IFERROR(MID(VLOOKUP($B229,Seqs!$A:$B,2,0),U229,1),"")</f>
        <v>V</v>
      </c>
      <c r="U229" s="3">
        <v>185</v>
      </c>
      <c r="V229" s="3" t="str">
        <f>IFERROR(MID(VLOOKUP($B229,Seqs!$A:$B,2,0),W229,1),"")</f>
        <v>L</v>
      </c>
      <c r="W229" s="3">
        <v>219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L</v>
      </c>
      <c r="AC229" s="9">
        <v>226</v>
      </c>
      <c r="AD229" s="3" t="str">
        <f>IFERROR(MID(VLOOKUP($B229,Seqs!$A:$B,2,0),AE229,1),"")</f>
        <v>D</v>
      </c>
      <c r="AE229" s="3">
        <v>254</v>
      </c>
      <c r="AF229" s="3" t="str">
        <f>IFERROR(MID(VLOOKUP($B229,Seqs!$A:$B,2,0),AG229,1),"")</f>
        <v>C</v>
      </c>
      <c r="AG229" s="3">
        <v>258</v>
      </c>
      <c r="AH229" s="3" t="str">
        <f>IFERROR(MID(VLOOKUP($B229,Seqs!$A:$B,2,0),AI229,1),"")</f>
        <v>F</v>
      </c>
      <c r="AI229" s="3">
        <v>260</v>
      </c>
      <c r="AJ229" s="3" t="str">
        <f>IFERROR(MID(VLOOKUP($B229,Seqs!$A:$B,2,0),AK229,1),"")</f>
        <v>T</v>
      </c>
      <c r="AK229" s="3">
        <v>268</v>
      </c>
      <c r="AL229" s="3" t="str">
        <f>IFERROR(MID(VLOOKUP($B229,Seqs!$A:$B,2,0),AM229,1),"")</f>
        <v>L</v>
      </c>
      <c r="AM229" s="3">
        <v>298</v>
      </c>
      <c r="AN229" s="3" t="str">
        <f>IFERROR(MID(VLOOKUP($B229,Seqs!$A:$B,2,0),AO229,1),"")</f>
        <v>S</v>
      </c>
      <c r="AO229" s="3">
        <v>304</v>
      </c>
      <c r="AP229" s="3" t="str">
        <f>IFERROR(MID(VLOOKUP($B229,Seqs!$A:$B,2,0),AQ229,1),"")</f>
        <v>V</v>
      </c>
      <c r="AQ229" s="3">
        <v>332</v>
      </c>
      <c r="AR229" s="3" t="str">
        <f>IFERROR(MID(VLOOKUP($B229,Seqs!$A:$B,2,0),AS229,1),"")</f>
        <v>V</v>
      </c>
      <c r="AS229" s="3">
        <v>339</v>
      </c>
      <c r="AT229" s="3" t="str">
        <f>IFERROR(MID(VLOOKUP($B229,Seqs!$A:$B,2,0),AU229,1),"")</f>
        <v>L</v>
      </c>
      <c r="AU229" s="3">
        <v>366</v>
      </c>
      <c r="AV229" s="3" t="str">
        <f>IFERROR(MID(VLOOKUP($B229,Seqs!$A:$B,2,0),AW229,1),"")</f>
        <v>N</v>
      </c>
      <c r="AW229" s="3">
        <v>367</v>
      </c>
      <c r="AX229" s="3" t="str">
        <f>IFERROR(MID(VLOOKUP($B229,Seqs!$A:$B,2,0),AY229,1),"")</f>
        <v>A</v>
      </c>
      <c r="AY229" s="3">
        <v>392</v>
      </c>
      <c r="AZ229" s="78" t="str">
        <f>VLOOKUP(B229,Classification!A:D,2,0)</f>
        <v>B1</v>
      </c>
      <c r="BA229" s="95" t="str">
        <f>VLOOKUP(B229,Classification!A:D,4,0)</f>
        <v>Corticotropin-releasingfact</v>
      </c>
      <c r="BB229" s="27" t="b">
        <f t="shared" si="1508"/>
        <v>1</v>
      </c>
      <c r="BC229" s="23">
        <f t="shared" ref="BC229:BC263" si="2152">_xlfn.AGGREGATE(9,6,CH229:CS229)-_xlfn.AGGREGATE(9,6,BV229:CG229)+12</f>
        <v>256</v>
      </c>
      <c r="BD229" s="56" t="s">
        <v>1379</v>
      </c>
      <c r="BE229" s="3" t="s">
        <v>23</v>
      </c>
      <c r="BF229" s="120" t="s">
        <v>23</v>
      </c>
      <c r="BG229" s="49" t="s">
        <v>1379</v>
      </c>
      <c r="BH229" s="49" t="s">
        <v>1384</v>
      </c>
      <c r="BI229" s="1"/>
      <c r="BJ229" s="71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1">
        <f t="shared" ref="BV229:BV263" si="2153">E229</f>
        <v>103</v>
      </c>
      <c r="BW229" s="72">
        <f t="shared" ref="BW229:BW263" si="2154">I229</f>
        <v>145</v>
      </c>
      <c r="BX229" s="73">
        <f t="shared" ref="BX229:BX263" si="2155">M229</f>
        <v>149</v>
      </c>
      <c r="BY229" s="72" t="str">
        <f t="shared" ref="BY229:BY263" si="2156">Q229</f>
        <v>-</v>
      </c>
      <c r="BZ229" s="73">
        <f t="shared" ref="BZ229:BZ263" si="2157">U229</f>
        <v>185</v>
      </c>
      <c r="CA229" s="72" t="str">
        <f t="shared" ref="CA229:CA263" si="2158">Y229</f>
        <v>-</v>
      </c>
      <c r="CB229" s="73">
        <f t="shared" ref="CB229:CB263" si="2159">AC229</f>
        <v>226</v>
      </c>
      <c r="CC229" s="72">
        <f t="shared" ref="CC229:CC263" si="2160">AG229</f>
        <v>258</v>
      </c>
      <c r="CD229" s="73">
        <f t="shared" ref="CD229:CD263" si="2161">AK229</f>
        <v>268</v>
      </c>
      <c r="CE229" s="72">
        <f t="shared" ref="CE229:CE263" si="2162">AO229</f>
        <v>304</v>
      </c>
      <c r="CF229" s="73">
        <f t="shared" ref="CF229:CF263" si="2163">AS229</f>
        <v>339</v>
      </c>
      <c r="CG229" s="72">
        <f t="shared" ref="CG229:CG263" si="2164">AW229</f>
        <v>367</v>
      </c>
      <c r="CH229" s="71">
        <f t="shared" ref="CH229:CH263" si="2165">G229</f>
        <v>144</v>
      </c>
      <c r="CI229" s="72">
        <f t="shared" ref="CI229:CI263" si="2166">K229</f>
        <v>148</v>
      </c>
      <c r="CJ229" s="73">
        <f t="shared" ref="CJ229:CJ263" si="2167">O229</f>
        <v>175</v>
      </c>
      <c r="CK229" s="73" t="str">
        <f t="shared" ref="CK229:CK263" si="2168">S229</f>
        <v>-</v>
      </c>
      <c r="CL229" s="73">
        <f t="shared" ref="CL229:CL263" si="2169">W229</f>
        <v>219</v>
      </c>
      <c r="CM229" s="73" t="str">
        <f t="shared" ref="CM229:CM263" si="2170">AA229</f>
        <v>-</v>
      </c>
      <c r="CN229" s="73">
        <f t="shared" ref="CN229:CN263" si="2171">AE229</f>
        <v>254</v>
      </c>
      <c r="CO229" s="73">
        <f t="shared" ref="CO229:CO263" si="2172">AI229</f>
        <v>260</v>
      </c>
      <c r="CP229" s="73">
        <f t="shared" ref="CP229:CP263" si="2173">AM229</f>
        <v>298</v>
      </c>
      <c r="CQ229" s="73">
        <f t="shared" ref="CQ229:CQ263" si="2174">AQ229</f>
        <v>332</v>
      </c>
      <c r="CR229" s="73">
        <f t="shared" ref="CR229:CR263" si="2175">AU229</f>
        <v>366</v>
      </c>
      <c r="CS229" s="73">
        <f t="shared" ref="CS229:CS263" si="2176">AY229</f>
        <v>392</v>
      </c>
      <c r="CT229" s="23">
        <f t="shared" ref="CT229:CT263" si="2177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1507"/>
        <v>crfr1_human_4K5Y</v>
      </c>
      <c r="B230" s="3" t="s">
        <v>38</v>
      </c>
      <c r="C230" s="3" t="s">
        <v>95</v>
      </c>
      <c r="D230" s="3" t="str">
        <f>IFERROR(MID(VLOOKUP($B230,Seqs!$A:$B,2,0),E230,1),"")</f>
        <v>H</v>
      </c>
      <c r="E230" s="3">
        <v>117</v>
      </c>
      <c r="F230" s="3" t="str">
        <f>IFERROR(MID(VLOOKUP($B230,Seqs!$A:$B,2,0),G230,1),"")</f>
        <v>L</v>
      </c>
      <c r="G230" s="3">
        <v>144</v>
      </c>
      <c r="H230" s="3" t="str">
        <f>IFERROR(MID(VLOOKUP($B230,Seqs!$A:$B,2,0),I230,1),"")</f>
        <v>R</v>
      </c>
      <c r="I230" s="23">
        <v>145</v>
      </c>
      <c r="J230" s="3" t="str">
        <f>IFERROR(MID(VLOOKUP($B230,Seqs!$A:$B,2,0),K230,1),"")</f>
        <v>R</v>
      </c>
      <c r="K230" s="23">
        <v>148</v>
      </c>
      <c r="L230" s="3" t="str">
        <f>IFERROR(MID(VLOOKUP($B230,Seqs!$A:$B,2,0),M230,1),"")</f>
        <v>C</v>
      </c>
      <c r="M230" s="23">
        <v>149</v>
      </c>
      <c r="N230" s="3" t="str">
        <f>IFERROR(MID(VLOOKUP($B230,Seqs!$A:$B,2,0),O230,1),"")</f>
        <v>T</v>
      </c>
      <c r="O230" s="3">
        <v>175</v>
      </c>
      <c r="P230" s="3" t="str">
        <f>IFERROR(MID(VLOOKUP($B230,Seqs!$A:$B,2,0),Q230,1),"")</f>
        <v/>
      </c>
      <c r="Q230" s="3" t="s">
        <v>23</v>
      </c>
      <c r="R230" s="3" t="str">
        <f>IFERROR(MID(VLOOKUP($B230,Seqs!$A:$B,2,0),S230,1),"")</f>
        <v/>
      </c>
      <c r="S230" s="3" t="s">
        <v>23</v>
      </c>
      <c r="T230" s="3" t="str">
        <f>IFERROR(MID(VLOOKUP($B230,Seqs!$A:$B,2,0),U230,1),"")</f>
        <v>V</v>
      </c>
      <c r="U230" s="3">
        <v>185</v>
      </c>
      <c r="V230" s="3" t="str">
        <f>IFERROR(MID(VLOOKUP($B230,Seqs!$A:$B,2,0),W230,1),"")</f>
        <v>L</v>
      </c>
      <c r="W230" s="3">
        <v>219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L</v>
      </c>
      <c r="AC230" s="9">
        <v>226</v>
      </c>
      <c r="AD230" s="3" t="str">
        <f>IFERROR(MID(VLOOKUP($B230,Seqs!$A:$B,2,0),AE230,1),"")</f>
        <v>D</v>
      </c>
      <c r="AE230" s="3">
        <v>254</v>
      </c>
      <c r="AF230" s="3" t="str">
        <f>IFERROR(MID(VLOOKUP($B230,Seqs!$A:$B,2,0),AG230,1),"")</f>
        <v>C</v>
      </c>
      <c r="AG230" s="3">
        <v>258</v>
      </c>
      <c r="AH230" s="3" t="str">
        <f>IFERROR(MID(VLOOKUP($B230,Seqs!$A:$B,2,0),AI230,1),"")</f>
        <v>F</v>
      </c>
      <c r="AI230" s="3">
        <v>260</v>
      </c>
      <c r="AJ230" s="3" t="str">
        <f>IFERROR(MID(VLOOKUP($B230,Seqs!$A:$B,2,0),AK230,1),"")</f>
        <v>T</v>
      </c>
      <c r="AK230" s="3">
        <v>268</v>
      </c>
      <c r="AL230" s="3" t="str">
        <f>IFERROR(MID(VLOOKUP($B230,Seqs!$A:$B,2,0),AM230,1),"")</f>
        <v>L</v>
      </c>
      <c r="AM230" s="3">
        <v>298</v>
      </c>
      <c r="AN230" s="3" t="str">
        <f>IFERROR(MID(VLOOKUP($B230,Seqs!$A:$B,2,0),AO230,1),"")</f>
        <v>S</v>
      </c>
      <c r="AO230" s="3">
        <v>304</v>
      </c>
      <c r="AP230" s="3" t="str">
        <f>IFERROR(MID(VLOOKUP($B230,Seqs!$A:$B,2,0),AQ230,1),"")</f>
        <v>V</v>
      </c>
      <c r="AQ230" s="3">
        <v>332</v>
      </c>
      <c r="AR230" s="3" t="str">
        <f>IFERROR(MID(VLOOKUP($B230,Seqs!$A:$B,2,0),AS230,1),"")</f>
        <v>V</v>
      </c>
      <c r="AS230" s="3">
        <v>339</v>
      </c>
      <c r="AT230" s="3" t="str">
        <f>IFERROR(MID(VLOOKUP($B230,Seqs!$A:$B,2,0),AU230,1),"")</f>
        <v>F</v>
      </c>
      <c r="AU230" s="3">
        <v>362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8" t="str">
        <f>VLOOKUP(B230,Classification!A:D,2,0)</f>
        <v>B1</v>
      </c>
      <c r="BA230" s="95" t="str">
        <f>VLOOKUP(B230,Classification!A:D,4,0)</f>
        <v>Corticotropin-releasingfact</v>
      </c>
      <c r="BB230" s="27" t="b">
        <f t="shared" si="1508"/>
        <v>1</v>
      </c>
      <c r="BC230" s="23">
        <f t="shared" si="2152"/>
        <v>213</v>
      </c>
      <c r="BD230" s="4" t="s">
        <v>23</v>
      </c>
      <c r="BE230" s="3" t="s">
        <v>1381</v>
      </c>
      <c r="BF230" s="120">
        <v>2.98</v>
      </c>
      <c r="BG230" s="49" t="s">
        <v>1384</v>
      </c>
      <c r="BH230" s="49" t="s">
        <v>1384</v>
      </c>
      <c r="BI230" s="1"/>
      <c r="BJ230" s="71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1">
        <f t="shared" si="2153"/>
        <v>117</v>
      </c>
      <c r="BW230" s="72">
        <f t="shared" si="2154"/>
        <v>145</v>
      </c>
      <c r="BX230" s="73">
        <f t="shared" si="2155"/>
        <v>149</v>
      </c>
      <c r="BY230" s="72" t="str">
        <f t="shared" si="2156"/>
        <v>-</v>
      </c>
      <c r="BZ230" s="73">
        <f t="shared" si="2157"/>
        <v>185</v>
      </c>
      <c r="CA230" s="72" t="str">
        <f t="shared" si="2158"/>
        <v>-</v>
      </c>
      <c r="CB230" s="73">
        <f t="shared" si="2159"/>
        <v>226</v>
      </c>
      <c r="CC230" s="72">
        <f t="shared" si="2160"/>
        <v>258</v>
      </c>
      <c r="CD230" s="73">
        <f t="shared" si="2161"/>
        <v>268</v>
      </c>
      <c r="CE230" s="72">
        <f t="shared" si="2162"/>
        <v>304</v>
      </c>
      <c r="CF230" s="73">
        <f t="shared" si="2163"/>
        <v>339</v>
      </c>
      <c r="CG230" s="72" t="str">
        <f t="shared" si="2164"/>
        <v>-</v>
      </c>
      <c r="CH230" s="71">
        <f t="shared" si="2165"/>
        <v>144</v>
      </c>
      <c r="CI230" s="72">
        <f t="shared" si="2166"/>
        <v>148</v>
      </c>
      <c r="CJ230" s="73">
        <f t="shared" si="2167"/>
        <v>175</v>
      </c>
      <c r="CK230" s="73" t="str">
        <f t="shared" si="2168"/>
        <v>-</v>
      </c>
      <c r="CL230" s="73">
        <f t="shared" si="2169"/>
        <v>219</v>
      </c>
      <c r="CM230" s="73" t="str">
        <f t="shared" si="2170"/>
        <v>-</v>
      </c>
      <c r="CN230" s="73">
        <f t="shared" si="2171"/>
        <v>254</v>
      </c>
      <c r="CO230" s="73">
        <f t="shared" si="2172"/>
        <v>260</v>
      </c>
      <c r="CP230" s="73">
        <f t="shared" si="2173"/>
        <v>298</v>
      </c>
      <c r="CQ230" s="73">
        <f t="shared" si="2174"/>
        <v>332</v>
      </c>
      <c r="CR230" s="73">
        <f t="shared" si="2175"/>
        <v>362</v>
      </c>
      <c r="CS230" s="73" t="str">
        <f t="shared" si="2176"/>
        <v>-</v>
      </c>
      <c r="CT230" s="23">
        <f t="shared" si="2177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30" x14ac:dyDescent="0.2">
      <c r="A231" s="3" t="str">
        <f t="shared" si="1507"/>
        <v>crfr1_human_4K5Y_dist</v>
      </c>
      <c r="B231" s="3" t="s">
        <v>38</v>
      </c>
      <c r="C231" s="3" t="s">
        <v>1161</v>
      </c>
      <c r="D231" s="3" t="str">
        <f>IFERROR(MID(VLOOKUP($B231,Seqs!$A:$B,2,0),E231,1),"")</f>
        <v>H</v>
      </c>
      <c r="E231" s="3">
        <v>117</v>
      </c>
      <c r="F231" s="3" t="str">
        <f>IFERROR(MID(VLOOKUP($B231,Seqs!$A:$B,2,0),G231,1),"")</f>
        <v>L</v>
      </c>
      <c r="G231" s="3">
        <v>144</v>
      </c>
      <c r="H231" s="3" t="str">
        <f>IFERROR(MID(VLOOKUP($B231,Seqs!$A:$B,2,0),I231,1),"")</f>
        <v>R</v>
      </c>
      <c r="I231" s="23">
        <v>145</v>
      </c>
      <c r="J231" s="3" t="str">
        <f>IFERROR(MID(VLOOKUP($B231,Seqs!$A:$B,2,0),K231,1),"")</f>
        <v>R</v>
      </c>
      <c r="K231" s="23">
        <v>148</v>
      </c>
      <c r="L231" s="3" t="str">
        <f>IFERROR(MID(VLOOKUP($B231,Seqs!$A:$B,2,0),M231,1),"")</f>
        <v>C</v>
      </c>
      <c r="M231" s="23">
        <v>149</v>
      </c>
      <c r="N231" s="3" t="str">
        <f>IFERROR(MID(VLOOKUP($B231,Seqs!$A:$B,2,0),O231,1),"")</f>
        <v>T</v>
      </c>
      <c r="O231" s="3">
        <v>175</v>
      </c>
      <c r="P231" s="3" t="str">
        <f>IFERROR(MID(VLOOKUP($B231,Seqs!$A:$B,2,0),Q231,1),"")</f>
        <v/>
      </c>
      <c r="Q231" s="3" t="s">
        <v>23</v>
      </c>
      <c r="R231" s="3" t="str">
        <f>IFERROR(MID(VLOOKUP($B231,Seqs!$A:$B,2,0),S231,1),"")</f>
        <v/>
      </c>
      <c r="S231" s="3" t="s">
        <v>23</v>
      </c>
      <c r="T231" s="3" t="str">
        <f>IFERROR(MID(VLOOKUP($B231,Seqs!$A:$B,2,0),U231,1),"")</f>
        <v>V</v>
      </c>
      <c r="U231" s="3">
        <v>185</v>
      </c>
      <c r="V231" s="3" t="str">
        <f>IFERROR(MID(VLOOKUP($B231,Seqs!$A:$B,2,0),W231,1),"")</f>
        <v>L</v>
      </c>
      <c r="W231" s="3">
        <v>219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L</v>
      </c>
      <c r="AC231" s="9">
        <v>226</v>
      </c>
      <c r="AD231" s="3" t="str">
        <f>IFERROR(MID(VLOOKUP($B231,Seqs!$A:$B,2,0),AE231,1),"")</f>
        <v>D</v>
      </c>
      <c r="AE231" s="3">
        <v>254</v>
      </c>
      <c r="AF231" s="3" t="str">
        <f>IFERROR(MID(VLOOKUP($B231,Seqs!$A:$B,2,0),AG231,1),"")</f>
        <v>C</v>
      </c>
      <c r="AG231" s="3">
        <v>258</v>
      </c>
      <c r="AH231" s="3" t="str">
        <f>IFERROR(MID(VLOOKUP($B231,Seqs!$A:$B,2,0),AI231,1),"")</f>
        <v>F</v>
      </c>
      <c r="AI231" s="3">
        <v>260</v>
      </c>
      <c r="AJ231" s="3" t="str">
        <f>IFERROR(MID(VLOOKUP($B231,Seqs!$A:$B,2,0),AK231,1),"")</f>
        <v>T</v>
      </c>
      <c r="AK231" s="3">
        <v>268</v>
      </c>
      <c r="AL231" s="3" t="str">
        <f>IFERROR(MID(VLOOKUP($B231,Seqs!$A:$B,2,0),AM231,1),"")</f>
        <v>L</v>
      </c>
      <c r="AM231" s="3">
        <v>298</v>
      </c>
      <c r="AN231" s="3" t="str">
        <f>IFERROR(MID(VLOOKUP($B231,Seqs!$A:$B,2,0),AO231,1),"")</f>
        <v>S</v>
      </c>
      <c r="AO231" s="3">
        <v>304</v>
      </c>
      <c r="AP231" s="3" t="str">
        <f>IFERROR(MID(VLOOKUP($B231,Seqs!$A:$B,2,0),AQ231,1),"")</f>
        <v>V</v>
      </c>
      <c r="AQ231" s="3">
        <v>332</v>
      </c>
      <c r="AR231" s="3" t="str">
        <f>IFERROR(MID(VLOOKUP($B231,Seqs!$A:$B,2,0),AS231,1),"")</f>
        <v>V</v>
      </c>
      <c r="AS231" s="3">
        <v>339</v>
      </c>
      <c r="AT231" s="3" t="str">
        <f>IFERROR(MID(VLOOKUP($B231,Seqs!$A:$B,2,0),AU231,1),"")</f>
        <v>L</v>
      </c>
      <c r="AU231" s="3">
        <v>366</v>
      </c>
      <c r="AV231" s="3" t="str">
        <f>IFERROR(MID(VLOOKUP($B231,Seqs!$A:$B,2,0),AW231,1),"")</f>
        <v/>
      </c>
      <c r="AW231" s="3" t="s">
        <v>23</v>
      </c>
      <c r="AX231" s="3" t="str">
        <f>IFERROR(MID(VLOOKUP($B231,Seqs!$A:$B,2,0),AY231,1),"")</f>
        <v/>
      </c>
      <c r="AY231" s="3" t="s">
        <v>23</v>
      </c>
      <c r="AZ231" s="78" t="str">
        <f>VLOOKUP(B231,Classification!A:D,2,0)</f>
        <v>B1</v>
      </c>
      <c r="BA231" s="95" t="str">
        <f>VLOOKUP(B231,Classification!A:D,4,0)</f>
        <v>Corticotropin-releasingfact</v>
      </c>
      <c r="BB231" s="27" t="b">
        <f t="shared" si="1508"/>
        <v>1</v>
      </c>
      <c r="BC231" s="23">
        <f t="shared" si="2152"/>
        <v>217</v>
      </c>
      <c r="BD231" s="56" t="s">
        <v>1379</v>
      </c>
      <c r="BE231" s="3" t="s">
        <v>1381</v>
      </c>
      <c r="BF231" s="120">
        <v>2.98</v>
      </c>
      <c r="BG231" s="49" t="s">
        <v>1384</v>
      </c>
      <c r="BH231" s="49" t="s">
        <v>1384</v>
      </c>
      <c r="BI231" s="3" t="s">
        <v>1163</v>
      </c>
      <c r="BJ231" s="71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1">
        <f t="shared" si="2153"/>
        <v>117</v>
      </c>
      <c r="BW231" s="72">
        <f t="shared" si="2154"/>
        <v>145</v>
      </c>
      <c r="BX231" s="73">
        <f t="shared" si="2155"/>
        <v>149</v>
      </c>
      <c r="BY231" s="72" t="str">
        <f t="shared" si="2156"/>
        <v>-</v>
      </c>
      <c r="BZ231" s="73">
        <f t="shared" si="2157"/>
        <v>185</v>
      </c>
      <c r="CA231" s="72" t="str">
        <f t="shared" si="2158"/>
        <v>-</v>
      </c>
      <c r="CB231" s="73">
        <f t="shared" si="2159"/>
        <v>226</v>
      </c>
      <c r="CC231" s="72">
        <f t="shared" si="2160"/>
        <v>258</v>
      </c>
      <c r="CD231" s="73">
        <f t="shared" si="2161"/>
        <v>268</v>
      </c>
      <c r="CE231" s="72">
        <f t="shared" si="2162"/>
        <v>304</v>
      </c>
      <c r="CF231" s="73">
        <f t="shared" si="2163"/>
        <v>339</v>
      </c>
      <c r="CG231" s="72" t="str">
        <f t="shared" si="2164"/>
        <v>-</v>
      </c>
      <c r="CH231" s="71">
        <f t="shared" si="2165"/>
        <v>144</v>
      </c>
      <c r="CI231" s="72">
        <f t="shared" si="2166"/>
        <v>148</v>
      </c>
      <c r="CJ231" s="73">
        <f t="shared" si="2167"/>
        <v>175</v>
      </c>
      <c r="CK231" s="73" t="str">
        <f t="shared" si="2168"/>
        <v>-</v>
      </c>
      <c r="CL231" s="73">
        <f t="shared" si="2169"/>
        <v>219</v>
      </c>
      <c r="CM231" s="73" t="str">
        <f t="shared" si="2170"/>
        <v>-</v>
      </c>
      <c r="CN231" s="73">
        <f t="shared" si="2171"/>
        <v>254</v>
      </c>
      <c r="CO231" s="73">
        <f t="shared" si="2172"/>
        <v>260</v>
      </c>
      <c r="CP231" s="73">
        <f t="shared" si="2173"/>
        <v>298</v>
      </c>
      <c r="CQ231" s="73">
        <f t="shared" si="2174"/>
        <v>332</v>
      </c>
      <c r="CR231" s="73">
        <f t="shared" si="2175"/>
        <v>366</v>
      </c>
      <c r="CS231" s="73" t="str">
        <f t="shared" si="2176"/>
        <v>-</v>
      </c>
      <c r="CT231" s="23">
        <f t="shared" si="2177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1507"/>
        <v>crfr1_human_4Z9G</v>
      </c>
      <c r="B232" s="3" t="s">
        <v>38</v>
      </c>
      <c r="C232" s="3" t="s">
        <v>1060</v>
      </c>
      <c r="D232" s="3" t="str">
        <f>IFERROR(MID(VLOOKUP($B232,Seqs!$A:$B,2,0),E232,1),"")</f>
        <v>S</v>
      </c>
      <c r="E232" s="3">
        <v>112</v>
      </c>
      <c r="F232" s="3" t="str">
        <f>IFERROR(MID(VLOOKUP($B232,Seqs!$A:$B,2,0),G232,1),"")</f>
        <v>L</v>
      </c>
      <c r="G232" s="3">
        <v>144</v>
      </c>
      <c r="H232" s="3" t="str">
        <f>IFERROR(MID(VLOOKUP($B232,Seqs!$A:$B,2,0),I232,1),"")</f>
        <v>R</v>
      </c>
      <c r="I232" s="23">
        <v>145</v>
      </c>
      <c r="J232" s="3" t="str">
        <f>IFERROR(MID(VLOOKUP($B232,Seqs!$A:$B,2,0),K232,1),"")</f>
        <v>R</v>
      </c>
      <c r="K232" s="23">
        <v>148</v>
      </c>
      <c r="L232" s="3" t="str">
        <f>IFERROR(MID(VLOOKUP($B232,Seqs!$A:$B,2,0),M232,1),"")</f>
        <v>C</v>
      </c>
      <c r="M232" s="23">
        <v>149</v>
      </c>
      <c r="N232" s="3" t="str">
        <f>IFERROR(MID(VLOOKUP($B232,Seqs!$A:$B,2,0),O232,1),"")</f>
        <v>T</v>
      </c>
      <c r="O232" s="3">
        <v>175</v>
      </c>
      <c r="P232" s="3" t="str">
        <f>IFERROR(MID(VLOOKUP($B232,Seqs!$A:$B,2,0),Q232,1),"")</f>
        <v/>
      </c>
      <c r="Q232" s="3" t="s">
        <v>23</v>
      </c>
      <c r="R232" s="3" t="str">
        <f>IFERROR(MID(VLOOKUP($B232,Seqs!$A:$B,2,0),S232,1),"")</f>
        <v/>
      </c>
      <c r="S232" s="3" t="s">
        <v>23</v>
      </c>
      <c r="T232" s="3" t="str">
        <f>IFERROR(MID(VLOOKUP($B232,Seqs!$A:$B,2,0),U232,1),"")</f>
        <v>V</v>
      </c>
      <c r="U232" s="3">
        <v>185</v>
      </c>
      <c r="V232" s="3" t="str">
        <f>IFERROR(MID(VLOOKUP($B232,Seqs!$A:$B,2,0),W232,1),"")</f>
        <v>L</v>
      </c>
      <c r="W232" s="3">
        <v>219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L</v>
      </c>
      <c r="AC232" s="9">
        <v>226</v>
      </c>
      <c r="AD232" s="3" t="str">
        <f>IFERROR(MID(VLOOKUP($B232,Seqs!$A:$B,2,0),AE232,1),"")</f>
        <v>D</v>
      </c>
      <c r="AE232" s="3">
        <v>254</v>
      </c>
      <c r="AF232" s="3" t="str">
        <f>IFERROR(MID(VLOOKUP($B232,Seqs!$A:$B,2,0),AG232,1),"")</f>
        <v>C</v>
      </c>
      <c r="AG232" s="3">
        <v>258</v>
      </c>
      <c r="AH232" s="3" t="str">
        <f>IFERROR(MID(VLOOKUP($B232,Seqs!$A:$B,2,0),AI232,1),"")</f>
        <v>F</v>
      </c>
      <c r="AI232" s="3">
        <v>260</v>
      </c>
      <c r="AJ232" s="3" t="str">
        <f>IFERROR(MID(VLOOKUP($B232,Seqs!$A:$B,2,0),AK232,1),"")</f>
        <v>T</v>
      </c>
      <c r="AK232" s="3">
        <v>268</v>
      </c>
      <c r="AL232" s="3" t="str">
        <f>IFERROR(MID(VLOOKUP($B232,Seqs!$A:$B,2,0),AM232,1),"")</f>
        <v>L</v>
      </c>
      <c r="AM232" s="3">
        <v>298</v>
      </c>
      <c r="AN232" s="3" t="str">
        <f>IFERROR(MID(VLOOKUP($B232,Seqs!$A:$B,2,0),AO232,1),"")</f>
        <v>S</v>
      </c>
      <c r="AO232" s="3">
        <v>304</v>
      </c>
      <c r="AP232" s="3" t="str">
        <f>IFERROR(MID(VLOOKUP($B232,Seqs!$A:$B,2,0),AQ232,1),"")</f>
        <v>V</v>
      </c>
      <c r="AQ232" s="3">
        <v>332</v>
      </c>
      <c r="AR232" s="3" t="str">
        <f>IFERROR(MID(VLOOKUP($B232,Seqs!$A:$B,2,0),AS232,1),"")</f>
        <v>V</v>
      </c>
      <c r="AS232" s="3">
        <v>339</v>
      </c>
      <c r="AT232" s="3" t="str">
        <f>IFERROR(MID(VLOOKUP($B232,Seqs!$A:$B,2,0),AU232,1),"")</f>
        <v>F</v>
      </c>
      <c r="AU232" s="3">
        <v>362</v>
      </c>
      <c r="AV232" s="3" t="str">
        <f>IFERROR(MID(VLOOKUP($B232,Seqs!$A:$B,2,0),AW232,1),"")</f>
        <v/>
      </c>
      <c r="AW232" s="3" t="s">
        <v>23</v>
      </c>
      <c r="AX232" s="3" t="str">
        <f>IFERROR(MID(VLOOKUP($B232,Seqs!$A:$B,2,0),AY232,1),"")</f>
        <v/>
      </c>
      <c r="AY232" s="3" t="s">
        <v>23</v>
      </c>
      <c r="AZ232" s="78" t="str">
        <f>VLOOKUP(B232,Classification!A:D,2,0)</f>
        <v>B1</v>
      </c>
      <c r="BA232" s="95" t="str">
        <f>VLOOKUP(B232,Classification!A:D,4,0)</f>
        <v>Corticotropin-releasingfact</v>
      </c>
      <c r="BB232" s="27" t="b">
        <f t="shared" si="1508"/>
        <v>1</v>
      </c>
      <c r="BC232" s="23">
        <f t="shared" si="2152"/>
        <v>218</v>
      </c>
      <c r="BD232" s="2" t="s">
        <v>1383</v>
      </c>
      <c r="BE232" s="3" t="s">
        <v>1381</v>
      </c>
      <c r="BF232" s="120">
        <v>3.18</v>
      </c>
      <c r="BG232" s="49" t="s">
        <v>1384</v>
      </c>
      <c r="BH232" s="49" t="s">
        <v>1384</v>
      </c>
      <c r="BI232" s="1"/>
      <c r="BJ232" s="71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1">
        <f t="shared" si="2153"/>
        <v>112</v>
      </c>
      <c r="BW232" s="72">
        <f t="shared" si="2154"/>
        <v>145</v>
      </c>
      <c r="BX232" s="73">
        <f t="shared" si="2155"/>
        <v>149</v>
      </c>
      <c r="BY232" s="72" t="str">
        <f t="shared" si="2156"/>
        <v>-</v>
      </c>
      <c r="BZ232" s="73">
        <f t="shared" si="2157"/>
        <v>185</v>
      </c>
      <c r="CA232" s="72" t="str">
        <f t="shared" si="2158"/>
        <v>-</v>
      </c>
      <c r="CB232" s="73">
        <f t="shared" si="2159"/>
        <v>226</v>
      </c>
      <c r="CC232" s="72">
        <f t="shared" si="2160"/>
        <v>258</v>
      </c>
      <c r="CD232" s="73">
        <f t="shared" si="2161"/>
        <v>268</v>
      </c>
      <c r="CE232" s="72">
        <f t="shared" si="2162"/>
        <v>304</v>
      </c>
      <c r="CF232" s="73">
        <f t="shared" si="2163"/>
        <v>339</v>
      </c>
      <c r="CG232" s="72" t="str">
        <f t="shared" si="2164"/>
        <v>-</v>
      </c>
      <c r="CH232" s="71">
        <f t="shared" si="2165"/>
        <v>144</v>
      </c>
      <c r="CI232" s="72">
        <f t="shared" si="2166"/>
        <v>148</v>
      </c>
      <c r="CJ232" s="73">
        <f t="shared" si="2167"/>
        <v>175</v>
      </c>
      <c r="CK232" s="73" t="str">
        <f t="shared" si="2168"/>
        <v>-</v>
      </c>
      <c r="CL232" s="73">
        <f t="shared" si="2169"/>
        <v>219</v>
      </c>
      <c r="CM232" s="73" t="str">
        <f t="shared" si="2170"/>
        <v>-</v>
      </c>
      <c r="CN232" s="73">
        <f t="shared" si="2171"/>
        <v>254</v>
      </c>
      <c r="CO232" s="73">
        <f t="shared" si="2172"/>
        <v>260</v>
      </c>
      <c r="CP232" s="73">
        <f t="shared" si="2173"/>
        <v>298</v>
      </c>
      <c r="CQ232" s="73">
        <f t="shared" si="2174"/>
        <v>332</v>
      </c>
      <c r="CR232" s="73">
        <f t="shared" si="2175"/>
        <v>362</v>
      </c>
      <c r="CS232" s="73" t="str">
        <f t="shared" si="2176"/>
        <v>-</v>
      </c>
      <c r="CT232" s="23">
        <f t="shared" si="2177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si="1507"/>
        <v>crfr1_human_4Z9G_dist</v>
      </c>
      <c r="B233" s="3" t="s">
        <v>38</v>
      </c>
      <c r="C233" s="3" t="s">
        <v>1162</v>
      </c>
      <c r="D233" s="3" t="str">
        <f>IFERROR(MID(VLOOKUP($B233,Seqs!$A:$B,2,0),E233,1),"")</f>
        <v>S</v>
      </c>
      <c r="E233" s="3">
        <v>112</v>
      </c>
      <c r="F233" s="3" t="str">
        <f>IFERROR(MID(VLOOKUP($B233,Seqs!$A:$B,2,0),G233,1),"")</f>
        <v>L</v>
      </c>
      <c r="G233" s="3">
        <v>144</v>
      </c>
      <c r="H233" s="3" t="str">
        <f>IFERROR(MID(VLOOKUP($B233,Seqs!$A:$B,2,0),I233,1),"")</f>
        <v>R</v>
      </c>
      <c r="I233" s="23">
        <v>145</v>
      </c>
      <c r="J233" s="3" t="str">
        <f>IFERROR(MID(VLOOKUP($B233,Seqs!$A:$B,2,0),K233,1),"")</f>
        <v>R</v>
      </c>
      <c r="K233" s="23">
        <v>148</v>
      </c>
      <c r="L233" s="3" t="str">
        <f>IFERROR(MID(VLOOKUP($B233,Seqs!$A:$B,2,0),M233,1),"")</f>
        <v>C</v>
      </c>
      <c r="M233" s="23">
        <v>149</v>
      </c>
      <c r="N233" s="3" t="str">
        <f>IFERROR(MID(VLOOKUP($B233,Seqs!$A:$B,2,0),O233,1),"")</f>
        <v>T</v>
      </c>
      <c r="O233" s="3">
        <v>175</v>
      </c>
      <c r="P233" s="3" t="str">
        <f>IFERROR(MID(VLOOKUP($B233,Seqs!$A:$B,2,0),Q233,1),"")</f>
        <v/>
      </c>
      <c r="Q233" s="3" t="s">
        <v>23</v>
      </c>
      <c r="R233" s="3" t="str">
        <f>IFERROR(MID(VLOOKUP($B233,Seqs!$A:$B,2,0),S233,1),"")</f>
        <v/>
      </c>
      <c r="S233" s="3" t="s">
        <v>23</v>
      </c>
      <c r="T233" s="3" t="str">
        <f>IFERROR(MID(VLOOKUP($B233,Seqs!$A:$B,2,0),U233,1),"")</f>
        <v>V</v>
      </c>
      <c r="U233" s="3">
        <v>185</v>
      </c>
      <c r="V233" s="3" t="str">
        <f>IFERROR(MID(VLOOKUP($B233,Seqs!$A:$B,2,0),W233,1),"")</f>
        <v>L</v>
      </c>
      <c r="W233" s="3">
        <v>219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L</v>
      </c>
      <c r="AC233" s="9">
        <v>226</v>
      </c>
      <c r="AD233" s="3" t="str">
        <f>IFERROR(MID(VLOOKUP($B233,Seqs!$A:$B,2,0),AE233,1),"")</f>
        <v>D</v>
      </c>
      <c r="AE233" s="3">
        <v>254</v>
      </c>
      <c r="AF233" s="3" t="str">
        <f>IFERROR(MID(VLOOKUP($B233,Seqs!$A:$B,2,0),AG233,1),"")</f>
        <v>C</v>
      </c>
      <c r="AG233" s="3">
        <v>258</v>
      </c>
      <c r="AH233" s="3" t="str">
        <f>IFERROR(MID(VLOOKUP($B233,Seqs!$A:$B,2,0),AI233,1),"")</f>
        <v>F</v>
      </c>
      <c r="AI233" s="3">
        <v>260</v>
      </c>
      <c r="AJ233" s="3" t="str">
        <f>IFERROR(MID(VLOOKUP($B233,Seqs!$A:$B,2,0),AK233,1),"")</f>
        <v>T</v>
      </c>
      <c r="AK233" s="3">
        <v>268</v>
      </c>
      <c r="AL233" s="3" t="str">
        <f>IFERROR(MID(VLOOKUP($B233,Seqs!$A:$B,2,0),AM233,1),"")</f>
        <v>L</v>
      </c>
      <c r="AM233" s="3">
        <v>298</v>
      </c>
      <c r="AN233" s="3" t="str">
        <f>IFERROR(MID(VLOOKUP($B233,Seqs!$A:$B,2,0),AO233,1),"")</f>
        <v>S</v>
      </c>
      <c r="AO233" s="3">
        <v>304</v>
      </c>
      <c r="AP233" s="3" t="str">
        <f>IFERROR(MID(VLOOKUP($B233,Seqs!$A:$B,2,0),AQ233,1),"")</f>
        <v>V</v>
      </c>
      <c r="AQ233" s="3">
        <v>332</v>
      </c>
      <c r="AR233" s="3" t="str">
        <f>IFERROR(MID(VLOOKUP($B233,Seqs!$A:$B,2,0),AS233,1),"")</f>
        <v>V</v>
      </c>
      <c r="AS233" s="3">
        <v>339</v>
      </c>
      <c r="AT233" s="3" t="str">
        <f>IFERROR(MID(VLOOKUP($B233,Seqs!$A:$B,2,0),AU233,1),"")</f>
        <v>E</v>
      </c>
      <c r="AU233" s="3">
        <v>369</v>
      </c>
      <c r="AV233" s="3" t="str">
        <f>IFERROR(MID(VLOOKUP($B233,Seqs!$A:$B,2,0),AW233,1),"")</f>
        <v/>
      </c>
      <c r="AW233" s="3" t="s">
        <v>23</v>
      </c>
      <c r="AX233" s="3" t="str">
        <f>IFERROR(MID(VLOOKUP($B233,Seqs!$A:$B,2,0),AY233,1),"")</f>
        <v/>
      </c>
      <c r="AY233" s="3" t="s">
        <v>23</v>
      </c>
      <c r="AZ233" s="78" t="str">
        <f>VLOOKUP(B233,Classification!A:D,2,0)</f>
        <v>B1</v>
      </c>
      <c r="BA233" s="95" t="str">
        <f>VLOOKUP(B233,Classification!A:D,4,0)</f>
        <v>Corticotropin-releasingfact</v>
      </c>
      <c r="BB233" s="27" t="b">
        <f t="shared" si="1508"/>
        <v>1</v>
      </c>
      <c r="BC233" s="23">
        <f t="shared" si="2152"/>
        <v>225</v>
      </c>
      <c r="BD233" s="56" t="s">
        <v>1379</v>
      </c>
      <c r="BE233" s="3" t="s">
        <v>1381</v>
      </c>
      <c r="BF233" s="120">
        <v>3.18</v>
      </c>
      <c r="BG233" s="49" t="s">
        <v>1384</v>
      </c>
      <c r="BH233" s="49" t="s">
        <v>1384</v>
      </c>
      <c r="BI233" s="3" t="s">
        <v>1163</v>
      </c>
      <c r="BJ233" s="71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1">
        <f t="shared" si="2153"/>
        <v>112</v>
      </c>
      <c r="BW233" s="72">
        <f t="shared" si="2154"/>
        <v>145</v>
      </c>
      <c r="BX233" s="73">
        <f t="shared" si="2155"/>
        <v>149</v>
      </c>
      <c r="BY233" s="72" t="str">
        <f t="shared" si="2156"/>
        <v>-</v>
      </c>
      <c r="BZ233" s="73">
        <f t="shared" si="2157"/>
        <v>185</v>
      </c>
      <c r="CA233" s="72" t="str">
        <f t="shared" si="2158"/>
        <v>-</v>
      </c>
      <c r="CB233" s="73">
        <f t="shared" si="2159"/>
        <v>226</v>
      </c>
      <c r="CC233" s="72">
        <f t="shared" si="2160"/>
        <v>258</v>
      </c>
      <c r="CD233" s="73">
        <f t="shared" si="2161"/>
        <v>268</v>
      </c>
      <c r="CE233" s="72">
        <f t="shared" si="2162"/>
        <v>304</v>
      </c>
      <c r="CF233" s="73">
        <f t="shared" si="2163"/>
        <v>339</v>
      </c>
      <c r="CG233" s="72" t="str">
        <f t="shared" si="2164"/>
        <v>-</v>
      </c>
      <c r="CH233" s="71">
        <f t="shared" si="2165"/>
        <v>144</v>
      </c>
      <c r="CI233" s="72">
        <f t="shared" si="2166"/>
        <v>148</v>
      </c>
      <c r="CJ233" s="73">
        <f t="shared" si="2167"/>
        <v>175</v>
      </c>
      <c r="CK233" s="73" t="str">
        <f t="shared" si="2168"/>
        <v>-</v>
      </c>
      <c r="CL233" s="73">
        <f t="shared" si="2169"/>
        <v>219</v>
      </c>
      <c r="CM233" s="73" t="str">
        <f t="shared" si="2170"/>
        <v>-</v>
      </c>
      <c r="CN233" s="73">
        <f t="shared" si="2171"/>
        <v>254</v>
      </c>
      <c r="CO233" s="73">
        <f t="shared" si="2172"/>
        <v>260</v>
      </c>
      <c r="CP233" s="73">
        <f t="shared" si="2173"/>
        <v>298</v>
      </c>
      <c r="CQ233" s="73">
        <f t="shared" si="2174"/>
        <v>332</v>
      </c>
      <c r="CR233" s="73">
        <f t="shared" si="2175"/>
        <v>369</v>
      </c>
      <c r="CS233" s="73" t="str">
        <f t="shared" si="2176"/>
        <v>-</v>
      </c>
      <c r="CT233" s="23">
        <f t="shared" si="2177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si="1507"/>
        <v>glr_human__wt</v>
      </c>
      <c r="B234" s="3" t="s">
        <v>32</v>
      </c>
      <c r="C234" s="3" t="s">
        <v>100</v>
      </c>
      <c r="D234" s="3" t="str">
        <f>IFERROR(MID(VLOOKUP($B234,Seqs!$A:$B,2,0),E234,1),"")</f>
        <v>Q</v>
      </c>
      <c r="E234" s="106">
        <v>131</v>
      </c>
      <c r="F234" s="3" t="str">
        <f>IFERROR(MID(VLOOKUP($B234,Seqs!$A:$B,2,0),G234,1),"")</f>
        <v>L</v>
      </c>
      <c r="G234" s="3">
        <v>166</v>
      </c>
      <c r="H234" s="3" t="str">
        <f>IFERROR(MID(VLOOKUP($B234,Seqs!$A:$B,2,0),I234,1),"")</f>
        <v>S</v>
      </c>
      <c r="I234" s="23">
        <v>167</v>
      </c>
      <c r="J234" s="3" t="str">
        <f>IFERROR(MID(VLOOKUP($B234,Seqs!$A:$B,2,0),K234,1),"")</f>
        <v>H</v>
      </c>
      <c r="K234" s="23">
        <v>170</v>
      </c>
      <c r="L234" s="3" t="str">
        <f>IFERROR(MID(VLOOKUP($B234,Seqs!$A:$B,2,0),M234,1),"")</f>
        <v>C</v>
      </c>
      <c r="M234" s="23">
        <v>171</v>
      </c>
      <c r="N234" s="3" t="str">
        <f>IFERROR(MID(VLOOKUP($B234,Seqs!$A:$B,2,0),O234,1),"")</f>
        <v>S</v>
      </c>
      <c r="O234" s="106">
        <v>203</v>
      </c>
      <c r="P234" s="3" t="str">
        <f>IFERROR(MID(VLOOKUP($B234,Seqs!$A:$B,2,0),Q234,1),"")</f>
        <v/>
      </c>
      <c r="Q234" s="3" t="s">
        <v>23</v>
      </c>
      <c r="R234" s="3" t="str">
        <f>IFERROR(MID(VLOOKUP($B234,Seqs!$A:$B,2,0),S234,1),"")</f>
        <v/>
      </c>
      <c r="S234" s="3" t="s">
        <v>23</v>
      </c>
      <c r="T234" s="3" t="str">
        <f>IFERROR(MID(VLOOKUP($B234,Seqs!$A:$B,2,0),U234,1),"")</f>
        <v>A</v>
      </c>
      <c r="U234" s="3">
        <v>220</v>
      </c>
      <c r="V234" s="3" t="str">
        <f>IFERROR(MID(VLOOKUP($B234,Seqs!$A:$B,2,0),W234,1),"")</f>
        <v>L</v>
      </c>
      <c r="W234" s="3">
        <v>255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S</v>
      </c>
      <c r="AC234" s="9">
        <v>262</v>
      </c>
      <c r="AD234" s="3" t="str">
        <f>IFERROR(MID(VLOOKUP($B234,Seqs!$A:$B,2,0),AE234,1),"")</f>
        <v>E</v>
      </c>
      <c r="AE234" s="3">
        <v>290</v>
      </c>
      <c r="AF234" s="3" t="str">
        <f>IFERROR(MID(VLOOKUP($B234,Seqs!$A:$B,2,0),AG234,1),"")</f>
        <v>C</v>
      </c>
      <c r="AG234" s="3">
        <v>294</v>
      </c>
      <c r="AH234" s="3" t="str">
        <f>IFERROR(MID(VLOOKUP($B234,Seqs!$A:$B,2,0),AI234,1),"")</f>
        <v>T</v>
      </c>
      <c r="AI234" s="3">
        <v>296</v>
      </c>
      <c r="AJ234" s="3" t="str">
        <f>IFERROR(MID(VLOOKUP($B234,Seqs!$A:$B,2,0),AK234,1),"")</f>
        <v>N</v>
      </c>
      <c r="AK234" s="3">
        <v>300</v>
      </c>
      <c r="AL234" s="3" t="str">
        <f>IFERROR(MID(VLOOKUP($B234,Seqs!$A:$B,2,0),AM234,1),"")</f>
        <v>A</v>
      </c>
      <c r="AM234" s="3">
        <v>335</v>
      </c>
      <c r="AN234" s="3" t="str">
        <f>IFERROR(MID(VLOOKUP($B234,Seqs!$A:$B,2,0),AO234,1),"")</f>
        <v>D</v>
      </c>
      <c r="AO234" s="3">
        <v>342</v>
      </c>
      <c r="AP234" s="3" t="str">
        <f>IFERROR(MID(VLOOKUP($B234,Seqs!$A:$B,2,0),AQ234,1),"")</f>
        <v>F</v>
      </c>
      <c r="AQ234" s="3">
        <v>367</v>
      </c>
      <c r="AR234" s="3" t="str">
        <f>IFERROR(MID(VLOOKUP($B234,Seqs!$A:$B,2,0),AS234,1),"")</f>
        <v>Q</v>
      </c>
      <c r="AS234" s="3">
        <v>374</v>
      </c>
      <c r="AT234" s="3" t="str">
        <f>IFERROR(MID(VLOOKUP($B234,Seqs!$A:$B,2,0),AU234,1),"")</f>
        <v>L</v>
      </c>
      <c r="AU234" s="3">
        <v>403</v>
      </c>
      <c r="AV234" s="3" t="str">
        <f>IFERROR(MID(VLOOKUP($B234,Seqs!$A:$B,2,0),AW234,1),"")</f>
        <v>N</v>
      </c>
      <c r="AW234" s="3">
        <v>404</v>
      </c>
      <c r="AX234" s="3" t="str">
        <f>IFERROR(MID(VLOOKUP($B234,Seqs!$A:$B,2,0),AY234,1),"")</f>
        <v>N</v>
      </c>
      <c r="AY234" s="3">
        <v>429</v>
      </c>
      <c r="AZ234" s="78" t="str">
        <f>VLOOKUP(B234,Classification!A:D,2,0)</f>
        <v>B1</v>
      </c>
      <c r="BA234" s="95" t="str">
        <f>VLOOKUP(B234,Classification!A:D,4,0)</f>
        <v>Glucagonreceptorfamily</v>
      </c>
      <c r="BB234" s="27" t="b">
        <f t="shared" si="1508"/>
        <v>1</v>
      </c>
      <c r="BC234" s="23">
        <f t="shared" si="2152"/>
        <v>261</v>
      </c>
      <c r="BD234" s="56" t="s">
        <v>1379</v>
      </c>
      <c r="BE234" s="3" t="s">
        <v>23</v>
      </c>
      <c r="BF234" s="120" t="s">
        <v>23</v>
      </c>
      <c r="BG234" s="49" t="s">
        <v>1379</v>
      </c>
      <c r="BH234" s="49" t="s">
        <v>1384</v>
      </c>
      <c r="BI234" s="1"/>
      <c r="BJ234" s="71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1">
        <f t="shared" si="2153"/>
        <v>131</v>
      </c>
      <c r="BW234" s="72">
        <f t="shared" si="2154"/>
        <v>167</v>
      </c>
      <c r="BX234" s="73">
        <f t="shared" si="2155"/>
        <v>171</v>
      </c>
      <c r="BY234" s="72" t="str">
        <f t="shared" si="2156"/>
        <v>-</v>
      </c>
      <c r="BZ234" s="73">
        <f t="shared" si="2157"/>
        <v>220</v>
      </c>
      <c r="CA234" s="72" t="str">
        <f t="shared" si="2158"/>
        <v>-</v>
      </c>
      <c r="CB234" s="73">
        <f t="shared" si="2159"/>
        <v>262</v>
      </c>
      <c r="CC234" s="72">
        <f t="shared" si="2160"/>
        <v>294</v>
      </c>
      <c r="CD234" s="73">
        <f t="shared" si="2161"/>
        <v>300</v>
      </c>
      <c r="CE234" s="72">
        <f t="shared" si="2162"/>
        <v>342</v>
      </c>
      <c r="CF234" s="73">
        <f t="shared" si="2163"/>
        <v>374</v>
      </c>
      <c r="CG234" s="72">
        <f t="shared" si="2164"/>
        <v>404</v>
      </c>
      <c r="CH234" s="71">
        <f t="shared" si="2165"/>
        <v>166</v>
      </c>
      <c r="CI234" s="72">
        <f t="shared" si="2166"/>
        <v>170</v>
      </c>
      <c r="CJ234" s="73">
        <f t="shared" si="2167"/>
        <v>203</v>
      </c>
      <c r="CK234" s="73" t="str">
        <f t="shared" si="2168"/>
        <v>-</v>
      </c>
      <c r="CL234" s="73">
        <f t="shared" si="2169"/>
        <v>255</v>
      </c>
      <c r="CM234" s="73" t="str">
        <f t="shared" si="2170"/>
        <v>-</v>
      </c>
      <c r="CN234" s="73">
        <f t="shared" si="2171"/>
        <v>290</v>
      </c>
      <c r="CO234" s="73">
        <f t="shared" si="2172"/>
        <v>296</v>
      </c>
      <c r="CP234" s="73">
        <f t="shared" si="2173"/>
        <v>335</v>
      </c>
      <c r="CQ234" s="73">
        <f t="shared" si="2174"/>
        <v>367</v>
      </c>
      <c r="CR234" s="73">
        <f t="shared" si="2175"/>
        <v>403</v>
      </c>
      <c r="CS234" s="73">
        <f t="shared" si="2176"/>
        <v>429</v>
      </c>
      <c r="CT234" s="23">
        <f t="shared" si="2177"/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507"/>
        <v>glr_human_4L6R</v>
      </c>
      <c r="B235" s="3" t="s">
        <v>32</v>
      </c>
      <c r="C235" s="3" t="s">
        <v>51</v>
      </c>
      <c r="D235" s="3" t="str">
        <f>IFERROR(MID(VLOOKUP($B235,Seqs!$A:$B,2,0),E235,1),"")</f>
        <v>G</v>
      </c>
      <c r="E235" s="3">
        <v>125</v>
      </c>
      <c r="F235" s="3" t="str">
        <f>IFERROR(MID(VLOOKUP($B235,Seqs!$A:$B,2,0),G235,1),"")</f>
        <v>G</v>
      </c>
      <c r="G235" s="3">
        <v>164</v>
      </c>
      <c r="H235" s="3" t="str">
        <f>IFERROR(MID(VLOOKUP($B235,Seqs!$A:$B,2,0),I235,1),"")</f>
        <v>S</v>
      </c>
      <c r="I235" s="23">
        <v>167</v>
      </c>
      <c r="J235" s="3" t="str">
        <f>IFERROR(MID(VLOOKUP($B235,Seqs!$A:$B,2,0),K235,1),"")</f>
        <v>H</v>
      </c>
      <c r="K235" s="23">
        <v>170</v>
      </c>
      <c r="L235" s="3" t="str">
        <f>IFERROR(MID(VLOOKUP($B235,Seqs!$A:$B,2,0),M235,1),"")</f>
        <v>C</v>
      </c>
      <c r="M235" s="23">
        <v>171</v>
      </c>
      <c r="N235" s="3" t="str">
        <f>IFERROR(MID(VLOOKUP($B235,Seqs!$A:$B,2,0),O235,1),"")</f>
        <v>R</v>
      </c>
      <c r="O235" s="3">
        <v>199</v>
      </c>
      <c r="P235" s="3" t="str">
        <f>IFERROR(MID(VLOOKUP($B235,Seqs!$A:$B,2,0),Q235,1),"")</f>
        <v/>
      </c>
      <c r="Q235" s="3" t="s">
        <v>23</v>
      </c>
      <c r="R235" s="3" t="str">
        <f>IFERROR(MID(VLOOKUP($B235,Seqs!$A:$B,2,0),S235,1),"")</f>
        <v/>
      </c>
      <c r="S235" s="3" t="s">
        <v>23</v>
      </c>
      <c r="T235" s="3" t="str">
        <f>IFERROR(MID(VLOOKUP($B235,Seqs!$A:$B,2,0),U235,1),"")</f>
        <v>S</v>
      </c>
      <c r="U235" s="3">
        <v>217</v>
      </c>
      <c r="V235" s="3" t="str">
        <f>IFERROR(MID(VLOOKUP($B235,Seqs!$A:$B,2,0),W235,1),"")</f>
        <v>L</v>
      </c>
      <c r="W235" s="3">
        <v>255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A</v>
      </c>
      <c r="AC235" s="9">
        <v>274</v>
      </c>
      <c r="AD235" s="3" t="str">
        <f>IFERROR(MID(VLOOKUP($B235,Seqs!$A:$B,2,0),AE235,1),"")</f>
        <v>E</v>
      </c>
      <c r="AE235" s="3">
        <v>290</v>
      </c>
      <c r="AF235" s="3" t="str">
        <f>IFERROR(MID(VLOOKUP($B235,Seqs!$A:$B,2,0),AG235,1),"")</f>
        <v>C</v>
      </c>
      <c r="AG235" s="3">
        <v>294</v>
      </c>
      <c r="AH235" s="3" t="str">
        <f>IFERROR(MID(VLOOKUP($B235,Seqs!$A:$B,2,0),AI235,1),"")</f>
        <v>T</v>
      </c>
      <c r="AI235" s="3">
        <v>296</v>
      </c>
      <c r="AJ235" s="3" t="str">
        <f>IFERROR(MID(VLOOKUP($B235,Seqs!$A:$B,2,0),AK235,1),"")</f>
        <v>N</v>
      </c>
      <c r="AK235" s="3">
        <v>300</v>
      </c>
      <c r="AL235" s="3" t="str">
        <f>IFERROR(MID(VLOOKUP($B235,Seqs!$A:$B,2,0),AM235,1),"")</f>
        <v>A</v>
      </c>
      <c r="AM235" s="3">
        <v>335</v>
      </c>
      <c r="AN235" s="3" t="str">
        <f>IFERROR(MID(VLOOKUP($B235,Seqs!$A:$B,2,0),AO235,1),"")</f>
        <v>D</v>
      </c>
      <c r="AO235" s="3">
        <v>342</v>
      </c>
      <c r="AP235" s="3" t="str">
        <f>IFERROR(MID(VLOOKUP($B235,Seqs!$A:$B,2,0),AQ235,1),"")</f>
        <v>F</v>
      </c>
      <c r="AQ235" s="3">
        <v>367</v>
      </c>
      <c r="AR235" s="3" t="str">
        <f>IFERROR(MID(VLOOKUP($B235,Seqs!$A:$B,2,0),AS235,1),"")</f>
        <v>Q</v>
      </c>
      <c r="AS235" s="3">
        <v>374</v>
      </c>
      <c r="AT235" s="3" t="str">
        <f>IFERROR(MID(VLOOKUP($B235,Seqs!$A:$B,2,0),AU235,1),"")</f>
        <v>L</v>
      </c>
      <c r="AU235" s="3">
        <v>403</v>
      </c>
      <c r="AV235" s="3" t="str">
        <f>IFERROR(MID(VLOOKUP($B235,Seqs!$A:$B,2,0),AW235,1),"")</f>
        <v>N</v>
      </c>
      <c r="AW235" s="3">
        <v>404</v>
      </c>
      <c r="AX235" s="3" t="str">
        <f>IFERROR(MID(VLOOKUP($B235,Seqs!$A:$B,2,0),AY235,1),"")</f>
        <v>N</v>
      </c>
      <c r="AY235" s="3">
        <v>429</v>
      </c>
      <c r="AZ235" s="78" t="str">
        <f>VLOOKUP(B235,Classification!A:D,2,0)</f>
        <v>B1</v>
      </c>
      <c r="BA235" s="95" t="str">
        <f>VLOOKUP(B235,Classification!A:D,4,0)</f>
        <v>Glucagonreceptorfamily</v>
      </c>
      <c r="BB235" s="27" t="b">
        <f t="shared" si="1508"/>
        <v>1</v>
      </c>
      <c r="BC235" s="23">
        <f t="shared" si="2152"/>
        <v>252</v>
      </c>
      <c r="BD235" s="2" t="s">
        <v>23</v>
      </c>
      <c r="BE235" s="3" t="s">
        <v>1381</v>
      </c>
      <c r="BF235" s="120">
        <v>3.3</v>
      </c>
      <c r="BG235" s="49" t="s">
        <v>1384</v>
      </c>
      <c r="BH235" s="49" t="s">
        <v>1384</v>
      </c>
      <c r="BI235" s="1"/>
      <c r="BJ235" s="71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1">
        <f t="shared" si="2153"/>
        <v>125</v>
      </c>
      <c r="BW235" s="72">
        <f t="shared" si="2154"/>
        <v>167</v>
      </c>
      <c r="BX235" s="73">
        <f t="shared" si="2155"/>
        <v>171</v>
      </c>
      <c r="BY235" s="72" t="str">
        <f t="shared" si="2156"/>
        <v>-</v>
      </c>
      <c r="BZ235" s="73">
        <f t="shared" si="2157"/>
        <v>217</v>
      </c>
      <c r="CA235" s="72" t="str">
        <f t="shared" si="2158"/>
        <v>-</v>
      </c>
      <c r="CB235" s="73">
        <f t="shared" si="2159"/>
        <v>274</v>
      </c>
      <c r="CC235" s="72">
        <f t="shared" si="2160"/>
        <v>294</v>
      </c>
      <c r="CD235" s="73">
        <f t="shared" si="2161"/>
        <v>300</v>
      </c>
      <c r="CE235" s="72">
        <f t="shared" si="2162"/>
        <v>342</v>
      </c>
      <c r="CF235" s="73">
        <f t="shared" si="2163"/>
        <v>374</v>
      </c>
      <c r="CG235" s="72">
        <f t="shared" si="2164"/>
        <v>404</v>
      </c>
      <c r="CH235" s="71">
        <f t="shared" si="2165"/>
        <v>164</v>
      </c>
      <c r="CI235" s="72">
        <f t="shared" si="2166"/>
        <v>170</v>
      </c>
      <c r="CJ235" s="73">
        <f t="shared" si="2167"/>
        <v>199</v>
      </c>
      <c r="CK235" s="73" t="str">
        <f t="shared" si="2168"/>
        <v>-</v>
      </c>
      <c r="CL235" s="73">
        <f t="shared" si="2169"/>
        <v>255</v>
      </c>
      <c r="CM235" s="73" t="str">
        <f t="shared" si="2170"/>
        <v>-</v>
      </c>
      <c r="CN235" s="73">
        <f t="shared" si="2171"/>
        <v>290</v>
      </c>
      <c r="CO235" s="73">
        <f t="shared" si="2172"/>
        <v>296</v>
      </c>
      <c r="CP235" s="73">
        <f t="shared" si="2173"/>
        <v>335</v>
      </c>
      <c r="CQ235" s="73">
        <f t="shared" si="2174"/>
        <v>367</v>
      </c>
      <c r="CR235" s="73">
        <f t="shared" si="2175"/>
        <v>403</v>
      </c>
      <c r="CS235" s="73">
        <f t="shared" si="2176"/>
        <v>429</v>
      </c>
      <c r="CT235" s="23">
        <f t="shared" si="2177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507"/>
        <v>glr_human_4L6R_dist</v>
      </c>
      <c r="B236" s="3" t="s">
        <v>32</v>
      </c>
      <c r="C236" s="3" t="s">
        <v>1282</v>
      </c>
      <c r="D236" s="3" t="str">
        <f>IFERROR(MID(VLOOKUP($B236,Seqs!$A:$B,2,0),E236,1),"")</f>
        <v>G</v>
      </c>
      <c r="E236" s="3">
        <v>125</v>
      </c>
      <c r="F236" s="3" t="str">
        <f>IFERROR(MID(VLOOKUP($B236,Seqs!$A:$B,2,0),G236,1),"")</f>
        <v>G</v>
      </c>
      <c r="G236" s="3">
        <v>164</v>
      </c>
      <c r="H236" s="3" t="str">
        <f>IFERROR(MID(VLOOKUP($B236,Seqs!$A:$B,2,0),I236,1),"")</f>
        <v>S</v>
      </c>
      <c r="I236" s="23">
        <v>167</v>
      </c>
      <c r="J236" s="3" t="str">
        <f>IFERROR(MID(VLOOKUP($B236,Seqs!$A:$B,2,0),K236,1),"")</f>
        <v>H</v>
      </c>
      <c r="K236" s="23">
        <v>170</v>
      </c>
      <c r="L236" s="3" t="str">
        <f>IFERROR(MID(VLOOKUP($B236,Seqs!$A:$B,2,0),M236,1),"")</f>
        <v>C</v>
      </c>
      <c r="M236" s="23">
        <v>171</v>
      </c>
      <c r="N236" s="3" t="str">
        <f>IFERROR(MID(VLOOKUP($B236,Seqs!$A:$B,2,0),O236,1),"")</f>
        <v>R</v>
      </c>
      <c r="O236" s="3">
        <v>199</v>
      </c>
      <c r="P236" s="3" t="str">
        <f>IFERROR(MID(VLOOKUP($B236,Seqs!$A:$B,2,0),Q236,1),"")</f>
        <v/>
      </c>
      <c r="Q236" s="3" t="s">
        <v>23</v>
      </c>
      <c r="R236" s="3" t="str">
        <f>IFERROR(MID(VLOOKUP($B236,Seqs!$A:$B,2,0),S236,1),"")</f>
        <v/>
      </c>
      <c r="S236" s="3" t="s">
        <v>23</v>
      </c>
      <c r="T236" s="3" t="str">
        <f>IFERROR(MID(VLOOKUP($B236,Seqs!$A:$B,2,0),U236,1),"")</f>
        <v>S</v>
      </c>
      <c r="U236" s="3">
        <v>217</v>
      </c>
      <c r="V236" s="3" t="str">
        <f>IFERROR(MID(VLOOKUP($B236,Seqs!$A:$B,2,0),W236,1),"")</f>
        <v>L</v>
      </c>
      <c r="W236" s="3">
        <v>255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9">
        <v>262</v>
      </c>
      <c r="AD236" s="3" t="str">
        <f>IFERROR(MID(VLOOKUP($B236,Seqs!$A:$B,2,0),AE236,1),"")</f>
        <v>E</v>
      </c>
      <c r="AE236" s="3">
        <v>290</v>
      </c>
      <c r="AF236" s="3" t="str">
        <f>IFERROR(MID(VLOOKUP($B236,Seqs!$A:$B,2,0),AG236,1),"")</f>
        <v>C</v>
      </c>
      <c r="AG236" s="3">
        <v>294</v>
      </c>
      <c r="AH236" s="3" t="str">
        <f>IFERROR(MID(VLOOKUP($B236,Seqs!$A:$B,2,0),AI236,1),"")</f>
        <v>T</v>
      </c>
      <c r="AI236" s="3">
        <v>296</v>
      </c>
      <c r="AJ236" s="3" t="str">
        <f>IFERROR(MID(VLOOKUP($B236,Seqs!$A:$B,2,0),AK236,1),"")</f>
        <v>N</v>
      </c>
      <c r="AK236" s="3">
        <v>300</v>
      </c>
      <c r="AL236" s="3" t="str">
        <f>IFERROR(MID(VLOOKUP($B236,Seqs!$A:$B,2,0),AM236,1),"")</f>
        <v>A</v>
      </c>
      <c r="AM236" s="3">
        <v>335</v>
      </c>
      <c r="AN236" s="3" t="str">
        <f>IFERROR(MID(VLOOKUP($B236,Seqs!$A:$B,2,0),AO236,1),"")</f>
        <v>D</v>
      </c>
      <c r="AO236" s="3">
        <v>342</v>
      </c>
      <c r="AP236" s="3" t="str">
        <f>IFERROR(MID(VLOOKUP($B236,Seqs!$A:$B,2,0),AQ236,1),"")</f>
        <v>F</v>
      </c>
      <c r="AQ236" s="3">
        <v>367</v>
      </c>
      <c r="AR236" s="3" t="str">
        <f>IFERROR(MID(VLOOKUP($B236,Seqs!$A:$B,2,0),AS236,1),"")</f>
        <v>Q</v>
      </c>
      <c r="AS236" s="3">
        <v>374</v>
      </c>
      <c r="AT236" s="3" t="str">
        <f>IFERROR(MID(VLOOKUP($B236,Seqs!$A:$B,2,0),AU236,1),"")</f>
        <v>L</v>
      </c>
      <c r="AU236" s="3">
        <v>403</v>
      </c>
      <c r="AV236" s="3" t="str">
        <f>IFERROR(MID(VLOOKUP($B236,Seqs!$A:$B,2,0),AW236,1),"")</f>
        <v>N</v>
      </c>
      <c r="AW236" s="3">
        <v>404</v>
      </c>
      <c r="AX236" s="3" t="str">
        <f>IFERROR(MID(VLOOKUP($B236,Seqs!$A:$B,2,0),AY236,1),"")</f>
        <v>N</v>
      </c>
      <c r="AY236" s="3">
        <v>429</v>
      </c>
      <c r="AZ236" s="78" t="str">
        <f>VLOOKUP(B236,Classification!A:D,2,0)</f>
        <v>B1</v>
      </c>
      <c r="BA236" s="95" t="str">
        <f>VLOOKUP(B236,Classification!A:D,4,0)</f>
        <v>Glucagonreceptorfamily</v>
      </c>
      <c r="BB236" s="27" t="b">
        <f t="shared" si="1508"/>
        <v>1</v>
      </c>
      <c r="BC236" s="23">
        <f t="shared" si="2152"/>
        <v>264</v>
      </c>
      <c r="BD236" s="56" t="s">
        <v>1379</v>
      </c>
      <c r="BE236" s="3" t="s">
        <v>1381</v>
      </c>
      <c r="BF236" s="120">
        <v>3.3</v>
      </c>
      <c r="BG236" s="49" t="s">
        <v>1384</v>
      </c>
      <c r="BH236" s="49" t="s">
        <v>1384</v>
      </c>
      <c r="BI236" s="1"/>
      <c r="BJ236" s="71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1">
        <f t="shared" si="2153"/>
        <v>125</v>
      </c>
      <c r="BW236" s="72">
        <f t="shared" si="2154"/>
        <v>167</v>
      </c>
      <c r="BX236" s="73">
        <f t="shared" si="2155"/>
        <v>171</v>
      </c>
      <c r="BY236" s="72" t="str">
        <f t="shared" si="2156"/>
        <v>-</v>
      </c>
      <c r="BZ236" s="73">
        <f t="shared" si="2157"/>
        <v>217</v>
      </c>
      <c r="CA236" s="72" t="str">
        <f t="shared" si="2158"/>
        <v>-</v>
      </c>
      <c r="CB236" s="73">
        <f t="shared" si="2159"/>
        <v>262</v>
      </c>
      <c r="CC236" s="72">
        <f t="shared" si="2160"/>
        <v>294</v>
      </c>
      <c r="CD236" s="73">
        <f t="shared" si="2161"/>
        <v>300</v>
      </c>
      <c r="CE236" s="72">
        <f t="shared" si="2162"/>
        <v>342</v>
      </c>
      <c r="CF236" s="73">
        <f t="shared" si="2163"/>
        <v>374</v>
      </c>
      <c r="CG236" s="72">
        <f t="shared" si="2164"/>
        <v>404</v>
      </c>
      <c r="CH236" s="71">
        <f t="shared" si="2165"/>
        <v>164</v>
      </c>
      <c r="CI236" s="72">
        <f t="shared" si="2166"/>
        <v>170</v>
      </c>
      <c r="CJ236" s="73">
        <f t="shared" si="2167"/>
        <v>199</v>
      </c>
      <c r="CK236" s="73" t="str">
        <f t="shared" si="2168"/>
        <v>-</v>
      </c>
      <c r="CL236" s="73">
        <f t="shared" si="2169"/>
        <v>255</v>
      </c>
      <c r="CM236" s="73" t="str">
        <f t="shared" si="2170"/>
        <v>-</v>
      </c>
      <c r="CN236" s="73">
        <f t="shared" si="2171"/>
        <v>290</v>
      </c>
      <c r="CO236" s="73">
        <f t="shared" si="2172"/>
        <v>296</v>
      </c>
      <c r="CP236" s="73">
        <f t="shared" si="2173"/>
        <v>335</v>
      </c>
      <c r="CQ236" s="73">
        <f t="shared" si="2174"/>
        <v>367</v>
      </c>
      <c r="CR236" s="73">
        <f t="shared" si="2175"/>
        <v>403</v>
      </c>
      <c r="CS236" s="73">
        <f t="shared" si="2176"/>
        <v>429</v>
      </c>
      <c r="CT236" s="23">
        <f t="shared" si="2177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ref="A237:A263" si="2178">CONCATENATE(B237,"_",C237)</f>
        <v>glr_human_5EE7</v>
      </c>
      <c r="B237" s="3" t="s">
        <v>32</v>
      </c>
      <c r="C237" s="3" t="s">
        <v>49</v>
      </c>
      <c r="D237" s="3" t="str">
        <f>IFERROR(MID(VLOOKUP($B237,Seqs!$A:$B,2,0),E237,1),"")</f>
        <v>Y</v>
      </c>
      <c r="E237" s="3">
        <v>138</v>
      </c>
      <c r="F237" s="3" t="str">
        <f>IFERROR(MID(VLOOKUP($B237,Seqs!$A:$B,2,0),G237,1),"")</f>
        <v>L</v>
      </c>
      <c r="G237" s="3">
        <v>166</v>
      </c>
      <c r="H237" s="3" t="str">
        <f>IFERROR(MID(VLOOKUP($B237,Seqs!$A:$B,2,0),I237,1),"")</f>
        <v>S</v>
      </c>
      <c r="I237" s="23">
        <v>167</v>
      </c>
      <c r="J237" s="3" t="str">
        <f>IFERROR(MID(VLOOKUP($B237,Seqs!$A:$B,2,0),K237,1),"")</f>
        <v>H</v>
      </c>
      <c r="K237" s="23">
        <v>170</v>
      </c>
      <c r="L237" s="3" t="str">
        <f>IFERROR(MID(VLOOKUP($B237,Seqs!$A:$B,2,0),M237,1),"")</f>
        <v>C</v>
      </c>
      <c r="M237" s="23">
        <v>171</v>
      </c>
      <c r="N237" s="3" t="str">
        <f>IFERROR(MID(VLOOKUP($B237,Seqs!$A:$B,2,0),O237,1),"")</f>
        <v>R</v>
      </c>
      <c r="O237" s="3">
        <v>199</v>
      </c>
      <c r="P237" s="3" t="str">
        <f>IFERROR(MID(VLOOKUP($B237,Seqs!$A:$B,2,0),Q237,1),"")</f>
        <v/>
      </c>
      <c r="Q237" s="3" t="s">
        <v>23</v>
      </c>
      <c r="R237" s="3" t="str">
        <f>IFERROR(MID(VLOOKUP($B237,Seqs!$A:$B,2,0),S237,1),"")</f>
        <v/>
      </c>
      <c r="S237" s="3" t="s">
        <v>23</v>
      </c>
      <c r="T237" s="3" t="str">
        <f>IFERROR(MID(VLOOKUP($B237,Seqs!$A:$B,2,0),U237,1),"")</f>
        <v>D</v>
      </c>
      <c r="U237" s="3">
        <v>218</v>
      </c>
      <c r="V237" s="3" t="str">
        <f>IFERROR(MID(VLOOKUP($B237,Seqs!$A:$B,2,0),W237,1),"")</f>
        <v>G</v>
      </c>
      <c r="W237" s="3">
        <v>254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9">
        <v>262</v>
      </c>
      <c r="AD237" s="3" t="str">
        <f>IFERROR(MID(VLOOKUP($B237,Seqs!$A:$B,2,0),AE237,1),"")</f>
        <v>E</v>
      </c>
      <c r="AE237" s="3">
        <v>290</v>
      </c>
      <c r="AF237" s="3" t="str">
        <f>IFERROR(MID(VLOOKUP($B237,Seqs!$A:$B,2,0),AG237,1),"")</f>
        <v>C</v>
      </c>
      <c r="AG237" s="3">
        <v>294</v>
      </c>
      <c r="AH237" s="3" t="str">
        <f>IFERROR(MID(VLOOKUP($B237,Seqs!$A:$B,2,0),AI237,1),"")</f>
        <v>T</v>
      </c>
      <c r="AI237" s="3">
        <v>296</v>
      </c>
      <c r="AJ237" s="3" t="str">
        <f>IFERROR(MID(VLOOKUP($B237,Seqs!$A:$B,2,0),AK237,1),"")</f>
        <v>R</v>
      </c>
      <c r="AK237" s="106">
        <v>308</v>
      </c>
      <c r="AL237" s="3" t="str">
        <f>IFERROR(MID(VLOOKUP($B237,Seqs!$A:$B,2,0),AM237,1),"")</f>
        <v>A</v>
      </c>
      <c r="AM237" s="3">
        <v>335</v>
      </c>
      <c r="AN237" s="3" t="str">
        <f>IFERROR(MID(VLOOKUP($B237,Seqs!$A:$B,2,0),AO237,1),"")</f>
        <v>D</v>
      </c>
      <c r="AO237" s="3">
        <v>342</v>
      </c>
      <c r="AP237" s="3" t="str">
        <f>IFERROR(MID(VLOOKUP($B237,Seqs!$A:$B,2,0),AQ237,1),"")</f>
        <v>D</v>
      </c>
      <c r="AQ237" s="3">
        <v>370</v>
      </c>
      <c r="AR237" s="3" t="str">
        <f>IFERROR(MID(VLOOKUP($B237,Seqs!$A:$B,2,0),AS237,1),"")</f>
        <v>S</v>
      </c>
      <c r="AS237" s="3">
        <v>379</v>
      </c>
      <c r="AT237" s="3" t="str">
        <f>IFERROR(MID(VLOOKUP($B237,Seqs!$A:$B,2,0),AU237,1),"")</f>
        <v>F</v>
      </c>
      <c r="AU237" s="3">
        <v>402</v>
      </c>
      <c r="AV237" s="3" t="str">
        <f>IFERROR(MID(VLOOKUP($B237,Seqs!$A:$B,2,0),AW237,1),"")</f>
        <v>N</v>
      </c>
      <c r="AW237" s="3">
        <v>404</v>
      </c>
      <c r="AX237" s="3" t="str">
        <f>IFERROR(MID(VLOOKUP($B237,Seqs!$A:$B,2,0),AY237,1),"")</f>
        <v>R</v>
      </c>
      <c r="AY237" s="3">
        <v>417</v>
      </c>
      <c r="AZ237" s="78" t="str">
        <f>VLOOKUP(B237,Classification!A:D,2,0)</f>
        <v>B1</v>
      </c>
      <c r="BA237" s="95" t="str">
        <f>VLOOKUP(B237,Classification!A:D,4,0)</f>
        <v>Glucagonreceptorfamily</v>
      </c>
      <c r="BB237" s="27" t="b">
        <f t="shared" ref="BB237:BB263" si="2179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si="2152"/>
        <v>228</v>
      </c>
      <c r="BD237" s="4" t="s">
        <v>23</v>
      </c>
      <c r="BE237" s="3" t="s">
        <v>1381</v>
      </c>
      <c r="BF237" s="120">
        <v>2.5</v>
      </c>
      <c r="BG237" s="49" t="s">
        <v>1384</v>
      </c>
      <c r="BH237" s="49" t="s">
        <v>1384</v>
      </c>
      <c r="BI237" s="1"/>
      <c r="BJ237" s="71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1">
        <f t="shared" si="2153"/>
        <v>138</v>
      </c>
      <c r="BW237" s="72">
        <f t="shared" si="2154"/>
        <v>167</v>
      </c>
      <c r="BX237" s="73">
        <f t="shared" si="2155"/>
        <v>171</v>
      </c>
      <c r="BY237" s="72" t="str">
        <f t="shared" si="2156"/>
        <v>-</v>
      </c>
      <c r="BZ237" s="73">
        <f t="shared" si="2157"/>
        <v>218</v>
      </c>
      <c r="CA237" s="72" t="str">
        <f t="shared" si="2158"/>
        <v>-</v>
      </c>
      <c r="CB237" s="73">
        <f t="shared" si="2159"/>
        <v>262</v>
      </c>
      <c r="CC237" s="72">
        <f t="shared" si="2160"/>
        <v>294</v>
      </c>
      <c r="CD237" s="73">
        <f t="shared" si="2161"/>
        <v>308</v>
      </c>
      <c r="CE237" s="72">
        <f t="shared" si="2162"/>
        <v>342</v>
      </c>
      <c r="CF237" s="73">
        <f t="shared" si="2163"/>
        <v>379</v>
      </c>
      <c r="CG237" s="72">
        <f t="shared" si="2164"/>
        <v>404</v>
      </c>
      <c r="CH237" s="71">
        <f t="shared" si="2165"/>
        <v>166</v>
      </c>
      <c r="CI237" s="72">
        <f t="shared" si="2166"/>
        <v>170</v>
      </c>
      <c r="CJ237" s="73">
        <f t="shared" si="2167"/>
        <v>199</v>
      </c>
      <c r="CK237" s="73" t="str">
        <f t="shared" si="2168"/>
        <v>-</v>
      </c>
      <c r="CL237" s="73">
        <f t="shared" si="2169"/>
        <v>254</v>
      </c>
      <c r="CM237" s="73" t="str">
        <f t="shared" si="2170"/>
        <v>-</v>
      </c>
      <c r="CN237" s="73">
        <f t="shared" si="2171"/>
        <v>290</v>
      </c>
      <c r="CO237" s="73">
        <f t="shared" si="2172"/>
        <v>296</v>
      </c>
      <c r="CP237" s="73">
        <f t="shared" si="2173"/>
        <v>335</v>
      </c>
      <c r="CQ237" s="73">
        <f t="shared" si="2174"/>
        <v>370</v>
      </c>
      <c r="CR237" s="73">
        <f t="shared" si="2175"/>
        <v>402</v>
      </c>
      <c r="CS237" s="73">
        <f t="shared" si="2176"/>
        <v>417</v>
      </c>
      <c r="CT237" s="23">
        <f t="shared" si="2177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ref="A238" si="2180">CONCATENATE(B238,"_",C238)</f>
        <v>glr_human_5XEZ</v>
      </c>
      <c r="B238" s="3" t="s">
        <v>32</v>
      </c>
      <c r="C238" s="3" t="s">
        <v>1419</v>
      </c>
      <c r="D238" s="3" t="str">
        <f>IFERROR(MID(VLOOKUP($B238,Seqs!$A:$B,2,0),E238,1),"")</f>
        <v>Q</v>
      </c>
      <c r="E238" s="3">
        <v>131</v>
      </c>
      <c r="F238" s="3" t="str">
        <f>IFERROR(MID(VLOOKUP($B238,Seqs!$A:$B,2,0),G238,1),"")</f>
        <v>G</v>
      </c>
      <c r="G238" s="3">
        <v>164</v>
      </c>
      <c r="H238" s="3" t="str">
        <f>IFERROR(MID(VLOOKUP($B238,Seqs!$A:$B,2,0),I238,1),"")</f>
        <v>S</v>
      </c>
      <c r="I238" s="23">
        <v>167</v>
      </c>
      <c r="J238" s="3" t="str">
        <f>IFERROR(MID(VLOOKUP($B238,Seqs!$A:$B,2,0),K238,1),"")</f>
        <v>H</v>
      </c>
      <c r="K238" s="23">
        <v>170</v>
      </c>
      <c r="L238" s="3" t="str">
        <f>IFERROR(MID(VLOOKUP($B238,Seqs!$A:$B,2,0),M238,1),"")</f>
        <v>C</v>
      </c>
      <c r="M238" s="23">
        <v>171</v>
      </c>
      <c r="N238" s="3" t="str">
        <f>IFERROR(MID(VLOOKUP($B238,Seqs!$A:$B,2,0),O238,1),"")</f>
        <v>R</v>
      </c>
      <c r="O238" s="3">
        <v>201</v>
      </c>
      <c r="P238" s="3" t="str">
        <f>IFERROR(MID(VLOOKUP($B238,Seqs!$A:$B,2,0),Q238,1),"")</f>
        <v/>
      </c>
      <c r="Q238" s="3" t="s">
        <v>23</v>
      </c>
      <c r="R238" s="3" t="str">
        <f>IFERROR(MID(VLOOKUP($B238,Seqs!$A:$B,2,0),S238,1),"")</f>
        <v/>
      </c>
      <c r="S238" s="3" t="s">
        <v>23</v>
      </c>
      <c r="T238" s="3" t="str">
        <f>IFERROR(MID(VLOOKUP($B238,Seqs!$A:$B,2,0),U238,1),"")</f>
        <v>S</v>
      </c>
      <c r="U238" s="3">
        <v>217</v>
      </c>
      <c r="V238" s="3" t="str">
        <f>IFERROR(MID(VLOOKUP($B238,Seqs!$A:$B,2,0),W238,1),"")</f>
        <v>L</v>
      </c>
      <c r="W238" s="3">
        <v>255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E</v>
      </c>
      <c r="AC238" s="3">
        <v>260</v>
      </c>
      <c r="AD238" s="3" t="str">
        <f>IFERROR(MID(VLOOKUP($B238,Seqs!$A:$B,2,0),AE238,1),"")</f>
        <v>E</v>
      </c>
      <c r="AE238" s="3">
        <v>290</v>
      </c>
      <c r="AF238" s="3" t="str">
        <f>IFERROR(MID(VLOOKUP($B238,Seqs!$A:$B,2,0),AG238,1),"")</f>
        <v>C</v>
      </c>
      <c r="AG238" s="3">
        <v>294</v>
      </c>
      <c r="AH238" s="3" t="str">
        <f>IFERROR(MID(VLOOKUP($B238,Seqs!$A:$B,2,0),AI238,1),"")</f>
        <v>T</v>
      </c>
      <c r="AI238" s="3">
        <v>296</v>
      </c>
      <c r="AJ238" s="3" t="str">
        <f>IFERROR(MID(VLOOKUP($B238,Seqs!$A:$B,2,0),AK238,1),"")</f>
        <v>G</v>
      </c>
      <c r="AK238" s="3">
        <v>302</v>
      </c>
      <c r="AL238" s="3" t="str">
        <f>IFERROR(MID(VLOOKUP($B238,Seqs!$A:$B,2,0),AM238,1),"")</f>
        <v>R</v>
      </c>
      <c r="AM238" s="3">
        <v>334</v>
      </c>
      <c r="AN238" s="3" t="str">
        <f>IFERROR(MID(VLOOKUP($B238,Seqs!$A:$B,2,0),AO238,1),"")</f>
        <v>D</v>
      </c>
      <c r="AO238" s="3">
        <v>342</v>
      </c>
      <c r="AP238" s="3" t="str">
        <f>IFERROR(MID(VLOOKUP($B238,Seqs!$A:$B,2,0),AQ238,1),"")</f>
        <v>F</v>
      </c>
      <c r="AQ238" s="3">
        <v>367</v>
      </c>
      <c r="AR238" s="3" t="str">
        <f>IFERROR(MID(VLOOKUP($B238,Seqs!$A:$B,2,0),AS238,1),"")</f>
        <v>G</v>
      </c>
      <c r="AS238" s="3">
        <v>375</v>
      </c>
      <c r="AT238" s="3" t="str">
        <f>IFERROR(MID(VLOOKUP($B238,Seqs!$A:$B,2,0),AU238,1),"")</f>
        <v>L</v>
      </c>
      <c r="AU238" s="3">
        <v>403</v>
      </c>
      <c r="AV238" s="3" t="str">
        <f>IFERROR(MID(VLOOKUP($B238,Seqs!$A:$B,2,0),AW238,1),"")</f>
        <v>N</v>
      </c>
      <c r="AW238" s="3">
        <v>404</v>
      </c>
      <c r="AX238" s="3" t="str">
        <f>IFERROR(MID(VLOOKUP($B238,Seqs!$A:$B,2,0),AY238,1),"")</f>
        <v>W</v>
      </c>
      <c r="AY238" s="3">
        <v>415</v>
      </c>
      <c r="AZ238" s="78" t="str">
        <f>VLOOKUP(B238,Classification!A:D,2,0)</f>
        <v>B1</v>
      </c>
      <c r="BA238" s="95" t="str">
        <f>VLOOKUP(B238,Classification!A:D,4,0)</f>
        <v>Glucagonreceptorfamily</v>
      </c>
      <c r="BB238" s="27" t="b">
        <f t="shared" ref="BB238" si="2181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" si="2182">_xlfn.AGGREGATE(9,6,CH238:CS238)-_xlfn.AGGREGATE(9,6,BV238:CG238)+12</f>
        <v>244</v>
      </c>
      <c r="BD238" s="4" t="s">
        <v>1383</v>
      </c>
      <c r="BE238" s="3" t="s">
        <v>1381</v>
      </c>
      <c r="BF238" s="120">
        <v>3</v>
      </c>
      <c r="BG238" s="49" t="s">
        <v>1287</v>
      </c>
      <c r="BH238" s="49" t="s">
        <v>1287</v>
      </c>
      <c r="BI238" s="1"/>
      <c r="BJ238" s="71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1">
        <f t="shared" ref="BV238" si="2183">E238</f>
        <v>131</v>
      </c>
      <c r="BW238" s="72">
        <f t="shared" ref="BW238" si="2184">I238</f>
        <v>167</v>
      </c>
      <c r="BX238" s="73">
        <f t="shared" ref="BX238" si="2185">M238</f>
        <v>171</v>
      </c>
      <c r="BY238" s="72" t="str">
        <f t="shared" ref="BY238" si="2186">Q238</f>
        <v>-</v>
      </c>
      <c r="BZ238" s="73">
        <f t="shared" ref="BZ238" si="2187">U238</f>
        <v>217</v>
      </c>
      <c r="CA238" s="72" t="str">
        <f t="shared" ref="CA238" si="2188">Y238</f>
        <v>-</v>
      </c>
      <c r="CB238" s="73">
        <f t="shared" ref="CB238" si="2189">AC238</f>
        <v>260</v>
      </c>
      <c r="CC238" s="72">
        <f t="shared" ref="CC238" si="2190">AG238</f>
        <v>294</v>
      </c>
      <c r="CD238" s="73">
        <f t="shared" ref="CD238" si="2191">AK238</f>
        <v>302</v>
      </c>
      <c r="CE238" s="72">
        <f t="shared" ref="CE238" si="2192">AO238</f>
        <v>342</v>
      </c>
      <c r="CF238" s="73">
        <f t="shared" ref="CF238" si="2193">AS238</f>
        <v>375</v>
      </c>
      <c r="CG238" s="72">
        <f t="shared" ref="CG238" si="2194">AW238</f>
        <v>404</v>
      </c>
      <c r="CH238" s="71">
        <f t="shared" ref="CH238" si="2195">G238</f>
        <v>164</v>
      </c>
      <c r="CI238" s="72">
        <f t="shared" ref="CI238" si="2196">K238</f>
        <v>170</v>
      </c>
      <c r="CJ238" s="73">
        <f t="shared" ref="CJ238" si="2197">O238</f>
        <v>201</v>
      </c>
      <c r="CK238" s="73" t="str">
        <f t="shared" ref="CK238" si="2198">S238</f>
        <v>-</v>
      </c>
      <c r="CL238" s="73">
        <f t="shared" ref="CL238" si="2199">W238</f>
        <v>255</v>
      </c>
      <c r="CM238" s="73" t="str">
        <f t="shared" ref="CM238" si="2200">AA238</f>
        <v>-</v>
      </c>
      <c r="CN238" s="73">
        <f t="shared" ref="CN238" si="2201">AE238</f>
        <v>290</v>
      </c>
      <c r="CO238" s="73">
        <f t="shared" ref="CO238" si="2202">AI238</f>
        <v>296</v>
      </c>
      <c r="CP238" s="73">
        <f t="shared" ref="CP238" si="2203">AM238</f>
        <v>334</v>
      </c>
      <c r="CQ238" s="73">
        <f t="shared" ref="CQ238" si="2204">AQ238</f>
        <v>367</v>
      </c>
      <c r="CR238" s="73">
        <f t="shared" ref="CR238" si="2205">AU238</f>
        <v>403</v>
      </c>
      <c r="CS238" s="73">
        <f t="shared" ref="CS238" si="2206">AY238</f>
        <v>415</v>
      </c>
      <c r="CT238" s="23">
        <f t="shared" ref="CT238" si="2207"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ref="A239" si="2208">CONCATENATE(B239,"_",C239)</f>
        <v>glr_human_5XF1</v>
      </c>
      <c r="B239" s="3" t="s">
        <v>32</v>
      </c>
      <c r="C239" s="3" t="s">
        <v>1420</v>
      </c>
      <c r="D239" s="3" t="str">
        <f>IFERROR(MID(VLOOKUP($B239,Seqs!$A:$B,2,0),E239,1),"")</f>
        <v>Q</v>
      </c>
      <c r="E239" s="3">
        <v>131</v>
      </c>
      <c r="F239" s="3" t="str">
        <f>IFERROR(MID(VLOOKUP($B239,Seqs!$A:$B,2,0),G239,1),"")</f>
        <v>L</v>
      </c>
      <c r="G239" s="3">
        <v>166</v>
      </c>
      <c r="H239" s="3" t="str">
        <f>IFERROR(MID(VLOOKUP($B239,Seqs!$A:$B,2,0),I239,1),"")</f>
        <v>S</v>
      </c>
      <c r="I239" s="23">
        <v>167</v>
      </c>
      <c r="J239" s="3" t="str">
        <f>IFERROR(MID(VLOOKUP($B239,Seqs!$A:$B,2,0),K239,1),"")</f>
        <v>H</v>
      </c>
      <c r="K239" s="23">
        <v>170</v>
      </c>
      <c r="L239" s="3" t="str">
        <f>IFERROR(MID(VLOOKUP($B239,Seqs!$A:$B,2,0),M239,1),"")</f>
        <v>N</v>
      </c>
      <c r="M239" s="23">
        <v>174</v>
      </c>
      <c r="N239" s="3" t="str">
        <f>IFERROR(MID(VLOOKUP($B239,Seqs!$A:$B,2,0),O239,1),"")</f>
        <v>R</v>
      </c>
      <c r="O239" s="3">
        <v>201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S</v>
      </c>
      <c r="U239" s="3">
        <v>217</v>
      </c>
      <c r="V239" s="3" t="str">
        <f>IFERROR(MID(VLOOKUP($B239,Seqs!$A:$B,2,0),W239,1),"")</f>
        <v>L</v>
      </c>
      <c r="W239" s="3">
        <v>255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R</v>
      </c>
      <c r="AC239" s="3">
        <v>261</v>
      </c>
      <c r="AD239" s="3" t="str">
        <f>IFERROR(MID(VLOOKUP($B239,Seqs!$A:$B,2,0),AE239,1),"")</f>
        <v>F</v>
      </c>
      <c r="AE239" s="3">
        <v>289</v>
      </c>
      <c r="AF239" s="3" t="str">
        <f>IFERROR(MID(VLOOKUP($B239,Seqs!$A:$B,2,0),AG239,1),"")</f>
        <v>C</v>
      </c>
      <c r="AG239" s="3">
        <v>294</v>
      </c>
      <c r="AH239" s="3" t="str">
        <f>IFERROR(MID(VLOOKUP($B239,Seqs!$A:$B,2,0),AI239,1),"")</f>
        <v>T</v>
      </c>
      <c r="AI239" s="3">
        <v>296</v>
      </c>
      <c r="AJ239" s="3" t="str">
        <f>IFERROR(MID(VLOOKUP($B239,Seqs!$A:$B,2,0),AK239,1),"")</f>
        <v>D</v>
      </c>
      <c r="AK239" s="3">
        <v>299</v>
      </c>
      <c r="AL239" s="3" t="str">
        <f>IFERROR(MID(VLOOKUP($B239,Seqs!$A:$B,2,0),AM239,1),"")</f>
        <v>L</v>
      </c>
      <c r="AM239" s="3">
        <v>333</v>
      </c>
      <c r="AN239" s="3" t="str">
        <f>IFERROR(MID(VLOOKUP($B239,Seqs!$A:$B,2,0),AO239,1),"")</f>
        <v>D</v>
      </c>
      <c r="AO239" s="3">
        <v>342</v>
      </c>
      <c r="AP239" s="3" t="str">
        <f>IFERROR(MID(VLOOKUP($B239,Seqs!$A:$B,2,0),AQ239,1),"")</f>
        <v>V</v>
      </c>
      <c r="AQ239" s="3">
        <v>368</v>
      </c>
      <c r="AR239" s="3" t="str">
        <f>IFERROR(MID(VLOOKUP($B239,Seqs!$A:$B,2,0),AS239,1),"")</f>
        <v>L</v>
      </c>
      <c r="AS239" s="3">
        <v>377</v>
      </c>
      <c r="AT239" s="3" t="str">
        <f>IFERROR(MID(VLOOKUP($B239,Seqs!$A:$B,2,0),AU239,1),"")</f>
        <v>L</v>
      </c>
      <c r="AU239" s="3">
        <v>403</v>
      </c>
      <c r="AV239" s="3" t="str">
        <f>IFERROR(MID(VLOOKUP($B239,Seqs!$A:$B,2,0),AW239,1),"")</f>
        <v>N</v>
      </c>
      <c r="AW239" s="3">
        <v>404</v>
      </c>
      <c r="AX239" s="3" t="str">
        <f>IFERROR(MID(VLOOKUP($B239,Seqs!$A:$B,2,0),AY239,1),"")</f>
        <v>W</v>
      </c>
      <c r="AY239" s="3">
        <v>415</v>
      </c>
      <c r="AZ239" s="78" t="str">
        <f>VLOOKUP(B239,Classification!A:D,2,0)</f>
        <v>B1</v>
      </c>
      <c r="BA239" s="95" t="str">
        <f>VLOOKUP(B239,Classification!A:D,4,0)</f>
        <v>Glucagonreceptorfamily</v>
      </c>
      <c r="BB239" s="27" t="b">
        <f t="shared" ref="BB239" si="2209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" si="2210">_xlfn.AGGREGATE(9,6,CH239:CS239)-_xlfn.AGGREGATE(9,6,BV239:CG239)+12</f>
        <v>242</v>
      </c>
      <c r="BD239" s="4" t="s">
        <v>23</v>
      </c>
      <c r="BE239" s="3" t="s">
        <v>1381</v>
      </c>
      <c r="BF239" s="120">
        <v>3.19</v>
      </c>
      <c r="BG239" s="49" t="s">
        <v>1287</v>
      </c>
      <c r="BH239" s="49" t="s">
        <v>1287</v>
      </c>
      <c r="BI239" s="1"/>
      <c r="BJ239" s="71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1">
        <f t="shared" ref="BV239" si="2211">E239</f>
        <v>131</v>
      </c>
      <c r="BW239" s="72">
        <f t="shared" ref="BW239" si="2212">I239</f>
        <v>167</v>
      </c>
      <c r="BX239" s="73">
        <f t="shared" ref="BX239" si="2213">M239</f>
        <v>174</v>
      </c>
      <c r="BY239" s="72" t="str">
        <f t="shared" ref="BY239" si="2214">Q239</f>
        <v>-</v>
      </c>
      <c r="BZ239" s="73">
        <f t="shared" ref="BZ239" si="2215">U239</f>
        <v>217</v>
      </c>
      <c r="CA239" s="72" t="str">
        <f t="shared" ref="CA239" si="2216">Y239</f>
        <v>-</v>
      </c>
      <c r="CB239" s="73">
        <f t="shared" ref="CB239" si="2217">AC239</f>
        <v>261</v>
      </c>
      <c r="CC239" s="72">
        <f t="shared" ref="CC239" si="2218">AG239</f>
        <v>294</v>
      </c>
      <c r="CD239" s="73">
        <f t="shared" ref="CD239" si="2219">AK239</f>
        <v>299</v>
      </c>
      <c r="CE239" s="72">
        <f t="shared" ref="CE239" si="2220">AO239</f>
        <v>342</v>
      </c>
      <c r="CF239" s="73">
        <f t="shared" ref="CF239" si="2221">AS239</f>
        <v>377</v>
      </c>
      <c r="CG239" s="72">
        <f t="shared" ref="CG239" si="2222">AW239</f>
        <v>404</v>
      </c>
      <c r="CH239" s="71">
        <f t="shared" ref="CH239" si="2223">G239</f>
        <v>166</v>
      </c>
      <c r="CI239" s="72">
        <f t="shared" ref="CI239" si="2224">K239</f>
        <v>170</v>
      </c>
      <c r="CJ239" s="73">
        <f t="shared" ref="CJ239" si="2225">O239</f>
        <v>201</v>
      </c>
      <c r="CK239" s="73" t="str">
        <f t="shared" ref="CK239" si="2226">S239</f>
        <v>-</v>
      </c>
      <c r="CL239" s="73">
        <f t="shared" ref="CL239" si="2227">W239</f>
        <v>255</v>
      </c>
      <c r="CM239" s="73" t="str">
        <f t="shared" ref="CM239" si="2228">AA239</f>
        <v>-</v>
      </c>
      <c r="CN239" s="73">
        <f t="shared" ref="CN239" si="2229">AE239</f>
        <v>289</v>
      </c>
      <c r="CO239" s="73">
        <f t="shared" ref="CO239" si="2230">AI239</f>
        <v>296</v>
      </c>
      <c r="CP239" s="73">
        <f t="shared" ref="CP239" si="2231">AM239</f>
        <v>333</v>
      </c>
      <c r="CQ239" s="73">
        <f t="shared" ref="CQ239" si="2232">AQ239</f>
        <v>368</v>
      </c>
      <c r="CR239" s="73">
        <f t="shared" ref="CR239" si="2233">AU239</f>
        <v>403</v>
      </c>
      <c r="CS239" s="73">
        <f t="shared" ref="CS239" si="2234">AY239</f>
        <v>415</v>
      </c>
      <c r="CT239" s="23">
        <f t="shared" ref="CT239" si="2235">M239-K239</f>
        <v>4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s="12" customFormat="1" x14ac:dyDescent="0.2">
      <c r="A240" s="9" t="str">
        <f t="shared" ref="A240" si="2236">CONCATENATE(B240,"_",C240)</f>
        <v>glr_human_5YQZ</v>
      </c>
      <c r="B240" s="9" t="s">
        <v>32</v>
      </c>
      <c r="C240" s="9" t="s">
        <v>1475</v>
      </c>
      <c r="D240" s="9" t="str">
        <f>IFERROR(MID(VLOOKUP($B240,Seqs!$A:$B,2,0),E240,1),"")</f>
        <v>D</v>
      </c>
      <c r="E240" s="9">
        <v>124</v>
      </c>
      <c r="F240" s="9" t="str">
        <f>IFERROR(MID(VLOOKUP($B240,Seqs!$A:$B,2,0),G240,1),"")</f>
        <v>L</v>
      </c>
      <c r="G240" s="9">
        <v>166</v>
      </c>
      <c r="H240" s="9" t="str">
        <f>IFERROR(MID(VLOOKUP($B240,Seqs!$A:$B,2,0),I240,1),"")</f>
        <v>S</v>
      </c>
      <c r="I240" s="110">
        <v>167</v>
      </c>
      <c r="J240" s="9" t="str">
        <f>IFERROR(MID(VLOOKUP($B240,Seqs!$A:$B,2,0),K240,1),"")</f>
        <v>H</v>
      </c>
      <c r="K240" s="110">
        <v>170</v>
      </c>
      <c r="L240" s="9" t="str">
        <f>IFERROR(MID(VLOOKUP($B240,Seqs!$A:$B,2,0),M240,1),"")</f>
        <v>C</v>
      </c>
      <c r="M240" s="110">
        <v>171</v>
      </c>
      <c r="N240" s="9" t="str">
        <f>IFERROR(MID(VLOOKUP($B240,Seqs!$A:$B,2,0),O240,1),"")</f>
        <v>S</v>
      </c>
      <c r="O240" s="9">
        <v>203</v>
      </c>
      <c r="P240" s="9" t="str">
        <f>IFERROR(MID(VLOOKUP($B240,Seqs!$A:$B,2,0),Q240,1),"")</f>
        <v/>
      </c>
      <c r="Q240" s="9" t="s">
        <v>23</v>
      </c>
      <c r="R240" s="9" t="str">
        <f>IFERROR(MID(VLOOKUP($B240,Seqs!$A:$B,2,0),S240,1),"")</f>
        <v/>
      </c>
      <c r="S240" s="9" t="s">
        <v>23</v>
      </c>
      <c r="T240" s="9" t="str">
        <f>IFERROR(MID(VLOOKUP($B240,Seqs!$A:$B,2,0),U240,1),"")</f>
        <v>A</v>
      </c>
      <c r="U240" s="9">
        <v>220</v>
      </c>
      <c r="V240" s="9" t="str">
        <f>IFERROR(MID(VLOOKUP($B240,Seqs!$A:$B,2,0),W240,1),"")</f>
        <v>L</v>
      </c>
      <c r="W240" s="9">
        <v>255</v>
      </c>
      <c r="X240" s="9" t="str">
        <f>IFERROR(MID(VLOOKUP($B240,Seqs!$A:$B,2,0),Y240,1),"")</f>
        <v/>
      </c>
      <c r="Y240" s="9" t="s">
        <v>23</v>
      </c>
      <c r="Z240" s="9" t="str">
        <f>IFERROR(MID(VLOOKUP($B240,Seqs!$A:$B,2,0),AA240,1),"")</f>
        <v/>
      </c>
      <c r="AA240" s="9" t="s">
        <v>23</v>
      </c>
      <c r="AB240" s="9" t="str">
        <f>IFERROR(MID(VLOOKUP($B240,Seqs!$A:$B,2,0),AC240,1),"")</f>
        <v>F</v>
      </c>
      <c r="AC240" s="9">
        <v>263</v>
      </c>
      <c r="AD240" s="9" t="str">
        <f>IFERROR(MID(VLOOKUP($B240,Seqs!$A:$B,2,0),AE240,1),"")</f>
        <v>E</v>
      </c>
      <c r="AE240" s="9">
        <v>290</v>
      </c>
      <c r="AF240" s="9" t="str">
        <f>IFERROR(MID(VLOOKUP($B240,Seqs!$A:$B,2,0),AG240,1),"")</f>
        <v>C</v>
      </c>
      <c r="AG240" s="9">
        <v>294</v>
      </c>
      <c r="AH240" s="9" t="str">
        <f>IFERROR(MID(VLOOKUP($B240,Seqs!$A:$B,2,0),AI240,1),"")</f>
        <v>T</v>
      </c>
      <c r="AI240" s="9">
        <v>296</v>
      </c>
      <c r="AJ240" s="9" t="str">
        <f>IFERROR(MID(VLOOKUP($B240,Seqs!$A:$B,2,0),AK240,1),"")</f>
        <v>F</v>
      </c>
      <c r="AK240" s="9">
        <v>303</v>
      </c>
      <c r="AL240" s="9" t="str">
        <f>IFERROR(MID(VLOOKUP($B240,Seqs!$A:$B,2,0),AM240,1),"")</f>
        <v>A</v>
      </c>
      <c r="AM240" s="9">
        <v>335</v>
      </c>
      <c r="AN240" s="9" t="str">
        <f>IFERROR(MID(VLOOKUP($B240,Seqs!$A:$B,2,0),AO240,1),"")</f>
        <v>D</v>
      </c>
      <c r="AO240" s="9">
        <v>342</v>
      </c>
      <c r="AP240" s="9" t="str">
        <f>IFERROR(MID(VLOOKUP($B240,Seqs!$A:$B,2,0),AQ240,1),"")</f>
        <v>T</v>
      </c>
      <c r="AQ240" s="9">
        <v>369</v>
      </c>
      <c r="AR240" s="9" t="str">
        <f>IFERROR(MID(VLOOKUP($B240,Seqs!$A:$B,2,0),AS240,1),"")</f>
        <v>G</v>
      </c>
      <c r="AS240" s="9">
        <v>375</v>
      </c>
      <c r="AT240" s="9" t="str">
        <f>IFERROR(MID(VLOOKUP($B240,Seqs!$A:$B,2,0),AU240,1),"")</f>
        <v>L</v>
      </c>
      <c r="AU240" s="9">
        <v>403</v>
      </c>
      <c r="AV240" s="9" t="str">
        <f>IFERROR(MID(VLOOKUP($B240,Seqs!$A:$B,2,0),AW240,1),"")</f>
        <v>N</v>
      </c>
      <c r="AW240" s="9">
        <v>404</v>
      </c>
      <c r="AX240" s="9" t="str">
        <f>IFERROR(MID(VLOOKUP($B240,Seqs!$A:$B,2,0),AY240,1),"")</f>
        <v>E</v>
      </c>
      <c r="AY240" s="9">
        <v>426</v>
      </c>
      <c r="AZ240" s="111" t="str">
        <f>VLOOKUP(B240,Classification!A:D,2,0)</f>
        <v>B1</v>
      </c>
      <c r="BA240" s="99" t="str">
        <f>VLOOKUP(B240,Classification!A:D,4,0)</f>
        <v>Glucagonreceptorfamily</v>
      </c>
      <c r="BB240" s="36" t="b">
        <f t="shared" ref="BB240" si="2237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110">
        <f t="shared" ref="BC240" si="2238">_xlfn.AGGREGATE(9,6,CH240:CS240)-_xlfn.AGGREGATE(9,6,BV240:CG240)+12</f>
        <v>262</v>
      </c>
      <c r="BD240" s="11" t="s">
        <v>23</v>
      </c>
      <c r="BE240" s="9" t="s">
        <v>1381</v>
      </c>
      <c r="BF240" s="121">
        <v>3</v>
      </c>
      <c r="BG240" s="51" t="s">
        <v>1433</v>
      </c>
      <c r="BH240" s="51" t="s">
        <v>1433</v>
      </c>
      <c r="BJ240" s="112" t="s">
        <v>1293</v>
      </c>
      <c r="BK240" s="113" t="s">
        <v>1293</v>
      </c>
      <c r="BL240" s="113" t="s">
        <v>1293</v>
      </c>
      <c r="BM240" s="113" t="s">
        <v>1293</v>
      </c>
      <c r="BN240" s="113" t="s">
        <v>1293</v>
      </c>
      <c r="BO240" s="113" t="s">
        <v>1293</v>
      </c>
      <c r="BP240" s="113" t="s">
        <v>1293</v>
      </c>
      <c r="BQ240" s="113" t="s">
        <v>1293</v>
      </c>
      <c r="BR240" s="113" t="s">
        <v>1293</v>
      </c>
      <c r="BS240" s="113" t="s">
        <v>1293</v>
      </c>
      <c r="BT240" s="113" t="s">
        <v>1293</v>
      </c>
      <c r="BU240" s="113" t="s">
        <v>1293</v>
      </c>
      <c r="BV240" s="112">
        <f t="shared" ref="BV240" si="2239">E240</f>
        <v>124</v>
      </c>
      <c r="BW240" s="114">
        <f t="shared" ref="BW240" si="2240">I240</f>
        <v>167</v>
      </c>
      <c r="BX240" s="115">
        <f t="shared" ref="BX240" si="2241">M240</f>
        <v>171</v>
      </c>
      <c r="BY240" s="114" t="str">
        <f t="shared" ref="BY240" si="2242">Q240</f>
        <v>-</v>
      </c>
      <c r="BZ240" s="115">
        <f t="shared" ref="BZ240" si="2243">U240</f>
        <v>220</v>
      </c>
      <c r="CA240" s="114" t="str">
        <f t="shared" ref="CA240" si="2244">Y240</f>
        <v>-</v>
      </c>
      <c r="CB240" s="115">
        <f t="shared" ref="CB240" si="2245">AC240</f>
        <v>263</v>
      </c>
      <c r="CC240" s="114">
        <f t="shared" ref="CC240" si="2246">AG240</f>
        <v>294</v>
      </c>
      <c r="CD240" s="115">
        <f t="shared" ref="CD240" si="2247">AK240</f>
        <v>303</v>
      </c>
      <c r="CE240" s="114">
        <f t="shared" ref="CE240" si="2248">AO240</f>
        <v>342</v>
      </c>
      <c r="CF240" s="115">
        <f t="shared" ref="CF240" si="2249">AS240</f>
        <v>375</v>
      </c>
      <c r="CG240" s="114">
        <f t="shared" ref="CG240" si="2250">AW240</f>
        <v>404</v>
      </c>
      <c r="CH240" s="112">
        <f t="shared" ref="CH240" si="2251">G240</f>
        <v>166</v>
      </c>
      <c r="CI240" s="114">
        <f t="shared" ref="CI240" si="2252">K240</f>
        <v>170</v>
      </c>
      <c r="CJ240" s="115">
        <f t="shared" ref="CJ240" si="2253">O240</f>
        <v>203</v>
      </c>
      <c r="CK240" s="115" t="str">
        <f t="shared" ref="CK240" si="2254">S240</f>
        <v>-</v>
      </c>
      <c r="CL240" s="115">
        <f t="shared" ref="CL240" si="2255">W240</f>
        <v>255</v>
      </c>
      <c r="CM240" s="115" t="str">
        <f t="shared" ref="CM240" si="2256">AA240</f>
        <v>-</v>
      </c>
      <c r="CN240" s="115">
        <f t="shared" ref="CN240" si="2257">AE240</f>
        <v>290</v>
      </c>
      <c r="CO240" s="115">
        <f t="shared" ref="CO240" si="2258">AI240</f>
        <v>296</v>
      </c>
      <c r="CP240" s="115">
        <f t="shared" ref="CP240" si="2259">AM240</f>
        <v>335</v>
      </c>
      <c r="CQ240" s="115">
        <f t="shared" ref="CQ240" si="2260">AQ240</f>
        <v>369</v>
      </c>
      <c r="CR240" s="115">
        <f t="shared" ref="CR240" si="2261">AU240</f>
        <v>403</v>
      </c>
      <c r="CS240" s="115">
        <f t="shared" ref="CS240" si="2262">AY240</f>
        <v>426</v>
      </c>
      <c r="CT240" s="110">
        <f t="shared" ref="CT240" si="2263">M240-K240</f>
        <v>1</v>
      </c>
    </row>
    <row r="241" spans="1:1030" x14ac:dyDescent="0.2">
      <c r="A241" s="3" t="str">
        <f t="shared" ref="A241:A243" si="2264">CONCATENATE(B241,"_",C241)</f>
        <v>glp1r_human__wt</v>
      </c>
      <c r="B241" s="3" t="s">
        <v>406</v>
      </c>
      <c r="C241" s="3" t="s">
        <v>100</v>
      </c>
      <c r="D241" s="3" t="str">
        <f>IFERROR(MID(VLOOKUP($B241,Seqs!$A:$B,2,0),E241,1),"")</f>
        <v>E</v>
      </c>
      <c r="E241" s="3">
        <v>138</v>
      </c>
      <c r="F241" s="3" t="str">
        <f>IFERROR(MID(VLOOKUP($B241,Seqs!$A:$B,2,0),G241,1),"")</f>
        <v>F</v>
      </c>
      <c r="G241" s="3">
        <v>169</v>
      </c>
      <c r="H241" s="3" t="str">
        <f>IFERROR(MID(VLOOKUP($B241,Seqs!$A:$B,2,0),I241,1),"")</f>
        <v>R</v>
      </c>
      <c r="I241" s="23">
        <v>170</v>
      </c>
      <c r="J241" s="3" t="str">
        <f>IFERROR(MID(VLOOKUP($B241,Seqs!$A:$B,2,0),K241,1),"")</f>
        <v>H</v>
      </c>
      <c r="K241" s="23">
        <v>173</v>
      </c>
      <c r="L241" s="3" t="str">
        <f>IFERROR(MID(VLOOKUP($B241,Seqs!$A:$B,2,0),M241,1),"")</f>
        <v>C</v>
      </c>
      <c r="M241" s="23">
        <v>174</v>
      </c>
      <c r="N241" s="3" t="str">
        <f>IFERROR(MID(VLOOKUP($B241,Seqs!$A:$B,2,0),O241,1),"")</f>
        <v>S</v>
      </c>
      <c r="O241" s="3">
        <v>206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L</v>
      </c>
      <c r="U241" s="3">
        <v>224</v>
      </c>
      <c r="V241" s="3" t="str">
        <f>IFERROR(MID(VLOOKUP($B241,Seqs!$A:$B,2,0),W241,1),"")</f>
        <v>F</v>
      </c>
      <c r="W241" s="3">
        <v>257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E</v>
      </c>
      <c r="AC241" s="3">
        <v>262</v>
      </c>
      <c r="AD241" s="3" t="str">
        <f>IFERROR(MID(VLOOKUP($B241,Seqs!$A:$B,2,0),AE241,1),"")</f>
        <v>E</v>
      </c>
      <c r="AE241" s="3">
        <v>292</v>
      </c>
      <c r="AF241" s="3" t="str">
        <f>IFERROR(MID(VLOOKUP($B241,Seqs!$A:$B,2,0),AG241,1),"")</f>
        <v>C</v>
      </c>
      <c r="AG241" s="3">
        <v>296</v>
      </c>
      <c r="AH241" s="3" t="str">
        <f>IFERROR(MID(VLOOKUP($B241,Seqs!$A:$B,2,0),AI241,1),"")</f>
        <v>T</v>
      </c>
      <c r="AI241" s="3">
        <v>298</v>
      </c>
      <c r="AJ241" s="3" t="str">
        <f>IFERROR(MID(VLOOKUP($B241,Seqs!$A:$B,2,0),AK241,1),"")</f>
        <v>N</v>
      </c>
      <c r="AK241" s="3">
        <v>302</v>
      </c>
      <c r="AL241" s="3" t="str">
        <f>IFERROR(MID(VLOOKUP($B241,Seqs!$A:$B,2,0),AM241,1),"")</f>
        <v>A</v>
      </c>
      <c r="AM241" s="3">
        <v>337</v>
      </c>
      <c r="AN241" s="3" t="str">
        <f>IFERROR(MID(VLOOKUP($B241,Seqs!$A:$B,2,0),AO241,1),"")</f>
        <v>D</v>
      </c>
      <c r="AO241" s="3">
        <v>344</v>
      </c>
      <c r="AP241" s="3" t="str">
        <f>IFERROR(MID(VLOOKUP($B241,Seqs!$A:$B,2,0),AQ241,1),"")</f>
        <v>F</v>
      </c>
      <c r="AQ241" s="3">
        <v>369</v>
      </c>
      <c r="AR241" s="3" t="str">
        <f>IFERROR(MID(VLOOKUP($B241,Seqs!$A:$B,2,0),AS241,1),"")</f>
        <v>G</v>
      </c>
      <c r="AS241" s="3">
        <v>377</v>
      </c>
      <c r="AT241" s="3" t="str">
        <f>IFERROR(MID(VLOOKUP($B241,Seqs!$A:$B,2,0),AU241,1),"")</f>
        <v>V</v>
      </c>
      <c r="AU241" s="3">
        <v>405</v>
      </c>
      <c r="AV241" s="3" t="str">
        <f>IFERROR(MID(VLOOKUP($B241,Seqs!$A:$B,2,0),AW241,1),"")</f>
        <v>N</v>
      </c>
      <c r="AW241" s="3">
        <v>406</v>
      </c>
      <c r="AX241" s="3" t="str">
        <f>IFERROR(MID(VLOOKUP($B241,Seqs!$A:$B,2,0),AY241,1),"")</f>
        <v>S</v>
      </c>
      <c r="AY241" s="3">
        <v>431</v>
      </c>
      <c r="AZ241" s="78" t="str">
        <f>VLOOKUP(B241,Classification!A:D,2,0)</f>
        <v>B1</v>
      </c>
      <c r="BA241" s="95" t="str">
        <f>VLOOKUP(B241,Classification!A:D,4,0)</f>
        <v>Glucagonreceptorfamily</v>
      </c>
      <c r="BB241" s="27" t="b">
        <f t="shared" ref="BB241:BB243" si="2265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:BC243" si="2266">_xlfn.AGGREGATE(9,6,CH241:CS241)-_xlfn.AGGREGATE(9,6,BV241:CG241)+12</f>
        <v>256</v>
      </c>
      <c r="BD241" s="4" t="s">
        <v>23</v>
      </c>
      <c r="BE241" s="3" t="s">
        <v>23</v>
      </c>
      <c r="BF241" s="120" t="s">
        <v>23</v>
      </c>
      <c r="BG241" s="49" t="s">
        <v>1384</v>
      </c>
      <c r="BH241" s="49" t="s">
        <v>1384</v>
      </c>
      <c r="BI241" s="1"/>
      <c r="BJ241" s="71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1">
        <f t="shared" ref="BV241:BV243" si="2267">E241</f>
        <v>138</v>
      </c>
      <c r="BW241" s="72">
        <f t="shared" ref="BW241:BW243" si="2268">I241</f>
        <v>170</v>
      </c>
      <c r="BX241" s="73">
        <f t="shared" ref="BX241:BX243" si="2269">M241</f>
        <v>174</v>
      </c>
      <c r="BY241" s="72" t="str">
        <f t="shared" ref="BY241:BY243" si="2270">Q241</f>
        <v>-</v>
      </c>
      <c r="BZ241" s="73">
        <f t="shared" ref="BZ241:BZ243" si="2271">U241</f>
        <v>224</v>
      </c>
      <c r="CA241" s="72" t="str">
        <f t="shared" ref="CA241:CA243" si="2272">Y241</f>
        <v>-</v>
      </c>
      <c r="CB241" s="73">
        <f t="shared" ref="CB241:CB243" si="2273">AC241</f>
        <v>262</v>
      </c>
      <c r="CC241" s="72">
        <f t="shared" ref="CC241:CC243" si="2274">AG241</f>
        <v>296</v>
      </c>
      <c r="CD241" s="73">
        <f t="shared" ref="CD241:CD243" si="2275">AK241</f>
        <v>302</v>
      </c>
      <c r="CE241" s="72">
        <f t="shared" ref="CE241:CE243" si="2276">AO241</f>
        <v>344</v>
      </c>
      <c r="CF241" s="73">
        <f t="shared" ref="CF241:CF243" si="2277">AS241</f>
        <v>377</v>
      </c>
      <c r="CG241" s="72">
        <f t="shared" ref="CG241:CG243" si="2278">AW241</f>
        <v>406</v>
      </c>
      <c r="CH241" s="71">
        <f t="shared" ref="CH241:CH243" si="2279">G241</f>
        <v>169</v>
      </c>
      <c r="CI241" s="72">
        <f t="shared" ref="CI241:CI243" si="2280">K241</f>
        <v>173</v>
      </c>
      <c r="CJ241" s="73">
        <f t="shared" ref="CJ241:CJ243" si="2281">O241</f>
        <v>206</v>
      </c>
      <c r="CK241" s="73" t="str">
        <f t="shared" ref="CK241:CK243" si="2282">S241</f>
        <v>-</v>
      </c>
      <c r="CL241" s="73">
        <f t="shared" ref="CL241:CL243" si="2283">W241</f>
        <v>257</v>
      </c>
      <c r="CM241" s="73" t="str">
        <f t="shared" ref="CM241:CM243" si="2284">AA241</f>
        <v>-</v>
      </c>
      <c r="CN241" s="73">
        <f t="shared" ref="CN241:CN243" si="2285">AE241</f>
        <v>292</v>
      </c>
      <c r="CO241" s="73">
        <f t="shared" ref="CO241:CO243" si="2286">AI241</f>
        <v>298</v>
      </c>
      <c r="CP241" s="73">
        <f t="shared" ref="CP241:CP243" si="2287">AM241</f>
        <v>337</v>
      </c>
      <c r="CQ241" s="73">
        <f t="shared" ref="CQ241:CQ243" si="2288">AQ241</f>
        <v>369</v>
      </c>
      <c r="CR241" s="73">
        <f t="shared" ref="CR241:CR243" si="2289">AU241</f>
        <v>405</v>
      </c>
      <c r="CS241" s="73">
        <f t="shared" ref="CS241:CS243" si="2290">AY241</f>
        <v>431</v>
      </c>
      <c r="CT241" s="23">
        <f t="shared" ref="CT241:CT243" si="2291">M241-K241</f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ref="A242" si="2292">CONCATENATE(B242,"_",C242)</f>
        <v>glp1r_human_5VEW</v>
      </c>
      <c r="B242" s="3" t="s">
        <v>406</v>
      </c>
      <c r="C242" s="3" t="s">
        <v>1416</v>
      </c>
      <c r="D242" s="3" t="str">
        <f>IFERROR(MID(VLOOKUP($B242,Seqs!$A:$B,2,0),E242,1),"")</f>
        <v>S</v>
      </c>
      <c r="E242" s="3">
        <v>136</v>
      </c>
      <c r="F242" s="3" t="str">
        <f>IFERROR(MID(VLOOKUP($B242,Seqs!$A:$B,2,0),G242,1),"")</f>
        <v>F</v>
      </c>
      <c r="G242" s="3">
        <v>169</v>
      </c>
      <c r="H242" s="3" t="str">
        <f>IFERROR(MID(VLOOKUP($B242,Seqs!$A:$B,2,0),I242,1),"")</f>
        <v>R</v>
      </c>
      <c r="I242" s="23">
        <v>170</v>
      </c>
      <c r="J242" s="3" t="str">
        <f>IFERROR(MID(VLOOKUP($B242,Seqs!$A:$B,2,0),K242,1),"")</f>
        <v>H</v>
      </c>
      <c r="K242" s="23">
        <v>173</v>
      </c>
      <c r="L242" s="3" t="str">
        <f>IFERROR(MID(VLOOKUP($B242,Seqs!$A:$B,2,0),M242,1),"")</f>
        <v>C</v>
      </c>
      <c r="M242" s="23">
        <v>174</v>
      </c>
      <c r="N242" s="3" t="str">
        <f>IFERROR(MID(VLOOKUP($B242,Seqs!$A:$B,2,0),O242,1),"")</f>
        <v>L</v>
      </c>
      <c r="O242" s="3">
        <v>201</v>
      </c>
      <c r="P242" s="3" t="str">
        <f>IFERROR(MID(VLOOKUP($B242,Seqs!$A:$B,2,0),Q242,1),"")</f>
        <v/>
      </c>
      <c r="Q242" s="3" t="s">
        <v>23</v>
      </c>
      <c r="R242" s="3" t="str">
        <f>IFERROR(MID(VLOOKUP($B242,Seqs!$A:$B,2,0),S242,1),"")</f>
        <v/>
      </c>
      <c r="S242" s="3" t="s">
        <v>23</v>
      </c>
      <c r="T242" s="3" t="str">
        <f>IFERROR(MID(VLOOKUP($B242,Seqs!$A:$B,2,0),U242,1),"")</f>
        <v>L</v>
      </c>
      <c r="U242" s="3">
        <v>224</v>
      </c>
      <c r="V242" s="3" t="str">
        <f>IFERROR(MID(VLOOKUP($B242,Seqs!$A:$B,2,0),W242,1),"")</f>
        <v>F</v>
      </c>
      <c r="W242" s="3">
        <v>257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E</v>
      </c>
      <c r="AC242" s="3">
        <v>262</v>
      </c>
      <c r="AD242" s="3" t="str">
        <f>IFERROR(MID(VLOOKUP($B242,Seqs!$A:$B,2,0),AE242,1),"")</f>
        <v>E</v>
      </c>
      <c r="AE242" s="3">
        <v>292</v>
      </c>
      <c r="AF242" s="3" t="str">
        <f>IFERROR(MID(VLOOKUP($B242,Seqs!$A:$B,2,0),AG242,1),"")</f>
        <v>C</v>
      </c>
      <c r="AG242" s="3">
        <v>296</v>
      </c>
      <c r="AH242" s="3" t="str">
        <f>IFERROR(MID(VLOOKUP($B242,Seqs!$A:$B,2,0),AI242,1),"")</f>
        <v>T</v>
      </c>
      <c r="AI242" s="3">
        <v>298</v>
      </c>
      <c r="AJ242" s="3" t="str">
        <f>IFERROR(MID(VLOOKUP($B242,Seqs!$A:$B,2,0),AK242,1),"")</f>
        <v>Y</v>
      </c>
      <c r="AK242" s="3">
        <v>305</v>
      </c>
      <c r="AL242" s="3" t="str">
        <f>IFERROR(MID(VLOOKUP($B242,Seqs!$A:$B,2,0),AM242,1),"")</f>
        <v>A</v>
      </c>
      <c r="AM242" s="3">
        <v>337</v>
      </c>
      <c r="AN242" s="3" t="str">
        <f>IFERROR(MID(VLOOKUP($B242,Seqs!$A:$B,2,0),AO242,1),"")</f>
        <v>D</v>
      </c>
      <c r="AO242" s="3">
        <v>344</v>
      </c>
      <c r="AP242" s="3" t="str">
        <f>IFERROR(MID(VLOOKUP($B242,Seqs!$A:$B,2,0),AQ242,1),"")</f>
        <v>F</v>
      </c>
      <c r="AQ242" s="3">
        <v>367</v>
      </c>
      <c r="AR242" s="3" t="str">
        <f>IFERROR(MID(VLOOKUP($B242,Seqs!$A:$B,2,0),AS242,1),"")</f>
        <v>R</v>
      </c>
      <c r="AS242" s="3">
        <v>380</v>
      </c>
      <c r="AT242" s="3" t="str">
        <f>IFERROR(MID(VLOOKUP($B242,Seqs!$A:$B,2,0),AU242,1),"")</f>
        <v>V</v>
      </c>
      <c r="AU242" s="3">
        <v>405</v>
      </c>
      <c r="AV242" s="3" t="str">
        <f>IFERROR(MID(VLOOKUP($B242,Seqs!$A:$B,2,0),AW242,1),"")</f>
        <v>N</v>
      </c>
      <c r="AW242" s="3">
        <v>406</v>
      </c>
      <c r="AX242" s="3" t="str">
        <f>IFERROR(MID(VLOOKUP($B242,Seqs!$A:$B,2,0),AY242,1),"")</f>
        <v>L</v>
      </c>
      <c r="AY242" s="3">
        <v>422</v>
      </c>
      <c r="AZ242" s="78" t="str">
        <f>VLOOKUP(B242,Classification!A:D,2,0)</f>
        <v>B1</v>
      </c>
      <c r="BA242" s="95" t="str">
        <f>VLOOKUP(B242,Classification!A:D,4,0)</f>
        <v>Glucagonreceptorfamily</v>
      </c>
      <c r="BB242" s="27" t="b">
        <f t="shared" ref="BB242" si="2293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ref="BC242" si="2294">_xlfn.AGGREGATE(9,6,CH242:CS242)-_xlfn.AGGREGATE(9,6,BV242:CG242)+12</f>
        <v>236</v>
      </c>
      <c r="BD242" s="4" t="s">
        <v>1383</v>
      </c>
      <c r="BE242" s="3" t="s">
        <v>1381</v>
      </c>
      <c r="BF242" s="120">
        <v>2.7</v>
      </c>
      <c r="BG242" s="49" t="s">
        <v>1287</v>
      </c>
      <c r="BH242" s="49" t="s">
        <v>1287</v>
      </c>
      <c r="BI242" s="1"/>
      <c r="BJ242" s="71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1">
        <f t="shared" ref="BV242" si="2295">E242</f>
        <v>136</v>
      </c>
      <c r="BW242" s="72">
        <f t="shared" ref="BW242" si="2296">I242</f>
        <v>170</v>
      </c>
      <c r="BX242" s="73">
        <f t="shared" ref="BX242" si="2297">M242</f>
        <v>174</v>
      </c>
      <c r="BY242" s="72" t="str">
        <f t="shared" ref="BY242" si="2298">Q242</f>
        <v>-</v>
      </c>
      <c r="BZ242" s="73">
        <f t="shared" ref="BZ242" si="2299">U242</f>
        <v>224</v>
      </c>
      <c r="CA242" s="72" t="str">
        <f t="shared" ref="CA242" si="2300">Y242</f>
        <v>-</v>
      </c>
      <c r="CB242" s="73">
        <f t="shared" ref="CB242" si="2301">AC242</f>
        <v>262</v>
      </c>
      <c r="CC242" s="72">
        <f t="shared" ref="CC242" si="2302">AG242</f>
        <v>296</v>
      </c>
      <c r="CD242" s="73">
        <f t="shared" ref="CD242" si="2303">AK242</f>
        <v>305</v>
      </c>
      <c r="CE242" s="72">
        <f t="shared" ref="CE242" si="2304">AO242</f>
        <v>344</v>
      </c>
      <c r="CF242" s="73">
        <f t="shared" ref="CF242" si="2305">AS242</f>
        <v>380</v>
      </c>
      <c r="CG242" s="72">
        <f t="shared" ref="CG242" si="2306">AW242</f>
        <v>406</v>
      </c>
      <c r="CH242" s="71">
        <f t="shared" ref="CH242" si="2307">G242</f>
        <v>169</v>
      </c>
      <c r="CI242" s="72">
        <f t="shared" ref="CI242" si="2308">K242</f>
        <v>173</v>
      </c>
      <c r="CJ242" s="73">
        <f t="shared" ref="CJ242" si="2309">O242</f>
        <v>201</v>
      </c>
      <c r="CK242" s="73" t="str">
        <f t="shared" ref="CK242" si="2310">S242</f>
        <v>-</v>
      </c>
      <c r="CL242" s="73">
        <f t="shared" ref="CL242" si="2311">W242</f>
        <v>257</v>
      </c>
      <c r="CM242" s="73" t="str">
        <f t="shared" ref="CM242" si="2312">AA242</f>
        <v>-</v>
      </c>
      <c r="CN242" s="73">
        <f t="shared" ref="CN242" si="2313">AE242</f>
        <v>292</v>
      </c>
      <c r="CO242" s="73">
        <f t="shared" ref="CO242" si="2314">AI242</f>
        <v>298</v>
      </c>
      <c r="CP242" s="73">
        <f t="shared" ref="CP242" si="2315">AM242</f>
        <v>337</v>
      </c>
      <c r="CQ242" s="73">
        <f t="shared" ref="CQ242" si="2316">AQ242</f>
        <v>367</v>
      </c>
      <c r="CR242" s="73">
        <f t="shared" ref="CR242" si="2317">AU242</f>
        <v>405</v>
      </c>
      <c r="CS242" s="73">
        <f t="shared" ref="CS242" si="2318">AY242</f>
        <v>422</v>
      </c>
      <c r="CT242" s="23">
        <f t="shared" ref="CT242" si="2319">M242-K242</f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2264"/>
        <v>glp1r_human_5VEX</v>
      </c>
      <c r="B243" s="3" t="s">
        <v>406</v>
      </c>
      <c r="C243" s="3" t="s">
        <v>1415</v>
      </c>
      <c r="D243" s="3" t="str">
        <f>IFERROR(MID(VLOOKUP($B243,Seqs!$A:$B,2,0),E243,1),"")</f>
        <v>S</v>
      </c>
      <c r="E243" s="3">
        <v>136</v>
      </c>
      <c r="F243" s="3" t="str">
        <f>IFERROR(MID(VLOOKUP($B243,Seqs!$A:$B,2,0),G243,1),"")</f>
        <v>F</v>
      </c>
      <c r="G243" s="3">
        <v>169</v>
      </c>
      <c r="H243" s="3" t="str">
        <f>IFERROR(MID(VLOOKUP($B243,Seqs!$A:$B,2,0),I243,1),"")</f>
        <v>R</v>
      </c>
      <c r="I243" s="23">
        <v>170</v>
      </c>
      <c r="J243" s="3" t="str">
        <f>IFERROR(MID(VLOOKUP($B243,Seqs!$A:$B,2,0),K243,1),"")</f>
        <v>H</v>
      </c>
      <c r="K243" s="23">
        <v>173</v>
      </c>
      <c r="L243" s="3" t="str">
        <f>IFERROR(MID(VLOOKUP($B243,Seqs!$A:$B,2,0),M243,1),"")</f>
        <v>C</v>
      </c>
      <c r="M243" s="23">
        <v>174</v>
      </c>
      <c r="N243" s="3" t="str">
        <f>IFERROR(MID(VLOOKUP($B243,Seqs!$A:$B,2,0),O243,1),"")</f>
        <v>L</v>
      </c>
      <c r="O243" s="3">
        <v>201</v>
      </c>
      <c r="P243" s="3" t="str">
        <f>IFERROR(MID(VLOOKUP($B243,Seqs!$A:$B,2,0),Q243,1),"")</f>
        <v/>
      </c>
      <c r="Q243" s="3" t="s">
        <v>23</v>
      </c>
      <c r="R243" s="3" t="str">
        <f>IFERROR(MID(VLOOKUP($B243,Seqs!$A:$B,2,0),S243,1),"")</f>
        <v/>
      </c>
      <c r="S243" s="3" t="s">
        <v>23</v>
      </c>
      <c r="T243" s="3" t="str">
        <f>IFERROR(MID(VLOOKUP($B243,Seqs!$A:$B,2,0),U243,1),"")</f>
        <v>L</v>
      </c>
      <c r="U243" s="3">
        <v>224</v>
      </c>
      <c r="V243" s="3" t="str">
        <f>IFERROR(MID(VLOOKUP($B243,Seqs!$A:$B,2,0),W243,1),"")</f>
        <v>F</v>
      </c>
      <c r="W243" s="3">
        <v>257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E</v>
      </c>
      <c r="AC243" s="3">
        <v>262</v>
      </c>
      <c r="AD243" s="3" t="str">
        <f>IFERROR(MID(VLOOKUP($B243,Seqs!$A:$B,2,0),AE243,1),"")</f>
        <v>E</v>
      </c>
      <c r="AE243" s="3">
        <v>292</v>
      </c>
      <c r="AF243" s="3" t="str">
        <f>IFERROR(MID(VLOOKUP($B243,Seqs!$A:$B,2,0),AG243,1),"")</f>
        <v>C</v>
      </c>
      <c r="AG243" s="3">
        <v>296</v>
      </c>
      <c r="AH243" s="3" t="str">
        <f>IFERROR(MID(VLOOKUP($B243,Seqs!$A:$B,2,0),AI243,1),"")</f>
        <v>T</v>
      </c>
      <c r="AI243" s="3">
        <v>298</v>
      </c>
      <c r="AJ243" s="3" t="str">
        <f>IFERROR(MID(VLOOKUP($B243,Seqs!$A:$B,2,0),AK243,1),"")</f>
        <v>Y</v>
      </c>
      <c r="AK243" s="3">
        <v>305</v>
      </c>
      <c r="AL243" s="3" t="str">
        <f>IFERROR(MID(VLOOKUP($B243,Seqs!$A:$B,2,0),AM243,1),"")</f>
        <v>A</v>
      </c>
      <c r="AM243" s="3">
        <v>337</v>
      </c>
      <c r="AN243" s="3" t="str">
        <f>IFERROR(MID(VLOOKUP($B243,Seqs!$A:$B,2,0),AO243,1),"")</f>
        <v>D</v>
      </c>
      <c r="AO243" s="3">
        <v>344</v>
      </c>
      <c r="AP243" s="3" t="str">
        <f>IFERROR(MID(VLOOKUP($B243,Seqs!$A:$B,2,0),AQ243,1),"")</f>
        <v>F</v>
      </c>
      <c r="AQ243" s="3">
        <v>367</v>
      </c>
      <c r="AR243" s="3" t="str">
        <f>IFERROR(MID(VLOOKUP($B243,Seqs!$A:$B,2,0),AS243,1),"")</f>
        <v>R</v>
      </c>
      <c r="AS243" s="3">
        <v>380</v>
      </c>
      <c r="AT243" s="3" t="str">
        <f>IFERROR(MID(VLOOKUP($B243,Seqs!$A:$B,2,0),AU243,1),"")</f>
        <v>V</v>
      </c>
      <c r="AU243" s="3">
        <v>405</v>
      </c>
      <c r="AV243" s="3" t="str">
        <f>IFERROR(MID(VLOOKUP($B243,Seqs!$A:$B,2,0),AW243,1),"")</f>
        <v>N</v>
      </c>
      <c r="AW243" s="3">
        <v>406</v>
      </c>
      <c r="AX243" s="3" t="str">
        <f>IFERROR(MID(VLOOKUP($B243,Seqs!$A:$B,2,0),AY243,1),"")</f>
        <v>L</v>
      </c>
      <c r="AY243" s="3">
        <v>422</v>
      </c>
      <c r="AZ243" s="78" t="str">
        <f>VLOOKUP(B243,Classification!A:D,2,0)</f>
        <v>B1</v>
      </c>
      <c r="BA243" s="95" t="str">
        <f>VLOOKUP(B243,Classification!A:D,4,0)</f>
        <v>Glucagonreceptorfamily</v>
      </c>
      <c r="BB243" s="27" t="b">
        <f t="shared" si="2265"/>
        <v>1</v>
      </c>
      <c r="BC243" s="23">
        <f t="shared" si="2266"/>
        <v>236</v>
      </c>
      <c r="BD243" s="4" t="s">
        <v>23</v>
      </c>
      <c r="BE243" s="3" t="s">
        <v>1381</v>
      </c>
      <c r="BF243" s="120">
        <v>3</v>
      </c>
      <c r="BG243" s="49" t="s">
        <v>1</v>
      </c>
      <c r="BH243" s="49" t="s">
        <v>1</v>
      </c>
      <c r="BI243" s="1"/>
      <c r="BJ243" s="71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1">
        <f t="shared" si="2267"/>
        <v>136</v>
      </c>
      <c r="BW243" s="72">
        <f t="shared" si="2268"/>
        <v>170</v>
      </c>
      <c r="BX243" s="73">
        <f t="shared" si="2269"/>
        <v>174</v>
      </c>
      <c r="BY243" s="72" t="str">
        <f t="shared" si="2270"/>
        <v>-</v>
      </c>
      <c r="BZ243" s="73">
        <f t="shared" si="2271"/>
        <v>224</v>
      </c>
      <c r="CA243" s="72" t="str">
        <f t="shared" si="2272"/>
        <v>-</v>
      </c>
      <c r="CB243" s="73">
        <f t="shared" si="2273"/>
        <v>262</v>
      </c>
      <c r="CC243" s="72">
        <f t="shared" si="2274"/>
        <v>296</v>
      </c>
      <c r="CD243" s="73">
        <f t="shared" si="2275"/>
        <v>305</v>
      </c>
      <c r="CE243" s="72">
        <f t="shared" si="2276"/>
        <v>344</v>
      </c>
      <c r="CF243" s="73">
        <f t="shared" si="2277"/>
        <v>380</v>
      </c>
      <c r="CG243" s="72">
        <f t="shared" si="2278"/>
        <v>406</v>
      </c>
      <c r="CH243" s="71">
        <f t="shared" si="2279"/>
        <v>169</v>
      </c>
      <c r="CI243" s="72">
        <f t="shared" si="2280"/>
        <v>173</v>
      </c>
      <c r="CJ243" s="73">
        <f t="shared" si="2281"/>
        <v>201</v>
      </c>
      <c r="CK243" s="73" t="str">
        <f t="shared" si="2282"/>
        <v>-</v>
      </c>
      <c r="CL243" s="73">
        <f t="shared" si="2283"/>
        <v>257</v>
      </c>
      <c r="CM243" s="73" t="str">
        <f t="shared" si="2284"/>
        <v>-</v>
      </c>
      <c r="CN243" s="73">
        <f t="shared" si="2285"/>
        <v>292</v>
      </c>
      <c r="CO243" s="73">
        <f t="shared" si="2286"/>
        <v>298</v>
      </c>
      <c r="CP243" s="73">
        <f t="shared" si="2287"/>
        <v>337</v>
      </c>
      <c r="CQ243" s="73">
        <f t="shared" si="2288"/>
        <v>367</v>
      </c>
      <c r="CR243" s="73">
        <f t="shared" si="2289"/>
        <v>405</v>
      </c>
      <c r="CS243" s="73">
        <f t="shared" si="2290"/>
        <v>422</v>
      </c>
      <c r="CT243" s="23">
        <f t="shared" si="2291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ref="A244" si="2320">CONCATENATE(B244,"_",C244)</f>
        <v>glp1r_human_5NX2</v>
      </c>
      <c r="B244" s="3" t="s">
        <v>406</v>
      </c>
      <c r="C244" s="3" t="s">
        <v>1428</v>
      </c>
      <c r="D244" s="3" t="str">
        <f>IFERROR(MID(VLOOKUP($B244,Seqs!$A:$B,2,0),E244,1),"")</f>
        <v>E</v>
      </c>
      <c r="E244" s="3">
        <v>138</v>
      </c>
      <c r="F244" s="3" t="str">
        <f>IFERROR(MID(VLOOKUP($B244,Seqs!$A:$B,2,0),G244,1),"")</f>
        <v>F</v>
      </c>
      <c r="G244" s="3">
        <v>169</v>
      </c>
      <c r="H244" s="3" t="str">
        <f>IFERROR(MID(VLOOKUP($B244,Seqs!$A:$B,2,0),I244,1),"")</f>
        <v>R</v>
      </c>
      <c r="I244" s="23">
        <v>170</v>
      </c>
      <c r="J244" s="3" t="str">
        <f>IFERROR(MID(VLOOKUP($B244,Seqs!$A:$B,2,0),K244,1),"")</f>
        <v>H</v>
      </c>
      <c r="K244" s="23">
        <v>173</v>
      </c>
      <c r="L244" s="3" t="str">
        <f>IFERROR(MID(VLOOKUP($B244,Seqs!$A:$B,2,0),M244,1),"")</f>
        <v>C</v>
      </c>
      <c r="M244" s="23">
        <v>174</v>
      </c>
      <c r="N244" s="3" t="str">
        <f>IFERROR(MID(VLOOKUP($B244,Seqs!$A:$B,2,0),O244,1),"")</f>
        <v>S</v>
      </c>
      <c r="O244" s="3">
        <v>206</v>
      </c>
      <c r="P244" s="3" t="str">
        <f>IFERROR(MID(VLOOKUP($B244,Seqs!$A:$B,2,0),Q244,1),"")</f>
        <v/>
      </c>
      <c r="Q244" s="3" t="s">
        <v>23</v>
      </c>
      <c r="R244" s="3" t="str">
        <f>IFERROR(MID(VLOOKUP($B244,Seqs!$A:$B,2,0),S244,1),"")</f>
        <v/>
      </c>
      <c r="S244" s="3" t="s">
        <v>23</v>
      </c>
      <c r="T244" s="3" t="str">
        <f>IFERROR(MID(VLOOKUP($B244,Seqs!$A:$B,2,0),U244,1),"")</f>
        <v>L</v>
      </c>
      <c r="U244" s="3">
        <v>224</v>
      </c>
      <c r="V244" s="3" t="str">
        <f>IFERROR(MID(VLOOKUP($B244,Seqs!$A:$B,2,0),W244,1),"")</f>
        <v>F</v>
      </c>
      <c r="W244" s="3">
        <v>257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E</v>
      </c>
      <c r="AC244" s="3">
        <v>262</v>
      </c>
      <c r="AD244" s="3" t="str">
        <f>IFERROR(MID(VLOOKUP($B244,Seqs!$A:$B,2,0),AE244,1),"")</f>
        <v>Y</v>
      </c>
      <c r="AE244" s="3">
        <v>291</v>
      </c>
      <c r="AF244" s="3" t="str">
        <f>IFERROR(MID(VLOOKUP($B244,Seqs!$A:$B,2,0),AG244,1),"")</f>
        <v>C</v>
      </c>
      <c r="AG244" s="3">
        <v>296</v>
      </c>
      <c r="AH244" s="3" t="str">
        <f>IFERROR(MID(VLOOKUP($B244,Seqs!$A:$B,2,0),AI244,1),"")</f>
        <v>T</v>
      </c>
      <c r="AI244" s="3">
        <v>298</v>
      </c>
      <c r="AJ244" s="3" t="str">
        <f>IFERROR(MID(VLOOKUP($B244,Seqs!$A:$B,2,0),AK244,1),"")</f>
        <v>N</v>
      </c>
      <c r="AK244" s="3">
        <v>302</v>
      </c>
      <c r="AL244" s="3" t="str">
        <f>IFERROR(MID(VLOOKUP($B244,Seqs!$A:$B,2,0),AM244,1),"")</f>
        <v>L</v>
      </c>
      <c r="AM244" s="3">
        <v>335</v>
      </c>
      <c r="AN244" s="3" t="str">
        <f>IFERROR(MID(VLOOKUP($B244,Seqs!$A:$B,2,0),AO244,1),"")</f>
        <v>M</v>
      </c>
      <c r="AO244" s="3">
        <v>340</v>
      </c>
      <c r="AP244" s="3" t="str">
        <f>IFERROR(MID(VLOOKUP($B244,Seqs!$A:$B,2,0),AQ244,1),"")</f>
        <v>F</v>
      </c>
      <c r="AQ244" s="3">
        <v>369</v>
      </c>
      <c r="AR244" s="3" t="str">
        <f>IFERROR(MID(VLOOKUP($B244,Seqs!$A:$B,2,0),AS244,1),"")</f>
        <v>G</v>
      </c>
      <c r="AS244" s="3">
        <v>377</v>
      </c>
      <c r="AT244" s="3" t="str">
        <f>IFERROR(MID(VLOOKUP($B244,Seqs!$A:$B,2,0),AU244,1),"")</f>
        <v>V</v>
      </c>
      <c r="AU244" s="3">
        <v>405</v>
      </c>
      <c r="AV244" s="3" t="str">
        <f>IFERROR(MID(VLOOKUP($B244,Seqs!$A:$B,2,0),AW244,1),"")</f>
        <v>N</v>
      </c>
      <c r="AW244" s="3">
        <v>406</v>
      </c>
      <c r="AX244" s="3" t="str">
        <f>IFERROR(MID(VLOOKUP($B244,Seqs!$A:$B,2,0),AY244,1),"")</f>
        <v>S</v>
      </c>
      <c r="AY244" s="3">
        <v>416</v>
      </c>
      <c r="AZ244" s="78" t="str">
        <f>VLOOKUP(B244,Classification!A:D,2,0)</f>
        <v>B1</v>
      </c>
      <c r="BA244" s="95" t="str">
        <f>VLOOKUP(B244,Classification!A:D,4,0)</f>
        <v>Glucagonreceptorfamily</v>
      </c>
      <c r="BB244" s="27" t="b">
        <f t="shared" ref="BB244" si="2321"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 t="shared" ref="BC244" si="2322">_xlfn.AGGREGATE(9,6,CH244:CS244)-_xlfn.AGGREGATE(9,6,BV244:CG244)+12</f>
        <v>242</v>
      </c>
      <c r="BD244" s="4" t="s">
        <v>1440</v>
      </c>
      <c r="BE244" s="3" t="s">
        <v>1439</v>
      </c>
      <c r="BF244" s="120">
        <v>3.7</v>
      </c>
      <c r="BG244" s="49" t="s">
        <v>1</v>
      </c>
      <c r="BH244" s="49" t="s">
        <v>1</v>
      </c>
      <c r="BI244" s="1"/>
      <c r="BJ244" s="71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1">
        <f t="shared" ref="BV244" si="2323">E244</f>
        <v>138</v>
      </c>
      <c r="BW244" s="72">
        <f t="shared" ref="BW244" si="2324">I244</f>
        <v>170</v>
      </c>
      <c r="BX244" s="73">
        <f t="shared" ref="BX244" si="2325">M244</f>
        <v>174</v>
      </c>
      <c r="BY244" s="72" t="str">
        <f t="shared" ref="BY244" si="2326">Q244</f>
        <v>-</v>
      </c>
      <c r="BZ244" s="73">
        <f t="shared" ref="BZ244" si="2327">U244</f>
        <v>224</v>
      </c>
      <c r="CA244" s="72" t="str">
        <f t="shared" ref="CA244" si="2328">Y244</f>
        <v>-</v>
      </c>
      <c r="CB244" s="73">
        <f t="shared" ref="CB244" si="2329">AC244</f>
        <v>262</v>
      </c>
      <c r="CC244" s="72">
        <f t="shared" ref="CC244" si="2330">AG244</f>
        <v>296</v>
      </c>
      <c r="CD244" s="73">
        <f t="shared" ref="CD244" si="2331">AK244</f>
        <v>302</v>
      </c>
      <c r="CE244" s="72">
        <f t="shared" ref="CE244" si="2332">AO244</f>
        <v>340</v>
      </c>
      <c r="CF244" s="73">
        <f t="shared" ref="CF244" si="2333">AS244</f>
        <v>377</v>
      </c>
      <c r="CG244" s="72">
        <f t="shared" ref="CG244" si="2334">AW244</f>
        <v>406</v>
      </c>
      <c r="CH244" s="71">
        <f t="shared" ref="CH244" si="2335">G244</f>
        <v>169</v>
      </c>
      <c r="CI244" s="72">
        <f t="shared" ref="CI244" si="2336">K244</f>
        <v>173</v>
      </c>
      <c r="CJ244" s="73">
        <f t="shared" ref="CJ244" si="2337">O244</f>
        <v>206</v>
      </c>
      <c r="CK244" s="73" t="str">
        <f t="shared" ref="CK244" si="2338">S244</f>
        <v>-</v>
      </c>
      <c r="CL244" s="73">
        <f t="shared" ref="CL244" si="2339">W244</f>
        <v>257</v>
      </c>
      <c r="CM244" s="73" t="str">
        <f t="shared" ref="CM244" si="2340">AA244</f>
        <v>-</v>
      </c>
      <c r="CN244" s="73">
        <f t="shared" ref="CN244" si="2341">AE244</f>
        <v>291</v>
      </c>
      <c r="CO244" s="73">
        <f t="shared" ref="CO244" si="2342">AI244</f>
        <v>298</v>
      </c>
      <c r="CP244" s="73">
        <f t="shared" ref="CP244" si="2343">AM244</f>
        <v>335</v>
      </c>
      <c r="CQ244" s="73">
        <f t="shared" ref="CQ244" si="2344">AQ244</f>
        <v>369</v>
      </c>
      <c r="CR244" s="73">
        <f t="shared" ref="CR244" si="2345">AU244</f>
        <v>405</v>
      </c>
      <c r="CS244" s="73">
        <f t="shared" ref="CS244" si="2346">AY244</f>
        <v>416</v>
      </c>
      <c r="CT244" s="23">
        <f t="shared" ref="CT244" si="2347"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s="12" customFormat="1" x14ac:dyDescent="0.2">
      <c r="A245" s="9" t="str">
        <f>CONCATENATE(B245,"_",C245)</f>
        <v>glp1r_human_6B3J</v>
      </c>
      <c r="B245" s="9" t="s">
        <v>406</v>
      </c>
      <c r="C245" s="9" t="s">
        <v>1486</v>
      </c>
      <c r="D245" s="9" t="str">
        <f>IFERROR(MID(VLOOKUP($B245,Seqs!$A:$B,2,0),E245,1),"")</f>
        <v>E</v>
      </c>
      <c r="E245" s="9">
        <v>138</v>
      </c>
      <c r="F245" s="9" t="str">
        <f>IFERROR(MID(VLOOKUP($B245,Seqs!$A:$B,2,0),G245,1),"")</f>
        <v>F</v>
      </c>
      <c r="G245" s="9">
        <v>169</v>
      </c>
      <c r="H245" s="9" t="str">
        <f>IFERROR(MID(VLOOKUP($B245,Seqs!$A:$B,2,0),I245,1),"")</f>
        <v/>
      </c>
      <c r="I245" s="110" t="s">
        <v>23</v>
      </c>
      <c r="J245" s="9" t="str">
        <f>IFERROR(MID(VLOOKUP($B245,Seqs!$A:$B,2,0),K245,1),"")</f>
        <v/>
      </c>
      <c r="K245" s="110" t="s">
        <v>23</v>
      </c>
      <c r="L245" s="9" t="str">
        <f>IFERROR(MID(VLOOKUP($B245,Seqs!$A:$B,2,0),M245,1),"")</f>
        <v>C</v>
      </c>
      <c r="M245" s="110">
        <v>174</v>
      </c>
      <c r="N245" s="9" t="str">
        <f>IFERROR(MID(VLOOKUP($B245,Seqs!$A:$B,2,0),O245,1),"")</f>
        <v>Y</v>
      </c>
      <c r="O245" s="9">
        <v>205</v>
      </c>
      <c r="P245" s="9" t="str">
        <f>IFERROR(MID(VLOOKUP($B245,Seqs!$A:$B,2,0),Q245,1),"")</f>
        <v/>
      </c>
      <c r="Q245" s="9" t="s">
        <v>23</v>
      </c>
      <c r="R245" s="9" t="str">
        <f>IFERROR(MID(VLOOKUP($B245,Seqs!$A:$B,2,0),S245,1),"")</f>
        <v/>
      </c>
      <c r="S245" s="9" t="s">
        <v>23</v>
      </c>
      <c r="T245" s="9" t="str">
        <f>IFERROR(MID(VLOOKUP($B245,Seqs!$A:$B,2,0),U245,1),"")</f>
        <v>S</v>
      </c>
      <c r="U245" s="9">
        <v>225</v>
      </c>
      <c r="V245" s="9" t="str">
        <f>IFERROR(MID(VLOOKUP($B245,Seqs!$A:$B,2,0),W245,1),"")</f>
        <v>F</v>
      </c>
      <c r="W245" s="9">
        <v>257</v>
      </c>
      <c r="X245" s="9" t="str">
        <f>IFERROR(MID(VLOOKUP($B245,Seqs!$A:$B,2,0),Y245,1),"")</f>
        <v/>
      </c>
      <c r="Y245" s="9" t="s">
        <v>23</v>
      </c>
      <c r="Z245" s="9" t="str">
        <f>IFERROR(MID(VLOOKUP($B245,Seqs!$A:$B,2,0),AA245,1),"")</f>
        <v/>
      </c>
      <c r="AA245" s="9" t="s">
        <v>23</v>
      </c>
      <c r="AB245" s="9" t="str">
        <f>IFERROR(MID(VLOOKUP($B245,Seqs!$A:$B,2,0),AC245,1),"")</f>
        <v>S</v>
      </c>
      <c r="AC245" s="9">
        <v>261</v>
      </c>
      <c r="AD245" s="9" t="str">
        <f>IFERROR(MID(VLOOKUP($B245,Seqs!$A:$B,2,0),AE245,1),"")</f>
        <v>E</v>
      </c>
      <c r="AE245" s="9">
        <v>292</v>
      </c>
      <c r="AF245" s="9" t="str">
        <f>IFERROR(MID(VLOOKUP($B245,Seqs!$A:$B,2,0),AG245,1),"")</f>
        <v>C</v>
      </c>
      <c r="AG245" s="9">
        <v>296</v>
      </c>
      <c r="AH245" s="9" t="str">
        <f>IFERROR(MID(VLOOKUP($B245,Seqs!$A:$B,2,0),AI245,1),"")</f>
        <v>T</v>
      </c>
      <c r="AI245" s="9">
        <v>298</v>
      </c>
      <c r="AJ245" s="9" t="str">
        <f>IFERROR(MID(VLOOKUP($B245,Seqs!$A:$B,2,0),AK245,1),"")</f>
        <v>N</v>
      </c>
      <c r="AK245" s="9">
        <v>302</v>
      </c>
      <c r="AL245" s="9" t="str">
        <f>IFERROR(MID(VLOOKUP($B245,Seqs!$A:$B,2,0),AM245,1),"")</f>
        <v>A</v>
      </c>
      <c r="AM245" s="9">
        <v>337</v>
      </c>
      <c r="AN245" s="9" t="str">
        <f>IFERROR(MID(VLOOKUP($B245,Seqs!$A:$B,2,0),AO245,1),"")</f>
        <v>D</v>
      </c>
      <c r="AO245" s="9">
        <v>344</v>
      </c>
      <c r="AP245" s="9" t="str">
        <f>IFERROR(MID(VLOOKUP($B245,Seqs!$A:$B,2,0),AQ245,1),"")</f>
        <v>F</v>
      </c>
      <c r="AQ245" s="9">
        <v>369</v>
      </c>
      <c r="AR245" s="9" t="str">
        <f>IFERROR(MID(VLOOKUP($B245,Seqs!$A:$B,2,0),AS245,1),"")</f>
        <v>R</v>
      </c>
      <c r="AS245" s="9">
        <v>380</v>
      </c>
      <c r="AT245" s="9" t="str">
        <f>IFERROR(MID(VLOOKUP($B245,Seqs!$A:$B,2,0),AU245,1),"")</f>
        <v>V</v>
      </c>
      <c r="AU245" s="9">
        <v>405</v>
      </c>
      <c r="AV245" s="9" t="str">
        <f>IFERROR(MID(VLOOKUP($B245,Seqs!$A:$B,2,0),AW245,1),"")</f>
        <v>N</v>
      </c>
      <c r="AW245" s="9">
        <v>406</v>
      </c>
      <c r="AX245" s="9" t="str">
        <f>IFERROR(MID(VLOOKUP($B245,Seqs!$A:$B,2,0),AY245,1),"")</f>
        <v>E</v>
      </c>
      <c r="AY245" s="9">
        <v>423</v>
      </c>
      <c r="AZ245" s="111" t="str">
        <f>VLOOKUP(B245,Classification!A:D,2,0)</f>
        <v>B1</v>
      </c>
      <c r="BA245" s="99" t="str">
        <f>VLOOKUP(B245,Classification!A:D,4,0)</f>
        <v>Glucagonreceptorfamily</v>
      </c>
      <c r="BB245" s="36" t="b">
        <f t="shared" ref="BB245" si="2348"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10">
        <f t="shared" ref="BC245" si="2349">_xlfn.AGGREGATE(9,6,CH245:CS245)-_xlfn.AGGREGATE(9,6,BV245:CG245)+12</f>
        <v>241</v>
      </c>
      <c r="BD245" s="11" t="s">
        <v>1382</v>
      </c>
      <c r="BE245" s="9" t="s">
        <v>1297</v>
      </c>
      <c r="BF245" s="121">
        <v>3.3</v>
      </c>
      <c r="BG245" s="51" t="s">
        <v>1433</v>
      </c>
      <c r="BH245" s="51" t="s">
        <v>1433</v>
      </c>
      <c r="BJ245" s="112" t="s">
        <v>1293</v>
      </c>
      <c r="BK245" s="113" t="s">
        <v>1293</v>
      </c>
      <c r="BL245" s="113" t="s">
        <v>1293</v>
      </c>
      <c r="BM245" s="113" t="s">
        <v>1293</v>
      </c>
      <c r="BN245" s="113" t="s">
        <v>1293</v>
      </c>
      <c r="BO245" s="113" t="s">
        <v>1293</v>
      </c>
      <c r="BP245" s="113" t="s">
        <v>1293</v>
      </c>
      <c r="BQ245" s="113" t="s">
        <v>1293</v>
      </c>
      <c r="BR245" s="113" t="s">
        <v>1293</v>
      </c>
      <c r="BS245" s="113" t="s">
        <v>1293</v>
      </c>
      <c r="BT245" s="113" t="s">
        <v>1293</v>
      </c>
      <c r="BU245" s="113" t="s">
        <v>1293</v>
      </c>
      <c r="BV245" s="112">
        <f t="shared" ref="BV245" si="2350">E245</f>
        <v>138</v>
      </c>
      <c r="BW245" s="114" t="str">
        <f t="shared" ref="BW245" si="2351">I245</f>
        <v>-</v>
      </c>
      <c r="BX245" s="115">
        <f t="shared" ref="BX245" si="2352">M245</f>
        <v>174</v>
      </c>
      <c r="BY245" s="114" t="str">
        <f t="shared" ref="BY245" si="2353">Q245</f>
        <v>-</v>
      </c>
      <c r="BZ245" s="115">
        <f t="shared" ref="BZ245" si="2354">U245</f>
        <v>225</v>
      </c>
      <c r="CA245" s="114" t="str">
        <f t="shared" ref="CA245" si="2355">Y245</f>
        <v>-</v>
      </c>
      <c r="CB245" s="115">
        <f t="shared" ref="CB245" si="2356">AC245</f>
        <v>261</v>
      </c>
      <c r="CC245" s="114">
        <f t="shared" ref="CC245" si="2357">AG245</f>
        <v>296</v>
      </c>
      <c r="CD245" s="115">
        <f t="shared" ref="CD245" si="2358">AK245</f>
        <v>302</v>
      </c>
      <c r="CE245" s="114">
        <f t="shared" ref="CE245" si="2359">AO245</f>
        <v>344</v>
      </c>
      <c r="CF245" s="115">
        <f t="shared" ref="CF245" si="2360">AS245</f>
        <v>380</v>
      </c>
      <c r="CG245" s="114">
        <f t="shared" ref="CG245" si="2361">AW245</f>
        <v>406</v>
      </c>
      <c r="CH245" s="112">
        <f t="shared" ref="CH245" si="2362">G245</f>
        <v>169</v>
      </c>
      <c r="CI245" s="114" t="str">
        <f t="shared" ref="CI245" si="2363">K245</f>
        <v>-</v>
      </c>
      <c r="CJ245" s="115">
        <f t="shared" ref="CJ245" si="2364">O245</f>
        <v>205</v>
      </c>
      <c r="CK245" s="115" t="str">
        <f t="shared" ref="CK245" si="2365">S245</f>
        <v>-</v>
      </c>
      <c r="CL245" s="115">
        <f t="shared" ref="CL245" si="2366">W245</f>
        <v>257</v>
      </c>
      <c r="CM245" s="115" t="str">
        <f t="shared" ref="CM245" si="2367">AA245</f>
        <v>-</v>
      </c>
      <c r="CN245" s="115">
        <f t="shared" ref="CN245" si="2368">AE245</f>
        <v>292</v>
      </c>
      <c r="CO245" s="115">
        <f t="shared" ref="CO245" si="2369">AI245</f>
        <v>298</v>
      </c>
      <c r="CP245" s="115">
        <f t="shared" ref="CP245" si="2370">AM245</f>
        <v>337</v>
      </c>
      <c r="CQ245" s="115">
        <f t="shared" ref="CQ245" si="2371">AQ245</f>
        <v>369</v>
      </c>
      <c r="CR245" s="115">
        <f t="shared" ref="CR245" si="2372">AU245</f>
        <v>405</v>
      </c>
      <c r="CS245" s="115">
        <f t="shared" ref="CS245" si="2373">AY245</f>
        <v>423</v>
      </c>
      <c r="CT245" s="110" t="e">
        <f t="shared" ref="CT245" si="2374">M245-K245</f>
        <v>#VALUE!</v>
      </c>
    </row>
    <row r="246" spans="1:1030" x14ac:dyDescent="0.2">
      <c r="A246" s="3" t="str">
        <f t="shared" ref="A246:A247" si="2375">CONCATENATE(B246,"_",C246)</f>
        <v>g1sgd4_rabit__wt</v>
      </c>
      <c r="B246" s="3" t="s">
        <v>1430</v>
      </c>
      <c r="C246" s="3" t="s">
        <v>100</v>
      </c>
      <c r="D246" s="3" t="str">
        <f>IFERROR(MID(VLOOKUP($B246,Seqs!$A:$B,2,0),E246,1),"")</f>
        <v>P</v>
      </c>
      <c r="E246" s="3">
        <v>137</v>
      </c>
      <c r="F246" s="3" t="str">
        <f>IFERROR(MID(VLOOKUP($B246,Seqs!$A:$B,2,0),G246,1),"")</f>
        <v>F</v>
      </c>
      <c r="G246" s="3">
        <v>169</v>
      </c>
      <c r="H246" s="3" t="str">
        <f>IFERROR(MID(VLOOKUP($B246,Seqs!$A:$B,2,0),I246,1),"")</f>
        <v>R</v>
      </c>
      <c r="I246" s="23">
        <v>170</v>
      </c>
      <c r="J246" s="3" t="str">
        <f>IFERROR(MID(VLOOKUP($B246,Seqs!$A:$B,2,0),K246,1),"")</f>
        <v>H</v>
      </c>
      <c r="K246" s="23">
        <v>173</v>
      </c>
      <c r="L246" s="3" t="str">
        <f>IFERROR(MID(VLOOKUP($B246,Seqs!$A:$B,2,0),M246,1),"")</f>
        <v>C</v>
      </c>
      <c r="M246" s="23">
        <v>174</v>
      </c>
      <c r="N246" s="3" t="str">
        <f>IFERROR(MID(VLOOKUP($B246,Seqs!$A:$B,2,0),O246,1),"")</f>
        <v>Q</v>
      </c>
      <c r="O246" s="3">
        <v>211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L</v>
      </c>
      <c r="U246" s="3">
        <v>224</v>
      </c>
      <c r="V246" s="3" t="str">
        <f>IFERROR(MID(VLOOKUP($B246,Seqs!$A:$B,2,0),W246,1),"")</f>
        <v>F</v>
      </c>
      <c r="W246" s="3">
        <v>257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S</v>
      </c>
      <c r="AC246" s="3">
        <v>261</v>
      </c>
      <c r="AD246" s="3" t="str">
        <f>IFERROR(MID(VLOOKUP($B246,Seqs!$A:$B,2,0),AE246,1),"")</f>
        <v>E</v>
      </c>
      <c r="AE246" s="3">
        <v>292</v>
      </c>
      <c r="AF246" s="3" t="str">
        <f>IFERROR(MID(VLOOKUP($B246,Seqs!$A:$B,2,0),AG246,1),"")</f>
        <v>C</v>
      </c>
      <c r="AG246" s="3">
        <v>296</v>
      </c>
      <c r="AH246" s="3" t="str">
        <f>IFERROR(MID(VLOOKUP($B246,Seqs!$A:$B,2,0),AI246,1),"")</f>
        <v>T</v>
      </c>
      <c r="AI246" s="3">
        <v>298</v>
      </c>
      <c r="AJ246" s="3" t="str">
        <f>IFERROR(MID(VLOOKUP($B246,Seqs!$A:$B,2,0),AK246,1),"")</f>
        <v>Y</v>
      </c>
      <c r="AK246" s="3">
        <v>305</v>
      </c>
      <c r="AL246" s="3" t="str">
        <f>IFERROR(MID(VLOOKUP($B246,Seqs!$A:$B,2,0),AM246,1),"")</f>
        <v>A</v>
      </c>
      <c r="AM246" s="3">
        <v>337</v>
      </c>
      <c r="AN246" s="3" t="str">
        <f>IFERROR(MID(VLOOKUP($B246,Seqs!$A:$B,2,0),AO246,1),"")</f>
        <v>K</v>
      </c>
      <c r="AO246" s="3">
        <v>346</v>
      </c>
      <c r="AP246" s="3" t="str">
        <f>IFERROR(MID(VLOOKUP($B246,Seqs!$A:$B,2,0),AQ246,1),"")</f>
        <v>F</v>
      </c>
      <c r="AQ246" s="3">
        <v>369</v>
      </c>
      <c r="AR246" s="3" t="str">
        <f>IFERROR(MID(VLOOKUP($B246,Seqs!$A:$B,2,0),AS246,1),"")</f>
        <v>L</v>
      </c>
      <c r="AS246" s="3">
        <v>379</v>
      </c>
      <c r="AT246" s="3" t="str">
        <f>IFERROR(MID(VLOOKUP($B246,Seqs!$A:$B,2,0),AU246,1),"")</f>
        <v>V</v>
      </c>
      <c r="AU246" s="3">
        <v>405</v>
      </c>
      <c r="AV246" s="3" t="str">
        <f>IFERROR(MID(VLOOKUP($B246,Seqs!$A:$B,2,0),AW246,1),"")</f>
        <v>N</v>
      </c>
      <c r="AW246" s="3">
        <v>406</v>
      </c>
      <c r="AX246" s="3" t="str">
        <f>IFERROR(MID(VLOOKUP($B246,Seqs!$A:$B,2,0),AY246,1),"")</f>
        <v>S</v>
      </c>
      <c r="AY246" s="3">
        <v>431</v>
      </c>
      <c r="AZ246" s="78" t="str">
        <f>VLOOKUP(B246,Classification!A:D,2,0)</f>
        <v>B1</v>
      </c>
      <c r="BA246" s="95" t="str">
        <f>VLOOKUP(B246,Classification!A:D,4,0)</f>
        <v>Glucagonreceptorfamily</v>
      </c>
      <c r="BB246" s="27" t="b">
        <f t="shared" ref="BB246:BB247" si="2376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 t="shared" ref="BC246:BC247" si="2377">_xlfn.AGGREGATE(9,6,CH246:CS246)-_xlfn.AGGREGATE(9,6,BV246:CG246)+12</f>
        <v>256</v>
      </c>
      <c r="BD246" s="4" t="s">
        <v>23</v>
      </c>
      <c r="BE246" s="3" t="s">
        <v>23</v>
      </c>
      <c r="BF246" s="120" t="s">
        <v>23</v>
      </c>
      <c r="BI246" s="1"/>
      <c r="BJ246" s="71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1">
        <f t="shared" ref="BV246:BV247" si="2378">E246</f>
        <v>137</v>
      </c>
      <c r="BW246" s="72">
        <f t="shared" ref="BW246:BW247" si="2379">I246</f>
        <v>170</v>
      </c>
      <c r="BX246" s="73">
        <f t="shared" ref="BX246:BX247" si="2380">M246</f>
        <v>174</v>
      </c>
      <c r="BY246" s="72" t="str">
        <f t="shared" ref="BY246:BY247" si="2381">Q246</f>
        <v>-</v>
      </c>
      <c r="BZ246" s="73">
        <f t="shared" ref="BZ246:BZ247" si="2382">U246</f>
        <v>224</v>
      </c>
      <c r="CA246" s="72" t="str">
        <f t="shared" ref="CA246:CA247" si="2383">Y246</f>
        <v>-</v>
      </c>
      <c r="CB246" s="73">
        <f t="shared" ref="CB246:CB247" si="2384">AC246</f>
        <v>261</v>
      </c>
      <c r="CC246" s="72">
        <f t="shared" ref="CC246:CC247" si="2385">AG246</f>
        <v>296</v>
      </c>
      <c r="CD246" s="73">
        <f t="shared" ref="CD246:CD247" si="2386">AK246</f>
        <v>305</v>
      </c>
      <c r="CE246" s="72">
        <f t="shared" ref="CE246:CE247" si="2387">AO246</f>
        <v>346</v>
      </c>
      <c r="CF246" s="73">
        <f t="shared" ref="CF246:CF247" si="2388">AS246</f>
        <v>379</v>
      </c>
      <c r="CG246" s="72">
        <f t="shared" ref="CG246:CG247" si="2389">AW246</f>
        <v>406</v>
      </c>
      <c r="CH246" s="71">
        <f t="shared" ref="CH246:CH247" si="2390">G246</f>
        <v>169</v>
      </c>
      <c r="CI246" s="72">
        <f t="shared" ref="CI246:CI247" si="2391">K246</f>
        <v>173</v>
      </c>
      <c r="CJ246" s="73">
        <f t="shared" ref="CJ246:CJ247" si="2392">O246</f>
        <v>211</v>
      </c>
      <c r="CK246" s="73" t="str">
        <f t="shared" ref="CK246:CK247" si="2393">S246</f>
        <v>-</v>
      </c>
      <c r="CL246" s="73">
        <f t="shared" ref="CL246:CL247" si="2394">W246</f>
        <v>257</v>
      </c>
      <c r="CM246" s="73" t="str">
        <f t="shared" ref="CM246:CM247" si="2395">AA246</f>
        <v>-</v>
      </c>
      <c r="CN246" s="73">
        <f t="shared" ref="CN246:CN247" si="2396">AE246</f>
        <v>292</v>
      </c>
      <c r="CO246" s="73">
        <f t="shared" ref="CO246:CO247" si="2397">AI246</f>
        <v>298</v>
      </c>
      <c r="CP246" s="73">
        <f t="shared" ref="CP246:CP247" si="2398">AM246</f>
        <v>337</v>
      </c>
      <c r="CQ246" s="73">
        <f t="shared" ref="CQ246:CQ247" si="2399">AQ246</f>
        <v>369</v>
      </c>
      <c r="CR246" s="73">
        <f t="shared" ref="CR246:CR247" si="2400">AU246</f>
        <v>405</v>
      </c>
      <c r="CS246" s="73">
        <f t="shared" ref="CS246:CS247" si="2401">AY246</f>
        <v>431</v>
      </c>
      <c r="CT246" s="23">
        <f t="shared" ref="CT246:CT247" si="2402"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2375"/>
        <v>g1sgd4_rabit_5VAI</v>
      </c>
      <c r="B247" s="3" t="s">
        <v>1430</v>
      </c>
      <c r="C247" s="3" t="s">
        <v>1432</v>
      </c>
      <c r="D247" s="3" t="str">
        <f>IFERROR(MID(VLOOKUP($B247,Seqs!$A:$B,2,0),E247,1),"")</f>
        <v>P</v>
      </c>
      <c r="E247" s="3">
        <v>137</v>
      </c>
      <c r="F247" s="3" t="str">
        <f>IFERROR(MID(VLOOKUP($B247,Seqs!$A:$B,2,0),G247,1),"")</f>
        <v>G</v>
      </c>
      <c r="G247" s="3">
        <v>168</v>
      </c>
      <c r="H247" s="3" t="str">
        <f>IFERROR(MID(VLOOKUP($B247,Seqs!$A:$B,2,0),I247,1),"")</f>
        <v>R</v>
      </c>
      <c r="I247" s="23">
        <v>170</v>
      </c>
      <c r="J247" s="3" t="str">
        <f>IFERROR(MID(VLOOKUP($B247,Seqs!$A:$B,2,0),K247,1),"")</f>
        <v>H</v>
      </c>
      <c r="K247" s="23">
        <v>173</v>
      </c>
      <c r="L247" s="3" t="str">
        <f>IFERROR(MID(VLOOKUP($B247,Seqs!$A:$B,2,0),M247,1),"")</f>
        <v>C</v>
      </c>
      <c r="M247" s="23">
        <v>174</v>
      </c>
      <c r="N247" s="3" t="str">
        <f>IFERROR(MID(VLOOKUP($B247,Seqs!$A:$B,2,0),O247,1),"")</f>
        <v>Q</v>
      </c>
      <c r="O247" s="3">
        <v>211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L</v>
      </c>
      <c r="U247" s="3">
        <v>224</v>
      </c>
      <c r="V247" s="3" t="str">
        <f>IFERROR(MID(VLOOKUP($B247,Seqs!$A:$B,2,0),W247,1),"")</f>
        <v>F</v>
      </c>
      <c r="W247" s="3">
        <v>257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S</v>
      </c>
      <c r="AC247" s="3">
        <v>261</v>
      </c>
      <c r="AD247" s="3" t="str">
        <f>IFERROR(MID(VLOOKUP($B247,Seqs!$A:$B,2,0),AE247,1),"")</f>
        <v>E</v>
      </c>
      <c r="AE247" s="3">
        <v>292</v>
      </c>
      <c r="AF247" s="3" t="str">
        <f>IFERROR(MID(VLOOKUP($B247,Seqs!$A:$B,2,0),AG247,1),"")</f>
        <v>C</v>
      </c>
      <c r="AG247" s="3">
        <v>296</v>
      </c>
      <c r="AH247" s="3" t="str">
        <f>IFERROR(MID(VLOOKUP($B247,Seqs!$A:$B,2,0),AI247,1),"")</f>
        <v>T</v>
      </c>
      <c r="AI247" s="3">
        <v>298</v>
      </c>
      <c r="AJ247" s="3" t="str">
        <f>IFERROR(MID(VLOOKUP($B247,Seqs!$A:$B,2,0),AK247,1),"")</f>
        <v>Y</v>
      </c>
      <c r="AK247" s="3">
        <v>305</v>
      </c>
      <c r="AL247" s="3" t="str">
        <f>IFERROR(MID(VLOOKUP($B247,Seqs!$A:$B,2,0),AM247,1),"")</f>
        <v>A</v>
      </c>
      <c r="AM247" s="3">
        <v>337</v>
      </c>
      <c r="AN247" s="3" t="str">
        <f>IFERROR(MID(VLOOKUP($B247,Seqs!$A:$B,2,0),AO247,1),"")</f>
        <v>K</v>
      </c>
      <c r="AO247" s="3">
        <v>346</v>
      </c>
      <c r="AP247" s="3" t="str">
        <f>IFERROR(MID(VLOOKUP($B247,Seqs!$A:$B,2,0),AQ247,1),"")</f>
        <v>F</v>
      </c>
      <c r="AQ247" s="3">
        <v>369</v>
      </c>
      <c r="AR247" s="3" t="str">
        <f>IFERROR(MID(VLOOKUP($B247,Seqs!$A:$B,2,0),AS247,1),"")</f>
        <v>L</v>
      </c>
      <c r="AS247" s="3">
        <v>379</v>
      </c>
      <c r="AT247" s="3" t="str">
        <f>IFERROR(MID(VLOOKUP($B247,Seqs!$A:$B,2,0),AU247,1),"")</f>
        <v>V</v>
      </c>
      <c r="AU247" s="3">
        <v>405</v>
      </c>
      <c r="AV247" s="3" t="str">
        <f>IFERROR(MID(VLOOKUP($B247,Seqs!$A:$B,2,0),AW247,1),"")</f>
        <v>N</v>
      </c>
      <c r="AW247" s="3">
        <v>406</v>
      </c>
      <c r="AX247" s="3" t="str">
        <f>IFERROR(MID(VLOOKUP($B247,Seqs!$A:$B,2,0),AY247,1),"")</f>
        <v>R</v>
      </c>
      <c r="AY247" s="3">
        <v>421</v>
      </c>
      <c r="AZ247" s="78" t="str">
        <f>VLOOKUP(B247,Classification!A:D,2,0)</f>
        <v>B1</v>
      </c>
      <c r="BA247" s="95" t="str">
        <f>VLOOKUP(B247,Classification!A:D,4,0)</f>
        <v>Glucagonreceptorfamily</v>
      </c>
      <c r="BB247" s="27" t="b">
        <f t="shared" si="2376"/>
        <v>1</v>
      </c>
      <c r="BC247" s="23">
        <f t="shared" si="2377"/>
        <v>245</v>
      </c>
      <c r="BD247" s="4" t="s">
        <v>1382</v>
      </c>
      <c r="BE247" s="3" t="s">
        <v>1297</v>
      </c>
      <c r="BF247" s="120">
        <v>4.0999999999999996</v>
      </c>
      <c r="BG247" s="49" t="s">
        <v>1433</v>
      </c>
      <c r="BH247" s="49" t="s">
        <v>1433</v>
      </c>
      <c r="BI247" s="1"/>
      <c r="BJ247" s="71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1">
        <f t="shared" si="2378"/>
        <v>137</v>
      </c>
      <c r="BW247" s="72">
        <f t="shared" si="2379"/>
        <v>170</v>
      </c>
      <c r="BX247" s="73">
        <f t="shared" si="2380"/>
        <v>174</v>
      </c>
      <c r="BY247" s="72" t="str">
        <f t="shared" si="2381"/>
        <v>-</v>
      </c>
      <c r="BZ247" s="73">
        <f t="shared" si="2382"/>
        <v>224</v>
      </c>
      <c r="CA247" s="72" t="str">
        <f t="shared" si="2383"/>
        <v>-</v>
      </c>
      <c r="CB247" s="73">
        <f t="shared" si="2384"/>
        <v>261</v>
      </c>
      <c r="CC247" s="72">
        <f t="shared" si="2385"/>
        <v>296</v>
      </c>
      <c r="CD247" s="73">
        <f t="shared" si="2386"/>
        <v>305</v>
      </c>
      <c r="CE247" s="72">
        <f t="shared" si="2387"/>
        <v>346</v>
      </c>
      <c r="CF247" s="73">
        <f t="shared" si="2388"/>
        <v>379</v>
      </c>
      <c r="CG247" s="72">
        <f t="shared" si="2389"/>
        <v>406</v>
      </c>
      <c r="CH247" s="71">
        <f t="shared" si="2390"/>
        <v>168</v>
      </c>
      <c r="CI247" s="72">
        <f t="shared" si="2391"/>
        <v>173</v>
      </c>
      <c r="CJ247" s="73">
        <f t="shared" si="2392"/>
        <v>211</v>
      </c>
      <c r="CK247" s="73" t="str">
        <f t="shared" si="2393"/>
        <v>-</v>
      </c>
      <c r="CL247" s="73">
        <f t="shared" si="2394"/>
        <v>257</v>
      </c>
      <c r="CM247" s="73" t="str">
        <f t="shared" si="2395"/>
        <v>-</v>
      </c>
      <c r="CN247" s="73">
        <f t="shared" si="2396"/>
        <v>292</v>
      </c>
      <c r="CO247" s="73">
        <f t="shared" si="2397"/>
        <v>298</v>
      </c>
      <c r="CP247" s="73">
        <f t="shared" si="2398"/>
        <v>337</v>
      </c>
      <c r="CQ247" s="73">
        <f t="shared" si="2399"/>
        <v>369</v>
      </c>
      <c r="CR247" s="73">
        <f t="shared" si="2400"/>
        <v>405</v>
      </c>
      <c r="CS247" s="73">
        <f t="shared" si="2401"/>
        <v>421</v>
      </c>
      <c r="CT247" s="23">
        <f t="shared" si="2402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2178"/>
        <v>grm1_human__wt</v>
      </c>
      <c r="B248" s="3" t="s">
        <v>40</v>
      </c>
      <c r="C248" s="3" t="s">
        <v>100</v>
      </c>
      <c r="D248" s="3" t="str">
        <f>IFERROR(MID(VLOOKUP($B248,Seqs!$A:$B,2,0),E248,1),"")</f>
        <v>I</v>
      </c>
      <c r="E248" s="3">
        <v>591</v>
      </c>
      <c r="F248" s="3" t="str">
        <f>IFERROR(MID(VLOOKUP($B248,Seqs!$A:$B,2,0),G248,1),"")</f>
        <v>Y</v>
      </c>
      <c r="G248" s="3">
        <v>617</v>
      </c>
      <c r="H248" s="3" t="str">
        <f>IFERROR(MID(VLOOKUP($B248,Seqs!$A:$B,2,0),I248,1),"")</f>
        <v>T</v>
      </c>
      <c r="I248" s="23">
        <v>620</v>
      </c>
      <c r="J248" s="3" t="str">
        <f>IFERROR(MID(VLOOKUP($B248,Seqs!$A:$B,2,0),K248,1),"")</f>
        <v>S</v>
      </c>
      <c r="K248" s="23">
        <v>626</v>
      </c>
      <c r="L248" s="3" t="str">
        <f>IFERROR(MID(VLOOKUP($B248,Seqs!$A:$B,2,0),M248,1),"")</f>
        <v>S</v>
      </c>
      <c r="M248" s="3">
        <v>627</v>
      </c>
      <c r="N248" s="3" t="str">
        <f>IFERROR(MID(VLOOKUP($B248,Seqs!$A:$B,2,0),O248,1),"")</f>
        <v>I</v>
      </c>
      <c r="O248" s="3">
        <v>649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T</v>
      </c>
      <c r="U248" s="3">
        <v>654</v>
      </c>
      <c r="V248" s="3" t="str">
        <f>IFERROR(MID(VLOOKUP($B248,Seqs!$A:$B,2,0),W248,1),"")</f>
        <v>L</v>
      </c>
      <c r="W248" s="3">
        <v>686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S</v>
      </c>
      <c r="AC248" s="9">
        <v>702</v>
      </c>
      <c r="AD248" s="3" t="str">
        <f>IFERROR(MID(VLOOKUP($B248,Seqs!$A:$B,2,0),AE248,1),"")</f>
        <v>E</v>
      </c>
      <c r="AE248" s="3">
        <v>728</v>
      </c>
      <c r="AF248" s="3" t="str">
        <f>IFERROR(MID(VLOOKUP($B248,Seqs!$A:$B,2,0),AG248,1),"")</f>
        <v>C</v>
      </c>
      <c r="AG248" s="3">
        <v>746</v>
      </c>
      <c r="AH248" s="3" t="str">
        <f>IFERROR(MID(VLOOKUP($B248,Seqs!$A:$B,2,0),AI248,1),"")</f>
        <v>T</v>
      </c>
      <c r="AI248" s="3">
        <v>748</v>
      </c>
      <c r="AJ248" s="3" t="str">
        <f>IFERROR(MID(VLOOKUP($B248,Seqs!$A:$B,2,0),AK248,1),"")</f>
        <v>S</v>
      </c>
      <c r="AK248" s="106">
        <v>749</v>
      </c>
      <c r="AL248" s="3" t="str">
        <f>IFERROR(MID(VLOOKUP($B248,Seqs!$A:$B,2,0),AM248,1),"")</f>
        <v>T</v>
      </c>
      <c r="AM248" s="3">
        <v>774</v>
      </c>
      <c r="AN248" s="3" t="str">
        <f>IFERROR(MID(VLOOKUP($B248,Seqs!$A:$B,2,0),AO248,1),"")</f>
        <v>E</v>
      </c>
      <c r="AO248" s="3">
        <v>783</v>
      </c>
      <c r="AP248" s="3" t="str">
        <f>IFERROR(MID(VLOOKUP($B248,Seqs!$A:$B,2,0),AQ248,1),"")</f>
        <v>G</v>
      </c>
      <c r="AQ248" s="3">
        <v>807</v>
      </c>
      <c r="AR248" s="3" t="str">
        <f>IFERROR(MID(VLOOKUP($B248,Seqs!$A:$B,2,0),AS248,1),"")</f>
        <v>Y</v>
      </c>
      <c r="AS248" s="106">
        <v>810</v>
      </c>
      <c r="AT248" s="3" t="str">
        <f>IFERROR(MID(VLOOKUP($B248,Seqs!$A:$B,2,0),AU248,1),"")</f>
        <v>K</v>
      </c>
      <c r="AU248" s="3">
        <v>841</v>
      </c>
      <c r="AV248" s="3" t="str">
        <f>IFERROR(MID(VLOOKUP($B248,Seqs!$A:$B,2,0),AW248,1),"")</f>
        <v>P</v>
      </c>
      <c r="AW248" s="3">
        <v>842</v>
      </c>
      <c r="AX248" s="3" t="str">
        <f>IFERROR(MID(VLOOKUP($B248,Seqs!$A:$B,2,0),AY248,1),"")</f>
        <v>S</v>
      </c>
      <c r="AY248" s="3">
        <v>853</v>
      </c>
      <c r="AZ248" s="78" t="str">
        <f>VLOOKUP(B248,Classification!A:D,2,0)</f>
        <v>C</v>
      </c>
      <c r="BA248" s="95" t="str">
        <f>VLOOKUP(B248,Classification!A:D,4,0)</f>
        <v>Metabotropicglutamate</v>
      </c>
      <c r="BB248" s="27" t="b">
        <f t="shared" si="2179"/>
        <v>1</v>
      </c>
      <c r="BC248" s="23">
        <f t="shared" si="2152"/>
        <v>217</v>
      </c>
      <c r="BD248" s="56" t="s">
        <v>1379</v>
      </c>
      <c r="BE248" s="3" t="s">
        <v>23</v>
      </c>
      <c r="BF248" s="120" t="s">
        <v>23</v>
      </c>
      <c r="BG248" s="49" t="s">
        <v>1379</v>
      </c>
      <c r="BH248" s="49" t="s">
        <v>1384</v>
      </c>
      <c r="BI248" s="3" t="s">
        <v>1164</v>
      </c>
      <c r="BJ248" s="71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1">
        <f t="shared" si="2153"/>
        <v>591</v>
      </c>
      <c r="BW248" s="72">
        <f t="shared" si="2154"/>
        <v>620</v>
      </c>
      <c r="BX248" s="73">
        <f t="shared" si="2155"/>
        <v>627</v>
      </c>
      <c r="BY248" s="72" t="str">
        <f t="shared" si="2156"/>
        <v>-</v>
      </c>
      <c r="BZ248" s="73">
        <f t="shared" si="2157"/>
        <v>654</v>
      </c>
      <c r="CA248" s="72" t="str">
        <f t="shared" si="2158"/>
        <v>-</v>
      </c>
      <c r="CB248" s="73">
        <f t="shared" si="2159"/>
        <v>702</v>
      </c>
      <c r="CC248" s="72">
        <f t="shared" si="2160"/>
        <v>746</v>
      </c>
      <c r="CD248" s="73">
        <f t="shared" si="2161"/>
        <v>749</v>
      </c>
      <c r="CE248" s="72">
        <f t="shared" si="2162"/>
        <v>783</v>
      </c>
      <c r="CF248" s="73">
        <f t="shared" si="2163"/>
        <v>810</v>
      </c>
      <c r="CG248" s="72">
        <f t="shared" si="2164"/>
        <v>842</v>
      </c>
      <c r="CH248" s="71">
        <f t="shared" si="2165"/>
        <v>617</v>
      </c>
      <c r="CI248" s="72">
        <f t="shared" si="2166"/>
        <v>626</v>
      </c>
      <c r="CJ248" s="73">
        <f t="shared" si="2167"/>
        <v>649</v>
      </c>
      <c r="CK248" s="73" t="str">
        <f t="shared" si="2168"/>
        <v>-</v>
      </c>
      <c r="CL248" s="73">
        <f t="shared" si="2169"/>
        <v>686</v>
      </c>
      <c r="CM248" s="73" t="str">
        <f t="shared" si="2170"/>
        <v>-</v>
      </c>
      <c r="CN248" s="73">
        <f t="shared" si="2171"/>
        <v>728</v>
      </c>
      <c r="CO248" s="73">
        <f t="shared" si="2172"/>
        <v>748</v>
      </c>
      <c r="CP248" s="73">
        <f t="shared" si="2173"/>
        <v>774</v>
      </c>
      <c r="CQ248" s="73">
        <f t="shared" si="2174"/>
        <v>807</v>
      </c>
      <c r="CR248" s="73">
        <f t="shared" si="2175"/>
        <v>841</v>
      </c>
      <c r="CS248" s="73">
        <f t="shared" si="2176"/>
        <v>853</v>
      </c>
      <c r="CT248" s="23">
        <f t="shared" si="2177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2178"/>
        <v>grm1_human_4OR2</v>
      </c>
      <c r="B249" s="3" t="s">
        <v>40</v>
      </c>
      <c r="C249" s="3" t="s">
        <v>96</v>
      </c>
      <c r="D249" s="3" t="str">
        <f>IFERROR(MID(VLOOKUP($B249,Seqs!$A:$B,2,0),E249,1),"")</f>
        <v>I</v>
      </c>
      <c r="E249" s="3">
        <v>591</v>
      </c>
      <c r="F249" s="3" t="str">
        <f>IFERROR(MID(VLOOKUP($B249,Seqs!$A:$B,2,0),G249,1),"")</f>
        <v>Y</v>
      </c>
      <c r="G249" s="3">
        <v>617</v>
      </c>
      <c r="H249" s="3" t="str">
        <f>IFERROR(MID(VLOOKUP($B249,Seqs!$A:$B,2,0),I249,1),"")</f>
        <v>T</v>
      </c>
      <c r="I249" s="23">
        <v>620</v>
      </c>
      <c r="J249" s="3" t="str">
        <f>IFERROR(MID(VLOOKUP($B249,Seqs!$A:$B,2,0),K249,1),"")</f>
        <v>S</v>
      </c>
      <c r="K249" s="23">
        <v>626</v>
      </c>
      <c r="L249" s="3" t="str">
        <f>IFERROR(MID(VLOOKUP($B249,Seqs!$A:$B,2,0),M249,1),"")</f>
        <v>S</v>
      </c>
      <c r="M249" s="3">
        <v>627</v>
      </c>
      <c r="N249" s="3" t="str">
        <f>IFERROR(MID(VLOOKUP($B249,Seqs!$A:$B,2,0),O249,1),"")</f>
        <v>I</v>
      </c>
      <c r="O249" s="3">
        <v>649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T</v>
      </c>
      <c r="U249" s="3">
        <v>654</v>
      </c>
      <c r="V249" s="3" t="str">
        <f>IFERROR(MID(VLOOKUP($B249,Seqs!$A:$B,2,0),W249,1),"")</f>
        <v>L</v>
      </c>
      <c r="W249" s="3">
        <v>686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S</v>
      </c>
      <c r="AC249" s="9">
        <v>702</v>
      </c>
      <c r="AD249" s="3" t="str">
        <f>IFERROR(MID(VLOOKUP($B249,Seqs!$A:$B,2,0),AE249,1),"")</f>
        <v>E</v>
      </c>
      <c r="AE249" s="3">
        <v>728</v>
      </c>
      <c r="AF249" s="3" t="str">
        <f>IFERROR(MID(VLOOKUP($B249,Seqs!$A:$B,2,0),AG249,1),"")</f>
        <v>C</v>
      </c>
      <c r="AG249" s="3">
        <v>746</v>
      </c>
      <c r="AH249" s="3" t="str">
        <f>IFERROR(MID(VLOOKUP($B249,Seqs!$A:$B,2,0),AI249,1),"")</f>
        <v>T</v>
      </c>
      <c r="AI249" s="3">
        <v>748</v>
      </c>
      <c r="AJ249" s="3" t="str">
        <f>IFERROR(MID(VLOOKUP($B249,Seqs!$A:$B,2,0),AK249,1),"")</f>
        <v>S</v>
      </c>
      <c r="AK249" s="106">
        <v>749</v>
      </c>
      <c r="AL249" s="3" t="str">
        <f>IFERROR(MID(VLOOKUP($B249,Seqs!$A:$B,2,0),AM249,1),"")</f>
        <v>T</v>
      </c>
      <c r="AM249" s="3">
        <v>774</v>
      </c>
      <c r="AN249" s="3" t="str">
        <f>IFERROR(MID(VLOOKUP($B249,Seqs!$A:$B,2,0),AO249,1),"")</f>
        <v>E</v>
      </c>
      <c r="AO249" s="3">
        <v>783</v>
      </c>
      <c r="AP249" s="3" t="str">
        <f>IFERROR(MID(VLOOKUP($B249,Seqs!$A:$B,2,0),AQ249,1),"")</f>
        <v>G</v>
      </c>
      <c r="AQ249" s="3">
        <v>807</v>
      </c>
      <c r="AR249" s="3" t="str">
        <f>IFERROR(MID(VLOOKUP($B249,Seqs!$A:$B,2,0),AS249,1),"")</f>
        <v>Y</v>
      </c>
      <c r="AS249" s="106">
        <v>810</v>
      </c>
      <c r="AT249" s="3" t="str">
        <f>IFERROR(MID(VLOOKUP($B249,Seqs!$A:$B,2,0),AU249,1),"")</f>
        <v>K</v>
      </c>
      <c r="AU249" s="3">
        <v>841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8" t="str">
        <f>VLOOKUP(B249,Classification!A:D,2,0)</f>
        <v>C</v>
      </c>
      <c r="BA249" s="95" t="str">
        <f>VLOOKUP(B249,Classification!A:D,4,0)</f>
        <v>Metabotropicglutamate</v>
      </c>
      <c r="BB249" s="27" t="b">
        <f t="shared" si="2179"/>
        <v>1</v>
      </c>
      <c r="BC249" s="23">
        <f t="shared" si="2152"/>
        <v>206</v>
      </c>
      <c r="BD249" s="2" t="s">
        <v>1383</v>
      </c>
      <c r="BE249" s="3" t="s">
        <v>1381</v>
      </c>
      <c r="BF249" s="120">
        <v>2.8</v>
      </c>
      <c r="BG249" s="49" t="s">
        <v>1384</v>
      </c>
      <c r="BH249" s="49" t="s">
        <v>1384</v>
      </c>
      <c r="BJ249" s="71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1">
        <f t="shared" si="2153"/>
        <v>591</v>
      </c>
      <c r="BW249" s="72">
        <f t="shared" si="2154"/>
        <v>620</v>
      </c>
      <c r="BX249" s="73">
        <f t="shared" si="2155"/>
        <v>627</v>
      </c>
      <c r="BY249" s="72" t="str">
        <f t="shared" si="2156"/>
        <v>-</v>
      </c>
      <c r="BZ249" s="73">
        <f t="shared" si="2157"/>
        <v>654</v>
      </c>
      <c r="CA249" s="72" t="str">
        <f t="shared" si="2158"/>
        <v>-</v>
      </c>
      <c r="CB249" s="73">
        <f t="shared" si="2159"/>
        <v>702</v>
      </c>
      <c r="CC249" s="72">
        <f t="shared" si="2160"/>
        <v>746</v>
      </c>
      <c r="CD249" s="73">
        <f t="shared" si="2161"/>
        <v>749</v>
      </c>
      <c r="CE249" s="72">
        <f t="shared" si="2162"/>
        <v>783</v>
      </c>
      <c r="CF249" s="73">
        <f t="shared" si="2163"/>
        <v>810</v>
      </c>
      <c r="CG249" s="72" t="str">
        <f t="shared" si="2164"/>
        <v>-</v>
      </c>
      <c r="CH249" s="71">
        <f t="shared" si="2165"/>
        <v>617</v>
      </c>
      <c r="CI249" s="72">
        <f t="shared" si="2166"/>
        <v>626</v>
      </c>
      <c r="CJ249" s="73">
        <f t="shared" si="2167"/>
        <v>649</v>
      </c>
      <c r="CK249" s="73" t="str">
        <f t="shared" si="2168"/>
        <v>-</v>
      </c>
      <c r="CL249" s="73">
        <f t="shared" si="2169"/>
        <v>686</v>
      </c>
      <c r="CM249" s="73" t="str">
        <f t="shared" si="2170"/>
        <v>-</v>
      </c>
      <c r="CN249" s="73">
        <f t="shared" si="2171"/>
        <v>728</v>
      </c>
      <c r="CO249" s="73">
        <f t="shared" si="2172"/>
        <v>748</v>
      </c>
      <c r="CP249" s="73">
        <f t="shared" si="2173"/>
        <v>774</v>
      </c>
      <c r="CQ249" s="73">
        <f t="shared" si="2174"/>
        <v>807</v>
      </c>
      <c r="CR249" s="73">
        <f t="shared" si="2175"/>
        <v>841</v>
      </c>
      <c r="CS249" s="73" t="str">
        <f t="shared" si="2176"/>
        <v>-</v>
      </c>
      <c r="CT249" s="23">
        <f t="shared" si="2177"/>
        <v>1</v>
      </c>
    </row>
    <row r="250" spans="1:1030" x14ac:dyDescent="0.2">
      <c r="A250" s="3" t="str">
        <f t="shared" si="2178"/>
        <v>grm5_human__wt</v>
      </c>
      <c r="B250" s="3" t="s">
        <v>41</v>
      </c>
      <c r="C250" s="3" t="s">
        <v>100</v>
      </c>
      <c r="D250" s="3" t="str">
        <f>IFERROR(MID(VLOOKUP($B250,Seqs!$A:$B,2,0),E250,1),"")</f>
        <v>P</v>
      </c>
      <c r="E250" s="3">
        <v>578</v>
      </c>
      <c r="F250" s="3" t="str">
        <f>IFERROR(MID(VLOOKUP($B250,Seqs!$A:$B,2,0),G250,1),"")</f>
        <v>Y</v>
      </c>
      <c r="G250" s="3">
        <v>604</v>
      </c>
      <c r="H250" s="3" t="str">
        <f>IFERROR(MID(VLOOKUP($B250,Seqs!$A:$B,2,0),I250,1),"")</f>
        <v>T</v>
      </c>
      <c r="I250" s="23">
        <v>607</v>
      </c>
      <c r="J250" s="3" t="str">
        <f>IFERROR(MID(VLOOKUP($B250,Seqs!$A:$B,2,0),K250,1),"")</f>
        <v>S</v>
      </c>
      <c r="K250" s="23">
        <v>613</v>
      </c>
      <c r="L250" s="3" t="str">
        <f>IFERROR(MID(VLOOKUP($B250,Seqs!$A:$B,2,0),M250,1),"")</f>
        <v>S</v>
      </c>
      <c r="M250" s="3">
        <v>614</v>
      </c>
      <c r="N250" s="3" t="str">
        <f>IFERROR(MID(VLOOKUP($B250,Seqs!$A:$B,2,0),O250,1),"")</f>
        <v>I</v>
      </c>
      <c r="O250" s="3">
        <v>636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Q</v>
      </c>
      <c r="U250" s="3">
        <v>641</v>
      </c>
      <c r="V250" s="3" t="str">
        <f>IFERROR(MID(VLOOKUP($B250,Seqs!$A:$B,2,0),W250,1),"")</f>
        <v>L</v>
      </c>
      <c r="W250" s="3">
        <v>673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S</v>
      </c>
      <c r="AC250" s="9">
        <v>689</v>
      </c>
      <c r="AD250" s="3" t="str">
        <f>IFERROR(MID(VLOOKUP($B250,Seqs!$A:$B,2,0),AE250,1),"")</f>
        <v>E</v>
      </c>
      <c r="AE250" s="3">
        <v>715</v>
      </c>
      <c r="AF250" s="3" t="str">
        <f>IFERROR(MID(VLOOKUP($B250,Seqs!$A:$B,2,0),AG250,1),"")</f>
        <v>C</v>
      </c>
      <c r="AG250" s="3">
        <v>733</v>
      </c>
      <c r="AH250" s="3" t="str">
        <f>IFERROR(MID(VLOOKUP($B250,Seqs!$A:$B,2,0),AI250,1),"")</f>
        <v>T</v>
      </c>
      <c r="AI250" s="3">
        <v>735</v>
      </c>
      <c r="AJ250" s="3" t="str">
        <f>IFERROR(MID(VLOOKUP($B250,Seqs!$A:$B,2,0),AK250,1),"")</f>
        <v>T</v>
      </c>
      <c r="AK250" s="106">
        <v>736</v>
      </c>
      <c r="AL250" s="3" t="str">
        <f>IFERROR(MID(VLOOKUP($B250,Seqs!$A:$B,2,0),AM250,1),"")</f>
        <v>T</v>
      </c>
      <c r="AM250" s="3">
        <v>761</v>
      </c>
      <c r="AN250" s="3" t="str">
        <f>IFERROR(MID(VLOOKUP($B250,Seqs!$A:$B,2,0),AO250,1),"")</f>
        <v>E</v>
      </c>
      <c r="AO250" s="3">
        <v>770</v>
      </c>
      <c r="AP250" s="3" t="str">
        <f>IFERROR(MID(VLOOKUP($B250,Seqs!$A:$B,2,0),AQ250,1),"")</f>
        <v>G</v>
      </c>
      <c r="AQ250" s="3">
        <v>794</v>
      </c>
      <c r="AR250" s="3" t="str">
        <f>IFERROR(MID(VLOOKUP($B250,Seqs!$A:$B,2,0),AS250,1),"")</f>
        <v>Y</v>
      </c>
      <c r="AS250" s="106">
        <v>797</v>
      </c>
      <c r="AT250" s="3" t="str">
        <f>IFERROR(MID(VLOOKUP($B250,Seqs!$A:$B,2,0),AU250,1),"")</f>
        <v>K</v>
      </c>
      <c r="AU250" s="3">
        <v>828</v>
      </c>
      <c r="AV250" s="3" t="str">
        <f>IFERROR(MID(VLOOKUP($B250,Seqs!$A:$B,2,0),AW250,1),"")</f>
        <v>P</v>
      </c>
      <c r="AW250" s="3">
        <v>829</v>
      </c>
      <c r="AX250" s="3" t="str">
        <f>IFERROR(MID(VLOOKUP($B250,Seqs!$A:$B,2,0),AY250,1),"")</f>
        <v>S</v>
      </c>
      <c r="AY250" s="3">
        <v>840</v>
      </c>
      <c r="AZ250" s="78" t="str">
        <f>VLOOKUP(B250,Classification!A:D,2,0)</f>
        <v>C</v>
      </c>
      <c r="BA250" s="95" t="str">
        <f>VLOOKUP(B250,Classification!A:D,4,0)</f>
        <v>Metabotropicglutamate</v>
      </c>
      <c r="BB250" s="27" t="b">
        <f t="shared" si="2179"/>
        <v>1</v>
      </c>
      <c r="BC250" s="23">
        <f t="shared" si="2152"/>
        <v>217</v>
      </c>
      <c r="BD250" s="56" t="s">
        <v>1379</v>
      </c>
      <c r="BE250" s="3" t="s">
        <v>23</v>
      </c>
      <c r="BF250" s="120" t="s">
        <v>23</v>
      </c>
      <c r="BG250" s="49" t="s">
        <v>1379</v>
      </c>
      <c r="BH250" s="49" t="s">
        <v>1384</v>
      </c>
      <c r="BJ250" s="71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1">
        <f t="shared" si="2153"/>
        <v>578</v>
      </c>
      <c r="BW250" s="72">
        <f t="shared" si="2154"/>
        <v>607</v>
      </c>
      <c r="BX250" s="73">
        <f t="shared" si="2155"/>
        <v>614</v>
      </c>
      <c r="BY250" s="72" t="str">
        <f t="shared" si="2156"/>
        <v>-</v>
      </c>
      <c r="BZ250" s="73">
        <f t="shared" si="2157"/>
        <v>641</v>
      </c>
      <c r="CA250" s="72" t="str">
        <f t="shared" si="2158"/>
        <v>-</v>
      </c>
      <c r="CB250" s="73">
        <f t="shared" si="2159"/>
        <v>689</v>
      </c>
      <c r="CC250" s="72">
        <f t="shared" si="2160"/>
        <v>733</v>
      </c>
      <c r="CD250" s="73">
        <f t="shared" si="2161"/>
        <v>736</v>
      </c>
      <c r="CE250" s="72">
        <f t="shared" si="2162"/>
        <v>770</v>
      </c>
      <c r="CF250" s="73">
        <f t="shared" si="2163"/>
        <v>797</v>
      </c>
      <c r="CG250" s="72">
        <f t="shared" si="2164"/>
        <v>829</v>
      </c>
      <c r="CH250" s="71">
        <f t="shared" si="2165"/>
        <v>604</v>
      </c>
      <c r="CI250" s="72">
        <f t="shared" si="2166"/>
        <v>613</v>
      </c>
      <c r="CJ250" s="73">
        <f t="shared" si="2167"/>
        <v>636</v>
      </c>
      <c r="CK250" s="73" t="str">
        <f t="shared" si="2168"/>
        <v>-</v>
      </c>
      <c r="CL250" s="73">
        <f t="shared" si="2169"/>
        <v>673</v>
      </c>
      <c r="CM250" s="73" t="str">
        <f t="shared" si="2170"/>
        <v>-</v>
      </c>
      <c r="CN250" s="73">
        <f t="shared" si="2171"/>
        <v>715</v>
      </c>
      <c r="CO250" s="73">
        <f t="shared" si="2172"/>
        <v>735</v>
      </c>
      <c r="CP250" s="73">
        <f t="shared" si="2173"/>
        <v>761</v>
      </c>
      <c r="CQ250" s="73">
        <f t="shared" si="2174"/>
        <v>794</v>
      </c>
      <c r="CR250" s="73">
        <f t="shared" si="2175"/>
        <v>828</v>
      </c>
      <c r="CS250" s="73">
        <f t="shared" si="2176"/>
        <v>840</v>
      </c>
      <c r="CT250" s="23">
        <f t="shared" si="2177"/>
        <v>1</v>
      </c>
    </row>
    <row r="251" spans="1:1030" x14ac:dyDescent="0.2">
      <c r="A251" s="3" t="str">
        <f t="shared" si="2178"/>
        <v>grm5_human_4OO9</v>
      </c>
      <c r="B251" s="3" t="s">
        <v>41</v>
      </c>
      <c r="C251" s="3" t="s">
        <v>57</v>
      </c>
      <c r="D251" s="3" t="str">
        <f>IFERROR(MID(VLOOKUP($B251,Seqs!$A:$B,2,0),E251,1),"")</f>
        <v>P</v>
      </c>
      <c r="E251" s="3">
        <v>578</v>
      </c>
      <c r="F251" s="3" t="str">
        <f>IFERROR(MID(VLOOKUP($B251,Seqs!$A:$B,2,0),G251,1),"")</f>
        <v>Y</v>
      </c>
      <c r="G251" s="3">
        <v>604</v>
      </c>
      <c r="H251" s="3" t="str">
        <f>IFERROR(MID(VLOOKUP($B251,Seqs!$A:$B,2,0),I251,1),"")</f>
        <v>T</v>
      </c>
      <c r="I251" s="23">
        <v>607</v>
      </c>
      <c r="J251" s="3" t="str">
        <f>IFERROR(MID(VLOOKUP($B251,Seqs!$A:$B,2,0),K251,1),"")</f>
        <v>S</v>
      </c>
      <c r="K251" s="23">
        <v>613</v>
      </c>
      <c r="L251" s="3" t="str">
        <f>IFERROR(MID(VLOOKUP($B251,Seqs!$A:$B,2,0),M251,1),"")</f>
        <v>S</v>
      </c>
      <c r="M251" s="3">
        <v>614</v>
      </c>
      <c r="N251" s="3" t="str">
        <f>IFERROR(MID(VLOOKUP($B251,Seqs!$A:$B,2,0),O251,1),"")</f>
        <v>I</v>
      </c>
      <c r="O251" s="3">
        <v>636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Q</v>
      </c>
      <c r="U251" s="3">
        <v>641</v>
      </c>
      <c r="V251" s="3" t="str">
        <f>IFERROR(MID(VLOOKUP($B251,Seqs!$A:$B,2,0),W251,1),"")</f>
        <v>K</v>
      </c>
      <c r="W251" s="3">
        <v>678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S</v>
      </c>
      <c r="AC251" s="9">
        <v>689</v>
      </c>
      <c r="AD251" s="3" t="str">
        <f>IFERROR(MID(VLOOKUP($B251,Seqs!$A:$B,2,0),AE251,1),"")</f>
        <v>E</v>
      </c>
      <c r="AE251" s="3">
        <v>715</v>
      </c>
      <c r="AF251" s="3" t="str">
        <f>IFERROR(MID(VLOOKUP($B251,Seqs!$A:$B,2,0),AG251,1),"")</f>
        <v>C</v>
      </c>
      <c r="AG251" s="3">
        <v>733</v>
      </c>
      <c r="AH251" s="3" t="str">
        <f>IFERROR(MID(VLOOKUP($B251,Seqs!$A:$B,2,0),AI251,1),"")</f>
        <v>T</v>
      </c>
      <c r="AI251" s="3">
        <v>735</v>
      </c>
      <c r="AJ251" s="3" t="str">
        <f>IFERROR(MID(VLOOKUP($B251,Seqs!$A:$B,2,0),AK251,1),"")</f>
        <v>N</v>
      </c>
      <c r="AK251" s="3">
        <v>737</v>
      </c>
      <c r="AL251" s="3" t="str">
        <f>IFERROR(MID(VLOOKUP($B251,Seqs!$A:$B,2,0),AM251,1),"")</f>
        <v>T</v>
      </c>
      <c r="AM251" s="3">
        <v>761</v>
      </c>
      <c r="AN251" s="3" t="str">
        <f>IFERROR(MID(VLOOKUP($B251,Seqs!$A:$B,2,0),AO251,1),"")</f>
        <v>E</v>
      </c>
      <c r="AO251" s="3">
        <v>770</v>
      </c>
      <c r="AP251" s="3" t="str">
        <f>IFERROR(MID(VLOOKUP($B251,Seqs!$A:$B,2,0),AQ251,1),"")</f>
        <v>G</v>
      </c>
      <c r="AQ251" s="3">
        <v>794</v>
      </c>
      <c r="AR251" s="3" t="str">
        <f>IFERROR(MID(VLOOKUP($B251,Seqs!$A:$B,2,0),AS251,1),"")</f>
        <v>Y</v>
      </c>
      <c r="AS251" s="106">
        <v>797</v>
      </c>
      <c r="AT251" s="3" t="str">
        <f>IFERROR(MID(VLOOKUP($B251,Seqs!$A:$B,2,0),AU251,1),"")</f>
        <v>K</v>
      </c>
      <c r="AU251" s="3">
        <v>828</v>
      </c>
      <c r="AV251" s="3" t="str">
        <f>IFERROR(MID(VLOOKUP($B251,Seqs!$A:$B,2,0),AW251,1),"")</f>
        <v>P</v>
      </c>
      <c r="AW251" s="3">
        <v>829</v>
      </c>
      <c r="AX251" s="3" t="str">
        <f>IFERROR(MID(VLOOKUP($B251,Seqs!$A:$B,2,0),AY251,1),"")</f>
        <v>N</v>
      </c>
      <c r="AY251" s="3">
        <v>832</v>
      </c>
      <c r="AZ251" s="78" t="str">
        <f>VLOOKUP(B251,Classification!A:D,2,0)</f>
        <v>C</v>
      </c>
      <c r="BA251" s="95" t="str">
        <f>VLOOKUP(B251,Classification!A:D,4,0)</f>
        <v>Metabotropicglutamate</v>
      </c>
      <c r="BB251" s="27" t="b">
        <f t="shared" si="2179"/>
        <v>1</v>
      </c>
      <c r="BC251" s="23">
        <f t="shared" si="2152"/>
        <v>213</v>
      </c>
      <c r="BD251" s="107" t="s">
        <v>1383</v>
      </c>
      <c r="BE251" s="3" t="s">
        <v>1381</v>
      </c>
      <c r="BF251" s="120">
        <v>2.6</v>
      </c>
      <c r="BG251" s="49" t="s">
        <v>1384</v>
      </c>
      <c r="BH251" s="49" t="s">
        <v>1384</v>
      </c>
      <c r="BJ251" s="71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1">
        <f t="shared" si="2153"/>
        <v>578</v>
      </c>
      <c r="BW251" s="72">
        <f t="shared" si="2154"/>
        <v>607</v>
      </c>
      <c r="BX251" s="73">
        <f t="shared" si="2155"/>
        <v>614</v>
      </c>
      <c r="BY251" s="72" t="str">
        <f t="shared" si="2156"/>
        <v>-</v>
      </c>
      <c r="BZ251" s="73">
        <f t="shared" si="2157"/>
        <v>641</v>
      </c>
      <c r="CA251" s="72" t="str">
        <f t="shared" si="2158"/>
        <v>-</v>
      </c>
      <c r="CB251" s="73">
        <f t="shared" si="2159"/>
        <v>689</v>
      </c>
      <c r="CC251" s="72">
        <f t="shared" si="2160"/>
        <v>733</v>
      </c>
      <c r="CD251" s="73">
        <f t="shared" si="2161"/>
        <v>737</v>
      </c>
      <c r="CE251" s="72">
        <f t="shared" si="2162"/>
        <v>770</v>
      </c>
      <c r="CF251" s="73">
        <f t="shared" si="2163"/>
        <v>797</v>
      </c>
      <c r="CG251" s="72">
        <f t="shared" si="2164"/>
        <v>829</v>
      </c>
      <c r="CH251" s="71">
        <f t="shared" si="2165"/>
        <v>604</v>
      </c>
      <c r="CI251" s="72">
        <f t="shared" si="2166"/>
        <v>613</v>
      </c>
      <c r="CJ251" s="73">
        <f t="shared" si="2167"/>
        <v>636</v>
      </c>
      <c r="CK251" s="73" t="str">
        <f t="shared" si="2168"/>
        <v>-</v>
      </c>
      <c r="CL251" s="73">
        <f t="shared" si="2169"/>
        <v>678</v>
      </c>
      <c r="CM251" s="73" t="str">
        <f t="shared" si="2170"/>
        <v>-</v>
      </c>
      <c r="CN251" s="73">
        <f t="shared" si="2171"/>
        <v>715</v>
      </c>
      <c r="CO251" s="73">
        <f t="shared" si="2172"/>
        <v>735</v>
      </c>
      <c r="CP251" s="73">
        <f t="shared" si="2173"/>
        <v>761</v>
      </c>
      <c r="CQ251" s="73">
        <f t="shared" si="2174"/>
        <v>794</v>
      </c>
      <c r="CR251" s="73">
        <f t="shared" si="2175"/>
        <v>828</v>
      </c>
      <c r="CS251" s="73">
        <f t="shared" si="2176"/>
        <v>832</v>
      </c>
      <c r="CT251" s="23">
        <f t="shared" si="2177"/>
        <v>1</v>
      </c>
    </row>
    <row r="252" spans="1:1030" x14ac:dyDescent="0.2">
      <c r="A252" s="3" t="str">
        <f t="shared" si="2178"/>
        <v>grm5_human_5CGC</v>
      </c>
      <c r="B252" s="3" t="s">
        <v>41</v>
      </c>
      <c r="C252" s="3" t="s">
        <v>58</v>
      </c>
      <c r="D252" s="3" t="str">
        <f>IFERROR(MID(VLOOKUP($B252,Seqs!$A:$B,2,0),E252,1),"")</f>
        <v>P</v>
      </c>
      <c r="E252" s="3">
        <v>578</v>
      </c>
      <c r="F252" s="3" t="str">
        <f>IFERROR(MID(VLOOKUP($B252,Seqs!$A:$B,2,0),G252,1),"")</f>
        <v>Y</v>
      </c>
      <c r="G252" s="3">
        <v>604</v>
      </c>
      <c r="H252" s="3" t="str">
        <f>IFERROR(MID(VLOOKUP($B252,Seqs!$A:$B,2,0),I252,1),"")</f>
        <v>T</v>
      </c>
      <c r="I252" s="23">
        <v>607</v>
      </c>
      <c r="J252" s="3" t="str">
        <f>IFERROR(MID(VLOOKUP($B252,Seqs!$A:$B,2,0),K252,1),"")</f>
        <v>S</v>
      </c>
      <c r="K252" s="23">
        <v>613</v>
      </c>
      <c r="L252" s="3" t="str">
        <f>IFERROR(MID(VLOOKUP($B252,Seqs!$A:$B,2,0),M252,1),"")</f>
        <v>S</v>
      </c>
      <c r="M252" s="3">
        <v>614</v>
      </c>
      <c r="N252" s="3" t="str">
        <f>IFERROR(MID(VLOOKUP($B252,Seqs!$A:$B,2,0),O252,1),"")</f>
        <v>I</v>
      </c>
      <c r="O252" s="3">
        <v>636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Q</v>
      </c>
      <c r="U252" s="3">
        <v>641</v>
      </c>
      <c r="V252" s="3" t="str">
        <f>IFERROR(MID(VLOOKUP($B252,Seqs!$A:$B,2,0),W252,1),"")</f>
        <v>K</v>
      </c>
      <c r="W252" s="3">
        <v>678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689</v>
      </c>
      <c r="AD252" s="3" t="str">
        <f>IFERROR(MID(VLOOKUP($B252,Seqs!$A:$B,2,0),AE252,1),"")</f>
        <v>E</v>
      </c>
      <c r="AE252" s="3">
        <v>715</v>
      </c>
      <c r="AF252" s="3" t="str">
        <f>IFERROR(MID(VLOOKUP($B252,Seqs!$A:$B,2,0),AG252,1),"")</f>
        <v>C</v>
      </c>
      <c r="AG252" s="3">
        <v>733</v>
      </c>
      <c r="AH252" s="3" t="str">
        <f>IFERROR(MID(VLOOKUP($B252,Seqs!$A:$B,2,0),AI252,1),"")</f>
        <v>T</v>
      </c>
      <c r="AI252" s="3">
        <v>735</v>
      </c>
      <c r="AJ252" s="3" t="str">
        <f>IFERROR(MID(VLOOKUP($B252,Seqs!$A:$B,2,0),AK252,1),"")</f>
        <v>N</v>
      </c>
      <c r="AK252" s="3">
        <v>737</v>
      </c>
      <c r="AL252" s="3" t="str">
        <f>IFERROR(MID(VLOOKUP($B252,Seqs!$A:$B,2,0),AM252,1),"")</f>
        <v>T</v>
      </c>
      <c r="AM252" s="3">
        <v>761</v>
      </c>
      <c r="AN252" s="3" t="str">
        <f>IFERROR(MID(VLOOKUP($B252,Seqs!$A:$B,2,0),AO252,1),"")</f>
        <v>E</v>
      </c>
      <c r="AO252" s="3">
        <v>770</v>
      </c>
      <c r="AP252" s="3" t="str">
        <f>IFERROR(MID(VLOOKUP($B252,Seqs!$A:$B,2,0),AQ252,1),"")</f>
        <v>G</v>
      </c>
      <c r="AQ252" s="3">
        <v>794</v>
      </c>
      <c r="AR252" s="3" t="str">
        <f>IFERROR(MID(VLOOKUP($B252,Seqs!$A:$B,2,0),AS252,1),"")</f>
        <v>Y</v>
      </c>
      <c r="AS252" s="106">
        <v>797</v>
      </c>
      <c r="AT252" s="3" t="str">
        <f>IFERROR(MID(VLOOKUP($B252,Seqs!$A:$B,2,0),AU252,1),"")</f>
        <v>K</v>
      </c>
      <c r="AU252" s="3">
        <v>828</v>
      </c>
      <c r="AV252" s="3" t="str">
        <f>IFERROR(MID(VLOOKUP($B252,Seqs!$A:$B,2,0),AW252,1),"")</f>
        <v>P</v>
      </c>
      <c r="AW252" s="3">
        <v>829</v>
      </c>
      <c r="AX252" s="3" t="str">
        <f>IFERROR(MID(VLOOKUP($B252,Seqs!$A:$B,2,0),AY252,1),"")</f>
        <v>N</v>
      </c>
      <c r="AY252" s="3">
        <v>832</v>
      </c>
      <c r="AZ252" s="78" t="str">
        <f>VLOOKUP(B252,Classification!A:D,2,0)</f>
        <v>C</v>
      </c>
      <c r="BA252" s="95" t="str">
        <f>VLOOKUP(B252,Classification!A:D,4,0)</f>
        <v>Metabotropicglutamate</v>
      </c>
      <c r="BB252" s="27" t="b">
        <f t="shared" si="2179"/>
        <v>1</v>
      </c>
      <c r="BC252" s="23">
        <f t="shared" si="2152"/>
        <v>213</v>
      </c>
      <c r="BD252" s="4" t="s">
        <v>23</v>
      </c>
      <c r="BE252" s="3" t="s">
        <v>1381</v>
      </c>
      <c r="BF252" s="120">
        <v>3.1</v>
      </c>
      <c r="BG252" s="49" t="s">
        <v>1384</v>
      </c>
      <c r="BH252" s="49" t="s">
        <v>1384</v>
      </c>
      <c r="BJ252" s="71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1">
        <f t="shared" si="2153"/>
        <v>578</v>
      </c>
      <c r="BW252" s="72">
        <f t="shared" si="2154"/>
        <v>607</v>
      </c>
      <c r="BX252" s="73">
        <f t="shared" si="2155"/>
        <v>614</v>
      </c>
      <c r="BY252" s="72" t="str">
        <f t="shared" si="2156"/>
        <v>-</v>
      </c>
      <c r="BZ252" s="73">
        <f t="shared" si="2157"/>
        <v>641</v>
      </c>
      <c r="CA252" s="72" t="str">
        <f t="shared" si="2158"/>
        <v>-</v>
      </c>
      <c r="CB252" s="73">
        <f t="shared" si="2159"/>
        <v>689</v>
      </c>
      <c r="CC252" s="72">
        <f t="shared" si="2160"/>
        <v>733</v>
      </c>
      <c r="CD252" s="73">
        <f t="shared" si="2161"/>
        <v>737</v>
      </c>
      <c r="CE252" s="72">
        <f t="shared" si="2162"/>
        <v>770</v>
      </c>
      <c r="CF252" s="73">
        <f t="shared" si="2163"/>
        <v>797</v>
      </c>
      <c r="CG252" s="72">
        <f t="shared" si="2164"/>
        <v>829</v>
      </c>
      <c r="CH252" s="71">
        <f t="shared" si="2165"/>
        <v>604</v>
      </c>
      <c r="CI252" s="72">
        <f t="shared" si="2166"/>
        <v>613</v>
      </c>
      <c r="CJ252" s="73">
        <f t="shared" si="2167"/>
        <v>636</v>
      </c>
      <c r="CK252" s="73" t="str">
        <f t="shared" si="2168"/>
        <v>-</v>
      </c>
      <c r="CL252" s="73">
        <f t="shared" si="2169"/>
        <v>678</v>
      </c>
      <c r="CM252" s="73" t="str">
        <f t="shared" si="2170"/>
        <v>-</v>
      </c>
      <c r="CN252" s="73">
        <f t="shared" si="2171"/>
        <v>715</v>
      </c>
      <c r="CO252" s="73">
        <f t="shared" si="2172"/>
        <v>735</v>
      </c>
      <c r="CP252" s="73">
        <f t="shared" si="2173"/>
        <v>761</v>
      </c>
      <c r="CQ252" s="73">
        <f t="shared" si="2174"/>
        <v>794</v>
      </c>
      <c r="CR252" s="73">
        <f t="shared" si="2175"/>
        <v>828</v>
      </c>
      <c r="CS252" s="73">
        <f t="shared" si="2176"/>
        <v>832</v>
      </c>
      <c r="CT252" s="23">
        <f t="shared" si="2177"/>
        <v>1</v>
      </c>
    </row>
    <row r="253" spans="1:1030" x14ac:dyDescent="0.2">
      <c r="A253" s="3" t="str">
        <f t="shared" si="2178"/>
        <v>grm5_human_5CGD</v>
      </c>
      <c r="B253" s="3" t="s">
        <v>41</v>
      </c>
      <c r="C253" s="3" t="s">
        <v>59</v>
      </c>
      <c r="D253" s="3" t="str">
        <f>IFERROR(MID(VLOOKUP($B253,Seqs!$A:$B,2,0),E253,1),"")</f>
        <v>P</v>
      </c>
      <c r="E253" s="3">
        <v>578</v>
      </c>
      <c r="F253" s="3" t="str">
        <f>IFERROR(MID(VLOOKUP($B253,Seqs!$A:$B,2,0),G253,1),"")</f>
        <v>Y</v>
      </c>
      <c r="G253" s="3">
        <v>604</v>
      </c>
      <c r="H253" s="3" t="str">
        <f>IFERROR(MID(VLOOKUP($B253,Seqs!$A:$B,2,0),I253,1),"")</f>
        <v>T</v>
      </c>
      <c r="I253" s="23">
        <v>607</v>
      </c>
      <c r="J253" s="3" t="str">
        <f>IFERROR(MID(VLOOKUP($B253,Seqs!$A:$B,2,0),K253,1),"")</f>
        <v>S</v>
      </c>
      <c r="K253" s="23">
        <v>613</v>
      </c>
      <c r="L253" s="3" t="str">
        <f>IFERROR(MID(VLOOKUP($B253,Seqs!$A:$B,2,0),M253,1),"")</f>
        <v>S</v>
      </c>
      <c r="M253" s="3">
        <v>614</v>
      </c>
      <c r="N253" s="3" t="str">
        <f>IFERROR(MID(VLOOKUP($B253,Seqs!$A:$B,2,0),O253,1),"")</f>
        <v>I</v>
      </c>
      <c r="O253" s="3">
        <v>636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Q</v>
      </c>
      <c r="U253" s="3">
        <v>641</v>
      </c>
      <c r="V253" s="3" t="str">
        <f>IFERROR(MID(VLOOKUP($B253,Seqs!$A:$B,2,0),W253,1),"")</f>
        <v>K</v>
      </c>
      <c r="W253" s="3">
        <v>678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S</v>
      </c>
      <c r="AC253" s="9">
        <v>689</v>
      </c>
      <c r="AD253" s="3" t="str">
        <f>IFERROR(MID(VLOOKUP($B253,Seqs!$A:$B,2,0),AE253,1),"")</f>
        <v>E</v>
      </c>
      <c r="AE253" s="3">
        <v>715</v>
      </c>
      <c r="AF253" s="3" t="str">
        <f>IFERROR(MID(VLOOKUP($B253,Seqs!$A:$B,2,0),AG253,1),"")</f>
        <v>C</v>
      </c>
      <c r="AG253" s="3">
        <v>733</v>
      </c>
      <c r="AH253" s="3" t="str">
        <f>IFERROR(MID(VLOOKUP($B253,Seqs!$A:$B,2,0),AI253,1),"")</f>
        <v>T</v>
      </c>
      <c r="AI253" s="3">
        <v>735</v>
      </c>
      <c r="AJ253" s="3" t="str">
        <f>IFERROR(MID(VLOOKUP($B253,Seqs!$A:$B,2,0),AK253,1),"")</f>
        <v>N</v>
      </c>
      <c r="AK253" s="3">
        <v>737</v>
      </c>
      <c r="AL253" s="3" t="str">
        <f>IFERROR(MID(VLOOKUP($B253,Seqs!$A:$B,2,0),AM253,1),"")</f>
        <v>T</v>
      </c>
      <c r="AM253" s="3">
        <v>761</v>
      </c>
      <c r="AN253" s="3" t="str">
        <f>IFERROR(MID(VLOOKUP($B253,Seqs!$A:$B,2,0),AO253,1),"")</f>
        <v>E</v>
      </c>
      <c r="AO253" s="3">
        <v>770</v>
      </c>
      <c r="AP253" s="3" t="str">
        <f>IFERROR(MID(VLOOKUP($B253,Seqs!$A:$B,2,0),AQ253,1),"")</f>
        <v>G</v>
      </c>
      <c r="AQ253" s="3">
        <v>794</v>
      </c>
      <c r="AR253" s="3" t="str">
        <f>IFERROR(MID(VLOOKUP($B253,Seqs!$A:$B,2,0),AS253,1),"")</f>
        <v>Y</v>
      </c>
      <c r="AS253" s="106">
        <v>797</v>
      </c>
      <c r="AT253" s="3" t="str">
        <f>IFERROR(MID(VLOOKUP($B253,Seqs!$A:$B,2,0),AU253,1),"")</f>
        <v>K</v>
      </c>
      <c r="AU253" s="3">
        <v>828</v>
      </c>
      <c r="AV253" s="3" t="str">
        <f>IFERROR(MID(VLOOKUP($B253,Seqs!$A:$B,2,0),AW253,1),"")</f>
        <v>P</v>
      </c>
      <c r="AW253" s="3">
        <v>829</v>
      </c>
      <c r="AX253" s="3" t="str">
        <f>IFERROR(MID(VLOOKUP($B253,Seqs!$A:$B,2,0),AY253,1),"")</f>
        <v>R</v>
      </c>
      <c r="AY253" s="3">
        <v>831</v>
      </c>
      <c r="AZ253" s="78" t="str">
        <f>VLOOKUP(B253,Classification!A:D,2,0)</f>
        <v>C</v>
      </c>
      <c r="BA253" s="95" t="str">
        <f>VLOOKUP(B253,Classification!A:D,4,0)</f>
        <v>Metabotropicglutamate</v>
      </c>
      <c r="BB253" s="27" t="b">
        <f t="shared" si="2179"/>
        <v>1</v>
      </c>
      <c r="BC253" s="23">
        <f t="shared" si="2152"/>
        <v>212</v>
      </c>
      <c r="BD253" s="4" t="s">
        <v>23</v>
      </c>
      <c r="BE253" s="3" t="s">
        <v>1381</v>
      </c>
      <c r="BF253" s="120">
        <v>2.6</v>
      </c>
      <c r="BG253" s="49" t="s">
        <v>1384</v>
      </c>
      <c r="BH253" s="49" t="s">
        <v>1384</v>
      </c>
      <c r="BJ253" s="71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1">
        <f t="shared" si="2153"/>
        <v>578</v>
      </c>
      <c r="BW253" s="72">
        <f t="shared" si="2154"/>
        <v>607</v>
      </c>
      <c r="BX253" s="73">
        <f t="shared" si="2155"/>
        <v>614</v>
      </c>
      <c r="BY253" s="72" t="str">
        <f t="shared" si="2156"/>
        <v>-</v>
      </c>
      <c r="BZ253" s="73">
        <f t="shared" si="2157"/>
        <v>641</v>
      </c>
      <c r="CA253" s="72" t="str">
        <f t="shared" si="2158"/>
        <v>-</v>
      </c>
      <c r="CB253" s="73">
        <f t="shared" si="2159"/>
        <v>689</v>
      </c>
      <c r="CC253" s="72">
        <f t="shared" si="2160"/>
        <v>733</v>
      </c>
      <c r="CD253" s="73">
        <f t="shared" si="2161"/>
        <v>737</v>
      </c>
      <c r="CE253" s="72">
        <f t="shared" si="2162"/>
        <v>770</v>
      </c>
      <c r="CF253" s="73">
        <f t="shared" si="2163"/>
        <v>797</v>
      </c>
      <c r="CG253" s="72">
        <f t="shared" si="2164"/>
        <v>829</v>
      </c>
      <c r="CH253" s="71">
        <f t="shared" si="2165"/>
        <v>604</v>
      </c>
      <c r="CI253" s="72">
        <f t="shared" si="2166"/>
        <v>613</v>
      </c>
      <c r="CJ253" s="73">
        <f t="shared" si="2167"/>
        <v>636</v>
      </c>
      <c r="CK253" s="73" t="str">
        <f t="shared" si="2168"/>
        <v>-</v>
      </c>
      <c r="CL253" s="73">
        <f t="shared" si="2169"/>
        <v>678</v>
      </c>
      <c r="CM253" s="73" t="str">
        <f t="shared" si="2170"/>
        <v>-</v>
      </c>
      <c r="CN253" s="73">
        <f t="shared" si="2171"/>
        <v>715</v>
      </c>
      <c r="CO253" s="73">
        <f t="shared" si="2172"/>
        <v>735</v>
      </c>
      <c r="CP253" s="73">
        <f t="shared" si="2173"/>
        <v>761</v>
      </c>
      <c r="CQ253" s="73">
        <f t="shared" si="2174"/>
        <v>794</v>
      </c>
      <c r="CR253" s="73">
        <f t="shared" si="2175"/>
        <v>828</v>
      </c>
      <c r="CS253" s="73">
        <f t="shared" si="2176"/>
        <v>831</v>
      </c>
      <c r="CT253" s="23">
        <f t="shared" si="2177"/>
        <v>1</v>
      </c>
      <c r="AMP253" s="3"/>
    </row>
    <row r="254" spans="1:1030" s="12" customFormat="1" x14ac:dyDescent="0.2">
      <c r="A254" s="9" t="str">
        <f t="shared" ref="A254" si="2403">CONCATENATE(B254,"_",C254)</f>
        <v>grm5_human_6FFH</v>
      </c>
      <c r="B254" s="9" t="s">
        <v>41</v>
      </c>
      <c r="C254" s="9" t="s">
        <v>1487</v>
      </c>
      <c r="D254" s="9" t="str">
        <f>IFERROR(MID(VLOOKUP($B254,Seqs!$A:$B,2,0),E254,1),"")</f>
        <v>P</v>
      </c>
      <c r="E254" s="9">
        <v>578</v>
      </c>
      <c r="F254" s="9" t="str">
        <f>IFERROR(MID(VLOOKUP($B254,Seqs!$A:$B,2,0),G254,1),"")</f>
        <v>Y</v>
      </c>
      <c r="G254" s="9">
        <v>604</v>
      </c>
      <c r="H254" s="9" t="str">
        <f>IFERROR(MID(VLOOKUP($B254,Seqs!$A:$B,2,0),I254,1),"")</f>
        <v>T</v>
      </c>
      <c r="I254" s="110">
        <v>607</v>
      </c>
      <c r="J254" s="9" t="str">
        <f>IFERROR(MID(VLOOKUP($B254,Seqs!$A:$B,2,0),K254,1),"")</f>
        <v>S</v>
      </c>
      <c r="K254" s="110">
        <v>613</v>
      </c>
      <c r="L254" s="9" t="str">
        <f>IFERROR(MID(VLOOKUP($B254,Seqs!$A:$B,2,0),M254,1),"")</f>
        <v>S</v>
      </c>
      <c r="M254" s="9">
        <v>614</v>
      </c>
      <c r="N254" s="9" t="str">
        <f>IFERROR(MID(VLOOKUP($B254,Seqs!$A:$B,2,0),O254,1),"")</f>
        <v>I</v>
      </c>
      <c r="O254" s="9">
        <v>636</v>
      </c>
      <c r="P254" s="9" t="str">
        <f>IFERROR(MID(VLOOKUP($B254,Seqs!$A:$B,2,0),Q254,1),"")</f>
        <v/>
      </c>
      <c r="Q254" s="9" t="s">
        <v>23</v>
      </c>
      <c r="R254" s="9" t="str">
        <f>IFERROR(MID(VLOOKUP($B254,Seqs!$A:$B,2,0),S254,1),"")</f>
        <v/>
      </c>
      <c r="S254" s="9" t="s">
        <v>23</v>
      </c>
      <c r="T254" s="9" t="str">
        <f>IFERROR(MID(VLOOKUP($B254,Seqs!$A:$B,2,0),U254,1),"")</f>
        <v>Q</v>
      </c>
      <c r="U254" s="9">
        <v>641</v>
      </c>
      <c r="V254" s="9" t="str">
        <f>IFERROR(MID(VLOOKUP($B254,Seqs!$A:$B,2,0),W254,1),"")</f>
        <v>K</v>
      </c>
      <c r="W254" s="9">
        <v>678</v>
      </c>
      <c r="X254" s="9" t="str">
        <f>IFERROR(MID(VLOOKUP($B254,Seqs!$A:$B,2,0),Y254,1),"")</f>
        <v/>
      </c>
      <c r="Y254" s="9" t="s">
        <v>23</v>
      </c>
      <c r="Z254" s="9" t="str">
        <f>IFERROR(MID(VLOOKUP($B254,Seqs!$A:$B,2,0),AA254,1),"")</f>
        <v/>
      </c>
      <c r="AA254" s="9" t="s">
        <v>23</v>
      </c>
      <c r="AB254" s="9" t="str">
        <f>IFERROR(MID(VLOOKUP($B254,Seqs!$A:$B,2,0),AC254,1),"")</f>
        <v>S</v>
      </c>
      <c r="AC254" s="9">
        <v>689</v>
      </c>
      <c r="AD254" s="9" t="str">
        <f>IFERROR(MID(VLOOKUP($B254,Seqs!$A:$B,2,0),AE254,1),"")</f>
        <v>E</v>
      </c>
      <c r="AE254" s="9">
        <v>715</v>
      </c>
      <c r="AF254" s="9" t="str">
        <f>IFERROR(MID(VLOOKUP($B254,Seqs!$A:$B,2,0),AG254,1),"")</f>
        <v>C</v>
      </c>
      <c r="AG254" s="9">
        <v>733</v>
      </c>
      <c r="AH254" s="9" t="str">
        <f>IFERROR(MID(VLOOKUP($B254,Seqs!$A:$B,2,0),AI254,1),"")</f>
        <v>T</v>
      </c>
      <c r="AI254" s="9">
        <v>735</v>
      </c>
      <c r="AJ254" s="9" t="str">
        <f>IFERROR(MID(VLOOKUP($B254,Seqs!$A:$B,2,0),AK254,1),"")</f>
        <v>T</v>
      </c>
      <c r="AK254" s="106">
        <v>736</v>
      </c>
      <c r="AL254" s="9" t="str">
        <f>IFERROR(MID(VLOOKUP($B254,Seqs!$A:$B,2,0),AM254,1),"")</f>
        <v>T</v>
      </c>
      <c r="AM254" s="9">
        <v>761</v>
      </c>
      <c r="AN254" s="9" t="str">
        <f>IFERROR(MID(VLOOKUP($B254,Seqs!$A:$B,2,0),AO254,1),"")</f>
        <v>E</v>
      </c>
      <c r="AO254" s="9">
        <v>770</v>
      </c>
      <c r="AP254" s="9" t="str">
        <f>IFERROR(MID(VLOOKUP($B254,Seqs!$A:$B,2,0),AQ254,1),"")</f>
        <v>G</v>
      </c>
      <c r="AQ254" s="9">
        <v>794</v>
      </c>
      <c r="AR254" s="9" t="str">
        <f>IFERROR(MID(VLOOKUP($B254,Seqs!$A:$B,2,0),AS254,1),"")</f>
        <v>Y</v>
      </c>
      <c r="AS254" s="106">
        <v>797</v>
      </c>
      <c r="AT254" s="9" t="str">
        <f>IFERROR(MID(VLOOKUP($B254,Seqs!$A:$B,2,0),AU254,1),"")</f>
        <v>K</v>
      </c>
      <c r="AU254" s="9">
        <v>828</v>
      </c>
      <c r="AV254" s="9" t="str">
        <f>IFERROR(MID(VLOOKUP($B254,Seqs!$A:$B,2,0),AW254,1),"")</f>
        <v>P</v>
      </c>
      <c r="AW254" s="9">
        <v>829</v>
      </c>
      <c r="AX254" s="9" t="str">
        <f>IFERROR(MID(VLOOKUP($B254,Seqs!$A:$B,2,0),AY254,1),"")</f>
        <v>N</v>
      </c>
      <c r="AY254" s="9">
        <v>832</v>
      </c>
      <c r="AZ254" s="111" t="str">
        <f>VLOOKUP(B254,Classification!A:D,2,0)</f>
        <v>C</v>
      </c>
      <c r="BA254" s="99" t="str">
        <f>VLOOKUP(B254,Classification!A:D,4,0)</f>
        <v>Metabotropicglutamate</v>
      </c>
      <c r="BB254" s="36" t="b">
        <f t="shared" ref="BB254" si="2404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110">
        <f t="shared" ref="BC254" si="2405">_xlfn.AGGREGATE(9,6,CH254:CS254)-_xlfn.AGGREGATE(9,6,BV254:CG254)+12</f>
        <v>214</v>
      </c>
      <c r="BD254" s="11" t="s">
        <v>23</v>
      </c>
      <c r="BE254" s="9" t="s">
        <v>1381</v>
      </c>
      <c r="BF254" s="121">
        <v>2.65</v>
      </c>
      <c r="BG254" s="51" t="s">
        <v>1</v>
      </c>
      <c r="BH254" s="51" t="s">
        <v>1</v>
      </c>
      <c r="BI254" s="9"/>
      <c r="BJ254" s="112" t="s">
        <v>1293</v>
      </c>
      <c r="BK254" s="113" t="s">
        <v>1293</v>
      </c>
      <c r="BL254" s="113" t="s">
        <v>1293</v>
      </c>
      <c r="BM254" s="113" t="s">
        <v>1293</v>
      </c>
      <c r="BN254" s="113" t="s">
        <v>1293</v>
      </c>
      <c r="BO254" s="113" t="s">
        <v>1293</v>
      </c>
      <c r="BP254" s="113" t="s">
        <v>1293</v>
      </c>
      <c r="BQ254" s="113" t="s">
        <v>1293</v>
      </c>
      <c r="BR254" s="113" t="s">
        <v>1293</v>
      </c>
      <c r="BS254" s="113" t="s">
        <v>1293</v>
      </c>
      <c r="BT254" s="113" t="s">
        <v>1293</v>
      </c>
      <c r="BU254" s="113" t="s">
        <v>1293</v>
      </c>
      <c r="BV254" s="112">
        <f t="shared" ref="BV254" si="2406">E254</f>
        <v>578</v>
      </c>
      <c r="BW254" s="114">
        <f t="shared" ref="BW254" si="2407">I254</f>
        <v>607</v>
      </c>
      <c r="BX254" s="115">
        <f t="shared" ref="BX254" si="2408">M254</f>
        <v>614</v>
      </c>
      <c r="BY254" s="114" t="str">
        <f t="shared" ref="BY254" si="2409">Q254</f>
        <v>-</v>
      </c>
      <c r="BZ254" s="115">
        <f t="shared" ref="BZ254" si="2410">U254</f>
        <v>641</v>
      </c>
      <c r="CA254" s="114" t="str">
        <f t="shared" ref="CA254" si="2411">Y254</f>
        <v>-</v>
      </c>
      <c r="CB254" s="115">
        <f t="shared" ref="CB254" si="2412">AC254</f>
        <v>689</v>
      </c>
      <c r="CC254" s="114">
        <f t="shared" ref="CC254" si="2413">AG254</f>
        <v>733</v>
      </c>
      <c r="CD254" s="115">
        <f t="shared" ref="CD254" si="2414">AK254</f>
        <v>736</v>
      </c>
      <c r="CE254" s="114">
        <f t="shared" ref="CE254" si="2415">AO254</f>
        <v>770</v>
      </c>
      <c r="CF254" s="115">
        <f t="shared" ref="CF254" si="2416">AS254</f>
        <v>797</v>
      </c>
      <c r="CG254" s="114">
        <f t="shared" ref="CG254" si="2417">AW254</f>
        <v>829</v>
      </c>
      <c r="CH254" s="112">
        <f t="shared" ref="CH254" si="2418">G254</f>
        <v>604</v>
      </c>
      <c r="CI254" s="114">
        <f t="shared" ref="CI254" si="2419">K254</f>
        <v>613</v>
      </c>
      <c r="CJ254" s="115">
        <f t="shared" ref="CJ254" si="2420">O254</f>
        <v>636</v>
      </c>
      <c r="CK254" s="115" t="str">
        <f t="shared" ref="CK254" si="2421">S254</f>
        <v>-</v>
      </c>
      <c r="CL254" s="115">
        <f t="shared" ref="CL254" si="2422">W254</f>
        <v>678</v>
      </c>
      <c r="CM254" s="115" t="str">
        <f t="shared" ref="CM254" si="2423">AA254</f>
        <v>-</v>
      </c>
      <c r="CN254" s="115">
        <f t="shared" ref="CN254" si="2424">AE254</f>
        <v>715</v>
      </c>
      <c r="CO254" s="115">
        <f t="shared" ref="CO254" si="2425">AI254</f>
        <v>735</v>
      </c>
      <c r="CP254" s="115">
        <f t="shared" ref="CP254" si="2426">AM254</f>
        <v>761</v>
      </c>
      <c r="CQ254" s="115">
        <f t="shared" ref="CQ254" si="2427">AQ254</f>
        <v>794</v>
      </c>
      <c r="CR254" s="115">
        <f t="shared" ref="CR254" si="2428">AU254</f>
        <v>828</v>
      </c>
      <c r="CS254" s="115">
        <f t="shared" ref="CS254" si="2429">AY254</f>
        <v>832</v>
      </c>
      <c r="CT254" s="110">
        <f t="shared" ref="CT254" si="2430">M254-K254</f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</row>
    <row r="255" spans="1:1030" s="12" customFormat="1" x14ac:dyDescent="0.2">
      <c r="A255" s="9" t="str">
        <f t="shared" ref="A255" si="2431">CONCATENATE(B255,"_",C255)</f>
        <v>grm5_human_6FFI</v>
      </c>
      <c r="B255" s="9" t="s">
        <v>41</v>
      </c>
      <c r="C255" s="9" t="s">
        <v>1488</v>
      </c>
      <c r="D255" s="9" t="str">
        <f>IFERROR(MID(VLOOKUP($B255,Seqs!$A:$B,2,0),E255,1),"")</f>
        <v>P</v>
      </c>
      <c r="E255" s="9">
        <v>578</v>
      </c>
      <c r="F255" s="9" t="str">
        <f>IFERROR(MID(VLOOKUP($B255,Seqs!$A:$B,2,0),G255,1),"")</f>
        <v>Y</v>
      </c>
      <c r="G255" s="9">
        <v>604</v>
      </c>
      <c r="H255" s="9" t="str">
        <f>IFERROR(MID(VLOOKUP($B255,Seqs!$A:$B,2,0),I255,1),"")</f>
        <v>T</v>
      </c>
      <c r="I255" s="110">
        <v>607</v>
      </c>
      <c r="J255" s="9" t="str">
        <f>IFERROR(MID(VLOOKUP($B255,Seqs!$A:$B,2,0),K255,1),"")</f>
        <v>S</v>
      </c>
      <c r="K255" s="110">
        <v>613</v>
      </c>
      <c r="L255" s="9" t="str">
        <f>IFERROR(MID(VLOOKUP($B255,Seqs!$A:$B,2,0),M255,1),"")</f>
        <v>S</v>
      </c>
      <c r="M255" s="9">
        <v>614</v>
      </c>
      <c r="N255" s="9" t="str">
        <f>IFERROR(MID(VLOOKUP($B255,Seqs!$A:$B,2,0),O255,1),"")</f>
        <v>I</v>
      </c>
      <c r="O255" s="9">
        <v>636</v>
      </c>
      <c r="P255" s="9" t="str">
        <f>IFERROR(MID(VLOOKUP($B255,Seqs!$A:$B,2,0),Q255,1),"")</f>
        <v/>
      </c>
      <c r="Q255" s="9" t="s">
        <v>23</v>
      </c>
      <c r="R255" s="9" t="str">
        <f>IFERROR(MID(VLOOKUP($B255,Seqs!$A:$B,2,0),S255,1),"")</f>
        <v/>
      </c>
      <c r="S255" s="9" t="s">
        <v>23</v>
      </c>
      <c r="T255" s="9" t="str">
        <f>IFERROR(MID(VLOOKUP($B255,Seqs!$A:$B,2,0),U255,1),"")</f>
        <v>Q</v>
      </c>
      <c r="U255" s="9">
        <v>641</v>
      </c>
      <c r="V255" s="9" t="str">
        <f>IFERROR(MID(VLOOKUP($B255,Seqs!$A:$B,2,0),W255,1),"")</f>
        <v>K</v>
      </c>
      <c r="W255" s="9">
        <v>678</v>
      </c>
      <c r="X255" s="9" t="str">
        <f>IFERROR(MID(VLOOKUP($B255,Seqs!$A:$B,2,0),Y255,1),"")</f>
        <v/>
      </c>
      <c r="Y255" s="9" t="s">
        <v>23</v>
      </c>
      <c r="Z255" s="9" t="str">
        <f>IFERROR(MID(VLOOKUP($B255,Seqs!$A:$B,2,0),AA255,1),"")</f>
        <v/>
      </c>
      <c r="AA255" s="9" t="s">
        <v>23</v>
      </c>
      <c r="AB255" s="9" t="str">
        <f>IFERROR(MID(VLOOKUP($B255,Seqs!$A:$B,2,0),AC255,1),"")</f>
        <v>S</v>
      </c>
      <c r="AC255" s="9">
        <v>689</v>
      </c>
      <c r="AD255" s="9" t="str">
        <f>IFERROR(MID(VLOOKUP($B255,Seqs!$A:$B,2,0),AE255,1),"")</f>
        <v>E</v>
      </c>
      <c r="AE255" s="9">
        <v>715</v>
      </c>
      <c r="AF255" s="9" t="str">
        <f>IFERROR(MID(VLOOKUP($B255,Seqs!$A:$B,2,0),AG255,1),"")</f>
        <v>C</v>
      </c>
      <c r="AG255" s="9">
        <v>733</v>
      </c>
      <c r="AH255" s="9" t="str">
        <f>IFERROR(MID(VLOOKUP($B255,Seqs!$A:$B,2,0),AI255,1),"")</f>
        <v>T</v>
      </c>
      <c r="AI255" s="9">
        <v>735</v>
      </c>
      <c r="AJ255" s="9" t="str">
        <f>IFERROR(MID(VLOOKUP($B255,Seqs!$A:$B,2,0),AK255,1),"")</f>
        <v>T</v>
      </c>
      <c r="AK255" s="106">
        <v>736</v>
      </c>
      <c r="AL255" s="9" t="str">
        <f>IFERROR(MID(VLOOKUP($B255,Seqs!$A:$B,2,0),AM255,1),"")</f>
        <v>T</v>
      </c>
      <c r="AM255" s="9">
        <v>761</v>
      </c>
      <c r="AN255" s="9" t="str">
        <f>IFERROR(MID(VLOOKUP($B255,Seqs!$A:$B,2,0),AO255,1),"")</f>
        <v>E</v>
      </c>
      <c r="AO255" s="9">
        <v>770</v>
      </c>
      <c r="AP255" s="9" t="str">
        <f>IFERROR(MID(VLOOKUP($B255,Seqs!$A:$B,2,0),AQ255,1),"")</f>
        <v>G</v>
      </c>
      <c r="AQ255" s="9">
        <v>794</v>
      </c>
      <c r="AR255" s="9" t="str">
        <f>IFERROR(MID(VLOOKUP($B255,Seqs!$A:$B,2,0),AS255,1),"")</f>
        <v>Y</v>
      </c>
      <c r="AS255" s="106">
        <v>797</v>
      </c>
      <c r="AT255" s="9" t="str">
        <f>IFERROR(MID(VLOOKUP($B255,Seqs!$A:$B,2,0),AU255,1),"")</f>
        <v>K</v>
      </c>
      <c r="AU255" s="9">
        <v>828</v>
      </c>
      <c r="AV255" s="9" t="str">
        <f>IFERROR(MID(VLOOKUP($B255,Seqs!$A:$B,2,0),AW255,1),"")</f>
        <v>P</v>
      </c>
      <c r="AW255" s="9">
        <v>829</v>
      </c>
      <c r="AX255" s="9" t="str">
        <f>IFERROR(MID(VLOOKUP($B255,Seqs!$A:$B,2,0),AY255,1),"")</f>
        <v>N</v>
      </c>
      <c r="AY255" s="9">
        <v>832</v>
      </c>
      <c r="AZ255" s="111" t="str">
        <f>VLOOKUP(B255,Classification!A:D,2,0)</f>
        <v>C</v>
      </c>
      <c r="BA255" s="99" t="str">
        <f>VLOOKUP(B255,Classification!A:D,4,0)</f>
        <v>Metabotropicglutamate</v>
      </c>
      <c r="BB255" s="36" t="b">
        <f t="shared" ref="BB255" si="2432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110">
        <f t="shared" ref="BC255" si="2433">_xlfn.AGGREGATE(9,6,CH255:CS255)-_xlfn.AGGREGATE(9,6,BV255:CG255)+12</f>
        <v>214</v>
      </c>
      <c r="BD255" s="11" t="s">
        <v>23</v>
      </c>
      <c r="BE255" s="9" t="s">
        <v>1381</v>
      </c>
      <c r="BF255" s="121">
        <v>2.2000000000000002</v>
      </c>
      <c r="BG255" s="51" t="s">
        <v>1</v>
      </c>
      <c r="BH255" s="51" t="s">
        <v>1</v>
      </c>
      <c r="BI255" s="9"/>
      <c r="BJ255" s="112" t="s">
        <v>1293</v>
      </c>
      <c r="BK255" s="113" t="s">
        <v>1293</v>
      </c>
      <c r="BL255" s="113" t="s">
        <v>1293</v>
      </c>
      <c r="BM255" s="113" t="s">
        <v>1293</v>
      </c>
      <c r="BN255" s="113" t="s">
        <v>1293</v>
      </c>
      <c r="BO255" s="113" t="s">
        <v>1293</v>
      </c>
      <c r="BP255" s="113" t="s">
        <v>1293</v>
      </c>
      <c r="BQ255" s="113" t="s">
        <v>1293</v>
      </c>
      <c r="BR255" s="113" t="s">
        <v>1293</v>
      </c>
      <c r="BS255" s="113" t="s">
        <v>1293</v>
      </c>
      <c r="BT255" s="113" t="s">
        <v>1293</v>
      </c>
      <c r="BU255" s="113" t="s">
        <v>1293</v>
      </c>
      <c r="BV255" s="112">
        <f t="shared" ref="BV255" si="2434">E255</f>
        <v>578</v>
      </c>
      <c r="BW255" s="114">
        <f t="shared" ref="BW255" si="2435">I255</f>
        <v>607</v>
      </c>
      <c r="BX255" s="115">
        <f t="shared" ref="BX255" si="2436">M255</f>
        <v>614</v>
      </c>
      <c r="BY255" s="114" t="str">
        <f t="shared" ref="BY255" si="2437">Q255</f>
        <v>-</v>
      </c>
      <c r="BZ255" s="115">
        <f t="shared" ref="BZ255" si="2438">U255</f>
        <v>641</v>
      </c>
      <c r="CA255" s="114" t="str">
        <f t="shared" ref="CA255" si="2439">Y255</f>
        <v>-</v>
      </c>
      <c r="CB255" s="115">
        <f t="shared" ref="CB255" si="2440">AC255</f>
        <v>689</v>
      </c>
      <c r="CC255" s="114">
        <f t="shared" ref="CC255" si="2441">AG255</f>
        <v>733</v>
      </c>
      <c r="CD255" s="115">
        <f t="shared" ref="CD255" si="2442">AK255</f>
        <v>736</v>
      </c>
      <c r="CE255" s="114">
        <f t="shared" ref="CE255" si="2443">AO255</f>
        <v>770</v>
      </c>
      <c r="CF255" s="115">
        <f t="shared" ref="CF255" si="2444">AS255</f>
        <v>797</v>
      </c>
      <c r="CG255" s="114">
        <f t="shared" ref="CG255" si="2445">AW255</f>
        <v>829</v>
      </c>
      <c r="CH255" s="112">
        <f t="shared" ref="CH255" si="2446">G255</f>
        <v>604</v>
      </c>
      <c r="CI255" s="114">
        <f t="shared" ref="CI255" si="2447">K255</f>
        <v>613</v>
      </c>
      <c r="CJ255" s="115">
        <f t="shared" ref="CJ255" si="2448">O255</f>
        <v>636</v>
      </c>
      <c r="CK255" s="115" t="str">
        <f t="shared" ref="CK255" si="2449">S255</f>
        <v>-</v>
      </c>
      <c r="CL255" s="115">
        <f t="shared" ref="CL255" si="2450">W255</f>
        <v>678</v>
      </c>
      <c r="CM255" s="115" t="str">
        <f t="shared" ref="CM255" si="2451">AA255</f>
        <v>-</v>
      </c>
      <c r="CN255" s="115">
        <f t="shared" ref="CN255" si="2452">AE255</f>
        <v>715</v>
      </c>
      <c r="CO255" s="115">
        <f t="shared" ref="CO255" si="2453">AI255</f>
        <v>735</v>
      </c>
      <c r="CP255" s="115">
        <f t="shared" ref="CP255" si="2454">AM255</f>
        <v>761</v>
      </c>
      <c r="CQ255" s="115">
        <f t="shared" ref="CQ255" si="2455">AQ255</f>
        <v>794</v>
      </c>
      <c r="CR255" s="115">
        <f t="shared" ref="CR255" si="2456">AU255</f>
        <v>828</v>
      </c>
      <c r="CS255" s="115">
        <f t="shared" ref="CS255" si="2457">AY255</f>
        <v>832</v>
      </c>
      <c r="CT255" s="110">
        <f t="shared" ref="CT255" si="2458">M255-K255</f>
        <v>1</v>
      </c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</row>
    <row r="256" spans="1:1030" x14ac:dyDescent="0.2">
      <c r="A256" s="3" t="str">
        <f t="shared" si="2178"/>
        <v>smo_human__wt</v>
      </c>
      <c r="B256" s="3" t="s">
        <v>33</v>
      </c>
      <c r="C256" s="3" t="s">
        <v>100</v>
      </c>
      <c r="D256" s="3" t="str">
        <f>IFERROR(MID(VLOOKUP($B256,Seqs!$A:$B,2,0),E256,1),"")</f>
        <v>T</v>
      </c>
      <c r="E256" s="106">
        <v>223</v>
      </c>
      <c r="F256" s="3" t="str">
        <f>IFERROR(MID(VLOOKUP($B256,Seqs!$A:$B,2,0),G256,1),"")</f>
        <v>D</v>
      </c>
      <c r="G256" s="3">
        <v>255</v>
      </c>
      <c r="H256" s="3" t="str">
        <f>IFERROR(MID(VLOOKUP($B256,Seqs!$A:$B,2,0),I256,1),"")</f>
        <v>W</v>
      </c>
      <c r="I256" s="23">
        <v>256</v>
      </c>
      <c r="J256" s="3" t="str">
        <f>IFERROR(MID(VLOOKUP($B256,Seqs!$A:$B,2,0),K256,1),"")</f>
        <v>N</v>
      </c>
      <c r="K256" s="23">
        <v>260</v>
      </c>
      <c r="L256" s="3" t="str">
        <f>IFERROR(MID(VLOOKUP($B256,Seqs!$A:$B,2,0),M256,1),"")</f>
        <v>R</v>
      </c>
      <c r="M256" s="3">
        <v>261</v>
      </c>
      <c r="N256" s="3" t="str">
        <f>IFERROR(MID(VLOOKUP($B256,Seqs!$A:$B,2,0),O256,1),"")</f>
        <v>F</v>
      </c>
      <c r="O256" s="3">
        <v>285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L</v>
      </c>
      <c r="U256" s="3">
        <v>312</v>
      </c>
      <c r="V256" s="3" t="str">
        <f>IFERROR(MID(VLOOKUP($B256,Seqs!$A:$B,2,0),W256,1),"")</f>
        <v>T</v>
      </c>
      <c r="W256" s="3">
        <v>348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L</v>
      </c>
      <c r="AC256" s="9">
        <v>353</v>
      </c>
      <c r="AD256" s="3" t="str">
        <f>IFERROR(MID(VLOOKUP($B256,Seqs!$A:$B,2,0),AE256,1),"")</f>
        <v>V</v>
      </c>
      <c r="AE256" s="3">
        <v>378</v>
      </c>
      <c r="AF256" s="3" t="str">
        <f>IFERROR(MID(VLOOKUP($B256,Seqs!$A:$B,2,0),AG256,1),"")</f>
        <v>C</v>
      </c>
      <c r="AG256" s="3">
        <v>390</v>
      </c>
      <c r="AH256" s="3" t="str">
        <f>IFERROR(MID(VLOOKUP($B256,Seqs!$A:$B,2,0),AI256,1),"")</f>
        <v>V</v>
      </c>
      <c r="AI256" s="3">
        <v>392</v>
      </c>
      <c r="AJ256" s="3" t="str">
        <f>IFERROR(MID(VLOOKUP($B256,Seqs!$A:$B,2,0),AK256,1),"")</f>
        <v>N</v>
      </c>
      <c r="AK256" s="106">
        <v>396</v>
      </c>
      <c r="AL256" s="3" t="str">
        <f>IFERROR(MID(VLOOKUP($B256,Seqs!$A:$B,2,0),AM256,1),"")</f>
        <v>H</v>
      </c>
      <c r="AM256" s="3">
        <v>433</v>
      </c>
      <c r="AN256" s="3" t="str">
        <f>IFERROR(MID(VLOOKUP($B256,Seqs!$A:$B,2,0),AO256,1),"")</f>
        <v>A</v>
      </c>
      <c r="AO256" s="3">
        <v>442</v>
      </c>
      <c r="AP256" s="3" t="str">
        <f>IFERROR(MID(VLOOKUP($B256,Seqs!$A:$B,2,0),AQ256,1),"")</f>
        <v>I</v>
      </c>
      <c r="AQ256" s="3">
        <v>496</v>
      </c>
      <c r="AR256" s="3" t="str">
        <f>IFERROR(MID(VLOOKUP($B256,Seqs!$A:$B,2,0),AS256,1),"")</f>
        <v>S</v>
      </c>
      <c r="AS256" s="106">
        <v>514</v>
      </c>
      <c r="AT256" s="3" t="str">
        <f>IFERROR(MID(VLOOKUP($B256,Seqs!$A:$B,2,0),AU256,1),"")</f>
        <v>W</v>
      </c>
      <c r="AU256" s="3">
        <v>537</v>
      </c>
      <c r="AV256" s="3" t="str">
        <f>IFERROR(MID(VLOOKUP($B256,Seqs!$A:$B,2,0),AW256,1),"")</f>
        <v>T</v>
      </c>
      <c r="AW256" s="3">
        <v>538</v>
      </c>
      <c r="AX256" s="3" t="str">
        <f>IFERROR(MID(VLOOKUP($B256,Seqs!$A:$B,2,0),AY256,1),"")</f>
        <v>T</v>
      </c>
      <c r="AY256" s="3">
        <v>553</v>
      </c>
      <c r="AZ256" s="78" t="str">
        <f>VLOOKUP(B256,Classification!A:D,2,0)</f>
        <v>F</v>
      </c>
      <c r="BA256" s="95" t="str">
        <f>VLOOKUP(B256,Classification!A:D,4,0)</f>
        <v>Frizzled</v>
      </c>
      <c r="BB256" s="27" t="b">
        <f t="shared" si="2179"/>
        <v>1</v>
      </c>
      <c r="BC256" s="23">
        <f t="shared" si="2152"/>
        <v>264</v>
      </c>
      <c r="BD256" s="56" t="s">
        <v>1379</v>
      </c>
      <c r="BE256" s="3" t="s">
        <v>23</v>
      </c>
      <c r="BF256" s="120" t="s">
        <v>23</v>
      </c>
      <c r="BG256" s="49" t="s">
        <v>1379</v>
      </c>
      <c r="BH256" s="49" t="s">
        <v>1384</v>
      </c>
      <c r="BJ256" s="71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1">
        <f t="shared" si="2153"/>
        <v>223</v>
      </c>
      <c r="BW256" s="72">
        <f t="shared" si="2154"/>
        <v>256</v>
      </c>
      <c r="BX256" s="73">
        <f t="shared" si="2155"/>
        <v>261</v>
      </c>
      <c r="BY256" s="72" t="str">
        <f t="shared" si="2156"/>
        <v>-</v>
      </c>
      <c r="BZ256" s="73">
        <f t="shared" si="2157"/>
        <v>312</v>
      </c>
      <c r="CA256" s="72" t="str">
        <f t="shared" si="2158"/>
        <v>-</v>
      </c>
      <c r="CB256" s="73">
        <f t="shared" si="2159"/>
        <v>353</v>
      </c>
      <c r="CC256" s="72">
        <f t="shared" si="2160"/>
        <v>390</v>
      </c>
      <c r="CD256" s="73">
        <f t="shared" si="2161"/>
        <v>396</v>
      </c>
      <c r="CE256" s="72">
        <f t="shared" si="2162"/>
        <v>442</v>
      </c>
      <c r="CF256" s="73">
        <f t="shared" si="2163"/>
        <v>514</v>
      </c>
      <c r="CG256" s="72">
        <f t="shared" si="2164"/>
        <v>538</v>
      </c>
      <c r="CH256" s="71">
        <f t="shared" si="2165"/>
        <v>255</v>
      </c>
      <c r="CI256" s="72">
        <f t="shared" si="2166"/>
        <v>260</v>
      </c>
      <c r="CJ256" s="73">
        <f t="shared" si="2167"/>
        <v>285</v>
      </c>
      <c r="CK256" s="73" t="str">
        <f t="shared" si="2168"/>
        <v>-</v>
      </c>
      <c r="CL256" s="73">
        <f t="shared" si="2169"/>
        <v>348</v>
      </c>
      <c r="CM256" s="73" t="str">
        <f t="shared" si="2170"/>
        <v>-</v>
      </c>
      <c r="CN256" s="73">
        <f t="shared" si="2171"/>
        <v>378</v>
      </c>
      <c r="CO256" s="73">
        <f t="shared" si="2172"/>
        <v>392</v>
      </c>
      <c r="CP256" s="73">
        <f t="shared" si="2173"/>
        <v>433</v>
      </c>
      <c r="CQ256" s="73">
        <f t="shared" si="2174"/>
        <v>496</v>
      </c>
      <c r="CR256" s="73">
        <f t="shared" si="2175"/>
        <v>537</v>
      </c>
      <c r="CS256" s="73">
        <f t="shared" si="2176"/>
        <v>553</v>
      </c>
      <c r="CT256" s="23">
        <f t="shared" si="2177"/>
        <v>1</v>
      </c>
    </row>
    <row r="257" spans="1:1030" x14ac:dyDescent="0.2">
      <c r="A257" s="3" t="str">
        <f t="shared" si="2178"/>
        <v>smo_human_4JKV</v>
      </c>
      <c r="B257" s="3" t="s">
        <v>33</v>
      </c>
      <c r="C257" s="3" t="s">
        <v>86</v>
      </c>
      <c r="D257" s="3" t="str">
        <f>IFERROR(MID(VLOOKUP($B257,Seqs!$A:$B,2,0),E257,1),"")</f>
        <v>T</v>
      </c>
      <c r="E257" s="106">
        <v>223</v>
      </c>
      <c r="F257" s="3" t="str">
        <f>IFERROR(MID(VLOOKUP($B257,Seqs!$A:$B,2,0),G257,1),"")</f>
        <v>D</v>
      </c>
      <c r="G257" s="3">
        <v>255</v>
      </c>
      <c r="H257" s="3" t="str">
        <f>IFERROR(MID(VLOOKUP($B257,Seqs!$A:$B,2,0),I257,1),"")</f>
        <v>W</v>
      </c>
      <c r="I257" s="23">
        <v>256</v>
      </c>
      <c r="J257" s="3" t="str">
        <f>IFERROR(MID(VLOOKUP($B257,Seqs!$A:$B,2,0),K257,1),"")</f>
        <v>N</v>
      </c>
      <c r="K257" s="23">
        <v>260</v>
      </c>
      <c r="L257" s="3" t="str">
        <f>IFERROR(MID(VLOOKUP($B257,Seqs!$A:$B,2,0),M257,1),"")</f>
        <v>R</v>
      </c>
      <c r="M257" s="3">
        <v>261</v>
      </c>
      <c r="N257" s="3" t="str">
        <f>IFERROR(MID(VLOOKUP($B257,Seqs!$A:$B,2,0),O257,1),"")</f>
        <v>F</v>
      </c>
      <c r="O257" s="3">
        <v>285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L</v>
      </c>
      <c r="U257" s="3">
        <v>312</v>
      </c>
      <c r="V257" s="3" t="str">
        <f>IFERROR(MID(VLOOKUP($B257,Seqs!$A:$B,2,0),W257,1),"")</f>
        <v>T</v>
      </c>
      <c r="W257" s="3">
        <v>348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F</v>
      </c>
      <c r="AC257" s="9">
        <v>360</v>
      </c>
      <c r="AD257" s="3" t="str">
        <f>IFERROR(MID(VLOOKUP($B257,Seqs!$A:$B,2,0),AE257,1),"")</f>
        <v>V</v>
      </c>
      <c r="AE257" s="3">
        <v>378</v>
      </c>
      <c r="AF257" s="3" t="str">
        <f>IFERROR(MID(VLOOKUP($B257,Seqs!$A:$B,2,0),AG257,1),"")</f>
        <v>C</v>
      </c>
      <c r="AG257" s="3">
        <v>390</v>
      </c>
      <c r="AH257" s="3" t="str">
        <f>IFERROR(MID(VLOOKUP($B257,Seqs!$A:$B,2,0),AI257,1),"")</f>
        <v>V</v>
      </c>
      <c r="AI257" s="3">
        <v>392</v>
      </c>
      <c r="AJ257" s="3" t="str">
        <f>IFERROR(MID(VLOOKUP($B257,Seqs!$A:$B,2,0),AK257,1),"")</f>
        <v>N</v>
      </c>
      <c r="AK257" s="106">
        <v>396</v>
      </c>
      <c r="AL257" s="3" t="str">
        <f>IFERROR(MID(VLOOKUP($B257,Seqs!$A:$B,2,0),AM257,1),"")</f>
        <v>H</v>
      </c>
      <c r="AM257" s="3">
        <v>433</v>
      </c>
      <c r="AN257" s="3" t="str">
        <f>IFERROR(MID(VLOOKUP($B257,Seqs!$A:$B,2,0),AO257,1),"")</f>
        <v>A</v>
      </c>
      <c r="AO257" s="3">
        <v>442</v>
      </c>
      <c r="AP257" s="3" t="str">
        <f>IFERROR(MID(VLOOKUP($B257,Seqs!$A:$B,2,0),AQ257,1),"")</f>
        <v>N</v>
      </c>
      <c r="AQ257" s="3">
        <v>493</v>
      </c>
      <c r="AR257" s="3" t="str">
        <f>IFERROR(MID(VLOOKUP($B257,Seqs!$A:$B,2,0),AS257,1),"")</f>
        <v>S</v>
      </c>
      <c r="AS257" s="106">
        <v>514</v>
      </c>
      <c r="AT257" s="3" t="str">
        <f>IFERROR(MID(VLOOKUP($B257,Seqs!$A:$B,2,0),AU257,1),"")</f>
        <v>W</v>
      </c>
      <c r="AU257" s="3">
        <v>537</v>
      </c>
      <c r="AV257" s="3" t="str">
        <f>IFERROR(MID(VLOOKUP($B257,Seqs!$A:$B,2,0),AW257,1),"")</f>
        <v>T</v>
      </c>
      <c r="AW257" s="3">
        <v>538</v>
      </c>
      <c r="AX257" s="3" t="str">
        <f>IFERROR(MID(VLOOKUP($B257,Seqs!$A:$B,2,0),AY257,1),"")</f>
        <v>C</v>
      </c>
      <c r="AY257" s="3">
        <v>550</v>
      </c>
      <c r="AZ257" s="78" t="str">
        <f>VLOOKUP(B257,Classification!A:D,2,0)</f>
        <v>F</v>
      </c>
      <c r="BA257" s="95" t="str">
        <f>VLOOKUP(B257,Classification!A:D,4,0)</f>
        <v>Frizzled</v>
      </c>
      <c r="BB257" s="27" t="b">
        <f t="shared" si="2179"/>
        <v>1</v>
      </c>
      <c r="BC257" s="23">
        <f t="shared" si="2152"/>
        <v>251</v>
      </c>
      <c r="BD257" s="4" t="s">
        <v>23</v>
      </c>
      <c r="BE257" s="3" t="s">
        <v>1381</v>
      </c>
      <c r="BF257" s="120">
        <v>2.4500000000000002</v>
      </c>
      <c r="BG257" s="49" t="s">
        <v>1384</v>
      </c>
      <c r="BH257" s="49" t="s">
        <v>1384</v>
      </c>
      <c r="BJ257" s="71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1">
        <f t="shared" si="2153"/>
        <v>223</v>
      </c>
      <c r="BW257" s="72">
        <f t="shared" si="2154"/>
        <v>256</v>
      </c>
      <c r="BX257" s="73">
        <f t="shared" si="2155"/>
        <v>261</v>
      </c>
      <c r="BY257" s="72" t="str">
        <f t="shared" si="2156"/>
        <v>-</v>
      </c>
      <c r="BZ257" s="73">
        <f t="shared" si="2157"/>
        <v>312</v>
      </c>
      <c r="CA257" s="72" t="str">
        <f t="shared" si="2158"/>
        <v>-</v>
      </c>
      <c r="CB257" s="73">
        <f t="shared" si="2159"/>
        <v>360</v>
      </c>
      <c r="CC257" s="72">
        <f t="shared" si="2160"/>
        <v>390</v>
      </c>
      <c r="CD257" s="73">
        <f t="shared" si="2161"/>
        <v>396</v>
      </c>
      <c r="CE257" s="72">
        <f t="shared" si="2162"/>
        <v>442</v>
      </c>
      <c r="CF257" s="73">
        <f t="shared" si="2163"/>
        <v>514</v>
      </c>
      <c r="CG257" s="72">
        <f t="shared" si="2164"/>
        <v>538</v>
      </c>
      <c r="CH257" s="71">
        <f t="shared" si="2165"/>
        <v>255</v>
      </c>
      <c r="CI257" s="72">
        <f t="shared" si="2166"/>
        <v>260</v>
      </c>
      <c r="CJ257" s="73">
        <f t="shared" si="2167"/>
        <v>285</v>
      </c>
      <c r="CK257" s="73" t="str">
        <f t="shared" si="2168"/>
        <v>-</v>
      </c>
      <c r="CL257" s="73">
        <f t="shared" si="2169"/>
        <v>348</v>
      </c>
      <c r="CM257" s="73" t="str">
        <f t="shared" si="2170"/>
        <v>-</v>
      </c>
      <c r="CN257" s="73">
        <f t="shared" si="2171"/>
        <v>378</v>
      </c>
      <c r="CO257" s="73">
        <f t="shared" si="2172"/>
        <v>392</v>
      </c>
      <c r="CP257" s="73">
        <f t="shared" si="2173"/>
        <v>433</v>
      </c>
      <c r="CQ257" s="73">
        <f t="shared" si="2174"/>
        <v>493</v>
      </c>
      <c r="CR257" s="73">
        <f t="shared" si="2175"/>
        <v>537</v>
      </c>
      <c r="CS257" s="73">
        <f t="shared" si="2176"/>
        <v>550</v>
      </c>
      <c r="CT257" s="23">
        <f t="shared" si="2177"/>
        <v>1</v>
      </c>
    </row>
    <row r="258" spans="1:1030" x14ac:dyDescent="0.2">
      <c r="A258" s="3" t="str">
        <f t="shared" si="2178"/>
        <v>smo_human_4N4W</v>
      </c>
      <c r="B258" s="3" t="s">
        <v>33</v>
      </c>
      <c r="C258" s="3" t="s">
        <v>1048</v>
      </c>
      <c r="D258" s="3" t="str">
        <f>IFERROR(MID(VLOOKUP($B258,Seqs!$A:$B,2,0),E258,1),"")</f>
        <v>T</v>
      </c>
      <c r="E258" s="106">
        <v>223</v>
      </c>
      <c r="F258" s="3" t="str">
        <f>IFERROR(MID(VLOOKUP($B258,Seqs!$A:$B,2,0),G258,1),"")</f>
        <v>D</v>
      </c>
      <c r="G258" s="3">
        <v>255</v>
      </c>
      <c r="H258" s="3" t="str">
        <f>IFERROR(MID(VLOOKUP($B258,Seqs!$A:$B,2,0),I258,1),"")</f>
        <v>W</v>
      </c>
      <c r="I258" s="23">
        <v>256</v>
      </c>
      <c r="J258" s="3" t="str">
        <f>IFERROR(MID(VLOOKUP($B258,Seqs!$A:$B,2,0),K258,1),"")</f>
        <v>N</v>
      </c>
      <c r="K258" s="23">
        <v>260</v>
      </c>
      <c r="L258" s="3" t="str">
        <f>IFERROR(MID(VLOOKUP($B258,Seqs!$A:$B,2,0),M258,1),"")</f>
        <v>R</v>
      </c>
      <c r="M258" s="3">
        <v>261</v>
      </c>
      <c r="N258" s="3" t="str">
        <f>IFERROR(MID(VLOOKUP($B258,Seqs!$A:$B,2,0),O258,1),"")</f>
        <v>F</v>
      </c>
      <c r="O258" s="3">
        <v>285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L</v>
      </c>
      <c r="U258" s="3">
        <v>312</v>
      </c>
      <c r="V258" s="3" t="str">
        <f>IFERROR(MID(VLOOKUP($B258,Seqs!$A:$B,2,0),W258,1),"")</f>
        <v>A</v>
      </c>
      <c r="W258" s="3">
        <v>345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K</v>
      </c>
      <c r="AC258" s="9">
        <v>356</v>
      </c>
      <c r="AD258" s="3" t="str">
        <f>IFERROR(MID(VLOOKUP($B258,Seqs!$A:$B,2,0),AE258,1),"")</f>
        <v>V</v>
      </c>
      <c r="AE258" s="3">
        <v>378</v>
      </c>
      <c r="AF258" s="3" t="str">
        <f>IFERROR(MID(VLOOKUP($B258,Seqs!$A:$B,2,0),AG258,1),"")</f>
        <v>C</v>
      </c>
      <c r="AG258" s="3">
        <v>390</v>
      </c>
      <c r="AH258" s="3" t="str">
        <f>IFERROR(MID(VLOOKUP($B258,Seqs!$A:$B,2,0),AI258,1),"")</f>
        <v>V</v>
      </c>
      <c r="AI258" s="3">
        <v>392</v>
      </c>
      <c r="AJ258" s="3" t="str">
        <f>IFERROR(MID(VLOOKUP($B258,Seqs!$A:$B,2,0),AK258,1),"")</f>
        <v>N</v>
      </c>
      <c r="AK258" s="106">
        <v>396</v>
      </c>
      <c r="AL258" s="3" t="str">
        <f>IFERROR(MID(VLOOKUP($B258,Seqs!$A:$B,2,0),AM258,1),"")</f>
        <v>H</v>
      </c>
      <c r="AM258" s="3">
        <v>433</v>
      </c>
      <c r="AN258" s="3" t="str">
        <f>IFERROR(MID(VLOOKUP($B258,Seqs!$A:$B,2,0),AO258,1),"")</f>
        <v>S</v>
      </c>
      <c r="AO258" s="3">
        <v>443</v>
      </c>
      <c r="AP258" s="3" t="str">
        <f>IFERROR(MID(VLOOKUP($B258,Seqs!$A:$B,2,0),AQ258,1),"")</f>
        <v>Q</v>
      </c>
      <c r="AQ258" s="3">
        <v>491</v>
      </c>
      <c r="AR258" s="3" t="str">
        <f>IFERROR(MID(VLOOKUP($B258,Seqs!$A:$B,2,0),AS258,1),"")</f>
        <v>S</v>
      </c>
      <c r="AS258" s="106">
        <v>514</v>
      </c>
      <c r="AT258" s="3" t="str">
        <f>IFERROR(MID(VLOOKUP($B258,Seqs!$A:$B,2,0),AU258,1),"")</f>
        <v>W</v>
      </c>
      <c r="AU258" s="3">
        <v>537</v>
      </c>
      <c r="AV258" s="3" t="str">
        <f>IFERROR(MID(VLOOKUP($B258,Seqs!$A:$B,2,0),AW258,1),"")</f>
        <v>T</v>
      </c>
      <c r="AW258" s="3">
        <v>538</v>
      </c>
      <c r="AX258" s="3" t="str">
        <f>IFERROR(MID(VLOOKUP($B258,Seqs!$A:$B,2,0),AY258,1),"")</f>
        <v>L</v>
      </c>
      <c r="AY258" s="3">
        <v>552</v>
      </c>
      <c r="AZ258" s="78" t="str">
        <f>VLOOKUP(B258,Classification!A:D,2,0)</f>
        <v>F</v>
      </c>
      <c r="BA258" s="95" t="str">
        <f>VLOOKUP(B258,Classification!A:D,4,0)</f>
        <v>Frizzled</v>
      </c>
      <c r="BB258" s="27" t="b">
        <f t="shared" si="2179"/>
        <v>1</v>
      </c>
      <c r="BC258" s="23">
        <f t="shared" si="2152"/>
        <v>251</v>
      </c>
      <c r="BD258" s="2" t="s">
        <v>23</v>
      </c>
      <c r="BE258" s="3" t="s">
        <v>1381</v>
      </c>
      <c r="BF258" s="120">
        <v>2.8</v>
      </c>
      <c r="BG258" s="49" t="s">
        <v>1384</v>
      </c>
      <c r="BH258" s="49" t="s">
        <v>1384</v>
      </c>
      <c r="BJ258" s="71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1">
        <f t="shared" si="2153"/>
        <v>223</v>
      </c>
      <c r="BW258" s="72">
        <f t="shared" si="2154"/>
        <v>256</v>
      </c>
      <c r="BX258" s="73">
        <f t="shared" si="2155"/>
        <v>261</v>
      </c>
      <c r="BY258" s="72" t="str">
        <f t="shared" si="2156"/>
        <v>-</v>
      </c>
      <c r="BZ258" s="73">
        <f t="shared" si="2157"/>
        <v>312</v>
      </c>
      <c r="CA258" s="72" t="str">
        <f t="shared" si="2158"/>
        <v>-</v>
      </c>
      <c r="CB258" s="73">
        <f t="shared" si="2159"/>
        <v>356</v>
      </c>
      <c r="CC258" s="72">
        <f t="shared" si="2160"/>
        <v>390</v>
      </c>
      <c r="CD258" s="73">
        <f t="shared" si="2161"/>
        <v>396</v>
      </c>
      <c r="CE258" s="72">
        <f t="shared" si="2162"/>
        <v>443</v>
      </c>
      <c r="CF258" s="73">
        <f t="shared" si="2163"/>
        <v>514</v>
      </c>
      <c r="CG258" s="72">
        <f t="shared" si="2164"/>
        <v>538</v>
      </c>
      <c r="CH258" s="71">
        <f t="shared" si="2165"/>
        <v>255</v>
      </c>
      <c r="CI258" s="72">
        <f t="shared" si="2166"/>
        <v>260</v>
      </c>
      <c r="CJ258" s="73">
        <f t="shared" si="2167"/>
        <v>285</v>
      </c>
      <c r="CK258" s="73" t="str">
        <f t="shared" si="2168"/>
        <v>-</v>
      </c>
      <c r="CL258" s="73">
        <f t="shared" si="2169"/>
        <v>345</v>
      </c>
      <c r="CM258" s="73" t="str">
        <f t="shared" si="2170"/>
        <v>-</v>
      </c>
      <c r="CN258" s="73">
        <f t="shared" si="2171"/>
        <v>378</v>
      </c>
      <c r="CO258" s="73">
        <f t="shared" si="2172"/>
        <v>392</v>
      </c>
      <c r="CP258" s="73">
        <f t="shared" si="2173"/>
        <v>433</v>
      </c>
      <c r="CQ258" s="73">
        <f t="shared" si="2174"/>
        <v>491</v>
      </c>
      <c r="CR258" s="73">
        <f t="shared" si="2175"/>
        <v>537</v>
      </c>
      <c r="CS258" s="73">
        <f t="shared" si="2176"/>
        <v>552</v>
      </c>
      <c r="CT258" s="23">
        <f t="shared" si="2177"/>
        <v>1</v>
      </c>
    </row>
    <row r="259" spans="1:1030" x14ac:dyDescent="0.2">
      <c r="A259" s="3" t="str">
        <f t="shared" si="2178"/>
        <v>smo_human_4O9R</v>
      </c>
      <c r="B259" s="3" t="s">
        <v>33</v>
      </c>
      <c r="C259" s="3" t="s">
        <v>1050</v>
      </c>
      <c r="D259" s="3" t="str">
        <f>IFERROR(MID(VLOOKUP($B259,Seqs!$A:$B,2,0),E259,1),"")</f>
        <v>T</v>
      </c>
      <c r="E259" s="106">
        <v>223</v>
      </c>
      <c r="F259" s="3" t="str">
        <f>IFERROR(MID(VLOOKUP($B259,Seqs!$A:$B,2,0),G259,1),"")</f>
        <v>D</v>
      </c>
      <c r="G259" s="3">
        <v>255</v>
      </c>
      <c r="H259" s="3" t="str">
        <f>IFERROR(MID(VLOOKUP($B259,Seqs!$A:$B,2,0),I259,1),"")</f>
        <v>W</v>
      </c>
      <c r="I259" s="23">
        <v>256</v>
      </c>
      <c r="J259" s="3" t="str">
        <f>IFERROR(MID(VLOOKUP($B259,Seqs!$A:$B,2,0),K259,1),"")</f>
        <v>N</v>
      </c>
      <c r="K259" s="23">
        <v>260</v>
      </c>
      <c r="L259" s="3" t="str">
        <f>IFERROR(MID(VLOOKUP($B259,Seqs!$A:$B,2,0),M259,1),"")</f>
        <v>R</v>
      </c>
      <c r="M259" s="3">
        <v>261</v>
      </c>
      <c r="N259" s="3" t="str">
        <f>IFERROR(MID(VLOOKUP($B259,Seqs!$A:$B,2,0),O259,1),"")</f>
        <v>F</v>
      </c>
      <c r="O259" s="3">
        <v>285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L</v>
      </c>
      <c r="U259" s="3">
        <v>312</v>
      </c>
      <c r="V259" s="3" t="str">
        <f>IFERROR(MID(VLOOKUP($B259,Seqs!$A:$B,2,0),W259,1),"")</f>
        <v>F</v>
      </c>
      <c r="W259" s="3">
        <v>343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F</v>
      </c>
      <c r="AC259" s="9">
        <v>360</v>
      </c>
      <c r="AD259" s="3" t="str">
        <f>IFERROR(MID(VLOOKUP($B259,Seqs!$A:$B,2,0),AE259,1),"")</f>
        <v>V</v>
      </c>
      <c r="AE259" s="3">
        <v>378</v>
      </c>
      <c r="AF259" s="3" t="str">
        <f>IFERROR(MID(VLOOKUP($B259,Seqs!$A:$B,2,0),AG259,1),"")</f>
        <v>C</v>
      </c>
      <c r="AG259" s="3">
        <v>390</v>
      </c>
      <c r="AH259" s="3" t="str">
        <f>IFERROR(MID(VLOOKUP($B259,Seqs!$A:$B,2,0),AI259,1),"")</f>
        <v>V</v>
      </c>
      <c r="AI259" s="3">
        <v>392</v>
      </c>
      <c r="AJ259" s="3" t="str">
        <f>IFERROR(MID(VLOOKUP($B259,Seqs!$A:$B,2,0),AK259,1),"")</f>
        <v>N</v>
      </c>
      <c r="AK259" s="106">
        <v>396</v>
      </c>
      <c r="AL259" s="3" t="str">
        <f>IFERROR(MID(VLOOKUP($B259,Seqs!$A:$B,2,0),AM259,1),"")</f>
        <v>H</v>
      </c>
      <c r="AM259" s="3">
        <v>433</v>
      </c>
      <c r="AN259" s="3" t="str">
        <f>IFERROR(MID(VLOOKUP($B259,Seqs!$A:$B,2,0),AO259,1),"")</f>
        <v>E</v>
      </c>
      <c r="AO259" s="3">
        <v>447</v>
      </c>
      <c r="AP259" s="3" t="str">
        <f>IFERROR(MID(VLOOKUP($B259,Seqs!$A:$B,2,0),AQ259,1),"")</f>
        <v>N</v>
      </c>
      <c r="AQ259" s="3">
        <v>493</v>
      </c>
      <c r="AR259" s="3" t="str">
        <f>IFERROR(MID(VLOOKUP($B259,Seqs!$A:$B,2,0),AS259,1),"")</f>
        <v>S</v>
      </c>
      <c r="AS259" s="106">
        <v>514</v>
      </c>
      <c r="AT259" s="3" t="str">
        <f>IFERROR(MID(VLOOKUP($B259,Seqs!$A:$B,2,0),AU259,1),"")</f>
        <v>W</v>
      </c>
      <c r="AU259" s="3">
        <v>537</v>
      </c>
      <c r="AV259" s="3" t="str">
        <f>IFERROR(MID(VLOOKUP($B259,Seqs!$A:$B,2,0),AW259,1),"")</f>
        <v>T</v>
      </c>
      <c r="AW259" s="3">
        <v>538</v>
      </c>
      <c r="AX259" s="3" t="str">
        <f>IFERROR(MID(VLOOKUP($B259,Seqs!$A:$B,2,0),AY259,1),"")</f>
        <v>W</v>
      </c>
      <c r="AY259" s="3">
        <v>549</v>
      </c>
      <c r="AZ259" s="79" t="str">
        <f>VLOOKUP(B259,Classification!A:D,2,0)</f>
        <v>F</v>
      </c>
      <c r="BA259" s="95" t="str">
        <f>VLOOKUP(B259,Classification!A:D,4,0)</f>
        <v>Frizzled</v>
      </c>
      <c r="BB259" s="93" t="b">
        <f t="shared" si="2179"/>
        <v>1</v>
      </c>
      <c r="BC259" s="23">
        <f t="shared" si="2152"/>
        <v>240</v>
      </c>
      <c r="BD259" s="75" t="s">
        <v>23</v>
      </c>
      <c r="BE259" s="3" t="s">
        <v>1381</v>
      </c>
      <c r="BF259" s="120">
        <v>3.2</v>
      </c>
      <c r="BG259" s="49" t="s">
        <v>1384</v>
      </c>
      <c r="BH259" s="49" t="s">
        <v>1384</v>
      </c>
      <c r="BJ259" s="76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6">
        <f t="shared" si="2153"/>
        <v>223</v>
      </c>
      <c r="BW259" s="72">
        <f t="shared" si="2154"/>
        <v>256</v>
      </c>
      <c r="BX259" s="73">
        <f t="shared" si="2155"/>
        <v>261</v>
      </c>
      <c r="BY259" s="72" t="str">
        <f t="shared" si="2156"/>
        <v>-</v>
      </c>
      <c r="BZ259" s="73">
        <f t="shared" si="2157"/>
        <v>312</v>
      </c>
      <c r="CA259" s="72" t="str">
        <f t="shared" si="2158"/>
        <v>-</v>
      </c>
      <c r="CB259" s="73">
        <f t="shared" si="2159"/>
        <v>360</v>
      </c>
      <c r="CC259" s="72">
        <f t="shared" si="2160"/>
        <v>390</v>
      </c>
      <c r="CD259" s="73">
        <f t="shared" si="2161"/>
        <v>396</v>
      </c>
      <c r="CE259" s="72">
        <f t="shared" si="2162"/>
        <v>447</v>
      </c>
      <c r="CF259" s="73">
        <f t="shared" si="2163"/>
        <v>514</v>
      </c>
      <c r="CG259" s="72">
        <f t="shared" si="2164"/>
        <v>538</v>
      </c>
      <c r="CH259" s="76">
        <f t="shared" si="2165"/>
        <v>255</v>
      </c>
      <c r="CI259" s="72">
        <f t="shared" si="2166"/>
        <v>260</v>
      </c>
      <c r="CJ259" s="73">
        <f t="shared" si="2167"/>
        <v>285</v>
      </c>
      <c r="CK259" s="73" t="str">
        <f t="shared" si="2168"/>
        <v>-</v>
      </c>
      <c r="CL259" s="73">
        <f t="shared" si="2169"/>
        <v>343</v>
      </c>
      <c r="CM259" s="73" t="str">
        <f t="shared" si="2170"/>
        <v>-</v>
      </c>
      <c r="CN259" s="73">
        <f t="shared" si="2171"/>
        <v>378</v>
      </c>
      <c r="CO259" s="73">
        <f t="shared" si="2172"/>
        <v>392</v>
      </c>
      <c r="CP259" s="73">
        <f t="shared" si="2173"/>
        <v>433</v>
      </c>
      <c r="CQ259" s="73">
        <f t="shared" si="2174"/>
        <v>493</v>
      </c>
      <c r="CR259" s="73">
        <f t="shared" si="2175"/>
        <v>537</v>
      </c>
      <c r="CS259" s="73">
        <f t="shared" si="2176"/>
        <v>549</v>
      </c>
      <c r="CT259" s="23">
        <f t="shared" si="2177"/>
        <v>1</v>
      </c>
    </row>
    <row r="260" spans="1:1030" s="6" customFormat="1" x14ac:dyDescent="0.2">
      <c r="A260" s="3" t="str">
        <f t="shared" si="2178"/>
        <v>smo_human_4QIM</v>
      </c>
      <c r="B260" s="3" t="s">
        <v>33</v>
      </c>
      <c r="C260" s="3" t="s">
        <v>1052</v>
      </c>
      <c r="D260" s="3" t="str">
        <f>IFERROR(MID(VLOOKUP($B260,Seqs!$A:$B,2,0),E260,1),"")</f>
        <v>T</v>
      </c>
      <c r="E260" s="106">
        <v>223</v>
      </c>
      <c r="F260" s="3" t="str">
        <f>IFERROR(MID(VLOOKUP($B260,Seqs!$A:$B,2,0),G260,1),"")</f>
        <v>D</v>
      </c>
      <c r="G260" s="3">
        <v>255</v>
      </c>
      <c r="H260" s="3" t="str">
        <f>IFERROR(MID(VLOOKUP($B260,Seqs!$A:$B,2,0),I260,1),"")</f>
        <v>W</v>
      </c>
      <c r="I260" s="23">
        <v>256</v>
      </c>
      <c r="J260" s="3" t="str">
        <f>IFERROR(MID(VLOOKUP($B260,Seqs!$A:$B,2,0),K260,1),"")</f>
        <v>N</v>
      </c>
      <c r="K260" s="23">
        <v>260</v>
      </c>
      <c r="L260" s="3" t="str">
        <f>IFERROR(MID(VLOOKUP($B260,Seqs!$A:$B,2,0),M260,1),"")</f>
        <v>R</v>
      </c>
      <c r="M260" s="3">
        <v>261</v>
      </c>
      <c r="N260" s="3" t="str">
        <f>IFERROR(MID(VLOOKUP($B260,Seqs!$A:$B,2,0),O260,1),"")</f>
        <v>F</v>
      </c>
      <c r="O260" s="3">
        <v>285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L</v>
      </c>
      <c r="U260" s="3">
        <v>312</v>
      </c>
      <c r="V260" s="3" t="str">
        <f>IFERROR(MID(VLOOKUP($B260,Seqs!$A:$B,2,0),W260,1),"")</f>
        <v>A</v>
      </c>
      <c r="W260" s="3">
        <v>345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K</v>
      </c>
      <c r="AC260" s="9">
        <v>356</v>
      </c>
      <c r="AD260" s="3" t="str">
        <f>IFERROR(MID(VLOOKUP($B260,Seqs!$A:$B,2,0),AE260,1),"")</f>
        <v>V</v>
      </c>
      <c r="AE260" s="3">
        <v>378</v>
      </c>
      <c r="AF260" s="3" t="str">
        <f>IFERROR(MID(VLOOKUP($B260,Seqs!$A:$B,2,0),AG260,1),"")</f>
        <v>C</v>
      </c>
      <c r="AG260" s="3">
        <v>390</v>
      </c>
      <c r="AH260" s="3" t="str">
        <f>IFERROR(MID(VLOOKUP($B260,Seqs!$A:$B,2,0),AI260,1),"")</f>
        <v>V</v>
      </c>
      <c r="AI260" s="3">
        <v>392</v>
      </c>
      <c r="AJ260" s="3" t="str">
        <f>IFERROR(MID(VLOOKUP($B260,Seqs!$A:$B,2,0),AK260,1),"")</f>
        <v>N</v>
      </c>
      <c r="AK260" s="106">
        <v>396</v>
      </c>
      <c r="AL260" s="3" t="str">
        <f>IFERROR(MID(VLOOKUP($B260,Seqs!$A:$B,2,0),AM260,1),"")</f>
        <v>H</v>
      </c>
      <c r="AM260" s="3">
        <v>433</v>
      </c>
      <c r="AN260" s="3" t="str">
        <f>IFERROR(MID(VLOOKUP($B260,Seqs!$A:$B,2,0),AO260,1),"")</f>
        <v>E</v>
      </c>
      <c r="AO260" s="3">
        <v>447</v>
      </c>
      <c r="AP260" s="3" t="str">
        <f>IFERROR(MID(VLOOKUP($B260,Seqs!$A:$B,2,0),AQ260,1),"")</f>
        <v>N</v>
      </c>
      <c r="AQ260" s="3">
        <v>493</v>
      </c>
      <c r="AR260" s="3" t="str">
        <f>IFERROR(MID(VLOOKUP($B260,Seqs!$A:$B,2,0),AS260,1),"")</f>
        <v>S</v>
      </c>
      <c r="AS260" s="106">
        <v>514</v>
      </c>
      <c r="AT260" s="3" t="str">
        <f>IFERROR(MID(VLOOKUP($B260,Seqs!$A:$B,2,0),AU260,1),"")</f>
        <v>W</v>
      </c>
      <c r="AU260" s="3">
        <v>537</v>
      </c>
      <c r="AV260" s="3" t="str">
        <f>IFERROR(MID(VLOOKUP($B260,Seqs!$A:$B,2,0),AW260,1),"")</f>
        <v>T</v>
      </c>
      <c r="AW260" s="3">
        <v>538</v>
      </c>
      <c r="AX260" s="3" t="str">
        <f>IFERROR(MID(VLOOKUP($B260,Seqs!$A:$B,2,0),AY260,1),"")</f>
        <v>T</v>
      </c>
      <c r="AY260" s="3">
        <v>553</v>
      </c>
      <c r="AZ260" s="79" t="str">
        <f>VLOOKUP(B260,Classification!A:D,2,0)</f>
        <v>F</v>
      </c>
      <c r="BA260" s="95" t="str">
        <f>VLOOKUP(B260,Classification!A:D,4,0)</f>
        <v>Frizzled</v>
      </c>
      <c r="BB260" s="93" t="b">
        <f t="shared" si="2179"/>
        <v>1</v>
      </c>
      <c r="BC260" s="23">
        <f t="shared" si="2152"/>
        <v>250</v>
      </c>
      <c r="BD260" s="75" t="s">
        <v>23</v>
      </c>
      <c r="BE260" s="3" t="s">
        <v>1381</v>
      </c>
      <c r="BF260" s="120">
        <v>2.61</v>
      </c>
      <c r="BG260" s="49" t="s">
        <v>1384</v>
      </c>
      <c r="BH260" s="49" t="s">
        <v>1384</v>
      </c>
      <c r="BI260" s="3"/>
      <c r="BJ260" s="76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6">
        <f t="shared" si="2153"/>
        <v>223</v>
      </c>
      <c r="BW260" s="72">
        <f t="shared" si="2154"/>
        <v>256</v>
      </c>
      <c r="BX260" s="73">
        <f t="shared" si="2155"/>
        <v>261</v>
      </c>
      <c r="BY260" s="72" t="str">
        <f t="shared" si="2156"/>
        <v>-</v>
      </c>
      <c r="BZ260" s="73">
        <f t="shared" si="2157"/>
        <v>312</v>
      </c>
      <c r="CA260" s="72" t="str">
        <f t="shared" si="2158"/>
        <v>-</v>
      </c>
      <c r="CB260" s="73">
        <f t="shared" si="2159"/>
        <v>356</v>
      </c>
      <c r="CC260" s="72">
        <f t="shared" si="2160"/>
        <v>390</v>
      </c>
      <c r="CD260" s="73">
        <f t="shared" si="2161"/>
        <v>396</v>
      </c>
      <c r="CE260" s="72">
        <f t="shared" si="2162"/>
        <v>447</v>
      </c>
      <c r="CF260" s="73">
        <f t="shared" si="2163"/>
        <v>514</v>
      </c>
      <c r="CG260" s="72">
        <f t="shared" si="2164"/>
        <v>538</v>
      </c>
      <c r="CH260" s="76">
        <f t="shared" si="2165"/>
        <v>255</v>
      </c>
      <c r="CI260" s="72">
        <f t="shared" si="2166"/>
        <v>260</v>
      </c>
      <c r="CJ260" s="73">
        <f t="shared" si="2167"/>
        <v>285</v>
      </c>
      <c r="CK260" s="73" t="str">
        <f t="shared" si="2168"/>
        <v>-</v>
      </c>
      <c r="CL260" s="73">
        <f t="shared" si="2169"/>
        <v>345</v>
      </c>
      <c r="CM260" s="73" t="str">
        <f t="shared" si="2170"/>
        <v>-</v>
      </c>
      <c r="CN260" s="73">
        <f t="shared" si="2171"/>
        <v>378</v>
      </c>
      <c r="CO260" s="73">
        <f t="shared" si="2172"/>
        <v>392</v>
      </c>
      <c r="CP260" s="73">
        <f t="shared" si="2173"/>
        <v>433</v>
      </c>
      <c r="CQ260" s="73">
        <f t="shared" si="2174"/>
        <v>493</v>
      </c>
      <c r="CR260" s="73">
        <f t="shared" si="2175"/>
        <v>537</v>
      </c>
      <c r="CS260" s="73">
        <f t="shared" si="2176"/>
        <v>553</v>
      </c>
      <c r="CT260" s="23">
        <f t="shared" si="2177"/>
        <v>1</v>
      </c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1"/>
    </row>
    <row r="261" spans="1:1030" s="6" customFormat="1" x14ac:dyDescent="0.2">
      <c r="A261" s="3" t="str">
        <f t="shared" si="2178"/>
        <v>smo_human_4QIN</v>
      </c>
      <c r="B261" s="3" t="s">
        <v>33</v>
      </c>
      <c r="C261" s="3" t="s">
        <v>56</v>
      </c>
      <c r="D261" s="3" t="str">
        <f>IFERROR(MID(VLOOKUP($B261,Seqs!$A:$B,2,0),E261,1),"")</f>
        <v>T</v>
      </c>
      <c r="E261" s="106">
        <v>223</v>
      </c>
      <c r="F261" s="3" t="str">
        <f>IFERROR(MID(VLOOKUP($B261,Seqs!$A:$B,2,0),G261,1),"")</f>
        <v>D</v>
      </c>
      <c r="G261" s="3">
        <v>255</v>
      </c>
      <c r="H261" s="3" t="str">
        <f>IFERROR(MID(VLOOKUP($B261,Seqs!$A:$B,2,0),I261,1),"")</f>
        <v>W</v>
      </c>
      <c r="I261" s="23">
        <v>256</v>
      </c>
      <c r="J261" s="3" t="str">
        <f>IFERROR(MID(VLOOKUP($B261,Seqs!$A:$B,2,0),K261,1),"")</f>
        <v>N</v>
      </c>
      <c r="K261" s="23">
        <v>260</v>
      </c>
      <c r="L261" s="3" t="str">
        <f>IFERROR(MID(VLOOKUP($B261,Seqs!$A:$B,2,0),M261,1),"")</f>
        <v>R</v>
      </c>
      <c r="M261" s="3">
        <v>261</v>
      </c>
      <c r="N261" s="3" t="str">
        <f>IFERROR(MID(VLOOKUP($B261,Seqs!$A:$B,2,0),O261,1),"")</f>
        <v>F</v>
      </c>
      <c r="O261" s="3">
        <v>285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L</v>
      </c>
      <c r="U261" s="3">
        <v>312</v>
      </c>
      <c r="V261" s="3" t="str">
        <f>IFERROR(MID(VLOOKUP($B261,Seqs!$A:$B,2,0),W261,1),"")</f>
        <v>A</v>
      </c>
      <c r="W261" s="3">
        <v>345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L</v>
      </c>
      <c r="AC261" s="9">
        <v>353</v>
      </c>
      <c r="AD261" s="3" t="str">
        <f>IFERROR(MID(VLOOKUP($B261,Seqs!$A:$B,2,0),AE261,1),"")</f>
        <v>V</v>
      </c>
      <c r="AE261" s="3">
        <v>378</v>
      </c>
      <c r="AF261" s="3" t="str">
        <f>IFERROR(MID(VLOOKUP($B261,Seqs!$A:$B,2,0),AG261,1),"")</f>
        <v>C</v>
      </c>
      <c r="AG261" s="3">
        <v>390</v>
      </c>
      <c r="AH261" s="3" t="str">
        <f>IFERROR(MID(VLOOKUP($B261,Seqs!$A:$B,2,0),AI261,1),"")</f>
        <v>V</v>
      </c>
      <c r="AI261" s="3">
        <v>392</v>
      </c>
      <c r="AJ261" s="3" t="str">
        <f>IFERROR(MID(VLOOKUP($B261,Seqs!$A:$B,2,0),AK261,1),"")</f>
        <v>N</v>
      </c>
      <c r="AK261" s="106">
        <v>396</v>
      </c>
      <c r="AL261" s="3" t="str">
        <f>IFERROR(MID(VLOOKUP($B261,Seqs!$A:$B,2,0),AM261,1),"")</f>
        <v>H</v>
      </c>
      <c r="AM261" s="3">
        <v>433</v>
      </c>
      <c r="AN261" s="3" t="str">
        <f>IFERROR(MID(VLOOKUP($B261,Seqs!$A:$B,2,0),AO261,1),"")</f>
        <v>E</v>
      </c>
      <c r="AO261" s="3">
        <v>447</v>
      </c>
      <c r="AP261" s="3" t="str">
        <f>IFERROR(MID(VLOOKUP($B261,Seqs!$A:$B,2,0),AQ261,1),"")</f>
        <v>A</v>
      </c>
      <c r="AQ261" s="3">
        <v>492</v>
      </c>
      <c r="AR261" s="3" t="str">
        <f>IFERROR(MID(VLOOKUP($B261,Seqs!$A:$B,2,0),AS261,1),"")</f>
        <v>S</v>
      </c>
      <c r="AS261" s="106">
        <v>514</v>
      </c>
      <c r="AT261" s="3" t="str">
        <f>IFERROR(MID(VLOOKUP($B261,Seqs!$A:$B,2,0),AU261,1),"")</f>
        <v>W</v>
      </c>
      <c r="AU261" s="3">
        <v>537</v>
      </c>
      <c r="AV261" s="3" t="str">
        <f>IFERROR(MID(VLOOKUP($B261,Seqs!$A:$B,2,0),AW261,1),"")</f>
        <v>T</v>
      </c>
      <c r="AW261" s="3">
        <v>538</v>
      </c>
      <c r="AX261" s="3" t="str">
        <f>IFERROR(MID(VLOOKUP($B261,Seqs!$A:$B,2,0),AY261,1),"")</f>
        <v>R</v>
      </c>
      <c r="AY261" s="3">
        <v>551</v>
      </c>
      <c r="AZ261" s="79" t="str">
        <f>VLOOKUP(B261,Classification!A:D,2,0)</f>
        <v>F</v>
      </c>
      <c r="BA261" s="95" t="str">
        <f>VLOOKUP(B261,Classification!A:D,4,0)</f>
        <v>Frizzled</v>
      </c>
      <c r="BB261" s="93" t="b">
        <f t="shared" si="2179"/>
        <v>1</v>
      </c>
      <c r="BC261" s="23">
        <f t="shared" si="2152"/>
        <v>250</v>
      </c>
      <c r="BD261" s="75" t="s">
        <v>23</v>
      </c>
      <c r="BE261" s="3" t="s">
        <v>1381</v>
      </c>
      <c r="BF261" s="120">
        <v>2.6</v>
      </c>
      <c r="BG261" s="49" t="s">
        <v>1384</v>
      </c>
      <c r="BH261" s="49" t="s">
        <v>1384</v>
      </c>
      <c r="BI261" s="3"/>
      <c r="BJ261" s="76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6">
        <f t="shared" si="2153"/>
        <v>223</v>
      </c>
      <c r="BW261" s="72">
        <f t="shared" si="2154"/>
        <v>256</v>
      </c>
      <c r="BX261" s="73">
        <f t="shared" si="2155"/>
        <v>261</v>
      </c>
      <c r="BY261" s="72" t="str">
        <f t="shared" si="2156"/>
        <v>-</v>
      </c>
      <c r="BZ261" s="73">
        <f t="shared" si="2157"/>
        <v>312</v>
      </c>
      <c r="CA261" s="72" t="str">
        <f t="shared" si="2158"/>
        <v>-</v>
      </c>
      <c r="CB261" s="73">
        <f t="shared" si="2159"/>
        <v>353</v>
      </c>
      <c r="CC261" s="72">
        <f t="shared" si="2160"/>
        <v>390</v>
      </c>
      <c r="CD261" s="73">
        <f t="shared" si="2161"/>
        <v>396</v>
      </c>
      <c r="CE261" s="72">
        <f t="shared" si="2162"/>
        <v>447</v>
      </c>
      <c r="CF261" s="73">
        <f t="shared" si="2163"/>
        <v>514</v>
      </c>
      <c r="CG261" s="72">
        <f t="shared" si="2164"/>
        <v>538</v>
      </c>
      <c r="CH261" s="76">
        <f t="shared" si="2165"/>
        <v>255</v>
      </c>
      <c r="CI261" s="72">
        <f t="shared" si="2166"/>
        <v>260</v>
      </c>
      <c r="CJ261" s="73">
        <f t="shared" si="2167"/>
        <v>285</v>
      </c>
      <c r="CK261" s="73" t="str">
        <f t="shared" si="2168"/>
        <v>-</v>
      </c>
      <c r="CL261" s="73">
        <f t="shared" si="2169"/>
        <v>345</v>
      </c>
      <c r="CM261" s="73" t="str">
        <f t="shared" si="2170"/>
        <v>-</v>
      </c>
      <c r="CN261" s="73">
        <f t="shared" si="2171"/>
        <v>378</v>
      </c>
      <c r="CO261" s="73">
        <f t="shared" si="2172"/>
        <v>392</v>
      </c>
      <c r="CP261" s="73">
        <f t="shared" si="2173"/>
        <v>433</v>
      </c>
      <c r="CQ261" s="73">
        <f t="shared" si="2174"/>
        <v>492</v>
      </c>
      <c r="CR261" s="73">
        <f t="shared" si="2175"/>
        <v>537</v>
      </c>
      <c r="CS261" s="73">
        <f t="shared" si="2176"/>
        <v>551</v>
      </c>
      <c r="CT261" s="23">
        <f t="shared" si="2177"/>
        <v>1</v>
      </c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1"/>
    </row>
    <row r="262" spans="1:1030" s="6" customFormat="1" x14ac:dyDescent="0.2">
      <c r="A262" s="3" t="str">
        <f t="shared" si="2178"/>
        <v>smo_human_5L7D</v>
      </c>
      <c r="B262" s="3" t="s">
        <v>33</v>
      </c>
      <c r="C262" s="3" t="s">
        <v>1358</v>
      </c>
      <c r="D262" s="3" t="str">
        <f>IFERROR(MID(VLOOKUP($B262,Seqs!$A:$B,2,0),E262,1),"")</f>
        <v>T</v>
      </c>
      <c r="E262" s="106">
        <v>223</v>
      </c>
      <c r="F262" s="3" t="str">
        <f>IFERROR(MID(VLOOKUP($B262,Seqs!$A:$B,2,0),G262,1),"")</f>
        <v>D</v>
      </c>
      <c r="G262" s="3">
        <v>255</v>
      </c>
      <c r="H262" s="3" t="str">
        <f>IFERROR(MID(VLOOKUP($B262,Seqs!$A:$B,2,0),I262,1),"")</f>
        <v>W</v>
      </c>
      <c r="I262" s="23">
        <v>256</v>
      </c>
      <c r="J262" s="3" t="str">
        <f>IFERROR(MID(VLOOKUP($B262,Seqs!$A:$B,2,0),K262,1),"")</f>
        <v>N</v>
      </c>
      <c r="K262" s="23">
        <v>260</v>
      </c>
      <c r="L262" s="3" t="str">
        <f>IFERROR(MID(VLOOKUP($B262,Seqs!$A:$B,2,0),M262,1),"")</f>
        <v>R</v>
      </c>
      <c r="M262" s="3">
        <v>261</v>
      </c>
      <c r="N262" s="3" t="str">
        <f>IFERROR(MID(VLOOKUP($B262,Seqs!$A:$B,2,0),O262,1),"")</f>
        <v>F</v>
      </c>
      <c r="O262" s="3">
        <v>285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312</v>
      </c>
      <c r="V262" s="3" t="str">
        <f>IFERROR(MID(VLOOKUP($B262,Seqs!$A:$B,2,0),W262,1),"")</f>
        <v>L</v>
      </c>
      <c r="W262" s="3">
        <v>346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L</v>
      </c>
      <c r="AC262" s="9">
        <v>353</v>
      </c>
      <c r="AD262" s="3" t="str">
        <f>IFERROR(MID(VLOOKUP($B262,Seqs!$A:$B,2,0),AE262,1),"")</f>
        <v>V</v>
      </c>
      <c r="AE262" s="3">
        <v>378</v>
      </c>
      <c r="AF262" s="3" t="str">
        <f>IFERROR(MID(VLOOKUP($B262,Seqs!$A:$B,2,0),AG262,1),"")</f>
        <v>C</v>
      </c>
      <c r="AG262" s="3">
        <v>390</v>
      </c>
      <c r="AH262" s="3" t="str">
        <f>IFERROR(MID(VLOOKUP($B262,Seqs!$A:$B,2,0),AI262,1),"")</f>
        <v>V</v>
      </c>
      <c r="AI262" s="3">
        <v>392</v>
      </c>
      <c r="AJ262" s="3" t="str">
        <f>IFERROR(MID(VLOOKUP($B262,Seqs!$A:$B,2,0),AK262,1),"")</f>
        <v>N</v>
      </c>
      <c r="AK262" s="106">
        <v>396</v>
      </c>
      <c r="AL262" s="3" t="str">
        <f>IFERROR(MID(VLOOKUP($B262,Seqs!$A:$B,2,0),AM262,1),"")</f>
        <v>S</v>
      </c>
      <c r="AM262" s="3">
        <v>428</v>
      </c>
      <c r="AN262" s="3" t="str">
        <f>IFERROR(MID(VLOOKUP($B262,Seqs!$A:$B,2,0),AO262,1),"")</f>
        <v>E</v>
      </c>
      <c r="AO262" s="3">
        <v>447</v>
      </c>
      <c r="AP262" s="3" t="str">
        <f>IFERROR(MID(VLOOKUP($B262,Seqs!$A:$B,2,0),AQ262,1),"")</f>
        <v>I</v>
      </c>
      <c r="AQ262" s="3">
        <v>496</v>
      </c>
      <c r="AR262" s="3" t="str">
        <f>IFERROR(MID(VLOOKUP($B262,Seqs!$A:$B,2,0),AS262,1),"")</f>
        <v>S</v>
      </c>
      <c r="AS262" s="106">
        <v>514</v>
      </c>
      <c r="AT262" s="3" t="str">
        <f>IFERROR(MID(VLOOKUP($B262,Seqs!$A:$B,2,0),AU262,1),"")</f>
        <v>W</v>
      </c>
      <c r="AU262" s="3">
        <v>537</v>
      </c>
      <c r="AV262" s="3" t="str">
        <f>IFERROR(MID(VLOOKUP($B262,Seqs!$A:$B,2,0),AW262,1),"")</f>
        <v>T</v>
      </c>
      <c r="AW262" s="3">
        <v>538</v>
      </c>
      <c r="AX262" s="3" t="str">
        <f>IFERROR(MID(VLOOKUP($B262,Seqs!$A:$B,2,0),AY262,1),"")</f>
        <v>T</v>
      </c>
      <c r="AY262" s="3">
        <v>553</v>
      </c>
      <c r="AZ262" s="79" t="str">
        <f>VLOOKUP(B262,Classification!A:D,2,0)</f>
        <v>F</v>
      </c>
      <c r="BA262" s="95" t="str">
        <f>VLOOKUP(B262,Classification!A:D,4,0)</f>
        <v>Frizzled</v>
      </c>
      <c r="BB262" s="93" t="b">
        <f t="shared" si="2179"/>
        <v>1</v>
      </c>
      <c r="BC262" s="23">
        <f t="shared" si="2152"/>
        <v>252</v>
      </c>
      <c r="BD262" s="75" t="s">
        <v>1383</v>
      </c>
      <c r="BE262" s="3" t="s">
        <v>1381</v>
      </c>
      <c r="BF262" s="120">
        <v>3.2</v>
      </c>
      <c r="BG262" s="49" t="s">
        <v>1</v>
      </c>
      <c r="BH262" s="49" t="s">
        <v>1384</v>
      </c>
      <c r="BI262" s="3" t="s">
        <v>1367</v>
      </c>
      <c r="BJ262" s="76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6">
        <f t="shared" si="2153"/>
        <v>223</v>
      </c>
      <c r="BW262" s="72">
        <f t="shared" si="2154"/>
        <v>256</v>
      </c>
      <c r="BX262" s="73">
        <f t="shared" si="2155"/>
        <v>261</v>
      </c>
      <c r="BY262" s="72" t="str">
        <f t="shared" si="2156"/>
        <v>-</v>
      </c>
      <c r="BZ262" s="73">
        <f t="shared" si="2157"/>
        <v>312</v>
      </c>
      <c r="CA262" s="72" t="str">
        <f t="shared" si="2158"/>
        <v>-</v>
      </c>
      <c r="CB262" s="73">
        <f t="shared" si="2159"/>
        <v>353</v>
      </c>
      <c r="CC262" s="72">
        <f t="shared" si="2160"/>
        <v>390</v>
      </c>
      <c r="CD262" s="73">
        <f t="shared" si="2161"/>
        <v>396</v>
      </c>
      <c r="CE262" s="72">
        <f t="shared" si="2162"/>
        <v>447</v>
      </c>
      <c r="CF262" s="73">
        <f t="shared" si="2163"/>
        <v>514</v>
      </c>
      <c r="CG262" s="72">
        <f t="shared" si="2164"/>
        <v>538</v>
      </c>
      <c r="CH262" s="76">
        <f t="shared" si="2165"/>
        <v>255</v>
      </c>
      <c r="CI262" s="72">
        <f t="shared" si="2166"/>
        <v>260</v>
      </c>
      <c r="CJ262" s="73">
        <f t="shared" si="2167"/>
        <v>285</v>
      </c>
      <c r="CK262" s="73" t="str">
        <f t="shared" si="2168"/>
        <v>-</v>
      </c>
      <c r="CL262" s="73">
        <f t="shared" si="2169"/>
        <v>346</v>
      </c>
      <c r="CM262" s="73" t="str">
        <f t="shared" si="2170"/>
        <v>-</v>
      </c>
      <c r="CN262" s="73">
        <f t="shared" si="2171"/>
        <v>378</v>
      </c>
      <c r="CO262" s="73">
        <f t="shared" si="2172"/>
        <v>392</v>
      </c>
      <c r="CP262" s="73">
        <f t="shared" si="2173"/>
        <v>428</v>
      </c>
      <c r="CQ262" s="73">
        <f t="shared" si="2174"/>
        <v>496</v>
      </c>
      <c r="CR262" s="73">
        <f t="shared" si="2175"/>
        <v>537</v>
      </c>
      <c r="CS262" s="73">
        <f t="shared" si="2176"/>
        <v>553</v>
      </c>
      <c r="CT262" s="23">
        <f t="shared" si="2177"/>
        <v>1</v>
      </c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1"/>
    </row>
    <row r="263" spans="1:1030" s="6" customFormat="1" x14ac:dyDescent="0.2">
      <c r="A263" s="3" t="str">
        <f t="shared" si="2178"/>
        <v>smo_human_5L7I</v>
      </c>
      <c r="B263" s="3" t="s">
        <v>33</v>
      </c>
      <c r="C263" s="3" t="s">
        <v>1359</v>
      </c>
      <c r="D263" s="3" t="str">
        <f>IFERROR(MID(VLOOKUP($B263,Seqs!$A:$B,2,0),E263,1),"")</f>
        <v>T</v>
      </c>
      <c r="E263" s="106">
        <v>223</v>
      </c>
      <c r="F263" s="3" t="str">
        <f>IFERROR(MID(VLOOKUP($B263,Seqs!$A:$B,2,0),G263,1),"")</f>
        <v>D</v>
      </c>
      <c r="G263" s="3">
        <v>255</v>
      </c>
      <c r="H263" s="3" t="str">
        <f>IFERROR(MID(VLOOKUP($B263,Seqs!$A:$B,2,0),I263,1),"")</f>
        <v>W</v>
      </c>
      <c r="I263" s="23">
        <v>256</v>
      </c>
      <c r="J263" s="3" t="str">
        <f>IFERROR(MID(VLOOKUP($B263,Seqs!$A:$B,2,0),K263,1),"")</f>
        <v>N</v>
      </c>
      <c r="K263" s="23">
        <v>260</v>
      </c>
      <c r="L263" s="3" t="str">
        <f>IFERROR(MID(VLOOKUP($B263,Seqs!$A:$B,2,0),M263,1),"")</f>
        <v>R</v>
      </c>
      <c r="M263" s="3">
        <v>261</v>
      </c>
      <c r="N263" s="3" t="str">
        <f>IFERROR(MID(VLOOKUP($B263,Seqs!$A:$B,2,0),O263,1),"")</f>
        <v>F</v>
      </c>
      <c r="O263" s="3">
        <v>285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L</v>
      </c>
      <c r="U263" s="3">
        <v>312</v>
      </c>
      <c r="V263" s="3" t="str">
        <f>IFERROR(MID(VLOOKUP($B263,Seqs!$A:$B,2,0),W263,1),"")</f>
        <v>L</v>
      </c>
      <c r="W263" s="3">
        <v>346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9">
        <v>354</v>
      </c>
      <c r="AD263" s="3" t="str">
        <f>IFERROR(MID(VLOOKUP($B263,Seqs!$A:$B,2,0),AE263,1),"")</f>
        <v>V</v>
      </c>
      <c r="AE263" s="3">
        <v>378</v>
      </c>
      <c r="AF263" s="3" t="str">
        <f>IFERROR(MID(VLOOKUP($B263,Seqs!$A:$B,2,0),AG263,1),"")</f>
        <v>C</v>
      </c>
      <c r="AG263" s="3">
        <v>390</v>
      </c>
      <c r="AH263" s="3" t="str">
        <f>IFERROR(MID(VLOOKUP($B263,Seqs!$A:$B,2,0),AI263,1),"")</f>
        <v>V</v>
      </c>
      <c r="AI263" s="3">
        <v>392</v>
      </c>
      <c r="AJ263" s="3" t="str">
        <f>IFERROR(MID(VLOOKUP($B263,Seqs!$A:$B,2,0),AK263,1),"")</f>
        <v>N</v>
      </c>
      <c r="AK263" s="106">
        <v>396</v>
      </c>
      <c r="AL263" s="3" t="str">
        <f>IFERROR(MID(VLOOKUP($B263,Seqs!$A:$B,2,0),AM263,1),"")</f>
        <v>S</v>
      </c>
      <c r="AM263" s="3">
        <v>428</v>
      </c>
      <c r="AN263" s="3" t="str">
        <f>IFERROR(MID(VLOOKUP($B263,Seqs!$A:$B,2,0),AO263,1),"")</f>
        <v>E</v>
      </c>
      <c r="AO263" s="3">
        <v>447</v>
      </c>
      <c r="AP263" s="3" t="str">
        <f>IFERROR(MID(VLOOKUP($B263,Seqs!$A:$B,2,0),AQ263,1),"")</f>
        <v>N</v>
      </c>
      <c r="AQ263" s="3">
        <v>493</v>
      </c>
      <c r="AR263" s="3" t="str">
        <f>IFERROR(MID(VLOOKUP($B263,Seqs!$A:$B,2,0),AS263,1),"")</f>
        <v>S</v>
      </c>
      <c r="AS263" s="106">
        <v>514</v>
      </c>
      <c r="AT263" s="3" t="str">
        <f>IFERROR(MID(VLOOKUP($B263,Seqs!$A:$B,2,0),AU263,1),"")</f>
        <v>W</v>
      </c>
      <c r="AU263" s="3">
        <v>537</v>
      </c>
      <c r="AV263" s="3" t="str">
        <f>IFERROR(MID(VLOOKUP($B263,Seqs!$A:$B,2,0),AW263,1),"")</f>
        <v>T</v>
      </c>
      <c r="AW263" s="3">
        <v>538</v>
      </c>
      <c r="AX263" s="3" t="str">
        <f>IFERROR(MID(VLOOKUP($B263,Seqs!$A:$B,2,0),AY263,1),"")</f>
        <v>R</v>
      </c>
      <c r="AY263" s="3">
        <v>551</v>
      </c>
      <c r="AZ263" s="79" t="str">
        <f>VLOOKUP(B263,Classification!A:D,2,0)</f>
        <v>F</v>
      </c>
      <c r="BA263" s="95" t="str">
        <f>VLOOKUP(B263,Classification!A:D,4,0)</f>
        <v>Frizzled</v>
      </c>
      <c r="BB263" s="93" t="b">
        <f t="shared" si="2179"/>
        <v>1</v>
      </c>
      <c r="BC263" s="23">
        <f t="shared" si="2152"/>
        <v>246</v>
      </c>
      <c r="BD263" s="75" t="s">
        <v>23</v>
      </c>
      <c r="BE263" s="3" t="s">
        <v>1381</v>
      </c>
      <c r="BF263" s="120">
        <v>3.3</v>
      </c>
      <c r="BG263" s="49" t="s">
        <v>1287</v>
      </c>
      <c r="BH263" s="49" t="s">
        <v>1384</v>
      </c>
      <c r="BI263" s="3" t="s">
        <v>1368</v>
      </c>
      <c r="BJ263" s="76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6">
        <f t="shared" si="2153"/>
        <v>223</v>
      </c>
      <c r="BW263" s="72">
        <f t="shared" si="2154"/>
        <v>256</v>
      </c>
      <c r="BX263" s="73">
        <f t="shared" si="2155"/>
        <v>261</v>
      </c>
      <c r="BY263" s="72" t="str">
        <f t="shared" si="2156"/>
        <v>-</v>
      </c>
      <c r="BZ263" s="73">
        <f t="shared" si="2157"/>
        <v>312</v>
      </c>
      <c r="CA263" s="72" t="str">
        <f t="shared" si="2158"/>
        <v>-</v>
      </c>
      <c r="CB263" s="73">
        <f t="shared" si="2159"/>
        <v>354</v>
      </c>
      <c r="CC263" s="72">
        <f t="shared" si="2160"/>
        <v>390</v>
      </c>
      <c r="CD263" s="73">
        <f t="shared" si="2161"/>
        <v>396</v>
      </c>
      <c r="CE263" s="72">
        <f t="shared" si="2162"/>
        <v>447</v>
      </c>
      <c r="CF263" s="73">
        <f t="shared" si="2163"/>
        <v>514</v>
      </c>
      <c r="CG263" s="72">
        <f t="shared" si="2164"/>
        <v>538</v>
      </c>
      <c r="CH263" s="76">
        <f t="shared" si="2165"/>
        <v>255</v>
      </c>
      <c r="CI263" s="72">
        <f t="shared" si="2166"/>
        <v>260</v>
      </c>
      <c r="CJ263" s="73">
        <f t="shared" si="2167"/>
        <v>285</v>
      </c>
      <c r="CK263" s="73" t="str">
        <f t="shared" si="2168"/>
        <v>-</v>
      </c>
      <c r="CL263" s="73">
        <f t="shared" si="2169"/>
        <v>346</v>
      </c>
      <c r="CM263" s="73" t="str">
        <f t="shared" si="2170"/>
        <v>-</v>
      </c>
      <c r="CN263" s="73">
        <f t="shared" si="2171"/>
        <v>378</v>
      </c>
      <c r="CO263" s="73">
        <f t="shared" si="2172"/>
        <v>392</v>
      </c>
      <c r="CP263" s="73">
        <f t="shared" si="2173"/>
        <v>428</v>
      </c>
      <c r="CQ263" s="73">
        <f t="shared" si="2174"/>
        <v>493</v>
      </c>
      <c r="CR263" s="73">
        <f t="shared" si="2175"/>
        <v>537</v>
      </c>
      <c r="CS263" s="73">
        <f t="shared" si="2176"/>
        <v>551</v>
      </c>
      <c r="CT263" s="23">
        <f t="shared" si="2177"/>
        <v>1</v>
      </c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1"/>
    </row>
    <row r="264" spans="1:1030" s="12" customFormat="1" x14ac:dyDescent="0.2">
      <c r="A264" s="9" t="str">
        <f t="shared" ref="A264" si="2459">CONCATENATE(B264,"_",C264)</f>
        <v>smo_human_5V56</v>
      </c>
      <c r="B264" s="9" t="s">
        <v>33</v>
      </c>
      <c r="C264" s="9" t="s">
        <v>1490</v>
      </c>
      <c r="D264" s="9" t="str">
        <f>IFERROR(MID(VLOOKUP($B264,Seqs!$A:$B,2,0),E264,1),"")</f>
        <v>T</v>
      </c>
      <c r="E264" s="9">
        <v>223</v>
      </c>
      <c r="F264" s="9" t="str">
        <f>IFERROR(MID(VLOOKUP($B264,Seqs!$A:$B,2,0),G264,1),"")</f>
        <v>D</v>
      </c>
      <c r="G264" s="9">
        <v>255</v>
      </c>
      <c r="H264" s="9" t="str">
        <f>IFERROR(MID(VLOOKUP($B264,Seqs!$A:$B,2,0),I264,1),"")</f>
        <v>W</v>
      </c>
      <c r="I264" s="110">
        <v>256</v>
      </c>
      <c r="J264" s="9" t="str">
        <f>IFERROR(MID(VLOOKUP($B264,Seqs!$A:$B,2,0),K264,1),"")</f>
        <v>N</v>
      </c>
      <c r="K264" s="110">
        <v>260</v>
      </c>
      <c r="L264" s="9" t="str">
        <f>IFERROR(MID(VLOOKUP($B264,Seqs!$A:$B,2,0),M264,1),"")</f>
        <v>R</v>
      </c>
      <c r="M264" s="9">
        <v>261</v>
      </c>
      <c r="N264" s="9" t="str">
        <f>IFERROR(MID(VLOOKUP($B264,Seqs!$A:$B,2,0),O264,1),"")</f>
        <v>F</v>
      </c>
      <c r="O264" s="9">
        <v>285</v>
      </c>
      <c r="P264" s="9" t="str">
        <f>IFERROR(MID(VLOOKUP($B264,Seqs!$A:$B,2,0),Q264,1),"")</f>
        <v/>
      </c>
      <c r="Q264" s="9" t="s">
        <v>23</v>
      </c>
      <c r="R264" s="9" t="str">
        <f>IFERROR(MID(VLOOKUP($B264,Seqs!$A:$B,2,0),S264,1),"")</f>
        <v/>
      </c>
      <c r="S264" s="9" t="s">
        <v>23</v>
      </c>
      <c r="T264" s="9" t="str">
        <f>IFERROR(MID(VLOOKUP($B264,Seqs!$A:$B,2,0),U264,1),"")</f>
        <v>L</v>
      </c>
      <c r="U264" s="9">
        <v>312</v>
      </c>
      <c r="V264" s="9" t="str">
        <f>IFERROR(MID(VLOOKUP($B264,Seqs!$A:$B,2,0),W264,1),"")</f>
        <v>S</v>
      </c>
      <c r="W264" s="9">
        <v>342</v>
      </c>
      <c r="X264" s="9" t="str">
        <f>IFERROR(MID(VLOOKUP($B264,Seqs!$A:$B,2,0),Y264,1),"")</f>
        <v/>
      </c>
      <c r="Y264" s="9" t="s">
        <v>23</v>
      </c>
      <c r="Z264" s="9" t="str">
        <f>IFERROR(MID(VLOOKUP($B264,Seqs!$A:$B,2,0),AA264,1),"")</f>
        <v/>
      </c>
      <c r="AA264" s="9" t="s">
        <v>23</v>
      </c>
      <c r="AB264" s="9" t="str">
        <f>IFERROR(MID(VLOOKUP($B264,Seqs!$A:$B,2,0),AC264,1),"")</f>
        <v>K</v>
      </c>
      <c r="AC264" s="9">
        <v>356</v>
      </c>
      <c r="AD264" s="9" t="str">
        <f>IFERROR(MID(VLOOKUP($B264,Seqs!$A:$B,2,0),AE264,1),"")</f>
        <v>V</v>
      </c>
      <c r="AE264" s="9">
        <v>378</v>
      </c>
      <c r="AF264" s="9" t="str">
        <f>IFERROR(MID(VLOOKUP($B264,Seqs!$A:$B,2,0),AG264,1),"")</f>
        <v>C</v>
      </c>
      <c r="AG264" s="9">
        <v>390</v>
      </c>
      <c r="AH264" s="9" t="str">
        <f>IFERROR(MID(VLOOKUP($B264,Seqs!$A:$B,2,0),AI264,1),"")</f>
        <v>V</v>
      </c>
      <c r="AI264" s="9">
        <v>392</v>
      </c>
      <c r="AJ264" s="9" t="str">
        <f>IFERROR(MID(VLOOKUP($B264,Seqs!$A:$B,2,0),AK264,1),"")</f>
        <v>N</v>
      </c>
      <c r="AK264" s="9">
        <v>396</v>
      </c>
      <c r="AL264" s="9" t="str">
        <f>IFERROR(MID(VLOOKUP($B264,Seqs!$A:$B,2,0),AM264,1),"")</f>
        <v>I</v>
      </c>
      <c r="AM264" s="9">
        <v>429</v>
      </c>
      <c r="AN264" s="9" t="str">
        <f>IFERROR(MID(VLOOKUP($B264,Seqs!$A:$B,2,0),AO264,1),"")</f>
        <v>N</v>
      </c>
      <c r="AO264" s="9">
        <v>446</v>
      </c>
      <c r="AP264" s="9" t="str">
        <f>IFERROR(MID(VLOOKUP($B264,Seqs!$A:$B,2,0),AQ264,1),"")</f>
        <v>N</v>
      </c>
      <c r="AQ264" s="9">
        <v>493</v>
      </c>
      <c r="AR264" s="9" t="str">
        <f>IFERROR(MID(VLOOKUP($B264,Seqs!$A:$B,2,0),AS264,1),"")</f>
        <v>S</v>
      </c>
      <c r="AS264" s="9">
        <v>514</v>
      </c>
      <c r="AT264" s="9" t="str">
        <f>IFERROR(MID(VLOOKUP($B264,Seqs!$A:$B,2,0),AU264,1),"")</f>
        <v>W</v>
      </c>
      <c r="AU264" s="9">
        <v>537</v>
      </c>
      <c r="AV264" s="9" t="str">
        <f>IFERROR(MID(VLOOKUP($B264,Seqs!$A:$B,2,0),AW264,1),"")</f>
        <v>T</v>
      </c>
      <c r="AW264" s="9">
        <v>538</v>
      </c>
      <c r="AX264" s="9" t="str">
        <f>IFERROR(MID(VLOOKUP($B264,Seqs!$A:$B,2,0),AY264,1),"")</f>
        <v>T</v>
      </c>
      <c r="AY264" s="9">
        <v>553</v>
      </c>
      <c r="AZ264" s="126" t="str">
        <f>VLOOKUP(B264,Classification!A:D,2,0)</f>
        <v>F</v>
      </c>
      <c r="BA264" s="99" t="str">
        <f>VLOOKUP(B264,Classification!A:D,4,0)</f>
        <v>Frizzled</v>
      </c>
      <c r="BB264" s="127" t="b">
        <f t="shared" ref="BB264" si="2460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110">
        <f t="shared" ref="BC264" si="2461">_xlfn.AGGREGATE(9,6,CH264:CS264)-_xlfn.AGGREGATE(9,6,BV264:CG264)+12</f>
        <v>244</v>
      </c>
      <c r="BD264" s="128" t="s">
        <v>23</v>
      </c>
      <c r="BE264" s="9" t="s">
        <v>1381</v>
      </c>
      <c r="BF264" s="121">
        <v>2.9</v>
      </c>
      <c r="BG264" s="51" t="s">
        <v>1287</v>
      </c>
      <c r="BH264" s="51" t="s">
        <v>1287</v>
      </c>
      <c r="BI264" s="9"/>
      <c r="BJ264" s="129" t="s">
        <v>1293</v>
      </c>
      <c r="BK264" s="113" t="s">
        <v>1293</v>
      </c>
      <c r="BL264" s="113" t="s">
        <v>1293</v>
      </c>
      <c r="BM264" s="113" t="s">
        <v>1293</v>
      </c>
      <c r="BN264" s="113" t="s">
        <v>1293</v>
      </c>
      <c r="BO264" s="113" t="s">
        <v>1293</v>
      </c>
      <c r="BP264" s="113" t="s">
        <v>1293</v>
      </c>
      <c r="BQ264" s="113" t="s">
        <v>1293</v>
      </c>
      <c r="BR264" s="113" t="s">
        <v>1293</v>
      </c>
      <c r="BS264" s="113" t="s">
        <v>1293</v>
      </c>
      <c r="BT264" s="113" t="s">
        <v>1293</v>
      </c>
      <c r="BU264" s="113" t="s">
        <v>1293</v>
      </c>
      <c r="BV264" s="129">
        <f t="shared" ref="BV264" si="2462">E264</f>
        <v>223</v>
      </c>
      <c r="BW264" s="114">
        <f t="shared" ref="BW264" si="2463">I264</f>
        <v>256</v>
      </c>
      <c r="BX264" s="115">
        <f t="shared" ref="BX264" si="2464">M264</f>
        <v>261</v>
      </c>
      <c r="BY264" s="114" t="str">
        <f t="shared" ref="BY264" si="2465">Q264</f>
        <v>-</v>
      </c>
      <c r="BZ264" s="115">
        <f t="shared" ref="BZ264" si="2466">U264</f>
        <v>312</v>
      </c>
      <c r="CA264" s="114" t="str">
        <f t="shared" ref="CA264" si="2467">Y264</f>
        <v>-</v>
      </c>
      <c r="CB264" s="115">
        <f t="shared" ref="CB264" si="2468">AC264</f>
        <v>356</v>
      </c>
      <c r="CC264" s="114">
        <f t="shared" ref="CC264" si="2469">AG264</f>
        <v>390</v>
      </c>
      <c r="CD264" s="115">
        <f t="shared" ref="CD264" si="2470">AK264</f>
        <v>396</v>
      </c>
      <c r="CE264" s="114">
        <f t="shared" ref="CE264" si="2471">AO264</f>
        <v>446</v>
      </c>
      <c r="CF264" s="115">
        <f t="shared" ref="CF264" si="2472">AS264</f>
        <v>514</v>
      </c>
      <c r="CG264" s="114">
        <f t="shared" ref="CG264" si="2473">AW264</f>
        <v>538</v>
      </c>
      <c r="CH264" s="129">
        <f t="shared" ref="CH264" si="2474">G264</f>
        <v>255</v>
      </c>
      <c r="CI264" s="114">
        <f t="shared" ref="CI264" si="2475">K264</f>
        <v>260</v>
      </c>
      <c r="CJ264" s="115">
        <f t="shared" ref="CJ264" si="2476">O264</f>
        <v>285</v>
      </c>
      <c r="CK264" s="115" t="str">
        <f t="shared" ref="CK264" si="2477">S264</f>
        <v>-</v>
      </c>
      <c r="CL264" s="115">
        <f t="shared" ref="CL264" si="2478">W264</f>
        <v>342</v>
      </c>
      <c r="CM264" s="115" t="str">
        <f t="shared" ref="CM264" si="2479">AA264</f>
        <v>-</v>
      </c>
      <c r="CN264" s="115">
        <f t="shared" ref="CN264" si="2480">AE264</f>
        <v>378</v>
      </c>
      <c r="CO264" s="115">
        <f t="shared" ref="CO264" si="2481">AI264</f>
        <v>392</v>
      </c>
      <c r="CP264" s="115">
        <f t="shared" ref="CP264" si="2482">AM264</f>
        <v>429</v>
      </c>
      <c r="CQ264" s="115">
        <f t="shared" ref="CQ264" si="2483">AQ264</f>
        <v>493</v>
      </c>
      <c r="CR264" s="115">
        <f t="shared" ref="CR264" si="2484">AU264</f>
        <v>537</v>
      </c>
      <c r="CS264" s="115">
        <f t="shared" ref="CS264" si="2485">AY264</f>
        <v>553</v>
      </c>
      <c r="CT264" s="110">
        <f t="shared" ref="CT264" si="2486">M264-K264</f>
        <v>1</v>
      </c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  <c r="ZX264" s="9"/>
      <c r="ZY264" s="9"/>
      <c r="ZZ264" s="9"/>
      <c r="AAA264" s="9"/>
      <c r="AAB264" s="9"/>
      <c r="AAC264" s="9"/>
      <c r="AAD264" s="9"/>
      <c r="AAE264" s="9"/>
      <c r="AAF264" s="9"/>
      <c r="AAG264" s="9"/>
      <c r="AAH264" s="9"/>
      <c r="AAI264" s="9"/>
      <c r="AAJ264" s="9"/>
      <c r="AAK264" s="9"/>
      <c r="AAL264" s="9"/>
      <c r="AAM264" s="9"/>
      <c r="AAN264" s="9"/>
      <c r="AAO264" s="9"/>
      <c r="AAP264" s="9"/>
      <c r="AAQ264" s="9"/>
      <c r="AAR264" s="9"/>
      <c r="AAS264" s="9"/>
      <c r="AAT264" s="9"/>
      <c r="AAU264" s="9"/>
      <c r="AAV264" s="9"/>
      <c r="AAW264" s="9"/>
      <c r="AAX264" s="9"/>
      <c r="AAY264" s="9"/>
      <c r="AAZ264" s="9"/>
      <c r="ABA264" s="9"/>
      <c r="ABB264" s="9"/>
      <c r="ABC264" s="9"/>
      <c r="ABD264" s="9"/>
      <c r="ABE264" s="9"/>
      <c r="ABF264" s="9"/>
      <c r="ABG264" s="9"/>
      <c r="ABH264" s="9"/>
      <c r="ABI264" s="9"/>
      <c r="ABJ264" s="9"/>
      <c r="ABK264" s="9"/>
      <c r="ABL264" s="9"/>
      <c r="ABM264" s="9"/>
      <c r="ABN264" s="9"/>
      <c r="ABO264" s="9"/>
      <c r="ABP264" s="9"/>
      <c r="ABQ264" s="9"/>
      <c r="ABR264" s="9"/>
      <c r="ABS264" s="9"/>
      <c r="ABT264" s="9"/>
      <c r="ABU264" s="9"/>
      <c r="ABV264" s="9"/>
      <c r="ABW264" s="9"/>
      <c r="ABX264" s="9"/>
      <c r="ABY264" s="9"/>
      <c r="ABZ264" s="9"/>
      <c r="ACA264" s="9"/>
      <c r="ACB264" s="9"/>
      <c r="ACC264" s="9"/>
      <c r="ACD264" s="9"/>
      <c r="ACE264" s="9"/>
      <c r="ACF264" s="9"/>
      <c r="ACG264" s="9"/>
      <c r="ACH264" s="9"/>
      <c r="ACI264" s="9"/>
      <c r="ACJ264" s="9"/>
      <c r="ACK264" s="9"/>
      <c r="ACL264" s="9"/>
      <c r="ACM264" s="9"/>
      <c r="ACN264" s="9"/>
      <c r="ACO264" s="9"/>
      <c r="ACP264" s="9"/>
      <c r="ACQ264" s="9"/>
      <c r="ACR264" s="9"/>
      <c r="ACS264" s="9"/>
      <c r="ACT264" s="9"/>
      <c r="ACU264" s="9"/>
      <c r="ACV264" s="9"/>
      <c r="ACW264" s="9"/>
      <c r="ACX264" s="9"/>
      <c r="ACY264" s="9"/>
      <c r="ACZ264" s="9"/>
      <c r="ADA264" s="9"/>
      <c r="ADB264" s="9"/>
      <c r="ADC264" s="9"/>
      <c r="ADD264" s="9"/>
      <c r="ADE264" s="9"/>
      <c r="ADF264" s="9"/>
      <c r="ADG264" s="9"/>
      <c r="ADH264" s="9"/>
      <c r="ADI264" s="9"/>
      <c r="ADJ264" s="9"/>
      <c r="ADK264" s="9"/>
      <c r="ADL264" s="9"/>
      <c r="ADM264" s="9"/>
      <c r="ADN264" s="9"/>
      <c r="ADO264" s="9"/>
      <c r="ADP264" s="9"/>
      <c r="ADQ264" s="9"/>
      <c r="ADR264" s="9"/>
      <c r="ADS264" s="9"/>
      <c r="ADT264" s="9"/>
      <c r="ADU264" s="9"/>
      <c r="ADV264" s="9"/>
      <c r="ADW264" s="9"/>
      <c r="ADX264" s="9"/>
      <c r="ADY264" s="9"/>
      <c r="ADZ264" s="9"/>
      <c r="AEA264" s="9"/>
      <c r="AEB264" s="9"/>
      <c r="AEC264" s="9"/>
      <c r="AED264" s="9"/>
      <c r="AEE264" s="9"/>
      <c r="AEF264" s="9"/>
      <c r="AEG264" s="9"/>
      <c r="AEH264" s="9"/>
      <c r="AEI264" s="9"/>
      <c r="AEJ264" s="9"/>
      <c r="AEK264" s="9"/>
      <c r="AEL264" s="9"/>
      <c r="AEM264" s="9"/>
      <c r="AEN264" s="9"/>
      <c r="AEO264" s="9"/>
      <c r="AEP264" s="9"/>
      <c r="AEQ264" s="9"/>
      <c r="AER264" s="9"/>
      <c r="AES264" s="9"/>
      <c r="AET264" s="9"/>
      <c r="AEU264" s="9"/>
      <c r="AEV264" s="9"/>
      <c r="AEW264" s="9"/>
      <c r="AEX264" s="9"/>
      <c r="AEY264" s="9"/>
      <c r="AEZ264" s="9"/>
      <c r="AFA264" s="9"/>
      <c r="AFB264" s="9"/>
      <c r="AFC264" s="9"/>
      <c r="AFD264" s="9"/>
      <c r="AFE264" s="9"/>
      <c r="AFF264" s="9"/>
      <c r="AFG264" s="9"/>
      <c r="AFH264" s="9"/>
      <c r="AFI264" s="9"/>
      <c r="AFJ264" s="9"/>
      <c r="AFK264" s="9"/>
      <c r="AFL264" s="9"/>
      <c r="AFM264" s="9"/>
      <c r="AFN264" s="9"/>
      <c r="AFO264" s="9"/>
      <c r="AFP264" s="9"/>
      <c r="AFQ264" s="9"/>
      <c r="AFR264" s="9"/>
      <c r="AFS264" s="9"/>
      <c r="AFT264" s="9"/>
      <c r="AFU264" s="9"/>
      <c r="AFV264" s="9"/>
      <c r="AFW264" s="9"/>
      <c r="AFX264" s="9"/>
      <c r="AFY264" s="9"/>
      <c r="AFZ264" s="9"/>
      <c r="AGA264" s="9"/>
      <c r="AGB264" s="9"/>
      <c r="AGC264" s="9"/>
      <c r="AGD264" s="9"/>
      <c r="AGE264" s="9"/>
      <c r="AGF264" s="9"/>
      <c r="AGG264" s="9"/>
      <c r="AGH264" s="9"/>
      <c r="AGI264" s="9"/>
      <c r="AGJ264" s="9"/>
      <c r="AGK264" s="9"/>
      <c r="AGL264" s="9"/>
      <c r="AGM264" s="9"/>
      <c r="AGN264" s="9"/>
      <c r="AGO264" s="9"/>
      <c r="AGP264" s="9"/>
      <c r="AGQ264" s="9"/>
      <c r="AGR264" s="9"/>
      <c r="AGS264" s="9"/>
      <c r="AGT264" s="9"/>
      <c r="AGU264" s="9"/>
      <c r="AGV264" s="9"/>
      <c r="AGW264" s="9"/>
      <c r="AGX264" s="9"/>
      <c r="AGY264" s="9"/>
      <c r="AGZ264" s="9"/>
      <c r="AHA264" s="9"/>
      <c r="AHB264" s="9"/>
      <c r="AHC264" s="9"/>
      <c r="AHD264" s="9"/>
      <c r="AHE264" s="9"/>
      <c r="AHF264" s="9"/>
      <c r="AHG264" s="9"/>
      <c r="AHH264" s="9"/>
      <c r="AHI264" s="9"/>
      <c r="AHJ264" s="9"/>
      <c r="AHK264" s="9"/>
      <c r="AHL264" s="9"/>
      <c r="AHM264" s="9"/>
      <c r="AHN264" s="9"/>
      <c r="AHO264" s="9"/>
      <c r="AHP264" s="9"/>
      <c r="AHQ264" s="9"/>
      <c r="AHR264" s="9"/>
      <c r="AHS264" s="9"/>
      <c r="AHT264" s="9"/>
      <c r="AHU264" s="9"/>
      <c r="AHV264" s="9"/>
      <c r="AHW264" s="9"/>
      <c r="AHX264" s="9"/>
      <c r="AHY264" s="9"/>
      <c r="AHZ264" s="9"/>
      <c r="AIA264" s="9"/>
      <c r="AIB264" s="9"/>
      <c r="AIC264" s="9"/>
      <c r="AID264" s="9"/>
      <c r="AIE264" s="9"/>
      <c r="AIF264" s="9"/>
      <c r="AIG264" s="9"/>
      <c r="AIH264" s="9"/>
      <c r="AII264" s="9"/>
      <c r="AIJ264" s="9"/>
      <c r="AIK264" s="9"/>
      <c r="AIL264" s="9"/>
      <c r="AIM264" s="9"/>
      <c r="AIN264" s="9"/>
      <c r="AIO264" s="9"/>
      <c r="AIP264" s="9"/>
      <c r="AIQ264" s="9"/>
      <c r="AIR264" s="9"/>
      <c r="AIS264" s="9"/>
      <c r="AIT264" s="9"/>
      <c r="AIU264" s="9"/>
      <c r="AIV264" s="9"/>
      <c r="AIW264" s="9"/>
      <c r="AIX264" s="9"/>
      <c r="AIY264" s="9"/>
      <c r="AIZ264" s="9"/>
      <c r="AJA264" s="9"/>
      <c r="AJB264" s="9"/>
      <c r="AJC264" s="9"/>
      <c r="AJD264" s="9"/>
      <c r="AJE264" s="9"/>
      <c r="AJF264" s="9"/>
      <c r="AJG264" s="9"/>
      <c r="AJH264" s="9"/>
      <c r="AJI264" s="9"/>
      <c r="AJJ264" s="9"/>
      <c r="AJK264" s="9"/>
      <c r="AJL264" s="9"/>
      <c r="AJM264" s="9"/>
      <c r="AJN264" s="9"/>
      <c r="AJO264" s="9"/>
      <c r="AJP264" s="9"/>
      <c r="AJQ264" s="9"/>
      <c r="AJR264" s="9"/>
      <c r="AJS264" s="9"/>
      <c r="AJT264" s="9"/>
      <c r="AJU264" s="9"/>
      <c r="AJV264" s="9"/>
      <c r="AJW264" s="9"/>
      <c r="AJX264" s="9"/>
      <c r="AJY264" s="9"/>
      <c r="AJZ264" s="9"/>
      <c r="AKA264" s="9"/>
      <c r="AKB264" s="9"/>
      <c r="AKC264" s="9"/>
      <c r="AKD264" s="9"/>
      <c r="AKE264" s="9"/>
      <c r="AKF264" s="9"/>
      <c r="AKG264" s="9"/>
      <c r="AKH264" s="9"/>
      <c r="AKI264" s="9"/>
      <c r="AKJ264" s="9"/>
      <c r="AKK264" s="9"/>
      <c r="AKL264" s="9"/>
      <c r="AKM264" s="9"/>
      <c r="AKN264" s="9"/>
      <c r="AKO264" s="9"/>
      <c r="AKP264" s="9"/>
      <c r="AKQ264" s="9"/>
      <c r="AKR264" s="9"/>
      <c r="AKS264" s="9"/>
      <c r="AKT264" s="9"/>
      <c r="AKU264" s="9"/>
      <c r="AKV264" s="9"/>
      <c r="AKW264" s="9"/>
      <c r="AKX264" s="9"/>
      <c r="AKY264" s="9"/>
      <c r="AKZ264" s="9"/>
      <c r="ALA264" s="9"/>
      <c r="ALB264" s="9"/>
      <c r="ALC264" s="9"/>
      <c r="ALD264" s="9"/>
      <c r="ALE264" s="9"/>
      <c r="ALF264" s="9"/>
      <c r="ALG264" s="9"/>
      <c r="ALH264" s="9"/>
      <c r="ALI264" s="9"/>
      <c r="ALJ264" s="9"/>
      <c r="ALK264" s="9"/>
      <c r="ALL264" s="9"/>
      <c r="ALM264" s="9"/>
      <c r="ALN264" s="9"/>
      <c r="ALO264" s="9"/>
      <c r="ALP264" s="9"/>
      <c r="ALQ264" s="9"/>
      <c r="ALR264" s="9"/>
      <c r="ALS264" s="9"/>
      <c r="ALT264" s="9"/>
      <c r="ALU264" s="9"/>
      <c r="ALV264" s="9"/>
      <c r="ALW264" s="9"/>
      <c r="ALX264" s="9"/>
      <c r="ALY264" s="9"/>
      <c r="ALZ264" s="9"/>
      <c r="AMA264" s="9"/>
      <c r="AMB264" s="9"/>
      <c r="AMC264" s="9"/>
      <c r="AMD264" s="9"/>
      <c r="AME264" s="9"/>
      <c r="AMF264" s="9"/>
      <c r="AMG264" s="9"/>
      <c r="AMH264" s="9"/>
      <c r="AMI264" s="9"/>
      <c r="AMJ264" s="9"/>
      <c r="AMK264" s="9"/>
      <c r="AML264" s="9"/>
      <c r="AMM264" s="9"/>
      <c r="AMN264" s="9"/>
      <c r="AMO264" s="9"/>
    </row>
    <row r="265" spans="1:1030" x14ac:dyDescent="0.2">
      <c r="A265" s="9" t="str">
        <f t="shared" ref="A265" si="2487">CONCATENATE(B265,"_",C265)</f>
        <v>smo_human_5V57</v>
      </c>
      <c r="B265" s="9" t="s">
        <v>33</v>
      </c>
      <c r="C265" s="9" t="s">
        <v>1491</v>
      </c>
      <c r="D265" s="9" t="str">
        <f>IFERROR(MID(VLOOKUP($B265,Seqs!$A:$B,2,0),E265,1),"")</f>
        <v>T</v>
      </c>
      <c r="E265" s="9">
        <v>223</v>
      </c>
      <c r="F265" s="9" t="str">
        <f>IFERROR(MID(VLOOKUP($B265,Seqs!$A:$B,2,0),G265,1),"")</f>
        <v>D</v>
      </c>
      <c r="G265" s="9">
        <v>255</v>
      </c>
      <c r="H265" s="9" t="str">
        <f>IFERROR(MID(VLOOKUP($B265,Seqs!$A:$B,2,0),I265,1),"")</f>
        <v>W</v>
      </c>
      <c r="I265" s="110">
        <v>256</v>
      </c>
      <c r="J265" s="9" t="str">
        <f>IFERROR(MID(VLOOKUP($B265,Seqs!$A:$B,2,0),K265,1),"")</f>
        <v>N</v>
      </c>
      <c r="K265" s="110">
        <v>260</v>
      </c>
      <c r="L265" s="9" t="str">
        <f>IFERROR(MID(VLOOKUP($B265,Seqs!$A:$B,2,0),M265,1),"")</f>
        <v>R</v>
      </c>
      <c r="M265" s="9">
        <v>261</v>
      </c>
      <c r="N265" s="9" t="str">
        <f>IFERROR(MID(VLOOKUP($B265,Seqs!$A:$B,2,0),O265,1),"")</f>
        <v>F</v>
      </c>
      <c r="O265" s="9">
        <v>285</v>
      </c>
      <c r="P265" s="9" t="str">
        <f>IFERROR(MID(VLOOKUP($B265,Seqs!$A:$B,2,0),Q265,1),"")</f>
        <v/>
      </c>
      <c r="Q265" s="9" t="s">
        <v>23</v>
      </c>
      <c r="R265" s="9" t="str">
        <f>IFERROR(MID(VLOOKUP($B265,Seqs!$A:$B,2,0),S265,1),"")</f>
        <v/>
      </c>
      <c r="S265" s="9" t="s">
        <v>23</v>
      </c>
      <c r="T265" s="9" t="str">
        <f>IFERROR(MID(VLOOKUP($B265,Seqs!$A:$B,2,0),U265,1),"")</f>
        <v>L</v>
      </c>
      <c r="U265" s="9">
        <v>312</v>
      </c>
      <c r="V265" s="9" t="str">
        <f>IFERROR(MID(VLOOKUP($B265,Seqs!$A:$B,2,0),W265,1),"")</f>
        <v>S</v>
      </c>
      <c r="W265" s="9">
        <v>342</v>
      </c>
      <c r="X265" s="9" t="str">
        <f>IFERROR(MID(VLOOKUP($B265,Seqs!$A:$B,2,0),Y265,1),"")</f>
        <v/>
      </c>
      <c r="Y265" s="9" t="s">
        <v>23</v>
      </c>
      <c r="Z265" s="9" t="str">
        <f>IFERROR(MID(VLOOKUP($B265,Seqs!$A:$B,2,0),AA265,1),"")</f>
        <v/>
      </c>
      <c r="AA265" s="9" t="s">
        <v>23</v>
      </c>
      <c r="AB265" s="9" t="str">
        <f>IFERROR(MID(VLOOKUP($B265,Seqs!$A:$B,2,0),AC265,1),"")</f>
        <v>T</v>
      </c>
      <c r="AC265" s="9">
        <v>357</v>
      </c>
      <c r="AD265" s="9" t="str">
        <f>IFERROR(MID(VLOOKUP($B265,Seqs!$A:$B,2,0),AE265,1),"")</f>
        <v>V</v>
      </c>
      <c r="AE265" s="9">
        <v>378</v>
      </c>
      <c r="AF265" s="9" t="str">
        <f>IFERROR(MID(VLOOKUP($B265,Seqs!$A:$B,2,0),AG265,1),"")</f>
        <v>C</v>
      </c>
      <c r="AG265" s="9">
        <v>390</v>
      </c>
      <c r="AH265" s="9" t="str">
        <f>IFERROR(MID(VLOOKUP($B265,Seqs!$A:$B,2,0),AI265,1),"")</f>
        <v>V</v>
      </c>
      <c r="AI265" s="9">
        <v>392</v>
      </c>
      <c r="AJ265" s="9" t="str">
        <f>IFERROR(MID(VLOOKUP($B265,Seqs!$A:$B,2,0),AK265,1),"")</f>
        <v>N</v>
      </c>
      <c r="AK265" s="9">
        <v>396</v>
      </c>
      <c r="AL265" s="9" t="str">
        <f>IFERROR(MID(VLOOKUP($B265,Seqs!$A:$B,2,0),AM265,1),"")</f>
        <v>N</v>
      </c>
      <c r="AM265" s="9">
        <v>432</v>
      </c>
      <c r="AN265" s="9" t="str">
        <f>IFERROR(MID(VLOOKUP($B265,Seqs!$A:$B,2,0),AO265,1),"")</f>
        <v>E</v>
      </c>
      <c r="AO265" s="9">
        <v>447</v>
      </c>
      <c r="AP265" s="9" t="str">
        <f>IFERROR(MID(VLOOKUP($B265,Seqs!$A:$B,2,0),AQ265,1),"")</f>
        <v>N</v>
      </c>
      <c r="AQ265" s="9">
        <v>493</v>
      </c>
      <c r="AR265" s="9" t="str">
        <f>IFERROR(MID(VLOOKUP($B265,Seqs!$A:$B,2,0),AS265,1),"")</f>
        <v>S</v>
      </c>
      <c r="AS265" s="9">
        <v>514</v>
      </c>
      <c r="AT265" s="9" t="str">
        <f>IFERROR(MID(VLOOKUP($B265,Seqs!$A:$B,2,0),AU265,1),"")</f>
        <v>W</v>
      </c>
      <c r="AU265" s="9">
        <v>537</v>
      </c>
      <c r="AV265" s="9" t="str">
        <f>IFERROR(MID(VLOOKUP($B265,Seqs!$A:$B,2,0),AW265,1),"")</f>
        <v>T</v>
      </c>
      <c r="AW265" s="9">
        <v>538</v>
      </c>
      <c r="AX265" s="9" t="str">
        <f>IFERROR(MID(VLOOKUP($B265,Seqs!$A:$B,2,0),AY265,1),"")</f>
        <v>G</v>
      </c>
      <c r="AY265" s="9">
        <v>554</v>
      </c>
      <c r="AZ265" s="126" t="str">
        <f>VLOOKUP(B265,Classification!A:D,2,0)</f>
        <v>F</v>
      </c>
      <c r="BA265" s="99" t="str">
        <f>VLOOKUP(B265,Classification!A:D,4,0)</f>
        <v>Frizzled</v>
      </c>
      <c r="BB265" s="127" t="b">
        <f t="shared" ref="BB265" si="2488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10">
        <f t="shared" ref="BC265" si="2489">_xlfn.AGGREGATE(9,6,CH265:CS265)-_xlfn.AGGREGATE(9,6,BV265:CG265)+12</f>
        <v>246</v>
      </c>
      <c r="BD265" s="128" t="s">
        <v>23</v>
      </c>
      <c r="BE265" s="9" t="s">
        <v>1381</v>
      </c>
      <c r="BF265" s="121">
        <v>3</v>
      </c>
      <c r="BG265" s="51" t="s">
        <v>1</v>
      </c>
      <c r="BH265" s="51" t="s">
        <v>1</v>
      </c>
      <c r="BI265" s="9"/>
      <c r="BJ265" s="129" t="s">
        <v>1293</v>
      </c>
      <c r="BK265" s="113" t="s">
        <v>1293</v>
      </c>
      <c r="BL265" s="113" t="s">
        <v>1293</v>
      </c>
      <c r="BM265" s="113" t="s">
        <v>1293</v>
      </c>
      <c r="BN265" s="113" t="s">
        <v>1293</v>
      </c>
      <c r="BO265" s="113" t="s">
        <v>1293</v>
      </c>
      <c r="BP265" s="113" t="s">
        <v>1293</v>
      </c>
      <c r="BQ265" s="113" t="s">
        <v>1293</v>
      </c>
      <c r="BR265" s="113" t="s">
        <v>1293</v>
      </c>
      <c r="BS265" s="113" t="s">
        <v>1293</v>
      </c>
      <c r="BT265" s="113" t="s">
        <v>1293</v>
      </c>
      <c r="BU265" s="113" t="s">
        <v>1293</v>
      </c>
      <c r="BV265" s="129">
        <f t="shared" ref="BV265" si="2490">E265</f>
        <v>223</v>
      </c>
      <c r="BW265" s="114">
        <f t="shared" ref="BW265" si="2491">I265</f>
        <v>256</v>
      </c>
      <c r="BX265" s="115">
        <f t="shared" ref="BX265" si="2492">M265</f>
        <v>261</v>
      </c>
      <c r="BY265" s="114" t="str">
        <f t="shared" ref="BY265" si="2493">Q265</f>
        <v>-</v>
      </c>
      <c r="BZ265" s="115">
        <f t="shared" ref="BZ265" si="2494">U265</f>
        <v>312</v>
      </c>
      <c r="CA265" s="114" t="str">
        <f t="shared" ref="CA265" si="2495">Y265</f>
        <v>-</v>
      </c>
      <c r="CB265" s="115">
        <f t="shared" ref="CB265" si="2496">AC265</f>
        <v>357</v>
      </c>
      <c r="CC265" s="114">
        <f t="shared" ref="CC265" si="2497">AG265</f>
        <v>390</v>
      </c>
      <c r="CD265" s="115">
        <f t="shared" ref="CD265" si="2498">AK265</f>
        <v>396</v>
      </c>
      <c r="CE265" s="114">
        <f t="shared" ref="CE265" si="2499">AO265</f>
        <v>447</v>
      </c>
      <c r="CF265" s="115">
        <f t="shared" ref="CF265" si="2500">AS265</f>
        <v>514</v>
      </c>
      <c r="CG265" s="114">
        <f t="shared" ref="CG265" si="2501">AW265</f>
        <v>538</v>
      </c>
      <c r="CH265" s="129">
        <f t="shared" ref="CH265" si="2502">G265</f>
        <v>255</v>
      </c>
      <c r="CI265" s="114">
        <f t="shared" ref="CI265" si="2503">K265</f>
        <v>260</v>
      </c>
      <c r="CJ265" s="115">
        <f t="shared" ref="CJ265" si="2504">O265</f>
        <v>285</v>
      </c>
      <c r="CK265" s="115" t="str">
        <f t="shared" ref="CK265" si="2505">S265</f>
        <v>-</v>
      </c>
      <c r="CL265" s="115">
        <f t="shared" ref="CL265" si="2506">W265</f>
        <v>342</v>
      </c>
      <c r="CM265" s="115" t="str">
        <f t="shared" ref="CM265" si="2507">AA265</f>
        <v>-</v>
      </c>
      <c r="CN265" s="115">
        <f t="shared" ref="CN265" si="2508">AE265</f>
        <v>378</v>
      </c>
      <c r="CO265" s="115">
        <f t="shared" ref="CO265" si="2509">AI265</f>
        <v>392</v>
      </c>
      <c r="CP265" s="115">
        <f t="shared" ref="CP265" si="2510">AM265</f>
        <v>432</v>
      </c>
      <c r="CQ265" s="115">
        <f t="shared" ref="CQ265" si="2511">AQ265</f>
        <v>493</v>
      </c>
      <c r="CR265" s="115">
        <f t="shared" ref="CR265" si="2512">AU265</f>
        <v>537</v>
      </c>
      <c r="CS265" s="115">
        <f t="shared" ref="CS265" si="2513">AY265</f>
        <v>554</v>
      </c>
      <c r="CT265" s="110">
        <f t="shared" ref="CT265" si="2514">M265-K265</f>
        <v>1</v>
      </c>
    </row>
    <row r="266" spans="1:1030" x14ac:dyDescent="0.2">
      <c r="C266" s="2"/>
    </row>
    <row r="267" spans="1:1030" x14ac:dyDescent="0.2">
      <c r="C267" s="2"/>
    </row>
    <row r="342" spans="52:86" x14ac:dyDescent="0.2">
      <c r="AZ342" s="78"/>
      <c r="BA342" s="28"/>
      <c r="BB342" s="16"/>
      <c r="BD342" s="2"/>
      <c r="BJ342" s="71"/>
      <c r="BV342" s="71"/>
      <c r="CH342" s="71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99 BB57 BB20:BB24 BB27:BB31">
    <cfRule type="cellIs" dxfId="57" priority="10" operator="equal">
      <formula>0</formula>
    </cfRule>
  </conditionalFormatting>
  <conditionalFormatting sqref="BB209:BB210">
    <cfRule type="cellIs" dxfId="56" priority="11" operator="equal">
      <formula>0</formula>
    </cfRule>
  </conditionalFormatting>
  <conditionalFormatting sqref="BB8">
    <cfRule type="cellIs" dxfId="55" priority="12" operator="equal">
      <formula>0</formula>
    </cfRule>
  </conditionalFormatting>
  <conditionalFormatting sqref="BB222">
    <cfRule type="cellIs" dxfId="54" priority="13" operator="equal">
      <formula>0</formula>
    </cfRule>
  </conditionalFormatting>
  <conditionalFormatting sqref="E222 AW222 AU222 AS222 AQ222 AO222 AM222 AK222 AI222 AG222 AE222 AC222 AA222 Y222 W222 U222 S222 Q222 O222 M222 K222 I222 G222">
    <cfRule type="cellIs" dxfId="53" priority="14" operator="equal">
      <formula>"G"</formula>
    </cfRule>
    <cfRule type="cellIs" dxfId="52" priority="15" operator="equal">
      <formula>"P"</formula>
    </cfRule>
  </conditionalFormatting>
  <conditionalFormatting sqref="BB19">
    <cfRule type="cellIs" dxfId="51" priority="16" operator="equal">
      <formula>0</formula>
    </cfRule>
  </conditionalFormatting>
  <conditionalFormatting sqref="BB7">
    <cfRule type="cellIs" dxfId="50" priority="20" operator="equal">
      <formula>0</formula>
    </cfRule>
  </conditionalFormatting>
  <conditionalFormatting sqref="E7 AW7 AU7 AS7 AQ7 AO7 AM7 AK7 AI7 AG7 AE7 AC7 AA7 Y7 W7 U7 S7 Q7 O7 M7 K7 I7 G7">
    <cfRule type="cellIs" dxfId="49" priority="22" operator="equal">
      <formula>"G"</formula>
    </cfRule>
    <cfRule type="cellIs" dxfId="48" priority="23" operator="equal">
      <formula>"P"</formula>
    </cfRule>
  </conditionalFormatting>
  <conditionalFormatting sqref="BB1:BB24 BB27:BB1048576">
    <cfRule type="cellIs" dxfId="47" priority="8" operator="equal">
      <formula>FALSE</formula>
    </cfRule>
  </conditionalFormatting>
  <conditionalFormatting sqref="BG27:BG38 BG18:BG24 BH18:BH38 BG1:BH17 BG39:BH1048576">
    <cfRule type="cellIs" dxfId="46" priority="7" operator="equal">
      <formula>"?"</formula>
    </cfRule>
  </conditionalFormatting>
  <conditionalFormatting sqref="BB25:BB26">
    <cfRule type="cellIs" dxfId="45" priority="6" operator="equal">
      <formula>FALSE</formula>
    </cfRule>
  </conditionalFormatting>
  <conditionalFormatting sqref="BG25:BG26">
    <cfRule type="cellIs" dxfId="44" priority="5" operator="equal">
      <formula>"?"</formula>
    </cfRule>
  </conditionalFormatting>
  <conditionalFormatting sqref="BE2:BE1048576">
    <cfRule type="notContainsText" dxfId="43" priority="2" operator="notContains" text="In">
      <formula>ISERROR(SEARCH("In",BE2))</formula>
    </cfRule>
    <cfRule type="containsText" dxfId="42" priority="3" operator="containsText" text="Inter">
      <formula>NOT(ISERROR(SEARCH("Inter",BE2)))</formula>
    </cfRule>
    <cfRule type="containsText" dxfId="41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BE2:BE342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pane ySplit="1" topLeftCell="A16" activePane="bottomLeft" state="frozenSplit"/>
      <selection pane="bottomLeft" activeCell="B55" sqref="B55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8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6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5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5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5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5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5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5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5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5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5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5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5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5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5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5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5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5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5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5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5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5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5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25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24</v>
      </c>
      <c r="L23" s="2">
        <f>IFERROR(50+VLOOKUP($A23,'SegEnds_Xtal_Prot#'!$A:$AY,23,FALSE)-VLOOKUP($B23,'SegEnds_NonXtal_Prot#'!$A:$AL,16,FALSE),"-")</f>
        <v>56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63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32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5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5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5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5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5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5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5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5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5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5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5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5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5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5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5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5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5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5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5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5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5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5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5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5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5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5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5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5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5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5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2" t="s">
        <v>1454</v>
      </c>
      <c r="B53" s="2" t="s">
        <v>1451</v>
      </c>
      <c r="C53" s="2">
        <f>IFERROR(50+VLOOKUP($A53,'SegEnds_Xtal_Prot#'!$A:$AY,5,FALSE)-VLOOKUP($B53,'SegEnds_NonXtal_Prot#'!$A:$AL,4,FALSE),"-")</f>
        <v>31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48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37</v>
      </c>
      <c r="H53" s="2">
        <f>IFERROR(50+VLOOKUP($A53,'SegEnds_Xtal_Prot#'!$A:$AY,15,FALSE)-VLOOKUP($B53,'SegEnds_NonXtal_Prot#'!$A:$AL,10,FALSE),"-")</f>
        <v>66</v>
      </c>
      <c r="I53" s="2">
        <f>IFERROR(50+VLOOKUP($A53,'SegEnds_Xtal_Prot#'!$A:$AY,17,FALSE)-VLOOKUP($B53,'SegEnds_NonXtal_Prot#'!$A:$AL,13,FALSE),"-")</f>
        <v>48</v>
      </c>
      <c r="J53" s="2">
        <f>IFERROR(50+VLOOKUP($A53,'SegEnds_Xtal_Prot#'!$A:$AY,19,FALSE)-VLOOKUP($B53,'SegEnds_NonXtal_Prot#'!$A:$AL,13,FALSE),"-")</f>
        <v>52</v>
      </c>
      <c r="K53" s="2">
        <f>IFERROR(50+VLOOKUP($A53,'SegEnds_Xtal_Prot#'!$A:$AY,21,FALSE)-VLOOKUP($B53,'SegEnds_NonXtal_Prot#'!$A:$AL,16,FALSE),"-")</f>
        <v>21</v>
      </c>
      <c r="L53" s="2">
        <f>IFERROR(50+VLOOKUP($A53,'SegEnds_Xtal_Prot#'!$A:$AY,23,FALSE)-VLOOKUP($B53,'SegEnds_NonXtal_Prot#'!$A:$AL,16,FALSE),"-")</f>
        <v>56</v>
      </c>
      <c r="M53" s="2">
        <f>IFERROR(50+VLOOKUP($A53,'SegEnds_Xtal_Prot#'!$A:$AY,25,FALSE)-VLOOKUP($B53,'SegEnds_NonXtal_Prot#'!$A:$AL,19,FALSE),"-")</f>
        <v>50</v>
      </c>
      <c r="N53" s="2">
        <f>IFERROR(50+VLOOKUP($A53,'SegEnds_Xtal_Prot#'!$A:$AY,27,FALSE)-VLOOKUP($B53,'SegEnds_NonXtal_Prot#'!$A:$AL,19,FALSE),"-")</f>
        <v>57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65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31</v>
      </c>
      <c r="T53" s="2">
        <f>IFERROR(50+VLOOKUP($A53,'SegEnds_Xtal_Prot#'!$A:$AY,39,FALSE)-VLOOKUP($B53,'SegEnds_NonXtal_Prot#'!$A:$AL,28,FALSE),"-")</f>
        <v>67</v>
      </c>
      <c r="U53" s="2">
        <f>IFERROR(50+VLOOKUP($A53,'SegEnds_Xtal_Prot#'!$A:$AY,41,FALSE)-VLOOKUP($B53,'SegEnds_NonXtal_Prot#'!$A:$AL,31,FALSE),"-")</f>
        <v>29</v>
      </c>
      <c r="V53" s="2">
        <f>IFERROR(50+VLOOKUP($A53,'SegEnds_Xtal_Prot#'!$A:$AY,43,FALSE)-VLOOKUP($B53,'SegEnds_NonXtal_Prot#'!$A:$AL,31,FALSE),"-")</f>
        <v>64</v>
      </c>
      <c r="W53" s="2">
        <f>IFERROR(50+VLOOKUP($A53,'SegEnds_Xtal_Prot#'!$A:$AY,45,FALSE)-VLOOKUP($B53,'SegEnds_NonXtal_Prot#'!$A:$AL,34,FALSE),"-")</f>
        <v>24</v>
      </c>
      <c r="X53" s="2">
        <f>IFERROR(50+VLOOKUP($A53,'SegEnds_Xtal_Prot#'!$A:$AY,47,FALSE)-VLOOKUP($B53,'SegEnds_NonXtal_Prot#'!$A:$AL,34,FALSE),"-")</f>
        <v>56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61</v>
      </c>
      <c r="AA53" s="49" t="str">
        <f>VLOOKUP(B53,Classification!A:D,2,FALSE)</f>
        <v>A</v>
      </c>
      <c r="AB53" s="95" t="str">
        <f>VLOOKUP(B53,Classification!A:D,4,0)</f>
        <v>Lysophospholipid(LPA)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>
        <f>VLOOKUP(B53,'SegEnds_NonXtal_Prot#'!A:AL,13,FALSE)-VLOOKUP(B53,'SegEnds_NonXtal_Prot#'!A:AL,10,FALSE)</f>
        <v>19</v>
      </c>
      <c r="AF53" s="49">
        <f>VLOOKUP(B53,'SegEnds_NonXtal_Prot#'!A:AL,12,FALSE)-VLOOKUP(B53,'SegEnds_NonXtal_Prot#'!A:AL,11,FALSE)</f>
        <v>2</v>
      </c>
      <c r="AG53" s="49">
        <f>VLOOKUP(B53,'SegEnds_NonXtal_Prot#'!A:AL,13,FALSE)-VLOOKUP(B53,'SegEnds_NonXtal_Prot#'!A:AL,11,FALSE)</f>
        <v>3</v>
      </c>
      <c r="AH53" s="49">
        <f>VLOOKUP(B53,'SegEnds_NonXtal_Prot#'!A:AL,16,FALSE)-VLOOKUP(B53,'SegEnds_NonXtal_Prot#'!A:AL,10,FALSE)</f>
        <v>51</v>
      </c>
      <c r="AI53" s="49">
        <f>VLOOKUP(B53,'SegEnds_NonXtal_Prot#'!A:AL,16,FALSE)-VLOOKUP(B53,'SegEnds_NonXtal_Prot#'!A:AL,11,FALSE)</f>
        <v>35</v>
      </c>
      <c r="AJ53" s="49">
        <f>VLOOKUP(B53,'SegEnds_NonXtal_Prot#'!A:AL,22,FALSE)-VLOOKUP(B53,'SegEnds_NonXtal_Prot#'!A:AL,19,FALSE)</f>
        <v>20</v>
      </c>
      <c r="AK53" s="49">
        <f>VLOOKUP(B53,'SegEnds_NonXtal_Prot#'!A:AL,15,FALSE)-VLOOKUP(B53,'SegEnds_NonXtal_Prot#'!A:AL,14,FALSE)</f>
        <v>1</v>
      </c>
      <c r="AL53" s="49">
        <f>VLOOKUP(B53,'SegEnds_NonXtal_Prot#'!A:AL,18,FALSE)-VLOOKUP(B53,'SegEnds_NonXtal_Prot#'!A:AL,17,FALSE)</f>
        <v>1</v>
      </c>
      <c r="AM53" s="2">
        <f>VLOOKUP(B53,'SegEnds_NonXtal_Prot#'!A:AL,34,FALSE)-VLOOKUP(B53,'SegEnds_NonXtal_Prot#'!A:AL,31,FALSE)</f>
        <v>44</v>
      </c>
    </row>
    <row r="54" spans="1:64" x14ac:dyDescent="0.2">
      <c r="A54" s="2" t="s">
        <v>1466</v>
      </c>
      <c r="B54" s="2" t="s">
        <v>1463</v>
      </c>
      <c r="C54" s="2">
        <f>IFERROR(50+VLOOKUP($A54,'SegEnds_Xtal_Prot#'!$A:$AY,5,FALSE)-VLOOKUP($B54,'SegEnds_NonXtal_Prot#'!$A:$AL,4,FALSE),"-")</f>
        <v>29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67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64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30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5" t="str">
        <f>VLOOKUP(B54,Classification!A:D,4,0)</f>
        <v>Leukotriene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1</v>
      </c>
      <c r="AG54" s="49">
        <f>VLOOKUP(B54,'SegEnds_NonXtal_Prot#'!A:AL,13,FALSE)-VLOOKUP(B54,'SegEnds_NonXtal_Prot#'!A:AL,11,FALSE)</f>
        <v>2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34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43</v>
      </c>
    </row>
    <row r="55" spans="1:64" x14ac:dyDescent="0.2">
      <c r="A55" s="2" t="s">
        <v>1493</v>
      </c>
      <c r="B55" s="2" t="s">
        <v>165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 t="str">
        <f>IFERROR(50+VLOOKUP($A55,'SegEnds_Xtal_Prot#'!$A:$AY,9,FALSE)-VLOOKUP($B55,'SegEnds_NonXtal_Prot#'!$A:$AL,7,FALSE),"-")</f>
        <v>-</v>
      </c>
      <c r="F55" s="2" t="str">
        <f>IFERROR(50+VLOOKUP($A55,'SegEnds_Xtal_Prot#'!$A:$AY,11,FALSE)-VLOOKUP($B55,'SegEnds_NonXtal_Prot#'!$A:$AL,7,FALSE),"-")</f>
        <v>-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31</v>
      </c>
      <c r="V55" s="2">
        <f>IFERROR(50+VLOOKUP($A55,'SegEnds_Xtal_Prot#'!$A:$AY,43,FALSE)-VLOOKUP($B55,'SegEnds_NonXtal_Prot#'!$A:$AL,31,FALSE),"-")</f>
        <v>61</v>
      </c>
      <c r="W55" s="2">
        <f>IFERROR(50+VLOOKUP($A55,'SegEnds_Xtal_Prot#'!$A:$AY,45,FALSE)-VLOOKUP($B55,'SegEnds_NonXtal_Prot#'!$A:$AL,34,FALSE),"-")</f>
        <v>25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56</v>
      </c>
      <c r="AA55" s="49" t="str">
        <f>VLOOKUP(B55,Classification!A:D,2,FALSE)</f>
        <v>A</v>
      </c>
      <c r="AB55" s="95" t="str">
        <f>VLOOKUP(B55,Classification!A:D,4,0)</f>
        <v>Complementpeptide</v>
      </c>
      <c r="AC55" s="49" t="e">
        <f>VLOOKUP(B55,'SegEnds_NonXtal_Prot#'!A:AL,6,FALSE)-VLOOKUP(B55,'SegEnds_NonXtal_Prot#'!A:AL,5,FALSE)</f>
        <v>#VALUE!</v>
      </c>
      <c r="AD55" s="49" t="e">
        <f>VLOOKUP(B55,'SegEnds_NonXtal_Prot#'!A:AL,9,FALSE)-VLOOKUP(B55,'SegEnds_NonXtal_Prot#'!A:AL,8,FALSE)</f>
        <v>#VALUE!</v>
      </c>
      <c r="AE55" s="49">
        <f>VLOOKUP(B55,'SegEnds_NonXtal_Prot#'!A:AL,13,FALSE)-VLOOKUP(B55,'SegEnds_NonXtal_Prot#'!A:AL,10,FALSE)</f>
        <v>20</v>
      </c>
      <c r="AF55" s="49">
        <f>VLOOKUP(B55,'SegEnds_NonXtal_Prot#'!A:AL,12,FALSE)-VLOOKUP(B55,'SegEnds_NonXtal_Prot#'!A:AL,11,FALSE)</f>
        <v>2</v>
      </c>
      <c r="AG55" s="49">
        <f>VLOOKUP(B55,'SegEnds_NonXtal_Prot#'!A:AL,13,FALSE)-VLOOKUP(B55,'SegEnds_NonXtal_Prot#'!A:AL,11,FALSE)</f>
        <v>3</v>
      </c>
      <c r="AH55" s="49">
        <f>VLOOKUP(B55,'SegEnds_NonXtal_Prot#'!A:AL,16,FALSE)-VLOOKUP(B55,'SegEnds_NonXtal_Prot#'!A:AL,10,FALSE)</f>
        <v>52</v>
      </c>
      <c r="AI55" s="49">
        <f>VLOOKUP(B55,'SegEnds_NonXtal_Prot#'!A:AL,16,FALSE)-VLOOKUP(B55,'SegEnds_NonXtal_Prot#'!A:AL,11,FALSE)</f>
        <v>35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40</v>
      </c>
    </row>
    <row r="56" spans="1:64" x14ac:dyDescent="0.2">
      <c r="A56" s="4"/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49"/>
      <c r="AB56" s="97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2"/>
      <c r="AN56" s="38"/>
      <c r="AO56" s="30" t="s">
        <v>1061</v>
      </c>
      <c r="AP56" s="30" t="s">
        <v>1062</v>
      </c>
      <c r="AQ56" s="30" t="s">
        <v>1078</v>
      </c>
      <c r="AR56" s="30" t="s">
        <v>1079</v>
      </c>
      <c r="AS56" s="30" t="s">
        <v>1063</v>
      </c>
      <c r="AT56" s="30" t="s">
        <v>1064</v>
      </c>
      <c r="AU56" s="30" t="s">
        <v>1080</v>
      </c>
      <c r="AV56" s="30" t="s">
        <v>1081</v>
      </c>
      <c r="AW56" s="30" t="s">
        <v>1065</v>
      </c>
      <c r="AX56" s="30" t="s">
        <v>1066</v>
      </c>
      <c r="AY56" s="30" t="s">
        <v>1093</v>
      </c>
      <c r="AZ56" s="30" t="s">
        <v>1094</v>
      </c>
      <c r="BA56" s="30" t="s">
        <v>1067</v>
      </c>
      <c r="BB56" s="30" t="s">
        <v>1068</v>
      </c>
      <c r="BC56" s="30" t="s">
        <v>1096</v>
      </c>
      <c r="BD56" s="30" t="s">
        <v>1097</v>
      </c>
      <c r="BE56" s="30" t="s">
        <v>1069</v>
      </c>
      <c r="BF56" s="30" t="s">
        <v>1070</v>
      </c>
      <c r="BG56" s="30" t="s">
        <v>1071</v>
      </c>
      <c r="BH56" s="30" t="s">
        <v>1072</v>
      </c>
      <c r="BI56" s="30" t="s">
        <v>1073</v>
      </c>
      <c r="BJ56" s="30" t="s">
        <v>1074</v>
      </c>
      <c r="BK56" s="30" t="s">
        <v>1075</v>
      </c>
      <c r="BL56" s="30" t="s">
        <v>1076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8" t="s">
        <v>1</v>
      </c>
      <c r="AO57" s="4">
        <f t="shared" ref="AO57:BL57" si="0">MAX(C2:C42)</f>
        <v>34</v>
      </c>
      <c r="AP57" s="4">
        <f t="shared" si="0"/>
        <v>64</v>
      </c>
      <c r="AQ57" s="4">
        <f t="shared" si="0"/>
        <v>48</v>
      </c>
      <c r="AR57" s="4">
        <f t="shared" si="0"/>
        <v>52</v>
      </c>
      <c r="AS57" s="4">
        <f t="shared" si="0"/>
        <v>38</v>
      </c>
      <c r="AT57" s="4">
        <f t="shared" si="0"/>
        <v>69</v>
      </c>
      <c r="AU57" s="4">
        <f t="shared" si="0"/>
        <v>50</v>
      </c>
      <c r="AV57" s="4">
        <f t="shared" si="0"/>
        <v>53</v>
      </c>
      <c r="AW57" s="4">
        <f t="shared" si="0"/>
        <v>24</v>
      </c>
      <c r="AX57" s="4">
        <f t="shared" si="0"/>
        <v>56</v>
      </c>
      <c r="AY57" s="4">
        <f t="shared" si="0"/>
        <v>50</v>
      </c>
      <c r="AZ57" s="4">
        <f t="shared" si="0"/>
        <v>58</v>
      </c>
      <c r="BA57" s="4">
        <f t="shared" si="0"/>
        <v>38</v>
      </c>
      <c r="BB57" s="4">
        <f t="shared" si="0"/>
        <v>69</v>
      </c>
      <c r="BC57" s="4">
        <f t="shared" si="0"/>
        <v>50</v>
      </c>
      <c r="BD57" s="4">
        <f t="shared" si="0"/>
        <v>52</v>
      </c>
      <c r="BE57" s="4">
        <f t="shared" si="0"/>
        <v>36</v>
      </c>
      <c r="BF57" s="4">
        <f t="shared" si="0"/>
        <v>77</v>
      </c>
      <c r="BG57" s="4">
        <f t="shared" si="0"/>
        <v>30</v>
      </c>
      <c r="BH57" s="4">
        <f t="shared" si="0"/>
        <v>65</v>
      </c>
      <c r="BI57" s="4">
        <f t="shared" si="0"/>
        <v>32</v>
      </c>
      <c r="BJ57" s="4">
        <f t="shared" si="0"/>
        <v>56</v>
      </c>
      <c r="BK57" s="4">
        <f t="shared" si="0"/>
        <v>47</v>
      </c>
      <c r="BL57" s="4">
        <f t="shared" si="0"/>
        <v>69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1">MIN(C2:C42)</f>
        <v>22</v>
      </c>
      <c r="AP58" s="4">
        <f t="shared" si="1"/>
        <v>60</v>
      </c>
      <c r="AQ58" s="4">
        <f t="shared" si="1"/>
        <v>48</v>
      </c>
      <c r="AR58" s="4">
        <f t="shared" si="1"/>
        <v>51</v>
      </c>
      <c r="AS58" s="4">
        <f t="shared" si="1"/>
        <v>34</v>
      </c>
      <c r="AT58" s="4">
        <f t="shared" si="1"/>
        <v>63</v>
      </c>
      <c r="AU58" s="4">
        <f t="shared" si="1"/>
        <v>47</v>
      </c>
      <c r="AV58" s="4">
        <f t="shared" si="1"/>
        <v>52</v>
      </c>
      <c r="AW58" s="4">
        <f t="shared" si="1"/>
        <v>18</v>
      </c>
      <c r="AX58" s="4">
        <f t="shared" si="1"/>
        <v>56</v>
      </c>
      <c r="AY58" s="4">
        <f t="shared" si="1"/>
        <v>50</v>
      </c>
      <c r="AZ58" s="4">
        <f t="shared" si="1"/>
        <v>53</v>
      </c>
      <c r="BA58" s="4">
        <f t="shared" si="1"/>
        <v>35</v>
      </c>
      <c r="BB58" s="4">
        <f t="shared" si="1"/>
        <v>62</v>
      </c>
      <c r="BC58" s="4">
        <f t="shared" si="1"/>
        <v>50</v>
      </c>
      <c r="BD58" s="4">
        <f t="shared" si="1"/>
        <v>52</v>
      </c>
      <c r="BE58" s="4">
        <f t="shared" si="1"/>
        <v>28</v>
      </c>
      <c r="BF58" s="4">
        <f t="shared" si="1"/>
        <v>67</v>
      </c>
      <c r="BG58" s="4">
        <f t="shared" si="1"/>
        <v>18</v>
      </c>
      <c r="BH58" s="4">
        <f t="shared" si="1"/>
        <v>60</v>
      </c>
      <c r="BI58" s="4">
        <f t="shared" si="1"/>
        <v>24</v>
      </c>
      <c r="BJ58" s="4">
        <f t="shared" si="1"/>
        <v>55</v>
      </c>
      <c r="BK58" s="4">
        <f t="shared" si="1"/>
        <v>47</v>
      </c>
      <c r="BL58" s="4">
        <f t="shared" si="1"/>
        <v>57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2">AO57-AO58</f>
        <v>12</v>
      </c>
      <c r="AP59" s="4">
        <f t="shared" si="2"/>
        <v>4</v>
      </c>
      <c r="AQ59" s="4">
        <f t="shared" si="2"/>
        <v>0</v>
      </c>
      <c r="AR59" s="4">
        <f t="shared" si="2"/>
        <v>1</v>
      </c>
      <c r="AS59" s="4">
        <f t="shared" si="2"/>
        <v>4</v>
      </c>
      <c r="AT59" s="4">
        <f t="shared" si="2"/>
        <v>6</v>
      </c>
      <c r="AU59" s="4">
        <f t="shared" si="2"/>
        <v>3</v>
      </c>
      <c r="AV59" s="4">
        <f t="shared" si="2"/>
        <v>1</v>
      </c>
      <c r="AW59" s="4">
        <f t="shared" si="2"/>
        <v>6</v>
      </c>
      <c r="AX59" s="4">
        <f t="shared" si="2"/>
        <v>0</v>
      </c>
      <c r="AY59" s="4">
        <f t="shared" si="2"/>
        <v>0</v>
      </c>
      <c r="AZ59" s="4">
        <f t="shared" si="2"/>
        <v>5</v>
      </c>
      <c r="BA59" s="4">
        <f t="shared" si="2"/>
        <v>3</v>
      </c>
      <c r="BB59" s="4">
        <f t="shared" si="2"/>
        <v>7</v>
      </c>
      <c r="BC59" s="4">
        <f t="shared" si="2"/>
        <v>0</v>
      </c>
      <c r="BD59" s="4">
        <f t="shared" si="2"/>
        <v>0</v>
      </c>
      <c r="BE59" s="4">
        <f t="shared" si="2"/>
        <v>8</v>
      </c>
      <c r="BF59" s="4">
        <f t="shared" si="2"/>
        <v>10</v>
      </c>
      <c r="BG59" s="4">
        <f t="shared" si="2"/>
        <v>12</v>
      </c>
      <c r="BH59" s="4">
        <f t="shared" si="2"/>
        <v>5</v>
      </c>
      <c r="BI59" s="4">
        <f t="shared" si="2"/>
        <v>8</v>
      </c>
      <c r="BJ59" s="4">
        <f t="shared" si="2"/>
        <v>1</v>
      </c>
      <c r="BK59" s="4">
        <f t="shared" si="2"/>
        <v>0</v>
      </c>
      <c r="BL59" s="4">
        <f t="shared" si="2"/>
        <v>12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8" t="s">
        <v>1287</v>
      </c>
      <c r="AO60" s="4">
        <f t="shared" ref="AO60:BL60" si="3">MAX(C43:C46)</f>
        <v>29</v>
      </c>
      <c r="AP60" s="4">
        <f t="shared" si="3"/>
        <v>60</v>
      </c>
      <c r="AQ60" s="4">
        <f t="shared" si="3"/>
        <v>48</v>
      </c>
      <c r="AR60" s="4">
        <f t="shared" si="3"/>
        <v>51</v>
      </c>
      <c r="AS60" s="4">
        <f t="shared" si="3"/>
        <v>37</v>
      </c>
      <c r="AT60" s="4">
        <f t="shared" si="3"/>
        <v>66</v>
      </c>
      <c r="AU60" s="4">
        <f t="shared" si="3"/>
        <v>49</v>
      </c>
      <c r="AV60" s="4">
        <f t="shared" si="3"/>
        <v>52</v>
      </c>
      <c r="AW60" s="4">
        <f t="shared" si="3"/>
        <v>22</v>
      </c>
      <c r="AX60" s="4">
        <f t="shared" si="3"/>
        <v>56</v>
      </c>
      <c r="AY60" s="4">
        <f t="shared" si="3"/>
        <v>50</v>
      </c>
      <c r="AZ60" s="4">
        <f t="shared" si="3"/>
        <v>57</v>
      </c>
      <c r="BA60" s="4">
        <f t="shared" si="3"/>
        <v>41</v>
      </c>
      <c r="BB60" s="4">
        <f t="shared" si="3"/>
        <v>68</v>
      </c>
      <c r="BC60" s="4">
        <f t="shared" si="3"/>
        <v>50</v>
      </c>
      <c r="BD60" s="4">
        <f t="shared" si="3"/>
        <v>52</v>
      </c>
      <c r="BE60" s="4">
        <f t="shared" si="3"/>
        <v>40</v>
      </c>
      <c r="BF60" s="4">
        <f t="shared" si="3"/>
        <v>70</v>
      </c>
      <c r="BG60" s="4">
        <f t="shared" si="3"/>
        <v>30</v>
      </c>
      <c r="BH60" s="4">
        <f t="shared" si="3"/>
        <v>65</v>
      </c>
      <c r="BI60" s="4">
        <f t="shared" si="3"/>
        <v>31</v>
      </c>
      <c r="BJ60" s="4">
        <f t="shared" si="3"/>
        <v>56</v>
      </c>
      <c r="BK60" s="4">
        <f t="shared" si="3"/>
        <v>47</v>
      </c>
      <c r="BL60" s="4">
        <f t="shared" si="3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4">MIN(C43:C46)</f>
        <v>19</v>
      </c>
      <c r="AP61" s="4">
        <f t="shared" si="4"/>
        <v>60</v>
      </c>
      <c r="AQ61" s="4">
        <f t="shared" si="4"/>
        <v>48</v>
      </c>
      <c r="AR61" s="4">
        <f t="shared" si="4"/>
        <v>51</v>
      </c>
      <c r="AS61" s="4">
        <f t="shared" si="4"/>
        <v>37</v>
      </c>
      <c r="AT61" s="4">
        <f t="shared" si="4"/>
        <v>63</v>
      </c>
      <c r="AU61" s="4">
        <f t="shared" si="4"/>
        <v>47</v>
      </c>
      <c r="AV61" s="4">
        <f t="shared" si="4"/>
        <v>52</v>
      </c>
      <c r="AW61" s="4">
        <f t="shared" si="4"/>
        <v>21</v>
      </c>
      <c r="AX61" s="4">
        <f t="shared" si="4"/>
        <v>56</v>
      </c>
      <c r="AY61" s="4">
        <f t="shared" si="4"/>
        <v>50</v>
      </c>
      <c r="AZ61" s="4">
        <f t="shared" si="4"/>
        <v>56</v>
      </c>
      <c r="BA61" s="4">
        <f t="shared" si="4"/>
        <v>38</v>
      </c>
      <c r="BB61" s="4">
        <f t="shared" si="4"/>
        <v>62</v>
      </c>
      <c r="BC61" s="4">
        <f t="shared" si="4"/>
        <v>50</v>
      </c>
      <c r="BD61" s="4">
        <f t="shared" si="4"/>
        <v>52</v>
      </c>
      <c r="BE61" s="4">
        <f t="shared" si="4"/>
        <v>31</v>
      </c>
      <c r="BF61" s="4">
        <f t="shared" si="4"/>
        <v>67</v>
      </c>
      <c r="BG61" s="4">
        <f t="shared" si="4"/>
        <v>25</v>
      </c>
      <c r="BH61" s="4">
        <f t="shared" si="4"/>
        <v>53</v>
      </c>
      <c r="BI61" s="4">
        <f t="shared" si="4"/>
        <v>28</v>
      </c>
      <c r="BJ61" s="4">
        <f t="shared" si="4"/>
        <v>56</v>
      </c>
      <c r="BK61" s="4">
        <f t="shared" si="4"/>
        <v>47</v>
      </c>
      <c r="BL61" s="4">
        <f t="shared" si="4"/>
        <v>61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5">AO60-AO61</f>
        <v>10</v>
      </c>
      <c r="AP62" s="4">
        <f t="shared" si="5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3</v>
      </c>
      <c r="AU62" s="4">
        <f t="shared" si="5"/>
        <v>2</v>
      </c>
      <c r="AV62" s="4">
        <f t="shared" si="5"/>
        <v>0</v>
      </c>
      <c r="AW62" s="4">
        <f t="shared" si="5"/>
        <v>1</v>
      </c>
      <c r="AX62" s="4">
        <f t="shared" si="5"/>
        <v>0</v>
      </c>
      <c r="AY62" s="4">
        <f t="shared" si="5"/>
        <v>0</v>
      </c>
      <c r="AZ62" s="4">
        <f t="shared" si="5"/>
        <v>1</v>
      </c>
      <c r="BA62" s="4">
        <f t="shared" si="5"/>
        <v>3</v>
      </c>
      <c r="BB62" s="4">
        <f t="shared" si="5"/>
        <v>6</v>
      </c>
      <c r="BC62" s="4">
        <f t="shared" si="5"/>
        <v>0</v>
      </c>
      <c r="BD62" s="4">
        <f t="shared" si="5"/>
        <v>0</v>
      </c>
      <c r="BE62" s="4">
        <f t="shared" si="5"/>
        <v>9</v>
      </c>
      <c r="BF62" s="4">
        <f t="shared" si="5"/>
        <v>3</v>
      </c>
      <c r="BG62" s="4">
        <f t="shared" si="5"/>
        <v>5</v>
      </c>
      <c r="BH62" s="4">
        <f t="shared" si="5"/>
        <v>12</v>
      </c>
      <c r="BI62" s="4">
        <f t="shared" si="5"/>
        <v>3</v>
      </c>
      <c r="BJ62" s="4">
        <f t="shared" si="5"/>
        <v>0</v>
      </c>
      <c r="BK62" s="4">
        <f t="shared" si="5"/>
        <v>0</v>
      </c>
      <c r="BL62" s="4">
        <f t="shared" si="5"/>
        <v>11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8" t="s">
        <v>27</v>
      </c>
      <c r="AO63" s="4">
        <f t="shared" ref="AO63:BL63" si="6">MAX(C47:C50)</f>
        <v>34</v>
      </c>
      <c r="AP63" s="4">
        <f t="shared" si="6"/>
        <v>60</v>
      </c>
      <c r="AQ63" s="4">
        <f t="shared" si="6"/>
        <v>48</v>
      </c>
      <c r="AR63" s="4">
        <f t="shared" si="6"/>
        <v>53</v>
      </c>
      <c r="AS63" s="4">
        <f t="shared" si="6"/>
        <v>39</v>
      </c>
      <c r="AT63" s="4">
        <f t="shared" si="6"/>
        <v>74</v>
      </c>
      <c r="AU63" s="4">
        <f t="shared" si="6"/>
        <v>0</v>
      </c>
      <c r="AV63" s="4">
        <f t="shared" si="6"/>
        <v>0</v>
      </c>
      <c r="AW63" s="4">
        <f t="shared" si="6"/>
        <v>23</v>
      </c>
      <c r="AX63" s="4">
        <f t="shared" si="6"/>
        <v>56</v>
      </c>
      <c r="AY63" s="4">
        <f t="shared" si="6"/>
        <v>0</v>
      </c>
      <c r="AZ63" s="4">
        <f t="shared" si="6"/>
        <v>0</v>
      </c>
      <c r="BA63" s="4">
        <f t="shared" si="6"/>
        <v>40</v>
      </c>
      <c r="BB63" s="4">
        <f t="shared" si="6"/>
        <v>68</v>
      </c>
      <c r="BC63" s="4">
        <f t="shared" si="6"/>
        <v>50</v>
      </c>
      <c r="BD63" s="4">
        <f t="shared" si="6"/>
        <v>52</v>
      </c>
      <c r="BE63" s="4">
        <f t="shared" si="6"/>
        <v>39</v>
      </c>
      <c r="BF63" s="4">
        <f t="shared" si="6"/>
        <v>71</v>
      </c>
      <c r="BG63" s="4">
        <f t="shared" si="6"/>
        <v>33</v>
      </c>
      <c r="BH63" s="4">
        <f t="shared" si="6"/>
        <v>57</v>
      </c>
      <c r="BI63" s="4">
        <f t="shared" si="6"/>
        <v>33</v>
      </c>
      <c r="BJ63" s="4">
        <f t="shared" si="6"/>
        <v>64</v>
      </c>
      <c r="BK63" s="4">
        <f t="shared" si="6"/>
        <v>47</v>
      </c>
      <c r="BL63" s="4">
        <f t="shared" si="6"/>
        <v>72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7">MIN(C47:C50)</f>
        <v>25</v>
      </c>
      <c r="AP64" s="4">
        <f t="shared" si="7"/>
        <v>60</v>
      </c>
      <c r="AQ64" s="4">
        <f t="shared" si="7"/>
        <v>47</v>
      </c>
      <c r="AR64" s="4">
        <f t="shared" si="7"/>
        <v>51</v>
      </c>
      <c r="AS64" s="4">
        <f t="shared" si="7"/>
        <v>37</v>
      </c>
      <c r="AT64" s="4">
        <f t="shared" si="7"/>
        <v>61</v>
      </c>
      <c r="AU64" s="4">
        <f t="shared" si="7"/>
        <v>0</v>
      </c>
      <c r="AV64" s="4">
        <f t="shared" si="7"/>
        <v>0</v>
      </c>
      <c r="AW64" s="4">
        <f t="shared" si="7"/>
        <v>21</v>
      </c>
      <c r="AX64" s="4">
        <f t="shared" si="7"/>
        <v>54</v>
      </c>
      <c r="AY64" s="4">
        <f t="shared" si="7"/>
        <v>0</v>
      </c>
      <c r="AZ64" s="4">
        <f t="shared" si="7"/>
        <v>0</v>
      </c>
      <c r="BA64" s="4">
        <f t="shared" si="7"/>
        <v>37</v>
      </c>
      <c r="BB64" s="4">
        <f t="shared" si="7"/>
        <v>64</v>
      </c>
      <c r="BC64" s="4">
        <f t="shared" si="7"/>
        <v>50</v>
      </c>
      <c r="BD64" s="4">
        <f t="shared" si="7"/>
        <v>52</v>
      </c>
      <c r="BE64" s="4">
        <f t="shared" si="7"/>
        <v>36</v>
      </c>
      <c r="BF64" s="4">
        <f t="shared" si="7"/>
        <v>61</v>
      </c>
      <c r="BG64" s="4">
        <f t="shared" si="7"/>
        <v>28</v>
      </c>
      <c r="BH64" s="4">
        <f t="shared" si="7"/>
        <v>53</v>
      </c>
      <c r="BI64" s="4">
        <f t="shared" si="7"/>
        <v>27</v>
      </c>
      <c r="BJ64" s="4">
        <f t="shared" si="7"/>
        <v>56</v>
      </c>
      <c r="BK64" s="4">
        <f t="shared" si="7"/>
        <v>46</v>
      </c>
      <c r="BL64" s="4">
        <f t="shared" si="7"/>
        <v>57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8">AO63-AO64</f>
        <v>9</v>
      </c>
      <c r="AP65" s="4">
        <f t="shared" si="8"/>
        <v>0</v>
      </c>
      <c r="AQ65" s="4">
        <f t="shared" si="8"/>
        <v>1</v>
      </c>
      <c r="AR65" s="4">
        <f t="shared" si="8"/>
        <v>2</v>
      </c>
      <c r="AS65" s="4">
        <f t="shared" si="8"/>
        <v>2</v>
      </c>
      <c r="AT65" s="4">
        <f t="shared" si="8"/>
        <v>13</v>
      </c>
      <c r="AU65" s="4">
        <f t="shared" si="8"/>
        <v>0</v>
      </c>
      <c r="AV65" s="4">
        <f t="shared" si="8"/>
        <v>0</v>
      </c>
      <c r="AW65" s="4">
        <f t="shared" si="8"/>
        <v>2</v>
      </c>
      <c r="AX65" s="4">
        <f t="shared" si="8"/>
        <v>2</v>
      </c>
      <c r="AY65" s="4">
        <f t="shared" si="8"/>
        <v>0</v>
      </c>
      <c r="AZ65" s="4">
        <f t="shared" si="8"/>
        <v>0</v>
      </c>
      <c r="BA65" s="4">
        <f t="shared" si="8"/>
        <v>3</v>
      </c>
      <c r="BB65" s="4">
        <f t="shared" si="8"/>
        <v>4</v>
      </c>
      <c r="BC65" s="4">
        <f t="shared" si="8"/>
        <v>0</v>
      </c>
      <c r="BD65" s="4">
        <f t="shared" si="8"/>
        <v>0</v>
      </c>
      <c r="BE65" s="4">
        <f t="shared" si="8"/>
        <v>3</v>
      </c>
      <c r="BF65" s="4">
        <f t="shared" si="8"/>
        <v>10</v>
      </c>
      <c r="BG65" s="4">
        <f t="shared" si="8"/>
        <v>5</v>
      </c>
      <c r="BH65" s="4">
        <f t="shared" si="8"/>
        <v>4</v>
      </c>
      <c r="BI65" s="4">
        <f t="shared" si="8"/>
        <v>6</v>
      </c>
      <c r="BJ65" s="4">
        <f t="shared" si="8"/>
        <v>8</v>
      </c>
      <c r="BK65" s="4">
        <f t="shared" si="8"/>
        <v>1</v>
      </c>
      <c r="BL65" s="4">
        <f t="shared" si="8"/>
        <v>15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N66" s="38" t="s">
        <v>28</v>
      </c>
      <c r="AO66" s="4">
        <f t="shared" ref="AO66:BL66" si="9">MAX(C51)</f>
        <v>34</v>
      </c>
      <c r="AP66" s="4">
        <f t="shared" si="9"/>
        <v>60</v>
      </c>
      <c r="AQ66" s="4">
        <f t="shared" si="9"/>
        <v>47</v>
      </c>
      <c r="AR66" s="4">
        <f t="shared" si="9"/>
        <v>53</v>
      </c>
      <c r="AS66" s="4">
        <f t="shared" si="9"/>
        <v>39</v>
      </c>
      <c r="AT66" s="4">
        <f t="shared" si="9"/>
        <v>61</v>
      </c>
      <c r="AU66" s="4">
        <f t="shared" si="9"/>
        <v>0</v>
      </c>
      <c r="AV66" s="4">
        <f t="shared" si="9"/>
        <v>0</v>
      </c>
      <c r="AW66" s="4">
        <f t="shared" si="9"/>
        <v>22</v>
      </c>
      <c r="AX66" s="4">
        <f t="shared" si="9"/>
        <v>54</v>
      </c>
      <c r="AY66" s="4">
        <f t="shared" si="9"/>
        <v>0</v>
      </c>
      <c r="AZ66" s="4">
        <f t="shared" si="9"/>
        <v>0</v>
      </c>
      <c r="BA66" s="4">
        <f t="shared" si="9"/>
        <v>38</v>
      </c>
      <c r="BB66" s="4">
        <f t="shared" si="9"/>
        <v>64</v>
      </c>
      <c r="BC66" s="4">
        <f t="shared" si="9"/>
        <v>50</v>
      </c>
      <c r="BD66" s="4">
        <f t="shared" si="9"/>
        <v>52</v>
      </c>
      <c r="BE66" s="4">
        <f t="shared" si="9"/>
        <v>36</v>
      </c>
      <c r="BF66" s="4">
        <f t="shared" si="9"/>
        <v>61</v>
      </c>
      <c r="BG66" s="4">
        <f t="shared" si="9"/>
        <v>33</v>
      </c>
      <c r="BH66" s="4">
        <f t="shared" si="9"/>
        <v>57</v>
      </c>
      <c r="BI66" s="4">
        <f t="shared" si="9"/>
        <v>33</v>
      </c>
      <c r="BJ66" s="4">
        <f t="shared" si="9"/>
        <v>64</v>
      </c>
      <c r="BK66" s="4">
        <f t="shared" si="9"/>
        <v>46</v>
      </c>
      <c r="BL66" s="4">
        <f t="shared" si="9"/>
        <v>57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O67" s="4">
        <f t="shared" ref="AO67:BL67" si="10">MIN(C51)</f>
        <v>34</v>
      </c>
      <c r="AP67" s="4">
        <f t="shared" si="10"/>
        <v>60</v>
      </c>
      <c r="AQ67" s="4">
        <f t="shared" si="10"/>
        <v>47</v>
      </c>
      <c r="AR67" s="4">
        <f t="shared" si="10"/>
        <v>53</v>
      </c>
      <c r="AS67" s="4">
        <f t="shared" si="10"/>
        <v>39</v>
      </c>
      <c r="AT67" s="4">
        <f t="shared" si="10"/>
        <v>61</v>
      </c>
      <c r="AU67" s="4">
        <f t="shared" si="10"/>
        <v>0</v>
      </c>
      <c r="AV67" s="4">
        <f t="shared" si="10"/>
        <v>0</v>
      </c>
      <c r="AW67" s="4">
        <f t="shared" si="10"/>
        <v>22</v>
      </c>
      <c r="AX67" s="4">
        <f t="shared" si="10"/>
        <v>54</v>
      </c>
      <c r="AY67" s="4">
        <f t="shared" si="10"/>
        <v>0</v>
      </c>
      <c r="AZ67" s="4">
        <f t="shared" si="10"/>
        <v>0</v>
      </c>
      <c r="BA67" s="4">
        <f t="shared" si="10"/>
        <v>38</v>
      </c>
      <c r="BB67" s="4">
        <f t="shared" si="10"/>
        <v>64</v>
      </c>
      <c r="BC67" s="4">
        <f t="shared" si="10"/>
        <v>50</v>
      </c>
      <c r="BD67" s="4">
        <f t="shared" si="10"/>
        <v>52</v>
      </c>
      <c r="BE67" s="4">
        <f t="shared" si="10"/>
        <v>36</v>
      </c>
      <c r="BF67" s="4">
        <f t="shared" si="10"/>
        <v>61</v>
      </c>
      <c r="BG67" s="4">
        <f t="shared" si="10"/>
        <v>33</v>
      </c>
      <c r="BH67" s="4">
        <f t="shared" si="10"/>
        <v>57</v>
      </c>
      <c r="BI67" s="4">
        <f t="shared" si="10"/>
        <v>33</v>
      </c>
      <c r="BJ67" s="4">
        <f t="shared" si="10"/>
        <v>64</v>
      </c>
      <c r="BK67" s="4">
        <f t="shared" si="10"/>
        <v>46</v>
      </c>
      <c r="BL67" s="4">
        <f t="shared" si="10"/>
        <v>57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11">AO66-AO67</f>
        <v>0</v>
      </c>
      <c r="AP68" s="4">
        <f t="shared" si="11"/>
        <v>0</v>
      </c>
      <c r="AQ68" s="4">
        <f t="shared" si="11"/>
        <v>0</v>
      </c>
      <c r="AR68" s="4">
        <f t="shared" si="11"/>
        <v>0</v>
      </c>
      <c r="AS68" s="4">
        <f t="shared" si="11"/>
        <v>0</v>
      </c>
      <c r="AT68" s="4">
        <f t="shared" si="11"/>
        <v>0</v>
      </c>
      <c r="AU68" s="4">
        <f t="shared" si="11"/>
        <v>0</v>
      </c>
      <c r="AV68" s="4">
        <f t="shared" si="11"/>
        <v>0</v>
      </c>
      <c r="AW68" s="4">
        <f t="shared" si="11"/>
        <v>0</v>
      </c>
      <c r="AX68" s="4">
        <f t="shared" si="11"/>
        <v>0</v>
      </c>
      <c r="AY68" s="4">
        <f t="shared" si="11"/>
        <v>0</v>
      </c>
      <c r="AZ68" s="4">
        <f t="shared" si="11"/>
        <v>0</v>
      </c>
      <c r="BA68" s="4">
        <f t="shared" si="11"/>
        <v>0</v>
      </c>
      <c r="BB68" s="4">
        <f t="shared" si="11"/>
        <v>0</v>
      </c>
      <c r="BC68" s="4">
        <f t="shared" si="11"/>
        <v>0</v>
      </c>
      <c r="BD68" s="4">
        <f t="shared" si="11"/>
        <v>0</v>
      </c>
      <c r="BE68" s="4">
        <f t="shared" si="11"/>
        <v>0</v>
      </c>
      <c r="BF68" s="4">
        <f t="shared" si="11"/>
        <v>0</v>
      </c>
      <c r="BG68" s="4">
        <f t="shared" si="11"/>
        <v>0</v>
      </c>
      <c r="BH68" s="4">
        <f t="shared" si="11"/>
        <v>0</v>
      </c>
      <c r="BI68" s="4">
        <f t="shared" si="11"/>
        <v>0</v>
      </c>
      <c r="BJ68" s="4">
        <f t="shared" si="11"/>
        <v>0</v>
      </c>
      <c r="BK68" s="4">
        <f t="shared" si="11"/>
        <v>0</v>
      </c>
      <c r="BL68" s="4">
        <f t="shared" si="11"/>
        <v>0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2">AO59+AO62+AO65+AO68</f>
        <v>31</v>
      </c>
      <c r="AP69" s="4">
        <f t="shared" si="12"/>
        <v>4</v>
      </c>
      <c r="AQ69" s="4">
        <f t="shared" si="12"/>
        <v>1</v>
      </c>
      <c r="AR69" s="4">
        <f t="shared" si="12"/>
        <v>3</v>
      </c>
      <c r="AS69" s="4">
        <f t="shared" si="12"/>
        <v>6</v>
      </c>
      <c r="AT69" s="4">
        <f t="shared" si="12"/>
        <v>22</v>
      </c>
      <c r="AU69" s="4">
        <f t="shared" si="12"/>
        <v>5</v>
      </c>
      <c r="AV69" s="4">
        <f t="shared" si="12"/>
        <v>1</v>
      </c>
      <c r="AW69" s="4">
        <f t="shared" si="12"/>
        <v>9</v>
      </c>
      <c r="AX69" s="4">
        <f t="shared" si="12"/>
        <v>2</v>
      </c>
      <c r="AY69" s="4">
        <f t="shared" si="12"/>
        <v>0</v>
      </c>
      <c r="AZ69" s="4">
        <f t="shared" si="12"/>
        <v>6</v>
      </c>
      <c r="BA69" s="4">
        <f t="shared" si="12"/>
        <v>9</v>
      </c>
      <c r="BB69" s="4">
        <f t="shared" si="12"/>
        <v>17</v>
      </c>
      <c r="BC69" s="4">
        <f t="shared" si="12"/>
        <v>0</v>
      </c>
      <c r="BD69" s="4">
        <f t="shared" si="12"/>
        <v>0</v>
      </c>
      <c r="BE69" s="4">
        <f t="shared" si="12"/>
        <v>20</v>
      </c>
      <c r="BF69" s="4">
        <f t="shared" si="12"/>
        <v>23</v>
      </c>
      <c r="BG69" s="4">
        <f t="shared" si="12"/>
        <v>22</v>
      </c>
      <c r="BH69" s="4">
        <f t="shared" si="12"/>
        <v>21</v>
      </c>
      <c r="BI69" s="4">
        <f t="shared" si="12"/>
        <v>17</v>
      </c>
      <c r="BJ69" s="4">
        <f t="shared" si="12"/>
        <v>9</v>
      </c>
      <c r="BK69" s="4">
        <f t="shared" si="12"/>
        <v>1</v>
      </c>
      <c r="BL69" s="4">
        <f t="shared" si="12"/>
        <v>38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113" zoomScaleNormal="113" zoomScalePageLayoutView="113" workbookViewId="0">
      <pane ySplit="1" topLeftCell="A3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6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1">
        <f>VLOOKUP($D8,'SegEnds_NonXtal_Prot#'!$A:$AZ,31,FALSE)-VLOOKUP($D8,'SegEnds_NonXtal_Prot#'!$A:$AZ,28,FALSE)</f>
        <v>43</v>
      </c>
      <c r="G8" s="82">
        <f>50+VLOOKUP($A8,'SegEnds_Xtal_Prot#'!$A:$AY,39,FALSE)-VLOOKUP($D8,'SegEnds_NonXtal_Prot#'!$A:$AZ,28,FALSE)</f>
        <v>68</v>
      </c>
      <c r="H8" s="8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1">
        <f>VLOOKUP($D10,'SegEnds_NonXtal_Prot#'!$A:$AZ,31,FALSE)-VLOOKUP($D10,'SegEnds_NonXtal_Prot#'!$A:$AZ,28,FALSE)</f>
        <v>44</v>
      </c>
      <c r="G10" s="82">
        <f>50+VLOOKUP($A10,'SegEnds_Xtal_Prot#'!$A:$AY,39,FALSE)-VLOOKUP($D10,'SegEnds_NonXtal_Prot#'!$A:$AZ,28,FALSE)</f>
        <v>68</v>
      </c>
      <c r="H10" s="8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 t="shared" ref="A14" si="1"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5" x14ac:dyDescent="0.2">
      <c r="A17" s="3" t="str">
        <f t="shared" ref="A17" si="2">D17&amp;"__wt"</f>
        <v>glp1r_human__wt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406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28</v>
      </c>
      <c r="I17" s="3"/>
      <c r="J17" s="3"/>
      <c r="K17" s="1"/>
      <c r="L17" s="1"/>
      <c r="M17" s="1"/>
      <c r="N17" s="1"/>
      <c r="O17" s="1" t="s">
        <v>1418</v>
      </c>
    </row>
    <row r="18" spans="1:15" x14ac:dyDescent="0.2">
      <c r="A18" s="3" t="str">
        <f t="shared" ref="A18" si="3">D18&amp;"__wt"</f>
        <v>glr_human__wt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32</v>
      </c>
      <c r="E18" s="3">
        <f>VLOOKUP($D18,'SegEnds_NonXtal_Prot#'!$A:$AZ,30,FALSE)-VLOOKUP($D18,'SegEnds_NonXtal_Prot#'!$A:$AZ,29,FALSE)</f>
        <v>7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28</v>
      </c>
      <c r="I18" s="3"/>
      <c r="J18" s="3"/>
      <c r="K18" s="1"/>
      <c r="L18" s="1"/>
      <c r="M18" s="1"/>
      <c r="N18" s="1"/>
    </row>
    <row r="19" spans="1:15" x14ac:dyDescent="0.2">
      <c r="A19" s="3" t="str">
        <f t="shared" ref="A19" si="4">D19&amp;"__wt"</f>
        <v>g1sgd4_rabit__wt</v>
      </c>
      <c r="B19" s="3" t="str">
        <f>VLOOKUP(D19,Classification!A:D,3,FALSE)</f>
        <v>Peptide</v>
      </c>
      <c r="C19" s="3" t="str">
        <f>VLOOKUP(D19,Classification!A:D,4,FALSE)</f>
        <v>Glucagonreceptorfamily</v>
      </c>
      <c r="D19" s="3" t="s">
        <v>1430</v>
      </c>
      <c r="E19" s="3">
        <f>VLOOKUP($D19,'SegEnds_NonXtal_Prot#'!$A:$AZ,30,FALSE)-VLOOKUP($D19,'SegEnds_NonXtal_Prot#'!$A:$AZ,29,FALSE)</f>
        <v>9</v>
      </c>
      <c r="F19" s="1">
        <f>VLOOKUP($D19,'SegEnds_NonXtal_Prot#'!$A:$AZ,31,FALSE)-VLOOKUP($D19,'SegEnds_NonXtal_Prot#'!$A:$AZ,28,FALSE)</f>
        <v>50</v>
      </c>
      <c r="G19" s="3">
        <f>50+VLOOKUP($A19,'SegEnds_Xtal_Prot#'!$A:$AY,39,FALSE)-VLOOKUP($D19,'SegEnds_NonXtal_Prot#'!$A:$AZ,28,FALSE)</f>
        <v>71</v>
      </c>
      <c r="H19" s="3">
        <f>50+VLOOKUP($A19,'SegEnds_Xtal_Prot#'!$A:$AY,41,FALSE)-VLOOKUP($D19,'SegEnds_NonXtal_Prot#'!$A:$AZ,31,FALSE)</f>
        <v>30</v>
      </c>
      <c r="I19" s="3"/>
      <c r="J19" s="3"/>
      <c r="K19" s="1"/>
      <c r="L19" s="1"/>
      <c r="M19" s="1"/>
      <c r="N19" s="1"/>
    </row>
    <row r="20" spans="1:15" x14ac:dyDescent="0.2">
      <c r="A20" s="3" t="str">
        <f t="shared" si="0"/>
        <v>oprd_human__wt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5" x14ac:dyDescent="0.2">
      <c r="A21" s="3" t="str">
        <f t="shared" si="0"/>
        <v>oprd_mouse__wt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5" x14ac:dyDescent="0.2">
      <c r="A22" s="3" t="str">
        <f t="shared" si="0"/>
        <v>oprk_human__wt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336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5" x14ac:dyDescent="0.2">
      <c r="A23" s="3" t="str">
        <f t="shared" si="0"/>
        <v>oprm_mouse__wt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918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>
        <f>G23</f>
        <v>68</v>
      </c>
      <c r="J23" s="3">
        <f>H23</f>
        <v>23</v>
      </c>
      <c r="K23" s="1" t="s">
        <v>1297</v>
      </c>
      <c r="L23" s="1"/>
      <c r="M23" s="1"/>
      <c r="N23" s="1"/>
    </row>
    <row r="24" spans="1:15" x14ac:dyDescent="0.2">
      <c r="A24" s="3" t="str">
        <f t="shared" si="0"/>
        <v>oprx_human__wt</v>
      </c>
      <c r="B24" s="3" t="str">
        <f>VLOOKUP(D24,Classification!A:D,3,FALSE)</f>
        <v>Peptide</v>
      </c>
      <c r="C24" s="3" t="str">
        <f>VLOOKUP(D24,Classification!A:D,4,FALSE)</f>
        <v>Opioid</v>
      </c>
      <c r="D24" s="3" t="s">
        <v>1174</v>
      </c>
      <c r="E24" s="3">
        <f>VLOOKUP($D24,'SegEnds_NonXtal_Prot#'!$A:$AZ,30,FALSE)-VLOOKUP($D24,'SegEnds_NonXtal_Prot#'!$A:$AZ,29,FALSE)</f>
        <v>6</v>
      </c>
      <c r="F24" s="1">
        <f>VLOOKUP($D24,'SegEnds_NonXtal_Prot#'!$A:$AZ,31,FALSE)-VLOOKUP($D24,'SegEnds_NonXtal_Prot#'!$A:$AZ,28,FALSE)</f>
        <v>51</v>
      </c>
      <c r="G24" s="3">
        <f>50+VLOOKUP($A24,'SegEnds_Xtal_Prot#'!$A:$AY,39,FALSE)-VLOOKUP($D24,'SegEnds_NonXtal_Prot#'!$A:$AZ,28,FALSE)</f>
        <v>68</v>
      </c>
      <c r="H24" s="3">
        <f>50+VLOOKUP($A24,'SegEnds_Xtal_Prot#'!$A:$AY,41,FALSE)-VLOOKUP($D24,'SegEnds_NonXtal_Prot#'!$A:$AZ,31,FALSE)</f>
        <v>23</v>
      </c>
      <c r="I24" s="3"/>
      <c r="J24" s="3"/>
      <c r="K24" s="1"/>
      <c r="L24" s="1"/>
      <c r="M24" s="1"/>
      <c r="N24" s="1"/>
    </row>
    <row r="25" spans="1:15" x14ac:dyDescent="0.2">
      <c r="A25" s="3" t="str">
        <f t="shared" si="0"/>
        <v>opsd_bovin__wt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920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  <c r="K25" s="1" t="s">
        <v>1297</v>
      </c>
      <c r="L25" s="1"/>
      <c r="M25" s="1"/>
      <c r="N25" s="1"/>
    </row>
    <row r="26" spans="1:15" customFormat="1" x14ac:dyDescent="0.2">
      <c r="A26" s="3" t="str">
        <f t="shared" si="0"/>
        <v>opsd_human__wt</v>
      </c>
      <c r="B26" s="3" t="str">
        <f>VLOOKUP(D26,Classification!A:D,3,FALSE)</f>
        <v>Sensory</v>
      </c>
      <c r="C26" s="3" t="str">
        <f>VLOOKUP(D26,Classification!A:D,4,FALSE)</f>
        <v>Opsins</v>
      </c>
      <c r="D26" s="3" t="s">
        <v>339</v>
      </c>
      <c r="E26" s="3">
        <f>VLOOKUP($D26,'SegEnds_NonXtal_Prot#'!$A:$AZ,30,FALSE)-VLOOKUP($D26,'SegEnds_NonXtal_Prot#'!$A:$AZ,29,FALSE)</f>
        <v>4</v>
      </c>
      <c r="F26" s="1">
        <f>VLOOKUP($D26,'SegEnds_NonXtal_Prot#'!$A:$AZ,31,FALSE)-VLOOKUP($D26,'SegEnds_NonXtal_Prot#'!$A:$AZ,28,FALSE)</f>
        <v>52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  <c r="I26" s="3"/>
      <c r="J26" s="3"/>
    </row>
    <row r="27" spans="1:15" customFormat="1" x14ac:dyDescent="0.2">
      <c r="A27" s="1" t="s">
        <v>1335</v>
      </c>
      <c r="B27" s="3" t="str">
        <f>VLOOKUP(D27,Classification!A:D,3,FALSE)</f>
        <v>Peptide</v>
      </c>
      <c r="C27" s="3" t="str">
        <f>VLOOKUP(D27,Classification!A:D,4,FALSE)</f>
        <v>Endothelin</v>
      </c>
      <c r="D27" s="3" t="s">
        <v>196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53</v>
      </c>
      <c r="G27" s="3">
        <f>50+VLOOKUP($A27,'SegEnds_Xtal_Prot#'!$A:$AY,39,FALSE)-VLOOKUP($D27,'SegEnds_NonXtal_Prot#'!$A:$AZ,28,FALSE)</f>
        <v>72</v>
      </c>
      <c r="H27" s="3">
        <f>50+VLOOKUP($A27,'SegEnds_Xtal_Prot#'!$A:$AY,41,FALSE)-VLOOKUP($D27,'SegEnds_NonXtal_Prot#'!$A:$AZ,31,FALSE)</f>
        <v>24</v>
      </c>
    </row>
    <row r="28" spans="1:15" customFormat="1" x14ac:dyDescent="0.2">
      <c r="A28" s="3" t="str">
        <f t="shared" ref="A28:A45" si="5">D28&amp;"__wt"</f>
        <v>lpar1_human__wt</v>
      </c>
      <c r="B28" s="3" t="str">
        <f>VLOOKUP(D28,Classification!A:D,3,FALSE)</f>
        <v>Lipid</v>
      </c>
      <c r="C28" s="3" t="str">
        <f>VLOOKUP(D28,Classification!A:D,4,FALSE)</f>
        <v>Lysophospholipid(LPA)</v>
      </c>
      <c r="D28" s="9" t="s">
        <v>103</v>
      </c>
      <c r="E28" s="3">
        <f>VLOOKUP($D28,'SegEnds_NonXtal_Prot#'!$A:$AZ,30,FALSE)-VLOOKUP($D28,'SegEnds_NonXtal_Prot#'!$A:$AZ,29,FALSE)</f>
        <v>5</v>
      </c>
      <c r="F28" s="1">
        <f>VLOOKUP($D28,'SegEnds_NonXtal_Prot#'!$A:$AZ,31,FALSE)-VLOOKUP($D28,'SegEnds_NonXtal_Prot#'!$A:$AZ,28,FALSE)</f>
        <v>56</v>
      </c>
      <c r="G28" s="3">
        <f>50+VLOOKUP($A28,'SegEnds_Xtal_Prot#'!$A:$AY,39,FALSE)-VLOOKUP($D28,'SegEnds_NonXtal_Prot#'!$A:$AZ,28,FALSE)</f>
        <v>73</v>
      </c>
      <c r="H28" s="3">
        <f>50+VLOOKUP($A28,'SegEnds_Xtal_Prot#'!$A:$AY,41,FALSE)-VLOOKUP($D28,'SegEnds_NonXtal_Prot#'!$A:$AZ,31,FALSE)</f>
        <v>22</v>
      </c>
      <c r="I28" s="3"/>
      <c r="J28" s="3"/>
      <c r="M28" t="s">
        <v>1304</v>
      </c>
    </row>
    <row r="29" spans="1:15" customFormat="1" x14ac:dyDescent="0.2">
      <c r="A29" s="3" t="str">
        <f t="shared" ref="A29" si="6">D29&amp;"__wt"</f>
        <v>smo_human__wt</v>
      </c>
      <c r="B29" s="3" t="str">
        <f>VLOOKUP(D29,Classification!A:D,3,FALSE)</f>
        <v>Protein</v>
      </c>
      <c r="C29" s="3" t="str">
        <f>VLOOKUP(D29,Classification!A:D,4,FALSE)</f>
        <v>Frizzled</v>
      </c>
      <c r="D29" s="3" t="s">
        <v>33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57</v>
      </c>
      <c r="G29" s="3">
        <f>50+VLOOKUP($A29,'SegEnds_Xtal_Prot#'!$A:$AY,39,FALSE)-VLOOKUP($D29,'SegEnds_NonXtal_Prot#'!$A:$AZ,28,FALSE)</f>
        <v>72</v>
      </c>
      <c r="H29" s="3">
        <f>50+VLOOKUP($A29,'SegEnds_Xtal_Prot#'!$A:$AY,41,FALSE)-VLOOKUP($D29,'SegEnds_NonXtal_Prot#'!$A:$AZ,31,FALSE)</f>
        <v>24</v>
      </c>
      <c r="I29" s="3"/>
      <c r="J29" s="3"/>
    </row>
    <row r="30" spans="1:15" customFormat="1" x14ac:dyDescent="0.2">
      <c r="A30" s="3" t="str">
        <f t="shared" si="5"/>
        <v>s1pr1_human__wt</v>
      </c>
      <c r="B30" s="3" t="str">
        <f>VLOOKUP(D30,Classification!A:D,3,FALSE)</f>
        <v>Lipid</v>
      </c>
      <c r="C30" s="3" t="str">
        <f>VLOOKUP(D30,Classification!A:D,4,FALSE)</f>
        <v>Lysophospholipid(S1P)</v>
      </c>
      <c r="D30" s="9" t="s">
        <v>104</v>
      </c>
      <c r="E30" s="3">
        <f>VLOOKUP($D30,'SegEnds_NonXtal_Prot#'!$A:$AZ,30,FALSE)-VLOOKUP($D30,'SegEnds_NonXtal_Prot#'!$A:$AZ,29,FALSE)</f>
        <v>9</v>
      </c>
      <c r="F30" s="1">
        <f>VLOOKUP($D30,'SegEnds_NonXtal_Prot#'!$A:$AZ,31,FALSE)-VLOOKUP($D30,'SegEnds_NonXtal_Prot#'!$A:$AZ,28,FALSE)</f>
        <v>58</v>
      </c>
      <c r="G30" s="3">
        <f>50+VLOOKUP($A30,'SegEnds_Xtal_Prot#'!$A:$AY,39,FALSE)-VLOOKUP($D30,'SegEnds_NonXtal_Prot#'!$A:$AZ,28,FALSE)</f>
        <v>73</v>
      </c>
      <c r="H30" s="3">
        <f>50+VLOOKUP($A30,'SegEnds_Xtal_Prot#'!$A:$AY,41,FALSE)-VLOOKUP($D30,'SegEnds_NonXtal_Prot#'!$A:$AZ,31,FALSE)</f>
        <v>24</v>
      </c>
      <c r="I30" s="3"/>
      <c r="J30" s="3"/>
      <c r="M30" t="s">
        <v>1305</v>
      </c>
    </row>
    <row r="31" spans="1:15" customFormat="1" x14ac:dyDescent="0.2">
      <c r="A31" s="3" t="str">
        <f t="shared" si="5"/>
        <v>aa2ar_human__wt</v>
      </c>
      <c r="B31" s="3" t="str">
        <f>VLOOKUP(D31,Classification!A:D,3,FALSE)</f>
        <v>Nucleotide</v>
      </c>
      <c r="C31" s="3" t="str">
        <f>VLOOKUP(D31,Classification!A:D,4,FALSE)</f>
        <v>Adenosine</v>
      </c>
      <c r="D31" s="3" t="s">
        <v>139</v>
      </c>
      <c r="E31" s="3">
        <f>VLOOKUP($D31,'SegEnds_NonXtal_Prot#'!$A:$AZ,30,FALSE)-VLOOKUP($D31,'SegEnds_NonXtal_Prot#'!$A:$AZ,29,FALSE)</f>
        <v>6</v>
      </c>
      <c r="F31" s="1">
        <f>VLOOKUP($D31,'SegEnds_NonXtal_Prot#'!$A:$AZ,31,FALSE)-VLOOKUP($D31,'SegEnds_NonXtal_Prot#'!$A:$AZ,28,FALSE)</f>
        <v>59</v>
      </c>
      <c r="G31" s="3">
        <f>50+VLOOKUP($A31,'SegEnds_Xtal_Prot#'!$A:$AY,39,FALSE)-VLOOKUP($D31,'SegEnds_NonXtal_Prot#'!$A:$AZ,28,FALSE)</f>
        <v>74</v>
      </c>
      <c r="H31" s="3">
        <f>50+VLOOKUP($A31,'SegEnds_Xtal_Prot#'!$A:$AY,41,FALSE)-VLOOKUP($D31,'SegEnds_NonXtal_Prot#'!$A:$AZ,31,FALSE)</f>
        <v>21</v>
      </c>
      <c r="I31" s="3">
        <f>G31</f>
        <v>74</v>
      </c>
      <c r="J31" s="3">
        <f>H31</f>
        <v>21</v>
      </c>
      <c r="K31" s="1" t="s">
        <v>1297</v>
      </c>
      <c r="L31" s="1"/>
    </row>
    <row r="32" spans="1:15" customFormat="1" x14ac:dyDescent="0.2">
      <c r="A32" s="3" t="str">
        <f t="shared" si="5"/>
        <v>ntr1_rat__wt</v>
      </c>
      <c r="B32" s="3" t="str">
        <f>VLOOKUP(D32,Classification!A:D,3,FALSE)</f>
        <v>Peptide</v>
      </c>
      <c r="C32" s="3" t="str">
        <f>VLOOKUP(D32,Classification!A:D,4,FALSE)</f>
        <v>Neurotensin</v>
      </c>
      <c r="D32" s="48" t="s">
        <v>914</v>
      </c>
      <c r="E32" s="3">
        <f>VLOOKUP($D32,'SegEnds_NonXtal_Prot#'!$A:$AZ,30,FALSE)-VLOOKUP($D32,'SegEnds_NonXtal_Prot#'!$A:$AZ,29,FALSE)</f>
        <v>22</v>
      </c>
      <c r="F32" s="1">
        <f>VLOOKUP($D32,'SegEnds_NonXtal_Prot#'!$A:$AZ,31,FALSE)-VLOOKUP($D32,'SegEnds_NonXtal_Prot#'!$A:$AZ,28,FALSE)</f>
        <v>74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M32" t="s">
        <v>1301</v>
      </c>
    </row>
    <row r="33" spans="1:14" customFormat="1" x14ac:dyDescent="0.2">
      <c r="A33" s="3" t="str">
        <f t="shared" si="5"/>
        <v>adrb2_human__wt</v>
      </c>
      <c r="B33" s="3" t="str">
        <f>VLOOKUP(D33,Classification!A:D,3,FALSE)</f>
        <v>Aminergic</v>
      </c>
      <c r="C33" s="3" t="str">
        <f>VLOOKUP(D33,Classification!A:D,4,FALSE)</f>
        <v>Adrenoceptors</v>
      </c>
      <c r="D33" s="48" t="s">
        <v>126</v>
      </c>
      <c r="E33" s="3">
        <f>VLOOKUP($D33,'SegEnds_NonXtal_Prot#'!$A:$AZ,30,FALSE)-VLOOKUP($D33,'SegEnds_NonXtal_Prot#'!$A:$AZ,29,FALSE)</f>
        <v>25</v>
      </c>
      <c r="F33" s="1">
        <f>VLOOKUP($D33,'SegEnds_NonXtal_Prot#'!$A:$AZ,31,FALSE)-VLOOKUP($D33,'SegEnds_NonXtal_Prot#'!$A:$AZ,28,FALSE)</f>
        <v>77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>
        <f>G33</f>
        <v>76</v>
      </c>
      <c r="J33" s="3"/>
      <c r="K33" s="1" t="s">
        <v>1297</v>
      </c>
      <c r="L33" s="1"/>
      <c r="N33" t="s">
        <v>1307</v>
      </c>
    </row>
    <row r="34" spans="1:14" x14ac:dyDescent="0.2">
      <c r="A34" s="3" t="str">
        <f t="shared" si="5"/>
        <v>5ht1b_human__wt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34</v>
      </c>
      <c r="E34" s="3">
        <f>VLOOKUP($D34,'SegEnds_NonXtal_Prot#'!$A:$AZ,30,FALSE)-VLOOKUP($D34,'SegEnds_NonXtal_Prot#'!$A:$AZ,29,FALSE)</f>
        <v>59</v>
      </c>
      <c r="F34" s="1">
        <f>VLOOKUP($D34,'SegEnds_NonXtal_Prot#'!$A:$AZ,31,FALSE)-VLOOKUP($D34,'SegEnds_NonXtal_Prot#'!$A:$AZ,28,FALSE)</f>
        <v>109</v>
      </c>
      <c r="G34" s="3">
        <f>50+VLOOKUP($A34,'SegEnds_Xtal_Prot#'!$A:$AY,39,FALSE)-VLOOKUP($D34,'SegEnds_NonXtal_Prot#'!$A:$AZ,28,FALSE)</f>
        <v>74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>
        <v>76</v>
      </c>
      <c r="M34" s="1"/>
      <c r="N34" s="1"/>
    </row>
    <row r="35" spans="1:14" x14ac:dyDescent="0.2">
      <c r="A35" s="3" t="str">
        <f t="shared" si="5"/>
        <v>5ht2b_human__wt</v>
      </c>
      <c r="B35" s="3" t="str">
        <f>VLOOKUP(D35,Classification!A:D,3,FALSE)</f>
        <v>Aminergic</v>
      </c>
      <c r="C35" s="3" t="str">
        <f>VLOOKUP(D35,Classification!A:D,4,FALSE)</f>
        <v>5-Hydroxytryptamine</v>
      </c>
      <c r="D35" s="3" t="s">
        <v>35</v>
      </c>
      <c r="E35" s="3">
        <f>VLOOKUP($D35,'SegEnds_NonXtal_Prot#'!$A:$AZ,30,FALSE)-VLOOKUP($D35,'SegEnds_NonXtal_Prot#'!$A:$AZ,29,FALSE)</f>
        <v>58</v>
      </c>
      <c r="F35" s="1">
        <f>VLOOKUP($D35,'SegEnds_NonXtal_Prot#'!$A:$AZ,31,FALSE)-VLOOKUP($D35,'SegEnds_NonXtal_Prot#'!$A:$AZ,28,FALSE)</f>
        <v>110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drd3_human__wt</v>
      </c>
      <c r="B36" s="3" t="str">
        <f>VLOOKUP(D36,Classification!A:D,3,FALSE)</f>
        <v>Aminergic</v>
      </c>
      <c r="C36" s="3" t="str">
        <f>VLOOKUP(D36,Classification!A:D,4,FALSE)</f>
        <v>Dopamine</v>
      </c>
      <c r="D36" s="3" t="s">
        <v>192</v>
      </c>
      <c r="E36" s="3">
        <f>VLOOKUP($D36,'SegEnds_NonXtal_Prot#'!$A:$AZ,30,FALSE)-VLOOKUP($D36,'SegEnds_NonXtal_Prot#'!$A:$AZ,29,FALSE)</f>
        <v>92</v>
      </c>
      <c r="F36" s="1">
        <f>VLOOKUP($D36,'SegEnds_NonXtal_Prot#'!$A:$AZ,31,FALSE)-VLOOKUP($D36,'SegEnds_NonXtal_Prot#'!$A:$AZ,28,FALSE)</f>
        <v>144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acm1_human__wt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146</v>
      </c>
      <c r="E37" s="3">
        <f>VLOOKUP($D37,'SegEnds_NonXtal_Prot#'!$A:$AZ,30,FALSE)-VLOOKUP($D37,'SegEnds_NonXtal_Prot#'!$A:$AZ,29,FALSE)</f>
        <v>129</v>
      </c>
      <c r="F37" s="1">
        <f>VLOOKUP($D37,'SegEnds_NonXtal_Prot#'!$A:$AZ,31,FALSE)-VLOOKUP($D37,'SegEnds_NonXtal_Prot#'!$A:$AZ,28,FALSE)</f>
        <v>180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x14ac:dyDescent="0.2">
      <c r="A38" s="3" t="str">
        <f t="shared" si="5"/>
        <v>acm2_human__wt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147</v>
      </c>
      <c r="E38" s="3">
        <f>VLOOKUP($D38,'SegEnds_NonXtal_Prot#'!$A:$AZ,30,FALSE)-VLOOKUP($D38,'SegEnds_NonXtal_Prot#'!$A:$AZ,29,FALSE)</f>
        <v>153</v>
      </c>
      <c r="F38" s="1">
        <f>VLOOKUP($D38,'SegEnds_NonXtal_Prot#'!$A:$AZ,31,FALSE)-VLOOKUP($D38,'SegEnds_NonXtal_Prot#'!$A:$AZ,28,FALSE)</f>
        <v>204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>
        <f>G38</f>
        <v>75</v>
      </c>
      <c r="J38" s="3">
        <f>H38</f>
        <v>24</v>
      </c>
      <c r="K38" s="1" t="s">
        <v>1297</v>
      </c>
      <c r="L38" s="1"/>
      <c r="M38" s="1"/>
      <c r="N38" s="1"/>
    </row>
    <row r="39" spans="1:14" x14ac:dyDescent="0.2">
      <c r="A39" s="3" t="str">
        <f t="shared" si="5"/>
        <v>acm4_human__wt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149</v>
      </c>
      <c r="E39" s="3">
        <f>VLOOKUP($D39,'SegEnds_NonXtal_Prot#'!$A:$AZ,30,FALSE)-VLOOKUP($D39,'SegEnds_NonXtal_Prot#'!$A:$AZ,29,FALSE)</f>
        <v>157</v>
      </c>
      <c r="F39" s="1">
        <f>VLOOKUP($D39,'SegEnds_NonXtal_Prot#'!$A:$AZ,31,FALSE)-VLOOKUP($D39,'SegEnds_NonXtal_Prot#'!$A:$AZ,28,FALSE)</f>
        <v>208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  <c r="K39" s="1"/>
      <c r="L39" s="1"/>
      <c r="M39" s="1"/>
      <c r="N39" s="1"/>
    </row>
    <row r="40" spans="1:14" customFormat="1" x14ac:dyDescent="0.2">
      <c r="A40" s="3" t="str">
        <f t="shared" si="5"/>
        <v>hrh1_human__wt</v>
      </c>
      <c r="B40" s="3" t="str">
        <f>VLOOKUP(D40,Classification!A:D,3,FALSE)</f>
        <v>Aminergic</v>
      </c>
      <c r="C40" s="3" t="str">
        <f>VLOOKUP(D40,Classification!A:D,4,FALSE)</f>
        <v>Histamine</v>
      </c>
      <c r="D40" s="3" t="s">
        <v>278</v>
      </c>
      <c r="E40" s="3">
        <f>VLOOKUP($D40,'SegEnds_NonXtal_Prot#'!$A:$AZ,30,FALSE)-VLOOKUP($D40,'SegEnds_NonXtal_Prot#'!$A:$AZ,29,FALSE)</f>
        <v>176</v>
      </c>
      <c r="F40" s="1">
        <f>VLOOKUP($D40,'SegEnds_NonXtal_Prot#'!$A:$AZ,31,FALSE)-VLOOKUP($D40,'SegEnds_NonXtal_Prot#'!$A:$AZ,28,FALSE)</f>
        <v>228</v>
      </c>
      <c r="G40" s="3">
        <f>50+VLOOKUP($A40,'SegEnds_Xtal_Prot#'!$A:$AY,39,FALSE)-VLOOKUP($D40,'SegEnds_NonXtal_Prot#'!$A:$AZ,28,FALSE)</f>
        <v>76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customFormat="1" x14ac:dyDescent="0.2">
      <c r="A41" s="3" t="str">
        <f t="shared" si="5"/>
        <v>acm3_rat__wt</v>
      </c>
      <c r="B41" s="3" t="str">
        <f>VLOOKUP(D41,Classification!A:D,3,FALSE)</f>
        <v>Aminergic</v>
      </c>
      <c r="C41" s="3" t="str">
        <f>VLOOKUP(D41,Classification!A:D,4,FALSE)</f>
        <v>Acetylcholine(muscarinic)</v>
      </c>
      <c r="D41" s="3" t="s">
        <v>910</v>
      </c>
      <c r="E41" s="3">
        <f>VLOOKUP($D41,'SegEnds_NonXtal_Prot#'!$A:$AZ,30,FALSE)-VLOOKUP($D41,'SegEnds_NonXtal_Prot#'!$A:$AZ,29,FALSE)</f>
        <v>212</v>
      </c>
      <c r="F41" s="1">
        <f>VLOOKUP($D41,'SegEnds_NonXtal_Prot#'!$A:$AZ,31,FALSE)-VLOOKUP($D41,'SegEnds_NonXtal_Prot#'!$A:$AZ,28,FALSE)</f>
        <v>263</v>
      </c>
      <c r="G41" s="3">
        <f>50+VLOOKUP($A41,'SegEnds_Xtal_Prot#'!$A:$AY,39,FALSE)-VLOOKUP($D41,'SegEnds_NonXtal_Prot#'!$A:$AZ,28,FALSE)</f>
        <v>75</v>
      </c>
      <c r="H41" s="3">
        <f>50+VLOOKUP($A41,'SegEnds_Xtal_Prot#'!$A:$AY,41,FALSE)-VLOOKUP($D41,'SegEnds_NonXtal_Prot#'!$A:$AZ,31,FALSE)</f>
        <v>24</v>
      </c>
      <c r="I41" s="3"/>
      <c r="J41" s="3"/>
    </row>
    <row r="42" spans="1:14" s="60" customFormat="1" x14ac:dyDescent="0.2">
      <c r="A42" s="59" t="str">
        <f t="shared" si="5"/>
        <v>opsd_todpa__wt</v>
      </c>
      <c r="B42" s="59" t="str">
        <f>VLOOKUP(D42,Classification!A:D,3,FALSE)</f>
        <v>Sensory</v>
      </c>
      <c r="C42" s="59" t="str">
        <f>VLOOKUP(D42,Classification!A:D,4,FALSE)</f>
        <v>Opsins</v>
      </c>
      <c r="D42" s="59" t="s">
        <v>922</v>
      </c>
      <c r="E42" s="59">
        <f>VLOOKUP($D42,'SegEnds_NonXtal_Prot#'!$A:$AZ,30,FALSE)-VLOOKUP($D42,'SegEnds_NonXtal_Prot#'!$A:$AZ,29,FALSE)</f>
        <v>5</v>
      </c>
      <c r="F42" s="42">
        <f>VLOOKUP($D42,'SegEnds_NonXtal_Prot#'!$A:$AZ,31,FALSE)-VLOOKUP($D42,'SegEnds_NonXtal_Prot#'!$A:$AZ,28,FALSE)</f>
        <v>64</v>
      </c>
      <c r="G42" s="59">
        <f>50+VLOOKUP($A42,'SegEnds_Xtal_Prot#'!$A:$AY,39,FALSE)-VLOOKUP($D42,'SegEnds_NonXtal_Prot#'!$A:$AZ,28,FALSE)</f>
        <v>77</v>
      </c>
      <c r="H42" s="59">
        <f>50+VLOOKUP($A42,'SegEnds_Xtal_Prot#'!$A:$AY,41,FALSE)-VLOOKUP($D42,'SegEnds_NonXtal_Prot#'!$A:$AZ,31,FALSE)</f>
        <v>18</v>
      </c>
      <c r="I42" s="80" t="s">
        <v>1337</v>
      </c>
      <c r="J42" s="59"/>
    </row>
    <row r="43" spans="1:14" x14ac:dyDescent="0.2">
      <c r="A43" s="3" t="str">
        <f t="shared" si="5"/>
        <v>ox2r_human__wt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8" t="s">
        <v>1176</v>
      </c>
      <c r="E43" s="3">
        <f>VLOOKUP($D43,'SegEnds_NonXtal_Prot#'!$A:$AZ,30,FALSE)-VLOOKUP($D43,'SegEnds_NonXtal_Prot#'!$A:$AZ,29,FALSE)</f>
        <v>33</v>
      </c>
      <c r="F43" s="1">
        <f>VLOOKUP($D43,'SegEnds_NonXtal_Prot#'!$A:$AZ,31,FALSE)-VLOOKUP($D43,'SegEnds_NonXtal_Prot#'!$A:$AZ,28,FALSE)</f>
        <v>84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K43" s="1"/>
      <c r="L43" s="1"/>
      <c r="M43" s="1" t="s">
        <v>1300</v>
      </c>
      <c r="N43" s="1" t="s">
        <v>1306</v>
      </c>
    </row>
    <row r="44" spans="1:14" customFormat="1" x14ac:dyDescent="0.2">
      <c r="A44" s="3" t="str">
        <f t="shared" si="5"/>
        <v>ox1r_human__wt</v>
      </c>
      <c r="B44" s="3" t="str">
        <f>VLOOKUP(D44,Classification!A:D,3,FALSE)</f>
        <v>Peptide</v>
      </c>
      <c r="C44" s="3" t="str">
        <f>VLOOKUP(D44,Classification!A:D,4,FALSE)</f>
        <v>Orexin</v>
      </c>
      <c r="D44" s="48" t="s">
        <v>1175</v>
      </c>
      <c r="E44" s="3">
        <f>VLOOKUP($D44,'SegEnds_NonXtal_Prot#'!$A:$AZ,30,FALSE)-VLOOKUP($D44,'SegEnds_NonXtal_Prot#'!$A:$AZ,29,FALSE)</f>
        <v>35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71</v>
      </c>
      <c r="H44" s="3">
        <f>50+VLOOKUP($A44,'SegEnds_Xtal_Prot#'!$A:$AY,41,FALSE)-VLOOKUP($D44,'SegEnds_NonXtal_Prot#'!$A:$AZ,31,FALSE)</f>
        <v>20</v>
      </c>
      <c r="I44" s="3"/>
      <c r="J44" s="3"/>
      <c r="M44" s="1" t="s">
        <v>1300</v>
      </c>
      <c r="N44" s="1" t="s">
        <v>1306</v>
      </c>
    </row>
    <row r="45" spans="1:14" x14ac:dyDescent="0.2">
      <c r="A45" s="3" t="str">
        <f t="shared" si="5"/>
        <v>adrb1_melga__wt</v>
      </c>
      <c r="B45" s="3" t="str">
        <f>VLOOKUP(D45,Classification!A:D,3,FALSE)</f>
        <v>Aminergic</v>
      </c>
      <c r="C45" s="3" t="str">
        <f>VLOOKUP(D45,Classification!A:D,4,FALSE)</f>
        <v>Adrenoceptors</v>
      </c>
      <c r="D45" s="3" t="s">
        <v>912</v>
      </c>
      <c r="E45" s="3">
        <f>VLOOKUP($D45,'SegEnds_NonXtal_Prot#'!$A:$AZ,30,FALSE)-VLOOKUP($D45,'SegEnds_NonXtal_Prot#'!$A:$AZ,29,FALSE)</f>
        <v>30</v>
      </c>
      <c r="F45" s="1">
        <f>VLOOKUP($D45,'SegEnds_NonXtal_Prot#'!$A:$AZ,31,FALSE)-VLOOKUP($D45,'SegEnds_NonXtal_Prot#'!$A:$AZ,28,FALSE)</f>
        <v>86</v>
      </c>
      <c r="G45" s="3">
        <f>50+VLOOKUP($A45,'SegEnds_Xtal_Prot#'!$A:$AY,39,FALSE)-VLOOKUP($D45,'SegEnds_NonXtal_Prot#'!$A:$AZ,28,FALSE)</f>
        <v>76</v>
      </c>
      <c r="H45" s="3">
        <f>50+VLOOKUP($A45,'SegEnds_Xtal_Prot#'!$A:$AY,41,FALSE)-VLOOKUP($D45,'SegEnds_NonXtal_Prot#'!$A:$AZ,31,FALSE)</f>
        <v>20</v>
      </c>
      <c r="I45" s="3">
        <f>G45</f>
        <v>76</v>
      </c>
      <c r="J45" s="3">
        <f>H45</f>
        <v>20</v>
      </c>
      <c r="K45" s="1" t="s">
        <v>1297</v>
      </c>
      <c r="L45" s="1"/>
      <c r="M45" s="1"/>
      <c r="N45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9" priority="10" operator="equal">
      <formula>"Opsins"</formula>
    </cfRule>
    <cfRule type="cellIs" dxfId="38" priority="11" operator="equal">
      <formula>"Opioid"</formula>
    </cfRule>
    <cfRule type="cellIs" dxfId="37" priority="12" operator="equal">
      <formula>"P2Y"</formula>
    </cfRule>
    <cfRule type="cellIs" dxfId="36" priority="13" operator="equal">
      <formula>"Chemokine"</formula>
    </cfRule>
  </conditionalFormatting>
  <conditionalFormatting sqref="B6:B45">
    <cfRule type="cellIs" dxfId="35" priority="5" operator="equal">
      <formula>"Aminergic"</formula>
    </cfRule>
    <cfRule type="cellIs" dxfId="34" priority="6" operator="equal">
      <formula>"Opsins"</formula>
    </cfRule>
    <cfRule type="cellIs" dxfId="33" priority="7" operator="equal">
      <formula>"Opioid"</formula>
    </cfRule>
    <cfRule type="cellIs" dxfId="32" priority="8" operator="equal">
      <formula>"P2Y"</formula>
    </cfRule>
    <cfRule type="cellIs" dxfId="31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K409"/>
  <sheetViews>
    <sheetView zoomScale="135" zoomScaleNormal="135" zoomScalePageLayoutView="135" workbookViewId="0">
      <pane ySplit="1" topLeftCell="A101" activePane="bottomLeft" state="frozenSplit"/>
      <selection pane="bottomLeft" activeCell="A117" sqref="A117:XFD117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8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36" width="5" style="1" customWidth="1"/>
    <col min="37" max="16384" width="10.83203125" style="1"/>
  </cols>
  <sheetData>
    <row r="1" spans="1:37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0" t="s">
        <v>1064</v>
      </c>
      <c r="I1" s="8" t="s">
        <v>1080</v>
      </c>
      <c r="J1" s="8" t="s">
        <v>1081</v>
      </c>
      <c r="K1" s="100" t="s">
        <v>1065</v>
      </c>
      <c r="L1" s="8" t="s">
        <v>1066</v>
      </c>
      <c r="M1" s="8" t="s">
        <v>1093</v>
      </c>
      <c r="N1" s="100" t="s">
        <v>1094</v>
      </c>
      <c r="O1" s="87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1494</v>
      </c>
      <c r="AK1" s="30" t="s">
        <v>1227</v>
      </c>
    </row>
    <row r="2" spans="1:37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26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8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INDEX('ICL3'!$G$2:$G$41,MATCH(MIN(ABS(AH2-'ICL3'!$F$2:$F$41)),ABS(AH2-'ICL3'!$F$2:$F$41),0))</f>
        <v>67</v>
      </c>
      <c r="U2" s="1">
        <f t="array" ref="U2">INDEX('ICL3'!$H$2:$H$41,MATCH(MIN(ABS(AH2-'ICL3'!$F$2:$F$41)),ABS(AH2-'ICL3'!$F$2:$F$41),0))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44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31</v>
      </c>
      <c r="AG2" s="1">
        <f>VLOOKUP(A2,'SegEnds_NonXtal_Prot#'!A:AL,28,FALSE)-VLOOKUP(A2,'SegEnds_NonXtal_Prot#'!A:AL,22,FALSE)</f>
        <v>56</v>
      </c>
      <c r="AH2" s="1">
        <f>VLOOKUP(A2,'SegEnds_NonXtal_Prot#'!A:AL,31,FALSE)-VLOOKUP(A2,'SegEnds_NonXtal_Prot#'!A:AL,28,FALSE)</f>
        <v>41</v>
      </c>
      <c r="AI2" s="1">
        <f>VLOOKUP(A2,'SegEnds_NonXtal_Prot#'!A:AL,34,FALSE)-VLOOKUP(A2,'SegEnds_NonXtal_Prot#'!A:AL,31,FALSE)</f>
        <v>44</v>
      </c>
      <c r="AJ2" s="1">
        <f>VLOOKUP(A2,'SegEnds_NonXtal_Prot#'!A:AL,37,FALSE)-VLOOKUP(A2,'SegEnds_NonXtal_Prot#'!A:AL,34,FALSE)</f>
        <v>10</v>
      </c>
      <c r="AK2" s="1" t="str">
        <f>IF(ISERROR(MATCH(A2,'SegEnds_Xtal_Prot#'!B:B, 0)), "NoXtal", "Xtal")</f>
        <v>NoXtal</v>
      </c>
    </row>
    <row r="3" spans="1:37" x14ac:dyDescent="0.2">
      <c r="A3" s="1" t="s">
        <v>304</v>
      </c>
      <c r="B3" s="1" t="str">
        <f>VLOOKUP(A3,Xtal_Templ!A:B,2,FALSE)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26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8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INDEX('ICL3'!$G$2:$G$41,MATCH(MIN(ABS(AH3-'ICL3'!$F$2:$F$41)),ABS(AH3-'ICL3'!$F$2:$F$41),0))</f>
        <v>67</v>
      </c>
      <c r="U3" s="1">
        <f t="array" ref="U3">INDEX('ICL3'!$H$2:$H$41,MATCH(MIN(ABS(AH3-'ICL3'!$F$2:$F$41)),ABS(AH3-'ICL3'!$F$2:$F$41),0))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46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42</v>
      </c>
      <c r="AH3" s="1">
        <f>VLOOKUP(A3,'SegEnds_NonXtal_Prot#'!A:AL,31,FALSE)-VLOOKUP(A3,'SegEnds_NonXtal_Prot#'!A:AL,28,FALSE)</f>
        <v>41</v>
      </c>
      <c r="AI3" s="1">
        <f>VLOOKUP(A3,'SegEnds_NonXtal_Prot#'!A:AL,34,FALSE)-VLOOKUP(A3,'SegEnds_NonXtal_Prot#'!A:AL,31,FALSE)</f>
        <v>34</v>
      </c>
      <c r="AJ3" s="1">
        <f>VLOOKUP(A3,'SegEnds_NonXtal_Prot#'!A:AL,37,FALSE)-VLOOKUP(A3,'SegEnds_NonXtal_Prot#'!A:AL,34,FALSE)</f>
        <v>10</v>
      </c>
      <c r="AK3" s="1" t="str">
        <f>IF(ISERROR(MATCH(A3,'SegEnds_Xtal_Prot#'!B:B, 0)), "NoXtal", "Xtal")</f>
        <v>NoXtal</v>
      </c>
    </row>
    <row r="4" spans="1:37" x14ac:dyDescent="0.2">
      <c r="A4" s="1" t="s">
        <v>142</v>
      </c>
      <c r="B4" s="1" t="str">
        <f>VLOOKUP(A4,Xtal_Templ!A:B,2,FALSE)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8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31</v>
      </c>
      <c r="T4" s="1">
        <f t="array" ref="T4">INDEX('ICL3'!$G$2:$G$41,MATCH(MIN(ABS(AH4-'ICL3'!$F$2:$F$41)),ABS(AH4-'ICL3'!$F$2:$F$41),0))</f>
        <v>64</v>
      </c>
      <c r="U4" s="1">
        <f t="array" ref="U4">INDEX('ICL3'!$H$2:$H$41,MATCH(MIN(ABS(AH4-'ICL3'!$F$2:$F$41)),ABS(AH4-'ICL3'!$F$2:$F$41),0))</f>
        <v>34</v>
      </c>
      <c r="V4" s="1">
        <v>64</v>
      </c>
      <c r="W4" s="1">
        <v>24</v>
      </c>
      <c r="X4" s="109">
        <v>56</v>
      </c>
      <c r="Y4" s="1">
        <f>VLOOKUP($B4&amp;"__wt",'SegEnds_Xtal_BW#'!$A:$Z,25,FALSE)</f>
        <v>47</v>
      </c>
      <c r="Z4" s="1">
        <f>VLOOKUP($B4&amp;"__wt",'SegEnds_Xtal_BW#'!$A:$Z,26,FALSE)</f>
        <v>56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48</v>
      </c>
      <c r="AE4" s="1" t="e">
        <f>VLOOKUP(A4,'SegEnds_NonXtal_Prot#'!A:AL,22,FALSE)-VLOOKUP(A4,'SegEnds_NonXtal_Prot#'!A:AL,19,FALSE)</f>
        <v>#VALUE!</v>
      </c>
      <c r="AF4" s="1">
        <f>VLOOKUP(A4,'SegEnds_NonXtal_Prot#'!A:AL,28,FALSE)-VLOOKUP(A4,'SegEnds_NonXtal_Prot#'!A:AL,25,FALSE)</f>
        <v>23</v>
      </c>
      <c r="AG4" s="1">
        <f>VLOOKUP(A4,'SegEnds_NonXtal_Prot#'!A:AL,28,FALSE)-VLOOKUP(A4,'SegEnds_NonXtal_Prot#'!A:AL,22,FALSE)</f>
        <v>44</v>
      </c>
      <c r="AH4" s="1">
        <f>VLOOKUP(A4,'SegEnds_NonXtal_Prot#'!A:AL,31,FALSE)-VLOOKUP(A4,'SegEnds_NonXtal_Prot#'!A:AL,28,FALSE)</f>
        <v>37</v>
      </c>
      <c r="AI4" s="1">
        <f>VLOOKUP(A4,'SegEnds_NonXtal_Prot#'!A:AL,34,FALSE)-VLOOKUP(A4,'SegEnds_NonXtal_Prot#'!A:AL,31,FALSE)</f>
        <v>46</v>
      </c>
      <c r="AJ4" s="1">
        <f>VLOOKUP(A4,'SegEnds_NonXtal_Prot#'!A:AL,37,FALSE)-VLOOKUP(A4,'SegEnds_NonXtal_Prot#'!A:AL,34,FALSE)</f>
        <v>10</v>
      </c>
      <c r="AK4" s="1" t="str">
        <f>IF(ISERROR(MATCH(A4,'SegEnds_Xtal_Prot#'!B:B, 0)), "NoXtal", "Xtal")</f>
        <v>NoXtal</v>
      </c>
    </row>
    <row r="5" spans="1:37" x14ac:dyDescent="0.2">
      <c r="A5" s="4" t="s">
        <v>238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9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INDEX('ICL3'!$G$2:$G$41,MATCH(MIN(ABS(AH5-'ICL3'!$F$2:$F$41)),ABS(AH5-'ICL3'!$F$2:$F$41),0))</f>
        <v>72</v>
      </c>
      <c r="U5" s="4">
        <f t="array" ref="U5">INDEX('ICL3'!$H$2:$H$41,MATCH(MIN(ABS(AH5-'ICL3'!$F$2:$F$41)),ABS(AH5-'ICL3'!$F$2:$F$41),0))</f>
        <v>24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4" t="e">
        <f>VLOOKUP(A5,'SegEnds_NonXtal_Prot#'!A:AL,10,FALSE)-VLOOKUP(A5,'SegEnds_NonXtal_Prot#'!A:AL,7,FALSE)</f>
        <v>#VALUE!</v>
      </c>
      <c r="AC5" s="4">
        <f>VLOOKUP(A5,'SegEnds_NonXtal_Prot#'!A:AL,13,FALSE)-VLOOKUP(A5,'SegEnds_NonXtal_Prot#'!A:AL,10,FALSE)</f>
        <v>15</v>
      </c>
      <c r="AD5" s="4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4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4">
        <f>VLOOKUP(A5,'SegEnds_NonXtal_Prot#'!A:AL,31,FALSE)-VLOOKUP(A5,'SegEnds_NonXtal_Prot#'!A:AL,28,FALSE)</f>
        <v>57</v>
      </c>
      <c r="AI5" s="4">
        <f>VLOOKUP(A5,'SegEnds_NonXtal_Prot#'!A:AL,34,FALSE)-VLOOKUP(A5,'SegEnds_NonXtal_Prot#'!A:AL,31,FALSE)</f>
        <v>32</v>
      </c>
      <c r="AJ5" s="1">
        <f>VLOOKUP(A5,'SegEnds_NonXtal_Prot#'!A:AL,37,FALSE)-VLOOKUP(A5,'SegEnds_NonXtal_Prot#'!A:AL,34,FALSE)</f>
        <v>10</v>
      </c>
      <c r="AK5" s="1" t="str">
        <f>IF(ISERROR(MATCH(A5,'SegEnds_Xtal_Prot#'!B:B, 0)), "NoXtal", "Xtal")</f>
        <v>NoXtal</v>
      </c>
    </row>
    <row r="6" spans="1:37" x14ac:dyDescent="0.2">
      <c r="A6" s="1" t="s">
        <v>249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8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INDEX('ICL3'!$G$2:$G$41,MATCH(MIN(ABS(AH6-'ICL3'!$F$2:$F$41)),ABS(AH6-'ICL3'!$F$2:$F$41),0))</f>
        <v>72</v>
      </c>
      <c r="U6" s="1">
        <f t="array" ref="U6">INDEX('ICL3'!$H$2:$H$41,MATCH(MIN(ABS(AH6-'ICL3'!$F$2:$F$41)),ABS(AH6-'ICL3'!$F$2:$F$41),0))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>
        <f>VLOOKUP(A6,'SegEnds_NonXtal_Prot#'!A:AL,37,FALSE)-VLOOKUP(A6,'SegEnds_NonXtal_Prot#'!A:AL,34,FALSE)</f>
        <v>10</v>
      </c>
      <c r="AK6" s="1" t="str">
        <f>IF(ISERROR(MATCH(A6,'SegEnds_Xtal_Prot#'!B:B, 0)), "NoXtal", "Xtal")</f>
        <v>NoXtal</v>
      </c>
    </row>
    <row r="7" spans="1:37" x14ac:dyDescent="0.2">
      <c r="A7" s="1" t="s">
        <v>254</v>
      </c>
      <c r="B7" s="1" t="str">
        <f>VLOOKUP(A7,Xtal_Templ!A:B,2,FALSE)</f>
        <v>ccr2_human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8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INDEX('ICL3'!$G$2:$G$41,MATCH(MIN(ABS(AH7-'ICL3'!$F$2:$F$41)),ABS(AH7-'ICL3'!$F$2:$F$41),0))</f>
        <v>68</v>
      </c>
      <c r="U7" s="1">
        <f t="array" ref="U7">INDEX('ICL3'!$H$2:$H$41,MATCH(MIN(ABS(AH7-'ICL3'!$F$2:$F$41)),ABS(AH7-'ICL3'!$F$2:$F$41),0))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48</v>
      </c>
      <c r="AE7" s="1">
        <f>VLOOKUP(A7,'SegEnds_NonXtal_Prot#'!A:AL,22,FALSE)-VLOOKUP(A7,'SegEnds_NonXtal_Prot#'!A:AL,19,FALSE)</f>
        <v>20</v>
      </c>
      <c r="AF7" s="1">
        <f>VLOOKUP(A7,'SegEnds_NonXtal_Prot#'!A:AL,28,FALSE)-VLOOKUP(A7,'SegEnds_NonXtal_Prot#'!A:AL,25,FALSE)</f>
        <v>21</v>
      </c>
      <c r="AG7" s="1">
        <f>VLOOKUP(A7,'SegEnds_NonXtal_Prot#'!A:AL,28,FALSE)-VLOOKUP(A7,'SegEnds_NonXtal_Prot#'!A:AL,22,FALSE)</f>
        <v>42</v>
      </c>
      <c r="AH7" s="1">
        <f>VLOOKUP(A7,'SegEnds_NonXtal_Prot#'!A:AL,31,FALSE)-VLOOKUP(A7,'SegEnds_NonXtal_Prot#'!A:AL,28,FALSE)</f>
        <v>49</v>
      </c>
      <c r="AI7" s="1">
        <f>VLOOKUP(A7,'SegEnds_NonXtal_Prot#'!A:AL,34,FALSE)-VLOOKUP(A7,'SegEnds_NonXtal_Prot#'!A:AL,31,FALSE)</f>
        <v>41</v>
      </c>
      <c r="AJ7" s="1">
        <f>VLOOKUP(A7,'SegEnds_NonXtal_Prot#'!A:AL,37,FALSE)-VLOOKUP(A7,'SegEnds_NonXtal_Prot#'!A:AL,34,FALSE)</f>
        <v>10</v>
      </c>
      <c r="AK7" s="1" t="str">
        <f>IF(ISERROR(MATCH(A7,'SegEnds_Xtal_Prot#'!B:B, 0)), "NoXtal", "Xtal")</f>
        <v>NoXtal</v>
      </c>
    </row>
    <row r="8" spans="1:37" x14ac:dyDescent="0.2">
      <c r="A8" s="1" t="s">
        <v>262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8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INDEX('ICL3'!$G$2:$G$41,MATCH(MIN(ABS(AH8-'ICL3'!$F$2:$F$41)),ABS(AH8-'ICL3'!$F$2:$F$41),0))</f>
        <v>72</v>
      </c>
      <c r="U8" s="1">
        <f t="array" ref="U8">INDEX('ICL3'!$H$2:$H$41,MATCH(MIN(ABS(AH8-'ICL3'!$F$2:$F$41)),ABS(AH8-'ICL3'!$F$2:$F$41),0))</f>
        <v>24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15</v>
      </c>
      <c r="AD8" s="1">
        <f>VLOOKUP(A8,'SegEnds_NonXtal_Prot#'!A:AL,16,FALSE)-VLOOKUP(A8,'SegEnds_NonXtal_Prot#'!A:AL,10,FALSE)</f>
        <v>48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44</v>
      </c>
      <c r="AH8" s="1">
        <f>VLOOKUP(A8,'SegEnds_NonXtal_Prot#'!A:AL,31,FALSE)-VLOOKUP(A8,'SegEnds_NonXtal_Prot#'!A:AL,28,FALSE)</f>
        <v>57</v>
      </c>
      <c r="AI8" s="1">
        <f>VLOOKUP(A8,'SegEnds_NonXtal_Prot#'!A:AL,34,FALSE)-VLOOKUP(A8,'SegEnds_NonXtal_Prot#'!A:AL,31,FALSE)</f>
        <v>32</v>
      </c>
      <c r="AJ8" s="1">
        <f>VLOOKUP(A8,'SegEnds_NonXtal_Prot#'!A:AL,37,FALSE)-VLOOKUP(A8,'SegEnds_NonXtal_Prot#'!A:AL,34,FALSE)</f>
        <v>10</v>
      </c>
      <c r="AK8" s="1" t="str">
        <f>IF(ISERROR(MATCH(A8,'SegEnds_Xtal_Prot#'!B:B, 0)), "NoXtal", "Xtal")</f>
        <v>NoXtal</v>
      </c>
    </row>
    <row r="9" spans="1:37" x14ac:dyDescent="0.2">
      <c r="A9" s="1" t="s">
        <v>305</v>
      </c>
      <c r="B9" s="1" t="str">
        <f>VLOOKUP(A9,Xtal_Templ!A:B,2,FALSE)</f>
        <v>agtr1_human</v>
      </c>
      <c r="C9" s="5">
        <f>VLOOKUP($B9&amp;"__wt",'SegEnds_Xtal_BW#'!$A:$Z,3,FALSE)</f>
        <v>30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8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INDEX('ICL3'!$G$2:$G$41,MATCH(MIN(ABS(AH9-'ICL3'!$F$2:$F$41)),ABS(AH9-'ICL3'!$F$2:$F$41),0))</f>
        <v>68</v>
      </c>
      <c r="U9" s="1">
        <f t="array" ref="U9">INDEX('ICL3'!$H$2:$H$41,MATCH(MIN(ABS(AH9-'ICL3'!$F$2:$F$41)),ABS(AH9-'ICL3'!$F$2:$F$41),0))</f>
        <v>30</v>
      </c>
      <c r="V9" s="1">
        <v>61</v>
      </c>
      <c r="W9" s="1">
        <v>28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48</v>
      </c>
      <c r="AE9" s="1">
        <f>VLOOKUP(A9,'SegEnds_NonXtal_Prot#'!A:AL,22,FALSE)-VLOOKUP(A9,'SegEnds_NonXtal_Prot#'!A:AL,19,FALSE)</f>
        <v>20</v>
      </c>
      <c r="AF9" s="1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42</v>
      </c>
      <c r="AH9" s="1">
        <f>VLOOKUP(A9,'SegEnds_NonXtal_Prot#'!A:AL,31,FALSE)-VLOOKUP(A9,'SegEnds_NonXtal_Prot#'!A:AL,28,FALSE)</f>
        <v>42</v>
      </c>
      <c r="AI9" s="1">
        <f>VLOOKUP(A9,'SegEnds_NonXtal_Prot#'!A:AL,34,FALSE)-VLOOKUP(A9,'SegEnds_NonXtal_Prot#'!A:AL,31,FALSE)</f>
        <v>38</v>
      </c>
      <c r="AJ9" s="1">
        <f>VLOOKUP(A9,'SegEnds_NonXtal_Prot#'!A:AL,37,FALSE)-VLOOKUP(A9,'SegEnds_NonXtal_Prot#'!A:AL,34,FALSE)</f>
        <v>10</v>
      </c>
      <c r="AK9" s="1" t="str">
        <f>IF(ISERROR(MATCH(A9,'SegEnds_Xtal_Prot#'!B:B, 0)), "NoXtal", "Xtal")</f>
        <v>NoXtal</v>
      </c>
    </row>
    <row r="10" spans="1:37" x14ac:dyDescent="0.2">
      <c r="A10" s="1" t="s">
        <v>307</v>
      </c>
      <c r="B10" s="1" t="str">
        <f>VLOOKUP(A10,Xtal_Templ!A:B,2,FALSE)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8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INDEX('ICL3'!$G$2:$G$41,MATCH(MIN(ABS(AH10-'ICL3'!$F$2:$F$41)),ABS(AH10-'ICL3'!$F$2:$F$41),0))</f>
        <v>68</v>
      </c>
      <c r="U10" s="1">
        <f t="array" ref="U10">INDEX('ICL3'!$H$2:$H$41,MATCH(MIN(ABS(AH10-'ICL3'!$F$2:$F$41)),ABS(AH10-'ICL3'!$F$2:$F$41),0))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48</v>
      </c>
      <c r="AE10" s="1">
        <f>VLOOKUP(A10,'SegEnds_NonXtal_Prot#'!A:AL,22,FALSE)-VLOOKUP(A10,'SegEnds_NonXtal_Prot#'!A:AL,19,FALSE)</f>
        <v>20</v>
      </c>
      <c r="AF10" s="1" t="e">
        <f>VLOOKUP(A10,'SegEnds_NonXtal_Prot#'!A:AL,28,FALSE)-VLOOKUP(A10,'SegEnds_NonXtal_Prot#'!A:AL,25,FALSE)</f>
        <v>#VALUE!</v>
      </c>
      <c r="AG10" s="1">
        <f>VLOOKUP(A10,'SegEnds_NonXtal_Prot#'!A:AL,28,FALSE)-VLOOKUP(A10,'SegEnds_NonXtal_Prot#'!A:AL,22,FALSE)</f>
        <v>42</v>
      </c>
      <c r="AH10" s="1">
        <f>VLOOKUP(A10,'SegEnds_NonXtal_Prot#'!A:AL,31,FALSE)-VLOOKUP(A10,'SegEnds_NonXtal_Prot#'!A:AL,28,FALSE)</f>
        <v>42</v>
      </c>
      <c r="AI10" s="1">
        <f>VLOOKUP(A10,'SegEnds_NonXtal_Prot#'!A:AL,34,FALSE)-VLOOKUP(A10,'SegEnds_NonXtal_Prot#'!A:AL,31,FALSE)</f>
        <v>38</v>
      </c>
      <c r="AJ10" s="1">
        <f>VLOOKUP(A10,'SegEnds_NonXtal_Prot#'!A:AL,37,FALSE)-VLOOKUP(A10,'SegEnds_NonXtal_Prot#'!A:AL,34,FALSE)</f>
        <v>10</v>
      </c>
      <c r="AK10" s="1" t="str">
        <f>IF(ISERROR(MATCH(A10,'SegEnds_Xtal_Prot#'!B:B, 0)), "NoXtal", "Xtal")</f>
        <v>NoXtal</v>
      </c>
    </row>
    <row r="11" spans="1:37" x14ac:dyDescent="0.2">
      <c r="A11" s="1" t="s">
        <v>308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8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INDEX('ICL3'!$G$2:$G$41,MATCH(MIN(ABS(AH11-'ICL3'!$F$2:$F$41)),ABS(AH11-'ICL3'!$F$2:$F$41),0))</f>
        <v>68</v>
      </c>
      <c r="U11" s="1">
        <f t="array" ref="U11">INDEX('ICL3'!$H$2:$H$41,MATCH(MIN(ABS(AH11-'ICL3'!$F$2:$F$41)),ABS(AH11-'ICL3'!$F$2:$F$41),0))</f>
        <v>30</v>
      </c>
      <c r="V11" s="1">
        <v>61</v>
      </c>
      <c r="W11" s="1">
        <v>28</v>
      </c>
      <c r="X11" s="109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 t="e">
        <f>VLOOKUP(A11,'SegEnds_NonXtal_Prot#'!A:AL,10,FALSE)-VLOOKUP(A11,'SegEnds_NonXtal_Prot#'!A:AL,7,FALSE)</f>
        <v>#VALUE!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48</v>
      </c>
      <c r="AE11" s="1">
        <f>VLOOKUP(A11,'SegEnds_NonXtal_Prot#'!A:AL,22,FALSE)-VLOOKUP(A11,'SegEnds_NonXtal_Prot#'!A:AL,19,FALSE)</f>
        <v>20</v>
      </c>
      <c r="AF11" s="1" t="e">
        <f>VLOOKUP(A11,'SegEnds_NonXtal_Prot#'!A:AL,28,FALSE)-VLOOKUP(A11,'SegEnds_NonXtal_Prot#'!A:AL,25,FALSE)</f>
        <v>#VALUE!</v>
      </c>
      <c r="AG11" s="1">
        <f>VLOOKUP(A11,'SegEnds_NonXtal_Prot#'!A:AL,28,FALSE)-VLOOKUP(A11,'SegEnds_NonXtal_Prot#'!A:AL,22,FALSE)</f>
        <v>42</v>
      </c>
      <c r="AH11" s="1">
        <f>VLOOKUP(A11,'SegEnds_NonXtal_Prot#'!A:AL,31,FALSE)-VLOOKUP(A11,'SegEnds_NonXtal_Prot#'!A:AL,28,FALSE)</f>
        <v>42</v>
      </c>
      <c r="AI11" s="1">
        <f>VLOOKUP(A11,'SegEnds_NonXtal_Prot#'!A:AL,34,FALSE)-VLOOKUP(A11,'SegEnds_NonXtal_Prot#'!A:AL,31,FALSE)</f>
        <v>38</v>
      </c>
      <c r="AJ11" s="1">
        <f>VLOOKUP(A11,'SegEnds_NonXtal_Prot#'!A:AL,37,FALSE)-VLOOKUP(A11,'SegEnds_NonXtal_Prot#'!A:AL,34,FALSE)</f>
        <v>10</v>
      </c>
      <c r="AK11" s="1" t="str">
        <f>IF(ISERROR(MATCH(A11,'SegEnds_Xtal_Prot#'!B:B, 0)), "NoXtal", "Xtal")</f>
        <v>NoXtal</v>
      </c>
    </row>
    <row r="12" spans="1:37" x14ac:dyDescent="0.2">
      <c r="A12" s="1" t="s">
        <v>219</v>
      </c>
      <c r="B12" s="1" t="str">
        <f>VLOOKUP(A12,Xtal_Templ!A:B,2,FALSE)</f>
        <v>agtr1_human</v>
      </c>
      <c r="C12" s="5">
        <f>VLOOKUP($B12&amp;"__wt",'SegEnds_Xtal_BW#'!$A:$Z,3,FALSE)</f>
        <v>30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8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INDEX('ICL3'!$G$2:$G$41,MATCH(MIN(ABS(AH12-'ICL3'!$F$2:$F$41)),ABS(AH12-'ICL3'!$F$2:$F$41),0))</f>
        <v>68</v>
      </c>
      <c r="U12" s="1">
        <f t="array" ref="U12">INDEX('ICL3'!$H$2:$H$41,MATCH(MIN(ABS(AH12-'ICL3'!$F$2:$F$41)),ABS(AH12-'ICL3'!$F$2:$F$41),0))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17</v>
      </c>
      <c r="AD12" s="1">
        <f>VLOOKUP(A12,'SegEnds_NonXtal_Prot#'!A:AL,16,FALSE)-VLOOKUP(A12,'SegEnds_NonXtal_Prot#'!A:AL,10,FALSE)</f>
        <v>49</v>
      </c>
      <c r="AE12" s="1" t="e">
        <f>VLOOKUP(A12,'SegEnds_NonXtal_Prot#'!A:AL,22,FALSE)-VLOOKUP(A12,'SegEnds_NonXtal_Prot#'!A:AL,19,FALSE)</f>
        <v>#VALUE!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47</v>
      </c>
      <c r="AH12" s="1">
        <f>VLOOKUP(A12,'SegEnds_NonXtal_Prot#'!A:AL,31,FALSE)-VLOOKUP(A12,'SegEnds_NonXtal_Prot#'!A:AL,28,FALSE)</f>
        <v>49</v>
      </c>
      <c r="AI12" s="1">
        <f>VLOOKUP(A12,'SegEnds_NonXtal_Prot#'!A:AL,34,FALSE)-VLOOKUP(A12,'SegEnds_NonXtal_Prot#'!A:AL,31,FALSE)</f>
        <v>45</v>
      </c>
      <c r="AJ12" s="1">
        <f>VLOOKUP(A12,'SegEnds_NonXtal_Prot#'!A:AL,37,FALSE)-VLOOKUP(A12,'SegEnds_NonXtal_Prot#'!A:AL,34,FALSE)</f>
        <v>10</v>
      </c>
      <c r="AK12" s="1" t="str">
        <f>IF(ISERROR(MATCH(A12,'SegEnds_Xtal_Prot#'!B:B, 0)), "NoXtal", "Xtal")</f>
        <v>NoXtal</v>
      </c>
    </row>
    <row r="13" spans="1:37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9">
        <v>38</v>
      </c>
      <c r="P13" s="4">
        <f>VLOOKUP($B13&amp;"__wt",'SegEnds_Xtal_BW#'!$A:$Z,16,FALSE)</f>
        <v>63</v>
      </c>
      <c r="Q13" s="116">
        <v>50</v>
      </c>
      <c r="R13" s="116">
        <v>52</v>
      </c>
      <c r="S13" s="4">
        <v>35</v>
      </c>
      <c r="T13" s="4">
        <f t="array" ref="T13">INDEX('ICL3'!$G$2:$G$41,MATCH(MIN(ABS(AH13-'ICL3'!$F$2:$F$41)),ABS(AH13-'ICL3'!$F$2:$F$41),0))</f>
        <v>74</v>
      </c>
      <c r="U13" s="4">
        <f t="array" ref="U13">INDEX('ICL3'!$H$2:$H$41,MATCH(MIN(ABS(AH13-'ICL3'!$F$2:$F$41)),ABS(AH13-'ICL3'!$F$2:$F$41),0))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4">
        <f>VLOOKUP(A13,'SegEnds_NonXtal_Prot#'!A:AL,10,FALSE)-VLOOKUP(A13,'SegEnds_NonXtal_Prot#'!A:AL,7,FALSE)</f>
        <v>16</v>
      </c>
      <c r="AC13" s="4" t="e">
        <f>VLOOKUP(A13,'SegEnds_NonXtal_Prot#'!A:AL,13,FALSE)-VLOOKUP(A13,'SegEnds_NonXtal_Prot#'!A:AL,10,FALSE)</f>
        <v>#VALUE!</v>
      </c>
      <c r="AD13" s="4">
        <f>VLOOKUP(A13,'SegEnds_NonXtal_Prot#'!A:AL,16,FALSE)-VLOOKUP(A13,'SegEnds_NonXtal_Prot#'!A:AL,10,FALSE)</f>
        <v>49</v>
      </c>
      <c r="AE13" s="1" t="e">
        <f>VLOOKUP(A13,'SegEnds_NonXtal_Prot#'!A:AL,22,FALSE)-VLOOKUP(A13,'SegEnds_NonXtal_Prot#'!A:AL,19,FALSE)</f>
        <v>#VALUE!</v>
      </c>
      <c r="AF13" s="4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44</v>
      </c>
      <c r="AH13" s="4">
        <f>VLOOKUP(A13,'SegEnds_NonXtal_Prot#'!A:AL,31,FALSE)-VLOOKUP(A13,'SegEnds_NonXtal_Prot#'!A:AL,28,FALSE)</f>
        <v>63</v>
      </c>
      <c r="AI13" s="4">
        <f>VLOOKUP(A13,'SegEnds_NonXtal_Prot#'!A:AL,34,FALSE)-VLOOKUP(A13,'SegEnds_NonXtal_Prot#'!A:AL,31,FALSE)</f>
        <v>38</v>
      </c>
      <c r="AJ13" s="1">
        <f>VLOOKUP(A13,'SegEnds_NonXtal_Prot#'!A:AL,37,FALSE)-VLOOKUP(A13,'SegEnds_NonXtal_Prot#'!A:AL,34,FALSE)</f>
        <v>10</v>
      </c>
      <c r="AK13" s="1" t="str">
        <f>IF(ISERROR(MATCH(A13,'SegEnds_Xtal_Prot#'!B:B, 0)), "NoXtal", "Xtal")</f>
        <v>NoXtal</v>
      </c>
    </row>
    <row r="14" spans="1:37" x14ac:dyDescent="0.2">
      <c r="A14" s="1" t="s">
        <v>243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8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9">
        <v>38</v>
      </c>
      <c r="T14" s="1">
        <f t="array" ref="T14">INDEX('ICL3'!$G$2:$G$41,MATCH(MIN(ABS(AH14-'ICL3'!$F$2:$F$41)),ABS(AH14-'ICL3'!$F$2:$F$41),0))</f>
        <v>68</v>
      </c>
      <c r="U14" s="1">
        <f t="array" ref="U14">INDEX('ICL3'!$H$2:$H$41,MATCH(MIN(ABS(AH14-'ICL3'!$F$2:$F$41)),ABS(AH14-'ICL3'!$F$2:$F$41),0))</f>
        <v>24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49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33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38</v>
      </c>
      <c r="AJ14" s="1">
        <f>VLOOKUP(A14,'SegEnds_NonXtal_Prot#'!A:AL,37,FALSE)-VLOOKUP(A14,'SegEnds_NonXtal_Prot#'!A:AL,34,FALSE)</f>
        <v>10</v>
      </c>
      <c r="AK14" s="1" t="str">
        <f>IF(ISERROR(MATCH(A14,'SegEnds_Xtal_Prot#'!B:B, 0)), "NoXtal", "Xtal")</f>
        <v>NoXtal</v>
      </c>
    </row>
    <row r="15" spans="1:37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8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INDEX('ICL3'!$G$2:$G$41,MATCH(MIN(ABS(AH15-'ICL3'!$F$2:$F$41)),ABS(AH15-'ICL3'!$F$2:$F$41),0))</f>
        <v>68</v>
      </c>
      <c r="U15" s="1">
        <f t="array" ref="U15">INDEX('ICL3'!$H$2:$H$41,MATCH(MIN(ABS(AH15-'ICL3'!$F$2:$F$41)),ABS(AH15-'ICL3'!$F$2:$F$41),0))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49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25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>
        <f>VLOOKUP(A15,'SegEnds_NonXtal_Prot#'!A:AL,37,FALSE)-VLOOKUP(A15,'SegEnds_NonXtal_Prot#'!A:AL,34,FALSE)</f>
        <v>10</v>
      </c>
      <c r="AK15" s="1" t="str">
        <f>IF(ISERROR(MATCH(A15,'SegEnds_Xtal_Prot#'!B:B, 0)), "NoXtal", "Xtal")</f>
        <v>NoXtal</v>
      </c>
    </row>
    <row r="16" spans="1:37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8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INDEX('ICL3'!$G$2:$G$41,MATCH(MIN(ABS(AH16-'ICL3'!$F$2:$F$41)),ABS(AH16-'ICL3'!$F$2:$F$41),0))</f>
        <v>72</v>
      </c>
      <c r="U16" s="1">
        <f t="array" ref="U16">INDEX('ICL3'!$H$2:$H$41,MATCH(MIN(ABS(AH16-'ICL3'!$F$2:$F$41)),ABS(AH16-'ICL3'!$F$2:$F$41),0))</f>
        <v>24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50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23</v>
      </c>
      <c r="AG16" s="1">
        <f>VLOOKUP(A16,'SegEnds_NonXtal_Prot#'!A:AL,28,FALSE)-VLOOKUP(A16,'SegEnds_NonXtal_Prot#'!A:AL,22,FALSE)</f>
        <v>60</v>
      </c>
      <c r="AH16" s="1">
        <f>VLOOKUP(A16,'SegEnds_NonXtal_Prot#'!A:AL,31,FALSE)-VLOOKUP(A16,'SegEnds_NonXtal_Prot#'!A:AL,28,FALSE)</f>
        <v>57</v>
      </c>
      <c r="AI16" s="1">
        <f>VLOOKUP(A16,'SegEnds_NonXtal_Prot#'!A:AL,34,FALSE)-VLOOKUP(A16,'SegEnds_NonXtal_Prot#'!A:AL,31,FALSE)</f>
        <v>36</v>
      </c>
      <c r="AJ16" s="1">
        <f>VLOOKUP(A16,'SegEnds_NonXtal_Prot#'!A:AL,37,FALSE)-VLOOKUP(A16,'SegEnds_NonXtal_Prot#'!A:AL,34,FALSE)</f>
        <v>10</v>
      </c>
      <c r="AK16" s="1" t="str">
        <f>IF(ISERROR(MATCH(A16,'SegEnds_Xtal_Prot#'!B:B, 0)), "NoXtal", "Xtal")</f>
        <v>Xtal</v>
      </c>
    </row>
    <row r="17" spans="1:37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8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INDEX('ICL3'!$G$2:$G$41,MATCH(MIN(ABS(AH17-'ICL3'!$F$2:$F$41)),ABS(AH17-'ICL3'!$F$2:$F$41),0))</f>
        <v>74</v>
      </c>
      <c r="U17" s="1">
        <f t="array" ref="U17">INDEX('ICL3'!$H$2:$H$41,MATCH(MIN(ABS(AH17-'ICL3'!$F$2:$F$41)),ABS(AH17-'ICL3'!$F$2:$F$41),0))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23</v>
      </c>
      <c r="AG17" s="1">
        <f>VLOOKUP(A17,'SegEnds_NonXtal_Prot#'!A:AL,28,FALSE)-VLOOKUP(A17,'SegEnds_NonXtal_Prot#'!A:AL,22,FALSE)</f>
        <v>60</v>
      </c>
      <c r="AH17" s="1">
        <f>VLOOKUP(A17,'SegEnds_NonXtal_Prot#'!A:AL,31,FALSE)-VLOOKUP(A17,'SegEnds_NonXtal_Prot#'!A:AL,28,FALSE)</f>
        <v>59</v>
      </c>
      <c r="AI17" s="1">
        <f>VLOOKUP(A17,'SegEnds_NonXtal_Prot#'!A:AL,34,FALSE)-VLOOKUP(A17,'SegEnds_NonXtal_Prot#'!A:AL,31,FALSE)</f>
        <v>37</v>
      </c>
      <c r="AJ17" s="1">
        <f>VLOOKUP(A17,'SegEnds_NonXtal_Prot#'!A:AL,37,FALSE)-VLOOKUP(A17,'SegEnds_NonXtal_Prot#'!A:AL,34,FALSE)</f>
        <v>10</v>
      </c>
      <c r="AK17" s="1" t="str">
        <f>IF(ISERROR(MATCH(A17,'SegEnds_Xtal_Prot#'!B:B, 0)), "NoXtal", "Xtal")</f>
        <v>Xtal</v>
      </c>
    </row>
    <row r="18" spans="1:37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8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INDEX('ICL3'!$G$2:$G$41,MATCH(MIN(ABS(AH18-'ICL3'!$F$2:$F$41)),ABS(AH18-'ICL3'!$F$2:$F$41),0))</f>
        <v>73</v>
      </c>
      <c r="U18" s="1">
        <f t="array" ref="U18">INDEX('ICL3'!$H$2:$H$41,MATCH(MIN(ABS(AH18-'ICL3'!$F$2:$F$41)),ABS(AH18-'ICL3'!$F$2:$F$41),0))</f>
        <v>22</v>
      </c>
      <c r="V18" s="1">
        <v>61</v>
      </c>
      <c r="W18" s="1">
        <v>28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50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64</v>
      </c>
      <c r="AH18" s="1">
        <f>VLOOKUP(A18,'SegEnds_NonXtal_Prot#'!A:AL,31,FALSE)-VLOOKUP(A18,'SegEnds_NonXtal_Prot#'!A:AL,28,FALSE)</f>
        <v>55</v>
      </c>
      <c r="AI18" s="1">
        <f>VLOOKUP(A18,'SegEnds_NonXtal_Prot#'!A:AL,34,FALSE)-VLOOKUP(A18,'SegEnds_NonXtal_Prot#'!A:AL,31,FALSE)</f>
        <v>38</v>
      </c>
      <c r="AJ18" s="1">
        <f>VLOOKUP(A18,'SegEnds_NonXtal_Prot#'!A:AL,37,FALSE)-VLOOKUP(A18,'SegEnds_NonXtal_Prot#'!A:AL,34,FALSE)</f>
        <v>10</v>
      </c>
      <c r="AK18" s="1" t="str">
        <f>IF(ISERROR(MATCH(A18,'SegEnds_Xtal_Prot#'!B:B, 0)), "NoXtal", "Xtal")</f>
        <v>NoXtal</v>
      </c>
    </row>
    <row r="19" spans="1:37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9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8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INDEX('ICL3'!$G$2:$G$41,MATCH(MIN(ABS(AH19-'ICL3'!$F$2:$F$41)),ABS(AH19-'ICL3'!$F$2:$F$41),0))</f>
        <v>73</v>
      </c>
      <c r="U19" s="1">
        <f t="array" ref="U19">INDEX('ICL3'!$H$2:$H$41,MATCH(MIN(ABS(AH19-'ICL3'!$F$2:$F$41)),ABS(AH19-'ICL3'!$F$2:$F$41),0))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50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34</v>
      </c>
      <c r="AJ19" s="1">
        <f>VLOOKUP(A19,'SegEnds_NonXtal_Prot#'!A:AL,37,FALSE)-VLOOKUP(A19,'SegEnds_NonXtal_Prot#'!A:AL,34,FALSE)</f>
        <v>10</v>
      </c>
      <c r="AK19" s="1" t="str">
        <f>IF(ISERROR(MATCH(A19,'SegEnds_Xtal_Prot#'!B:B, 0)), "NoXtal", "Xtal")</f>
        <v>NoXtal</v>
      </c>
    </row>
    <row r="20" spans="1:37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9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8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INDEX('ICL3'!$G$2:$G$41,MATCH(MIN(ABS(AH20-'ICL3'!$F$2:$F$41)),ABS(AH20-'ICL3'!$F$2:$F$41),0))</f>
        <v>68</v>
      </c>
      <c r="U20" s="1">
        <f t="array" ref="U20">INDEX('ICL3'!$H$2:$H$41,MATCH(MIN(ABS(AH20-'ICL3'!$F$2:$F$41)),ABS(AH20-'ICL3'!$F$2:$F$41),0))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27</v>
      </c>
      <c r="AG20" s="1">
        <f>VLOOKUP(A20,'SegEnds_NonXtal_Prot#'!A:AL,28,FALSE)-VLOOKUP(A20,'SegEnds_NonXtal_Prot#'!A:AL,22,FALSE)</f>
        <v>53</v>
      </c>
      <c r="AH20" s="1">
        <f>VLOOKUP(A20,'SegEnds_NonXtal_Prot#'!A:AL,31,FALSE)-VLOOKUP(A20,'SegEnds_NonXtal_Prot#'!A:AL,28,FALSE)</f>
        <v>43</v>
      </c>
      <c r="AI20" s="1">
        <f>VLOOKUP(A20,'SegEnds_NonXtal_Prot#'!A:AL,34,FALSE)-VLOOKUP(A20,'SegEnds_NonXtal_Prot#'!A:AL,31,FALSE)</f>
        <v>44</v>
      </c>
      <c r="AJ20" s="1">
        <f>VLOOKUP(A20,'SegEnds_NonXtal_Prot#'!A:AL,37,FALSE)-VLOOKUP(A20,'SegEnds_NonXtal_Prot#'!A:AL,34,FALSE)</f>
        <v>10</v>
      </c>
      <c r="AK20" s="1" t="str">
        <f>IF(ISERROR(MATCH(A20,'SegEnds_Xtal_Prot#'!B:B, 0)), "NoXtal", "Xtal")</f>
        <v>NoXtal</v>
      </c>
    </row>
    <row r="21" spans="1:37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9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8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INDEX('ICL3'!$G$2:$G$41,MATCH(MIN(ABS(AH21-'ICL3'!$F$2:$F$41)),ABS(AH21-'ICL3'!$F$2:$F$41),0))</f>
        <v>68</v>
      </c>
      <c r="U21" s="1">
        <f t="array" ref="U21">INDEX('ICL3'!$H$2:$H$41,MATCH(MIN(ABS(AH21-'ICL3'!$F$2:$F$41)),ABS(AH21-'ICL3'!$F$2:$F$41),0))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 t="e">
        <f>VLOOKUP(A21,'SegEnds_NonXtal_Prot#'!A:AL,22,FALSE)-VLOOKUP(A21,'SegEnds_NonXtal_Prot#'!A:AL,19,FALSE)</f>
        <v>#VALUE!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50</v>
      </c>
      <c r="AH21" s="1">
        <f>VLOOKUP(A21,'SegEnds_NonXtal_Prot#'!A:AL,31,FALSE)-VLOOKUP(A21,'SegEnds_NonXtal_Prot#'!A:AL,28,FALSE)</f>
        <v>43</v>
      </c>
      <c r="AI21" s="1">
        <f>VLOOKUP(A21,'SegEnds_NonXtal_Prot#'!A:AL,34,FALSE)-VLOOKUP(A21,'SegEnds_NonXtal_Prot#'!A:AL,31,FALSE)</f>
        <v>45</v>
      </c>
      <c r="AJ21" s="1">
        <f>VLOOKUP(A21,'SegEnds_NonXtal_Prot#'!A:AL,37,FALSE)-VLOOKUP(A21,'SegEnds_NonXtal_Prot#'!A:AL,34,FALSE)</f>
        <v>10</v>
      </c>
      <c r="AK21" s="1" t="str">
        <f>IF(ISERROR(MATCH(A21,'SegEnds_Xtal_Prot#'!B:B, 0)), "NoXtal", "Xtal")</f>
        <v>NoXtal</v>
      </c>
    </row>
    <row r="22" spans="1:37" x14ac:dyDescent="0.2">
      <c r="A22" s="1" t="s">
        <v>169</v>
      </c>
      <c r="B22" s="1" t="str">
        <f>VLOOKUP(A22,Xtal_Templ!A:B,2,FALSE)</f>
        <v>ccr9_human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56</v>
      </c>
      <c r="O22" s="88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INDEX('ICL3'!$G$2:$G$41,MATCH(MIN(ABS(AH22-'ICL3'!$F$2:$F$41)),ABS(AH22-'ICL3'!$F$2:$F$41),0))</f>
        <v>68</v>
      </c>
      <c r="U22" s="1">
        <f t="array" ref="U22">INDEX('ICL3'!$H$2:$H$41,MATCH(MIN(ABS(AH22-'ICL3'!$F$2:$F$41)),ABS(AH22-'ICL3'!$F$2:$F$41),0))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67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16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 t="e">
        <f>VLOOKUP(A22,'SegEnds_NonXtal_Prot#'!A:AL,22,FALSE)-VLOOKUP(A22,'SegEnds_NonXtal_Prot#'!A:AL,19,FALSE)</f>
        <v>#VALUE!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45</v>
      </c>
      <c r="AJ22" s="1">
        <f>VLOOKUP(A22,'SegEnds_NonXtal_Prot#'!A:AL,37,FALSE)-VLOOKUP(A22,'SegEnds_NonXtal_Prot#'!A:AL,34,FALSE)</f>
        <v>10</v>
      </c>
      <c r="AK22" s="1" t="str">
        <f>IF(ISERROR(MATCH(A22,'SegEnds_Xtal_Prot#'!B:B, 0)), "NoXtal", "Xtal")</f>
        <v>NoXtal</v>
      </c>
    </row>
    <row r="23" spans="1:37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8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INDEX('ICL3'!$G$2:$G$41,MATCH(MIN(ABS(AH23-'ICL3'!$F$2:$F$41)),ABS(AH23-'ICL3'!$F$2:$F$41),0))</f>
        <v>68</v>
      </c>
      <c r="U23" s="1">
        <f t="array" ref="U23">INDEX('ICL3'!$H$2:$H$41,MATCH(MIN(ABS(AH23-'ICL3'!$F$2:$F$41)),ABS(AH23-'ICL3'!$F$2:$F$41),0))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24</v>
      </c>
      <c r="AG23" s="1">
        <f>VLOOKUP(A23,'SegEnds_NonXtal_Prot#'!A:AL,28,FALSE)-VLOOKUP(A23,'SegEnds_NonXtal_Prot#'!A:AL,22,FALSE)</f>
        <v>49</v>
      </c>
      <c r="AH23" s="1">
        <f>VLOOKUP(A23,'SegEnds_NonXtal_Prot#'!A:AL,31,FALSE)-VLOOKUP(A23,'SegEnds_NonXtal_Prot#'!A:AL,28,FALSE)</f>
        <v>44</v>
      </c>
      <c r="AI23" s="1">
        <f>VLOOKUP(A23,'SegEnds_NonXtal_Prot#'!A:AL,34,FALSE)-VLOOKUP(A23,'SegEnds_NonXtal_Prot#'!A:AL,31,FALSE)</f>
        <v>44</v>
      </c>
      <c r="AJ23" s="1">
        <f>VLOOKUP(A23,'SegEnds_NonXtal_Prot#'!A:AL,37,FALSE)-VLOOKUP(A23,'SegEnds_NonXtal_Prot#'!A:AL,34,FALSE)</f>
        <v>10</v>
      </c>
      <c r="AK23" s="1" t="str">
        <f>IF(ISERROR(MATCH(A23,'SegEnds_Xtal_Prot#'!B:B, 0)), "NoXtal", "Xtal")</f>
        <v>Xtal</v>
      </c>
    </row>
    <row r="24" spans="1:37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8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INDEX('ICL3'!$G$2:$G$41,MATCH(MIN(ABS(AH24-'ICL3'!$F$2:$F$41)),ABS(AH24-'ICL3'!$F$2:$F$41),0))</f>
        <v>68</v>
      </c>
      <c r="U24" s="1">
        <f t="array" ref="U24">INDEX('ICL3'!$H$2:$H$41,MATCH(MIN(ABS(AH24-'ICL3'!$F$2:$F$41)),ABS(AH24-'ICL3'!$F$2:$F$41),0))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18</v>
      </c>
      <c r="AD24" s="1">
        <f>VLOOKUP(A24,'SegEnds_NonXtal_Prot#'!A:AL,16,FALSE)-VLOOKUP(A24,'SegEnds_NonXtal_Prot#'!A:AL,10,FALSE)</f>
        <v>50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27</v>
      </c>
      <c r="AG24" s="1">
        <f>VLOOKUP(A24,'SegEnds_NonXtal_Prot#'!A:AL,28,FALSE)-VLOOKUP(A24,'SegEnds_NonXtal_Prot#'!A:AL,22,FALSE)</f>
        <v>52</v>
      </c>
      <c r="AH24" s="1">
        <f>VLOOKUP(A24,'SegEnds_NonXtal_Prot#'!A:AL,31,FALSE)-VLOOKUP(A24,'SegEnds_NonXtal_Prot#'!A:AL,28,FALSE)</f>
        <v>43</v>
      </c>
      <c r="AI24" s="1">
        <f>VLOOKUP(A24,'SegEnds_NonXtal_Prot#'!A:AL,34,FALSE)-VLOOKUP(A24,'SegEnds_NonXtal_Prot#'!A:AL,31,FALSE)</f>
        <v>44</v>
      </c>
      <c r="AJ24" s="1">
        <f>VLOOKUP(A24,'SegEnds_NonXtal_Prot#'!A:AL,37,FALSE)-VLOOKUP(A24,'SegEnds_NonXtal_Prot#'!A:AL,34,FALSE)</f>
        <v>10</v>
      </c>
      <c r="AK24" s="1" t="str">
        <f>IF(ISERROR(MATCH(A24,'SegEnds_Xtal_Prot#'!B:B, 0)), "NoXtal", "Xtal")</f>
        <v>NoXtal</v>
      </c>
    </row>
    <row r="25" spans="1:37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8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INDEX('ICL3'!$G$2:$G$41,MATCH(MIN(ABS(AH25-'ICL3'!$F$2:$F$41)),ABS(AH25-'ICL3'!$F$2:$F$41),0))</f>
        <v>68</v>
      </c>
      <c r="U25" s="1">
        <f t="array" ref="U25">INDEX('ICL3'!$H$2:$H$41,MATCH(MIN(ABS(AH25-'ICL3'!$F$2:$F$41)),ABS(AH25-'ICL3'!$F$2:$F$41),0))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28</v>
      </c>
      <c r="AG25" s="1">
        <f>VLOOKUP(A25,'SegEnds_NonXtal_Prot#'!A:AL,28,FALSE)-VLOOKUP(A25,'SegEnds_NonXtal_Prot#'!A:AL,22,FALSE)</f>
        <v>53</v>
      </c>
      <c r="AH25" s="1">
        <f>VLOOKUP(A25,'SegEnds_NonXtal_Prot#'!A:AL,31,FALSE)-VLOOKUP(A25,'SegEnds_NonXtal_Prot#'!A:AL,28,FALSE)</f>
        <v>44</v>
      </c>
      <c r="AI25" s="1">
        <f>VLOOKUP(A25,'SegEnds_NonXtal_Prot#'!A:AL,34,FALSE)-VLOOKUP(A25,'SegEnds_NonXtal_Prot#'!A:AL,31,FALSE)</f>
        <v>44</v>
      </c>
      <c r="AJ25" s="1">
        <f>VLOOKUP(A25,'SegEnds_NonXtal_Prot#'!A:AL,37,FALSE)-VLOOKUP(A25,'SegEnds_NonXtal_Prot#'!A:AL,34,FALSE)</f>
        <v>10</v>
      </c>
      <c r="AK25" s="1" t="str">
        <f>IF(ISERROR(MATCH(A25,'SegEnds_Xtal_Prot#'!B:B, 0)), "NoXtal", "Xtal")</f>
        <v>Xtal</v>
      </c>
    </row>
    <row r="26" spans="1:37" x14ac:dyDescent="0.2">
      <c r="A26" s="12" t="s">
        <v>175</v>
      </c>
      <c r="B26" s="12" t="str">
        <f>VLOOKUP(A26,Xtal_Templ!A:B,2,FALSE)</f>
        <v>ccr9_human</v>
      </c>
      <c r="C26" s="13">
        <f>VLOOKUP($B26&amp;"__wt",'SegEnds_Xtal_BW#'!$A:$Z,3,FALSE)</f>
        <v>27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8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INDEX('ICL3'!$G$2:$G$41,MATCH(MIN(ABS(AH26-'ICL3'!$F$2:$F$41)),ABS(AH26-'ICL3'!$F$2:$F$41),0))</f>
        <v>68</v>
      </c>
      <c r="U26" s="12">
        <f t="array" ref="U26">INDEX('ICL3'!$H$2:$H$41,MATCH(MIN(ABS(AH26-'ICL3'!$F$2:$F$41)),ABS(AH26-'ICL3'!$F$2:$F$41),0))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67</v>
      </c>
      <c r="AA26" s="36" t="str">
        <f>VLOOKUP(A26,Classification!A:B,2,FALSE)</f>
        <v>A</v>
      </c>
      <c r="AB26" s="12">
        <f>VLOOKUP(A26,'SegEnds_NonXtal_Prot#'!A:AL,10,FALSE)-VLOOKUP(A26,'SegEnds_NonXtal_Prot#'!A:AL,7,FALSE)</f>
        <v>15</v>
      </c>
      <c r="AC26" s="12">
        <f>VLOOKUP(A26,'SegEnds_NonXtal_Prot#'!A:AL,13,FALSE)-VLOOKUP(A26,'SegEnds_NonXtal_Prot#'!A:AL,10,FALSE)</f>
        <v>18</v>
      </c>
      <c r="AD26" s="12">
        <f>VLOOKUP(A26,'SegEnds_NonXtal_Prot#'!A:AL,16,FALSE)-VLOOKUP(A26,'SegEnds_NonXtal_Prot#'!A:AL,10,FALSE)</f>
        <v>50</v>
      </c>
      <c r="AE26" s="1">
        <f>VLOOKUP(A26,'SegEnds_NonXtal_Prot#'!A:AL,22,FALSE)-VLOOKUP(A26,'SegEnds_NonXtal_Prot#'!A:AL,19,FALSE)</f>
        <v>22</v>
      </c>
      <c r="AF26" s="12">
        <f>VLOOKUP(A26,'SegEnds_NonXtal_Prot#'!A:AL,28,FALSE)-VLOOKUP(A26,'SegEnds_NonXtal_Prot#'!A:AL,25,FALSE)</f>
        <v>25</v>
      </c>
      <c r="AG26" s="1">
        <f>VLOOKUP(A26,'SegEnds_NonXtal_Prot#'!A:AL,28,FALSE)-VLOOKUP(A26,'SegEnds_NonXtal_Prot#'!A:AL,22,FALSE)</f>
        <v>52</v>
      </c>
      <c r="AH26" s="12">
        <f>VLOOKUP(A26,'SegEnds_NonXtal_Prot#'!A:AL,31,FALSE)-VLOOKUP(A26,'SegEnds_NonXtal_Prot#'!A:AL,28,FALSE)</f>
        <v>43</v>
      </c>
      <c r="AI26" s="12">
        <f>VLOOKUP(A26,'SegEnds_NonXtal_Prot#'!A:AL,34,FALSE)-VLOOKUP(A26,'SegEnds_NonXtal_Prot#'!A:AL,31,FALSE)</f>
        <v>45</v>
      </c>
      <c r="AJ26" s="1">
        <f>VLOOKUP(A26,'SegEnds_NonXtal_Prot#'!A:AL,37,FALSE)-VLOOKUP(A26,'SegEnds_NonXtal_Prot#'!A:AL,34,FALSE)</f>
        <v>10</v>
      </c>
      <c r="AK26" s="12" t="str">
        <f>IF(ISERROR(MATCH(A26,'SegEnds_Xtal_Prot#'!B:B, 0)), "NoXtal", "Xtal")</f>
        <v>NoXtal</v>
      </c>
    </row>
    <row r="27" spans="1:37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8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INDEX('ICL3'!$G$2:$G$41,MATCH(MIN(ABS(AH27-'ICL3'!$F$2:$F$41)),ABS(AH27-'ICL3'!$F$2:$F$41),0))</f>
        <v>68</v>
      </c>
      <c r="U27" s="1">
        <f t="array" ref="U27">INDEX('ICL3'!$H$2:$H$41,MATCH(MIN(ABS(AH27-'ICL3'!$F$2:$F$41)),ABS(AH27-'ICL3'!$F$2:$F$41),0))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52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44</v>
      </c>
      <c r="AJ27" s="1">
        <f>VLOOKUP(A27,'SegEnds_NonXtal_Prot#'!A:AL,37,FALSE)-VLOOKUP(A27,'SegEnds_NonXtal_Prot#'!A:AL,34,FALSE)</f>
        <v>10</v>
      </c>
      <c r="AK27" s="1" t="str">
        <f>IF(ISERROR(MATCH(A27,'SegEnds_Xtal_Prot#'!B:B, 0)), "NoXtal", "Xtal")</f>
        <v>NoXtal</v>
      </c>
    </row>
    <row r="28" spans="1:37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8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INDEX('ICL3'!$G$2:$G$41,MATCH(MIN(ABS(AH28-'ICL3'!$F$2:$F$41)),ABS(AH28-'ICL3'!$F$2:$F$41),0))</f>
        <v>68</v>
      </c>
      <c r="U28" s="12">
        <f t="array" ref="U28">INDEX('ICL3'!$H$2:$H$41,MATCH(MIN(ABS(AH28-'ICL3'!$F$2:$F$41)),ABS(AH28-'ICL3'!$F$2:$F$41),0))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2">
        <f>VLOOKUP(A28,'SegEnds_NonXtal_Prot#'!A:AL,10,FALSE)-VLOOKUP(A28,'SegEnds_NonXtal_Prot#'!A:AL,7,FALSE)</f>
        <v>15</v>
      </c>
      <c r="AC28" s="12">
        <f>VLOOKUP(A28,'SegEnds_NonXtal_Prot#'!A:AL,13,FALSE)-VLOOKUP(A28,'SegEnds_NonXtal_Prot#'!A:AL,10,FALSE)</f>
        <v>18</v>
      </c>
      <c r="AD28" s="12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22</v>
      </c>
      <c r="AF28" s="12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53</v>
      </c>
      <c r="AH28" s="12">
        <f>VLOOKUP(A28,'SegEnds_NonXtal_Prot#'!A:AL,31,FALSE)-VLOOKUP(A28,'SegEnds_NonXtal_Prot#'!A:AL,28,FALSE)</f>
        <v>43</v>
      </c>
      <c r="AI28" s="12">
        <f>VLOOKUP(A28,'SegEnds_NonXtal_Prot#'!A:AL,34,FALSE)-VLOOKUP(A28,'SegEnds_NonXtal_Prot#'!A:AL,31,FALSE)</f>
        <v>45</v>
      </c>
      <c r="AJ28" s="1">
        <f>VLOOKUP(A28,'SegEnds_NonXtal_Prot#'!A:AL,37,FALSE)-VLOOKUP(A28,'SegEnds_NonXtal_Prot#'!A:AL,34,FALSE)</f>
        <v>10</v>
      </c>
      <c r="AK28" s="12" t="str">
        <f>IF(ISERROR(MATCH(A28,'SegEnds_Xtal_Prot#'!B:B, 0)), "NoXtal", "Xtal")</f>
        <v>Xtal</v>
      </c>
    </row>
    <row r="29" spans="1:37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8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INDEX('ICL3'!$G$2:$G$41,MATCH(MIN(ABS(AH29-'ICL3'!$F$2:$F$41)),ABS(AH29-'ICL3'!$F$2:$F$41),0))</f>
        <v>68</v>
      </c>
      <c r="U29" s="1">
        <f t="array" ref="U29">INDEX('ICL3'!$H$2:$H$41,MATCH(MIN(ABS(AH29-'ICL3'!$F$2:$F$41)),ABS(AH29-'ICL3'!$F$2:$F$41),0))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 t="e">
        <f>VLOOKUP(A29,'SegEnds_NonXtal_Prot#'!A:AL,13,FALSE)-VLOOKUP(A29,'SegEnds_NonXtal_Prot#'!A:AL,10,FALSE)</f>
        <v>#VALUE!</v>
      </c>
      <c r="AD29" s="1">
        <f>VLOOKUP(A29,'SegEnds_NonXtal_Prot#'!A:AL,16,FALSE)-VLOOKUP(A29,'SegEnds_NonXtal_Prot#'!A:AL,10,FALSE)</f>
        <v>50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28</v>
      </c>
      <c r="AG29" s="1">
        <f>VLOOKUP(A29,'SegEnds_NonXtal_Prot#'!A:AL,28,FALSE)-VLOOKUP(A29,'SegEnds_NonXtal_Prot#'!A:AL,22,FALSE)</f>
        <v>49</v>
      </c>
      <c r="AH29" s="1">
        <f>VLOOKUP(A29,'SegEnds_NonXtal_Prot#'!A:AL,31,FALSE)-VLOOKUP(A29,'SegEnds_NonXtal_Prot#'!A:AL,28,FALSE)</f>
        <v>43</v>
      </c>
      <c r="AI29" s="1">
        <f>VLOOKUP(A29,'SegEnds_NonXtal_Prot#'!A:AL,34,FALSE)-VLOOKUP(A29,'SegEnds_NonXtal_Prot#'!A:AL,31,FALSE)</f>
        <v>44</v>
      </c>
      <c r="AJ29" s="1">
        <f>VLOOKUP(A29,'SegEnds_NonXtal_Prot#'!A:AL,37,FALSE)-VLOOKUP(A29,'SegEnds_NonXtal_Prot#'!A:AL,34,FALSE)</f>
        <v>10</v>
      </c>
      <c r="AK29" s="1" t="str">
        <f>IF(ISERROR(MATCH(A29,'SegEnds_Xtal_Prot#'!B:B, 0)), "NoXtal", "Xtal")</f>
        <v>NoXtal</v>
      </c>
    </row>
    <row r="30" spans="1:37" x14ac:dyDescent="0.2">
      <c r="A30" s="1" t="s">
        <v>185</v>
      </c>
      <c r="B30" s="1" t="str">
        <f>VLOOKUP(A30,Xtal_Templ!A:B,2,FALSE)</f>
        <v>ccr2_human</v>
      </c>
      <c r="C30" s="5">
        <f>VLOOKUP($B30&amp;"__wt",'SegEnds_Xtal_BW#'!$A:$Z,3,FALSE)</f>
        <v>27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9">
        <v>56</v>
      </c>
      <c r="O30" s="88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INDEX('ICL3'!$G$2:$G$41,MATCH(MIN(ABS(AH30-'ICL3'!$F$2:$F$41)),ABS(AH30-'ICL3'!$F$2:$F$41),0))</f>
        <v>68</v>
      </c>
      <c r="U30" s="1">
        <f t="array" ref="U30">INDEX('ICL3'!$H$2:$H$41,MATCH(MIN(ABS(AH30-'ICL3'!$F$2:$F$41)),ABS(AH30-'ICL3'!$F$2:$F$41),0))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50</v>
      </c>
      <c r="AE30" s="1">
        <f>VLOOKUP(A30,'SegEnds_NonXtal_Prot#'!A:AL,22,FALSE)-VLOOKUP(A30,'SegEnds_NonXtal_Prot#'!A:AL,19,FALSE)</f>
        <v>19</v>
      </c>
      <c r="AF30" s="1">
        <f>VLOOKUP(A30,'SegEnds_NonXtal_Prot#'!A:AL,28,FALSE)-VLOOKUP(A30,'SegEnds_NonXtal_Prot#'!A:AL,25,FALSE)</f>
        <v>27</v>
      </c>
      <c r="AG30" s="1">
        <f>VLOOKUP(A30,'SegEnds_NonXtal_Prot#'!A:AL,28,FALSE)-VLOOKUP(A30,'SegEnds_NonXtal_Prot#'!A:AL,22,FALSE)</f>
        <v>53</v>
      </c>
      <c r="AH30" s="1">
        <f>VLOOKUP(A30,'SegEnds_NonXtal_Prot#'!A:AL,31,FALSE)-VLOOKUP(A30,'SegEnds_NonXtal_Prot#'!A:AL,28,FALSE)</f>
        <v>43</v>
      </c>
      <c r="AI30" s="1">
        <f>VLOOKUP(A30,'SegEnds_NonXtal_Prot#'!A:AL,34,FALSE)-VLOOKUP(A30,'SegEnds_NonXtal_Prot#'!A:AL,31,FALSE)</f>
        <v>45</v>
      </c>
      <c r="AJ30" s="1">
        <f>VLOOKUP(A30,'SegEnds_NonXtal_Prot#'!A:AL,37,FALSE)-VLOOKUP(A30,'SegEnds_NonXtal_Prot#'!A:AL,34,FALSE)</f>
        <v>10</v>
      </c>
      <c r="AK30" s="1" t="str">
        <f>IF(ISERROR(MATCH(A30,'SegEnds_Xtal_Prot#'!B:B, 0)), "NoXtal", "Xtal")</f>
        <v>NoXtal</v>
      </c>
    </row>
    <row r="31" spans="1:37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9">
        <v>56</v>
      </c>
      <c r="O31" s="109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INDEX('ICL3'!$G$2:$G$41,MATCH(MIN(ABS(AH31-'ICL3'!$F$2:$F$41)),ABS(AH31-'ICL3'!$F$2:$F$41),0))</f>
        <v>68</v>
      </c>
      <c r="U31" s="1">
        <f t="array" ref="U31">INDEX('ICL3'!$H$2:$H$41,MATCH(MIN(ABS(AH31-'ICL3'!$F$2:$F$41)),ABS(AH31-'ICL3'!$F$2:$F$41),0))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50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27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43</v>
      </c>
      <c r="AI31" s="1">
        <f>VLOOKUP(A31,'SegEnds_NonXtal_Prot#'!A:AL,34,FALSE)-VLOOKUP(A31,'SegEnds_NonXtal_Prot#'!A:AL,31,FALSE)</f>
        <v>45</v>
      </c>
      <c r="AJ31" s="1">
        <f>VLOOKUP(A31,'SegEnds_NonXtal_Prot#'!A:AL,37,FALSE)-VLOOKUP(A31,'SegEnds_NonXtal_Prot#'!A:AL,34,FALSE)</f>
        <v>10</v>
      </c>
      <c r="AK31" s="1" t="str">
        <f>IF(ISERROR(MATCH(A31,'SegEnds_Xtal_Prot#'!B:B, 0)), "NoXtal", "Xtal")</f>
        <v>NoXtal</v>
      </c>
    </row>
    <row r="32" spans="1:37" x14ac:dyDescent="0.2">
      <c r="A32" s="1" t="s">
        <v>187</v>
      </c>
      <c r="B32" s="1" t="str">
        <f>VLOOKUP(A32,Xtal_Templ!A:B,2,FALSE)</f>
        <v>cxcr4_human</v>
      </c>
      <c r="C32" s="5">
        <f>VLOOKUP($B32&amp;"__wt",'SegEnds_Xtal_BW#'!$A:$Z,3,FALSE)</f>
        <v>24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8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32</v>
      </c>
      <c r="T32" s="1">
        <f t="array" ref="T32">INDEX('ICL3'!$G$2:$G$41,MATCH(MIN(ABS(AH32-'ICL3'!$F$2:$F$41)),ABS(AH32-'ICL3'!$F$2:$F$41),0))</f>
        <v>68</v>
      </c>
      <c r="U32" s="1">
        <f t="array" ref="U32">INDEX('ICL3'!$H$2:$H$41,MATCH(MIN(ABS(AH32-'ICL3'!$F$2:$F$41)),ABS(AH32-'ICL3'!$F$2:$F$41),0))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50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24</v>
      </c>
      <c r="AG32" s="1">
        <f>VLOOKUP(A32,'SegEnds_NonXtal_Prot#'!A:AL,28,FALSE)-VLOOKUP(A32,'SegEnds_NonXtal_Prot#'!A:AL,22,FALSE)</f>
        <v>51</v>
      </c>
      <c r="AH32" s="1">
        <f>VLOOKUP(A32,'SegEnds_NonXtal_Prot#'!A:AL,31,FALSE)-VLOOKUP(A32,'SegEnds_NonXtal_Prot#'!A:AL,28,FALSE)</f>
        <v>43</v>
      </c>
      <c r="AI32" s="1">
        <f>VLOOKUP(A32,'SegEnds_NonXtal_Prot#'!A:AL,34,FALSE)-VLOOKUP(A32,'SegEnds_NonXtal_Prot#'!A:AL,31,FALSE)</f>
        <v>45</v>
      </c>
      <c r="AJ32" s="1">
        <f>VLOOKUP(A32,'SegEnds_NonXtal_Prot#'!A:AL,37,FALSE)-VLOOKUP(A32,'SegEnds_NonXtal_Prot#'!A:AL,34,FALSE)</f>
        <v>10</v>
      </c>
      <c r="AK32" s="1" t="str">
        <f>IF(ISERROR(MATCH(A32,'SegEnds_Xtal_Prot#'!B:B, 0)), "NoXtal", "Xtal")</f>
        <v>NoXtal</v>
      </c>
    </row>
    <row r="33" spans="1:37" x14ac:dyDescent="0.2">
      <c r="A33" s="1" t="s">
        <v>1172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8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INDEX('ICL3'!$G$2:$G$41,MATCH(MIN(ABS(AH33-'ICL3'!$F$2:$F$41)),ABS(AH33-'ICL3'!$F$2:$F$41),0))</f>
        <v>68</v>
      </c>
      <c r="U33" s="1">
        <f t="array" ref="U33">INDEX('ICL3'!$H$2:$H$41,MATCH(MIN(ABS(AH33-'ICL3'!$F$2:$F$41)),ABS(AH33-'ICL3'!$F$2:$F$41),0))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18</v>
      </c>
      <c r="AD33" s="1">
        <f>VLOOKUP(A33,'SegEnds_NonXtal_Prot#'!A:AL,16,FALSE)-VLOOKUP(A33,'SegEnds_NonXtal_Prot#'!A:AL,10,FALSE)</f>
        <v>50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43</v>
      </c>
      <c r="AI33" s="1">
        <f>VLOOKUP(A33,'SegEnds_NonXtal_Prot#'!A:AL,34,FALSE)-VLOOKUP(A33,'SegEnds_NonXtal_Prot#'!A:AL,31,FALSE)</f>
        <v>45</v>
      </c>
      <c r="AJ33" s="1">
        <f>VLOOKUP(A33,'SegEnds_NonXtal_Prot#'!A:AL,37,FALSE)-VLOOKUP(A33,'SegEnds_NonXtal_Prot#'!A:AL,34,FALSE)</f>
        <v>10</v>
      </c>
      <c r="AK33" s="1" t="str">
        <f>IF(ISERROR(MATCH(A33,'SegEnds_Xtal_Prot#'!B:B, 0)), "NoXtal", "Xtal")</f>
        <v>Xtal</v>
      </c>
    </row>
    <row r="34" spans="1:37" x14ac:dyDescent="0.2">
      <c r="A34" s="1" t="s">
        <v>188</v>
      </c>
      <c r="B34" s="1" t="str">
        <f>VLOOKUP(A34,Xtal_Templ!A:B,2,FALSE)</f>
        <v>cxcr4_human</v>
      </c>
      <c r="C34" s="5">
        <f>VLOOKUP($B34&amp;"__wt",'SegEnds_Xtal_BW#'!$A:$Z,3,FALSE)</f>
        <v>24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8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INDEX('ICL3'!$G$2:$G$41,MATCH(MIN(ABS(AH34-'ICL3'!$F$2:$F$41)),ABS(AH34-'ICL3'!$F$2:$F$41),0))</f>
        <v>68</v>
      </c>
      <c r="U34" s="1">
        <f t="array" ref="U34">INDEX('ICL3'!$H$2:$H$41,MATCH(MIN(ABS(AH34-'ICL3'!$F$2:$F$41)),ABS(AH34-'ICL3'!$F$2:$F$41),0))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50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28</v>
      </c>
      <c r="AG34" s="1">
        <f>VLOOKUP(A34,'SegEnds_NonXtal_Prot#'!A:AL,28,FALSE)-VLOOKUP(A34,'SegEnds_NonXtal_Prot#'!A:AL,22,FALSE)</f>
        <v>56</v>
      </c>
      <c r="AH34" s="1">
        <f>VLOOKUP(A34,'SegEnds_NonXtal_Prot#'!A:AL,31,FALSE)-VLOOKUP(A34,'SegEnds_NonXtal_Prot#'!A:AL,28,FALSE)</f>
        <v>44</v>
      </c>
      <c r="AI34" s="1">
        <f>VLOOKUP(A34,'SegEnds_NonXtal_Prot#'!A:AL,34,FALSE)-VLOOKUP(A34,'SegEnds_NonXtal_Prot#'!A:AL,31,FALSE)</f>
        <v>45</v>
      </c>
      <c r="AJ34" s="1">
        <f>VLOOKUP(A34,'SegEnds_NonXtal_Prot#'!A:AL,37,FALSE)-VLOOKUP(A34,'SegEnds_NonXtal_Prot#'!A:AL,34,FALSE)</f>
        <v>10</v>
      </c>
      <c r="AK34" s="1" t="str">
        <f>IF(ISERROR(MATCH(A34,'SegEnds_Xtal_Prot#'!B:B, 0)), "NoXtal", "Xtal")</f>
        <v>NoXtal</v>
      </c>
    </row>
    <row r="35" spans="1:37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8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INDEX('ICL3'!$G$2:$G$41,MATCH(MIN(ABS(AH35-'ICL3'!$F$2:$F$41)),ABS(AH35-'ICL3'!$F$2:$F$41),0))</f>
        <v>68</v>
      </c>
      <c r="U35" s="12">
        <f t="array" ref="U35">INDEX('ICL3'!$H$2:$H$41,MATCH(MIN(ABS(AH35-'ICL3'!$F$2:$F$41)),ABS(AH35-'ICL3'!$F$2:$F$41),0))</f>
        <v>30</v>
      </c>
      <c r="V35" s="12">
        <v>61</v>
      </c>
      <c r="W35" s="12">
        <v>28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2">
        <f>VLOOKUP(A35,'SegEnds_NonXtal_Prot#'!A:AL,10,FALSE)-VLOOKUP(A35,'SegEnds_NonXtal_Prot#'!A:AL,7,FALSE)</f>
        <v>15</v>
      </c>
      <c r="AC35" s="12">
        <f>VLOOKUP(A35,'SegEnds_NonXtal_Prot#'!A:AL,13,FALSE)-VLOOKUP(A35,'SegEnds_NonXtal_Prot#'!A:AL,10,FALSE)</f>
        <v>18</v>
      </c>
      <c r="AD35" s="12">
        <f>VLOOKUP(A35,'SegEnds_NonXtal_Prot#'!A:AL,16,FALSE)-VLOOKUP(A35,'SegEnds_NonXtal_Prot#'!A:AL,10,FALSE)</f>
        <v>50</v>
      </c>
      <c r="AE35" s="1">
        <f>VLOOKUP(A35,'SegEnds_NonXtal_Prot#'!A:AL,22,FALSE)-VLOOKUP(A35,'SegEnds_NonXtal_Prot#'!A:AL,19,FALSE)</f>
        <v>22</v>
      </c>
      <c r="AF35" s="12">
        <f>VLOOKUP(A35,'SegEnds_NonXtal_Prot#'!A:AL,28,FALSE)-VLOOKUP(A35,'SegEnds_NonXtal_Prot#'!A:AL,25,FALSE)</f>
        <v>23</v>
      </c>
      <c r="AG35" s="1">
        <f>VLOOKUP(A35,'SegEnds_NonXtal_Prot#'!A:AL,28,FALSE)-VLOOKUP(A35,'SegEnds_NonXtal_Prot#'!A:AL,22,FALSE)</f>
        <v>47</v>
      </c>
      <c r="AH35" s="12">
        <f>VLOOKUP(A35,'SegEnds_NonXtal_Prot#'!A:AL,31,FALSE)-VLOOKUP(A35,'SegEnds_NonXtal_Prot#'!A:AL,28,FALSE)</f>
        <v>43</v>
      </c>
      <c r="AI35" s="12">
        <f>VLOOKUP(A35,'SegEnds_NonXtal_Prot#'!A:AL,34,FALSE)-VLOOKUP(A35,'SegEnds_NonXtal_Prot#'!A:AL,31,FALSE)</f>
        <v>39</v>
      </c>
      <c r="AJ35" s="1">
        <f>VLOOKUP(A35,'SegEnds_NonXtal_Prot#'!A:AL,37,FALSE)-VLOOKUP(A35,'SegEnds_NonXtal_Prot#'!A:AL,34,FALSE)</f>
        <v>10</v>
      </c>
      <c r="AK35" s="12" t="str">
        <f>IF(ISERROR(MATCH(A35,'SegEnds_Xtal_Prot#'!B:B, 0)), "NoXtal", "Xtal")</f>
        <v>NoXtal</v>
      </c>
    </row>
    <row r="36" spans="1:37" x14ac:dyDescent="0.2">
      <c r="A36" s="1" t="s">
        <v>220</v>
      </c>
      <c r="B36" s="1" t="str">
        <f>VLOOKUP(A36,Xtal_Templ!A:B,2,FALSE)</f>
        <v>apj_human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52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8"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INDEX('ICL3'!$G$2:$G$41,MATCH(MIN(ABS(AH36-'ICL3'!$F$2:$F$41)),ABS(AH36-'ICL3'!$F$2:$F$41),0))</f>
        <v>76</v>
      </c>
      <c r="U36" s="1">
        <f t="array" ref="U36">INDEX('ICL3'!$H$2:$H$41,MATCH(MIN(ABS(AH36-'ICL3'!$F$2:$F$41)),ABS(AH36-'ICL3'!$F$2:$F$41),0))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16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 t="e">
        <f>VLOOKUP(A36,'SegEnds_NonXtal_Prot#'!A:AL,28,FALSE)-VLOOKUP(A36,'SegEnds_NonXtal_Prot#'!A:AL,25,FALSE)</f>
        <v>#VALUE!</v>
      </c>
      <c r="AG36" s="1">
        <f>VLOOKUP(A36,'SegEnds_NonXtal_Prot#'!A:AL,28,FALSE)-VLOOKUP(A36,'SegEnds_NonXtal_Prot#'!A:AL,22,FALSE)</f>
        <v>38</v>
      </c>
      <c r="AH36" s="1">
        <f>VLOOKUP(A36,'SegEnds_NonXtal_Prot#'!A:AL,31,FALSE)-VLOOKUP(A36,'SegEnds_NonXtal_Prot#'!A:AL,28,FALSE)</f>
        <v>68</v>
      </c>
      <c r="AI36" s="1">
        <f>VLOOKUP(A36,'SegEnds_NonXtal_Prot#'!A:AL,34,FALSE)-VLOOKUP(A36,'SegEnds_NonXtal_Prot#'!A:AL,31,FALSE)</f>
        <v>30</v>
      </c>
      <c r="AJ36" s="1">
        <f>VLOOKUP(A36,'SegEnds_NonXtal_Prot#'!A:AL,37,FALSE)-VLOOKUP(A36,'SegEnds_NonXtal_Prot#'!A:AL,34,FALSE)</f>
        <v>11</v>
      </c>
      <c r="AK36" s="1" t="str">
        <f>IF(ISERROR(MATCH(A36,'SegEnds_Xtal_Prot#'!B:B, 0)), "NoXtal", "Xtal")</f>
        <v>NoXtal</v>
      </c>
    </row>
    <row r="37" spans="1:37" x14ac:dyDescent="0.2">
      <c r="A37" s="1" t="s">
        <v>236</v>
      </c>
      <c r="B37" s="1" t="str">
        <f>VLOOKUP(A37,Xtal_Templ!A:B,2,FALSE)</f>
        <v>ccr5_human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8">
        <f>VLOOKUP($B37&amp;"__wt",'SegEnds_Xtal_BW#'!$A:$Z,15,FALSE)</f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INDEX('ICL3'!$G$2:$G$41,MATCH(MIN(ABS(AH37-'ICL3'!$F$2:$F$41)),ABS(AH37-'ICL3'!$F$2:$F$41),0))</f>
        <v>68</v>
      </c>
      <c r="U37" s="1">
        <f t="array" ref="U37">INDEX('ICL3'!$H$2:$H$41,MATCH(MIN(ABS(AH37-'ICL3'!$F$2:$F$41)),ABS(AH37-'ICL3'!$F$2:$F$41),0))</f>
        <v>24</v>
      </c>
      <c r="V37" s="1">
        <v>64</v>
      </c>
      <c r="W37" s="1">
        <v>24</v>
      </c>
      <c r="X37" s="130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19</v>
      </c>
      <c r="AD37" s="1">
        <f>VLOOKUP(A37,'SegEnds_NonXtal_Prot#'!A:AL,16,FALSE)-VLOOKUP(A37,'SegEnds_NonXtal_Prot#'!A:AL,10,FALSE)</f>
        <v>50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44</v>
      </c>
      <c r="AH37" s="1">
        <f>VLOOKUP(A37,'SegEnds_NonXtal_Prot#'!A:AL,31,FALSE)-VLOOKUP(A37,'SegEnds_NonXtal_Prot#'!A:AL,28,FALSE)</f>
        <v>48</v>
      </c>
      <c r="AI37" s="1">
        <f>VLOOKUP(A37,'SegEnds_NonXtal_Prot#'!A:AL,34,FALSE)-VLOOKUP(A37,'SegEnds_NonXtal_Prot#'!A:AL,31,FALSE)</f>
        <v>47</v>
      </c>
      <c r="AJ37" s="1">
        <f>VLOOKUP(A37,'SegEnds_NonXtal_Prot#'!A:AL,37,FALSE)-VLOOKUP(A37,'SegEnds_NonXtal_Prot#'!A:AL,34,FALSE)</f>
        <v>10</v>
      </c>
      <c r="AK37" s="1" t="str">
        <f>IF(ISERROR(MATCH(A37,'SegEnds_Xtal_Prot#'!B:B, 0)), "NoXtal", "Xtal")</f>
        <v>NoXtal</v>
      </c>
    </row>
    <row r="38" spans="1:37" x14ac:dyDescent="0.2">
      <c r="A38" s="1" t="s">
        <v>924</v>
      </c>
      <c r="B38" s="1" t="str">
        <f>VLOOKUP(A38,Xtal_Templ!A:B,2,FALSE)</f>
        <v>us28_hcmva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2">
        <v>24</v>
      </c>
      <c r="L38" s="1">
        <f>VLOOKUP($B38&amp;"__wt",'SegEnds_Xtal_BW#'!$A:$Z,12,FALSE)</f>
        <v>56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8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32</v>
      </c>
      <c r="T38" s="1">
        <f t="array" ref="T38">INDEX('ICL3'!$G$2:$G$41,MATCH(MIN(ABS(AH38-'ICL3'!$F$2:$F$41)),ABS(AH38-'ICL3'!$F$2:$F$41),0))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 t="e">
        <f>VLOOKUP(A38,'SegEnds_NonXtal_Prot#'!A:AL,13,FALSE)-VLOOKUP(A38,'SegEnds_NonXtal_Prot#'!A:AL,10,FALSE)</f>
        <v>#VALUE!</v>
      </c>
      <c r="AD38" s="1">
        <f>VLOOKUP(A38,'SegEnds_NonXtal_Prot#'!A:AL,16,FALSE)-VLOOKUP(A38,'SegEnds_NonXtal_Prot#'!A:AL,10,FALSE)</f>
        <v>50</v>
      </c>
      <c r="AE38" s="1" t="e">
        <f>VLOOKUP(A38,'SegEnds_NonXtal_Prot#'!A:AL,22,FALSE)-VLOOKUP(A38,'SegEnds_NonXtal_Prot#'!A:AL,19,FALSE)</f>
        <v>#VALUE!</v>
      </c>
      <c r="AF38" s="1">
        <f>VLOOKUP(A38,'SegEnds_NonXtal_Prot#'!A:AL,28,FALSE)-VLOOKUP(A38,'SegEnds_NonXtal_Prot#'!A:AL,25,FALSE)</f>
        <v>27</v>
      </c>
      <c r="AG38" s="1">
        <f>VLOOKUP(A38,'SegEnds_NonXtal_Prot#'!A:AL,28,FALSE)-VLOOKUP(A38,'SegEnds_NonXtal_Prot#'!A:AL,22,FALSE)</f>
        <v>48</v>
      </c>
      <c r="AH38" s="1">
        <f>VLOOKUP(A38,'SegEnds_NonXtal_Prot#'!A:AL,31,FALSE)-VLOOKUP(A38,'SegEnds_NonXtal_Prot#'!A:AL,28,FALSE)</f>
        <v>43</v>
      </c>
      <c r="AI38" s="1">
        <f>VLOOKUP(A38,'SegEnds_NonXtal_Prot#'!A:AL,34,FALSE)-VLOOKUP(A38,'SegEnds_NonXtal_Prot#'!A:AL,31,FALSE)</f>
        <v>45</v>
      </c>
      <c r="AJ38" s="1">
        <f>VLOOKUP(A38,'SegEnds_NonXtal_Prot#'!A:AL,37,FALSE)-VLOOKUP(A38,'SegEnds_NonXtal_Prot#'!A:AL,34,FALSE)</f>
        <v>10</v>
      </c>
      <c r="AK38" s="1" t="str">
        <f>IF(ISERROR(MATCH(A38,'SegEnds_Xtal_Prot#'!B:B, 0)), "NoXtal", "Xtal")</f>
        <v>Xtal</v>
      </c>
    </row>
    <row r="39" spans="1:37" x14ac:dyDescent="0.2">
      <c r="A39" s="1" t="s">
        <v>400</v>
      </c>
      <c r="B39" s="1" t="str">
        <f>VLOOKUP(A39,Xtal_Templ!A:B,2,FALSE)</f>
        <v>ccr5_human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24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8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INDEX('ICL3'!$G$2:$G$41,MATCH(MIN(ABS(AH39-'ICL3'!$F$2:$F$41)),ABS(AH39-'ICL3'!$F$2:$F$41),0))</f>
        <v>68</v>
      </c>
      <c r="U39" s="1">
        <f t="array" ref="U39">INDEX('ICL3'!$H$2:$H$41,MATCH(MIN(ABS(AH39-'ICL3'!$F$2:$F$41)),ABS(AH39-'ICL3'!$F$2:$F$41),0))</f>
        <v>30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18</v>
      </c>
      <c r="AD39" s="1">
        <f>VLOOKUP(A39,'SegEnds_NonXtal_Prot#'!A:AL,16,FALSE)-VLOOKUP(A39,'SegEnds_NonXtal_Prot#'!A:AL,10,FALSE)</f>
        <v>50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22</v>
      </c>
      <c r="AG39" s="1">
        <f>VLOOKUP(A39,'SegEnds_NonXtal_Prot#'!A:AL,28,FALSE)-VLOOKUP(A39,'SegEnds_NonXtal_Prot#'!A:AL,22,FALSE)</f>
        <v>43</v>
      </c>
      <c r="AH39" s="1">
        <f>VLOOKUP(A39,'SegEnds_NonXtal_Prot#'!A:AL,31,FALSE)-VLOOKUP(A39,'SegEnds_NonXtal_Prot#'!A:AL,28,FALSE)</f>
        <v>43</v>
      </c>
      <c r="AI39" s="1">
        <f>VLOOKUP(A39,'SegEnds_NonXtal_Prot#'!A:AL,34,FALSE)-VLOOKUP(A39,'SegEnds_NonXtal_Prot#'!A:AL,31,FALSE)</f>
        <v>44</v>
      </c>
      <c r="AJ39" s="1">
        <f>VLOOKUP(A39,'SegEnds_NonXtal_Prot#'!A:AL,37,FALSE)-VLOOKUP(A39,'SegEnds_NonXtal_Prot#'!A:AL,34,FALSE)</f>
        <v>10</v>
      </c>
      <c r="AK39" s="1" t="str">
        <f>IF(ISERROR(MATCH(A39,'SegEnds_Xtal_Prot#'!B:B, 0)), "NoXtal", "Xtal")</f>
        <v>NoXtal</v>
      </c>
    </row>
    <row r="40" spans="1:37" x14ac:dyDescent="0.2">
      <c r="A40" s="1" t="s">
        <v>168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8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30</v>
      </c>
      <c r="T40" s="1">
        <f t="array" ref="T40">INDEX('ICL3'!$G$2:$G$41,MATCH(MIN(ABS(AH40-'ICL3'!$F$2:$F$41)),ABS(AH40-'ICL3'!$F$2:$F$41),0))</f>
        <v>68</v>
      </c>
      <c r="U40" s="1">
        <f t="array" ref="U40">INDEX('ICL3'!$H$2:$H$41,MATCH(MIN(ABS(AH40-'ICL3'!$F$2:$F$41)),ABS(AH40-'ICL3'!$F$2:$F$41),0))</f>
        <v>30</v>
      </c>
      <c r="V40" s="1">
        <v>65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19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28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43</v>
      </c>
      <c r="AI40" s="1">
        <f>VLOOKUP(A40,'SegEnds_NonXtal_Prot#'!A:AL,34,FALSE)-VLOOKUP(A40,'SegEnds_NonXtal_Prot#'!A:AL,31,FALSE)</f>
        <v>44</v>
      </c>
      <c r="AJ40" s="1">
        <f>VLOOKUP(A40,'SegEnds_NonXtal_Prot#'!A:AL,37,FALSE)-VLOOKUP(A40,'SegEnds_NonXtal_Prot#'!A:AL,34,FALSE)</f>
        <v>10</v>
      </c>
      <c r="AK40" s="1" t="str">
        <f>IF(ISERROR(MATCH(A40,'SegEnds_Xtal_Prot#'!B:B, 0)), "NoXtal", "Xtal")</f>
        <v>NoXtal</v>
      </c>
    </row>
    <row r="41" spans="1:37" x14ac:dyDescent="0.2">
      <c r="A41" s="1" t="s">
        <v>171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8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INDEX('ICL3'!$G$2:$G$41,MATCH(MIN(ABS(AH41-'ICL3'!$F$2:$F$41)),ABS(AH41-'ICL3'!$F$2:$F$41),0))</f>
        <v>68</v>
      </c>
      <c r="U41" s="1">
        <f t="array" ref="U41">INDEX('ICL3'!$H$2:$H$41,MATCH(MIN(ABS(AH41-'ICL3'!$F$2:$F$41)),ABS(AH41-'ICL3'!$F$2:$F$41),0))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19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28</v>
      </c>
      <c r="AG41" s="1">
        <f>VLOOKUP(A41,'SegEnds_NonXtal_Prot#'!A:AL,28,FALSE)-VLOOKUP(A41,'SegEnds_NonXtal_Prot#'!A:AL,22,FALSE)</f>
        <v>53</v>
      </c>
      <c r="AH41" s="1">
        <f>VLOOKUP(A41,'SegEnds_NonXtal_Prot#'!A:AL,31,FALSE)-VLOOKUP(A41,'SegEnds_NonXtal_Prot#'!A:AL,28,FALSE)</f>
        <v>43</v>
      </c>
      <c r="AI41" s="1">
        <f>VLOOKUP(A41,'SegEnds_NonXtal_Prot#'!A:AL,34,FALSE)-VLOOKUP(A41,'SegEnds_NonXtal_Prot#'!A:AL,31,FALSE)</f>
        <v>44</v>
      </c>
      <c r="AJ41" s="1">
        <f>VLOOKUP(A41,'SegEnds_NonXtal_Prot#'!A:AL,37,FALSE)-VLOOKUP(A41,'SegEnds_NonXtal_Prot#'!A:AL,34,FALSE)</f>
        <v>10</v>
      </c>
      <c r="AK41" s="1" t="str">
        <f>IF(ISERROR(MATCH(A41,'SegEnds_Xtal_Prot#'!B:B, 0)), "NoXtal", "Xtal")</f>
        <v>NoXtal</v>
      </c>
    </row>
    <row r="42" spans="1:37" x14ac:dyDescent="0.2">
      <c r="A42" s="12" t="s">
        <v>174</v>
      </c>
      <c r="B42" s="12" t="str">
        <f>VLOOKUP(A42,Xtal_Templ!A:B,2,FALSE)</f>
        <v>ccr9_human</v>
      </c>
      <c r="C42" s="13">
        <f>VLOOKUP($B42&amp;"__wt",'SegEnds_Xtal_BW#'!$A:$Z,3,FALSE)</f>
        <v>27</v>
      </c>
      <c r="D42" s="12">
        <f>VLOOKUP($B42&amp;"__wt",'SegEnds_Xtal_BW#'!$A:$Z,4,FALSE)</f>
        <v>60</v>
      </c>
      <c r="E42" s="12">
        <f>VLOOKUP($B42&amp;"__wt",'SegEnds_Xtal_BW#'!$A:$Z,5,FALSE)</f>
        <v>48</v>
      </c>
      <c r="F42" s="12">
        <f>VLOOKUP($B42&amp;"__wt",'SegEnds_Xtal_BW#'!$A:$Z,6,FALSE)</f>
        <v>51</v>
      </c>
      <c r="G42" s="12">
        <v>37</v>
      </c>
      <c r="H42" s="12">
        <v>66</v>
      </c>
      <c r="I42" s="12">
        <f>VLOOKUP($B42&amp;"__wt",'SegEnds_Xtal_BW#'!$A:$Z,9,FALSE)</f>
        <v>49</v>
      </c>
      <c r="J42" s="12">
        <f>VLOOKUP($B42&amp;"__wt",'SegEnds_Xtal_BW#'!$A:$Z,10,FALSE)</f>
        <v>52</v>
      </c>
      <c r="K42" s="12">
        <v>21</v>
      </c>
      <c r="L42" s="12">
        <f>VLOOKUP($B42&amp;"__wt",'SegEnds_Xtal_BW#'!$A:$Z,12,FALSE)</f>
        <v>56</v>
      </c>
      <c r="M42" s="12">
        <f>VLOOKUP($B42&amp;"__wt",'SegEnds_Xtal_BW#'!$A:$Z,13,FALSE)</f>
        <v>50</v>
      </c>
      <c r="N42" s="12">
        <v>58</v>
      </c>
      <c r="O42" s="88">
        <v>38</v>
      </c>
      <c r="P42" s="12">
        <f>VLOOKUP($B42&amp;"__wt",'SegEnds_Xtal_BW#'!$A:$Z,16,FALSE)</f>
        <v>64</v>
      </c>
      <c r="Q42" s="12">
        <f>VLOOKUP($B42&amp;"__wt",'SegEnds_Xtal_BW#'!$A:$Z,17,FALSE)</f>
        <v>50</v>
      </c>
      <c r="R42" s="12">
        <f>VLOOKUP($B42&amp;"__wt",'SegEnds_Xtal_BW#'!$A:$Z,18,FALSE)</f>
        <v>52</v>
      </c>
      <c r="S42" s="12">
        <f>VLOOKUP($B42&amp;"__wt",'SegEnds_Xtal_BW#'!$A:$Z,19,FALSE)</f>
        <v>33</v>
      </c>
      <c r="T42" s="12">
        <f t="array" ref="T42">INDEX('ICL3'!$G$2:$G$41,MATCH(MIN(ABS(AH42-'ICL3'!$F$2:$F$41)),ABS(AH42-'ICL3'!$F$2:$F$41),0))</f>
        <v>68</v>
      </c>
      <c r="U42" s="12">
        <f t="array" ref="U42">INDEX('ICL3'!$H$2:$H$41,MATCH(MIN(ABS(AH42-'ICL3'!$F$2:$F$41)),ABS(AH42-'ICL3'!$F$2:$F$41),0))</f>
        <v>30</v>
      </c>
      <c r="V42" s="12">
        <v>65</v>
      </c>
      <c r="W42" s="12">
        <v>24</v>
      </c>
      <c r="X42" s="12">
        <f>VLOOKUP($B42&amp;"__wt",'SegEnds_Xtal_BW#'!$A:$Z,24,FALSE)</f>
        <v>56</v>
      </c>
      <c r="Y42" s="12">
        <f>VLOOKUP($B42&amp;"__wt",'SegEnds_Xtal_BW#'!$A:$Z,25,FALSE)</f>
        <v>47</v>
      </c>
      <c r="Z42" s="12">
        <f>VLOOKUP($B42&amp;"__wt",'SegEnds_Xtal_BW#'!$A:$Z,26,FALSE)</f>
        <v>67</v>
      </c>
      <c r="AA42" s="36" t="str">
        <f>VLOOKUP(A42,Classification!A:B,2,FALSE)</f>
        <v>A</v>
      </c>
      <c r="AB42" s="12">
        <f>VLOOKUP(A42,'SegEnds_NonXtal_Prot#'!A:AL,10,FALSE)-VLOOKUP(A42,'SegEnds_NonXtal_Prot#'!A:AL,7,FALSE)</f>
        <v>15</v>
      </c>
      <c r="AC42" s="12">
        <f>VLOOKUP(A42,'SegEnds_NonXtal_Prot#'!A:AL,13,FALSE)-VLOOKUP(A42,'SegEnds_NonXtal_Prot#'!A:AL,10,FALSE)</f>
        <v>19</v>
      </c>
      <c r="AD42" s="12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22</v>
      </c>
      <c r="AF42" s="12">
        <f>VLOOKUP(A42,'SegEnds_NonXtal_Prot#'!A:AL,28,FALSE)-VLOOKUP(A42,'SegEnds_NonXtal_Prot#'!A:AL,25,FALSE)</f>
        <v>29</v>
      </c>
      <c r="AG42" s="1">
        <f>VLOOKUP(A42,'SegEnds_NonXtal_Prot#'!A:AL,28,FALSE)-VLOOKUP(A42,'SegEnds_NonXtal_Prot#'!A:AL,22,FALSE)</f>
        <v>54</v>
      </c>
      <c r="AH42" s="12">
        <f>VLOOKUP(A42,'SegEnds_NonXtal_Prot#'!A:AL,31,FALSE)-VLOOKUP(A42,'SegEnds_NonXtal_Prot#'!A:AL,28,FALSE)</f>
        <v>43</v>
      </c>
      <c r="AI42" s="12">
        <f>VLOOKUP(A42,'SegEnds_NonXtal_Prot#'!A:AL,34,FALSE)-VLOOKUP(A42,'SegEnds_NonXtal_Prot#'!A:AL,31,FALSE)</f>
        <v>44</v>
      </c>
      <c r="AJ42" s="1">
        <f>VLOOKUP(A42,'SegEnds_NonXtal_Prot#'!A:AL,37,FALSE)-VLOOKUP(A42,'SegEnds_NonXtal_Prot#'!A:AL,34,FALSE)</f>
        <v>10</v>
      </c>
      <c r="AK42" s="12" t="str">
        <f>IF(ISERROR(MATCH(A42,'SegEnds_Xtal_Prot#'!B:B, 0)), "NoXtal", "Xtal")</f>
        <v>NoXtal</v>
      </c>
    </row>
    <row r="43" spans="1:37" x14ac:dyDescent="0.2">
      <c r="A43" s="1" t="s">
        <v>182</v>
      </c>
      <c r="B43" s="1" t="str">
        <f>VLOOKUP(A43,Xtal_Templ!A:B,2,FALSE)</f>
        <v>cnr1_human</v>
      </c>
      <c r="C43" s="5">
        <f>VLOOKUP($B43&amp;"__wt",'SegEnds_Xtal_BW#'!$A:$Z,3,FALSE)</f>
        <v>28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f>VLOOKUP($B43&amp;"__wt",'SegEnds_Xtal_BW#'!$A:$Z,7,FALSE)</f>
        <v>37</v>
      </c>
      <c r="H43" s="12">
        <f>VLOOKUP($B43&amp;"__wt",'SegEnds_Xtal_BW#'!$A:$Z,8,FALSE)</f>
        <v>66</v>
      </c>
      <c r="I43" s="1" t="str">
        <f>VLOOKUP($B43&amp;"__wt",'SegEnds_Xtal_BW#'!$A:$Z,9,FALSE)</f>
        <v>-</v>
      </c>
      <c r="J43" s="1" t="str">
        <f>VLOOKUP($B43&amp;"__wt",'SegEnds_Xtal_BW#'!$A:$Z,10,FALSE)</f>
        <v>-</v>
      </c>
      <c r="K43" s="12">
        <f>VLOOKUP($B43&amp;"__wt",'SegEnds_Xtal_BW#'!$A:$Z,11,FALSE)</f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8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INDEX('ICL3'!$G$2:$G$41,MATCH(MIN(ABS(AH43-'ICL3'!$F$2:$F$41)),ABS(AH43-'ICL3'!$F$2:$F$41),0))</f>
        <v>76</v>
      </c>
      <c r="U43" s="1">
        <f t="array" ref="U43">INDEX('ICL3'!$H$2:$H$41,MATCH(MIN(ABS(AH43-'ICL3'!$F$2:$F$41)),ABS(AH43-'ICL3'!$F$2:$F$41),0))</f>
        <v>24</v>
      </c>
      <c r="V43" s="1">
        <f>VLOOKUP($B43&amp;"__wt",'SegEnds_Xtal_BW#'!$A:$Z,22,FALSE)</f>
        <v>61</v>
      </c>
      <c r="W43" s="1">
        <f>VLOOKUP($B43&amp;"__wt",'SegEnds_Xtal_BW#'!$A:$Z,23,FALSE)</f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20</v>
      </c>
      <c r="AF43" s="1" t="e">
        <f>VLOOKUP(A43,'SegEnds_NonXtal_Prot#'!A:AL,28,FALSE)-VLOOKUP(A43,'SegEnds_NonXtal_Prot#'!A:AL,25,FALSE)</f>
        <v>#VALUE!</v>
      </c>
      <c r="AG43" s="1">
        <f>VLOOKUP(A43,'SegEnds_NonXtal_Prot#'!A:AL,28,FALSE)-VLOOKUP(A43,'SegEnds_NonXtal_Prot#'!A:AL,22,FALSE)</f>
        <v>45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36</v>
      </c>
      <c r="AJ43" s="1">
        <f>VLOOKUP(A43,'SegEnds_NonXtal_Prot#'!A:AL,37,FALSE)-VLOOKUP(A43,'SegEnds_NonXtal_Prot#'!A:AL,34,FALSE)</f>
        <v>10</v>
      </c>
      <c r="AK43" s="1" t="str">
        <f>IF(ISERROR(MATCH(A43,'SegEnds_Xtal_Prot#'!B:B, 0)), "NoXtal", "Xtal")</f>
        <v>Xtal</v>
      </c>
    </row>
    <row r="44" spans="1:37" x14ac:dyDescent="0.2">
      <c r="A44" s="1" t="s">
        <v>183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66</v>
      </c>
      <c r="I44" s="1">
        <v>48</v>
      </c>
      <c r="J44" s="1"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8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INDEX('ICL3'!$G$2:$G$41,MATCH(MIN(ABS(AH44-'ICL3'!$F$2:$F$41)),ABS(AH44-'ICL3'!$F$2:$F$41),0))</f>
        <v>74</v>
      </c>
      <c r="U44" s="1">
        <f t="array" ref="U44">INDEX('ICL3'!$H$2:$H$41,MATCH(MIN(ABS(AH44-'ICL3'!$F$2:$F$41)),ABS(AH44-'ICL3'!$F$2:$F$41),0))</f>
        <v>21</v>
      </c>
      <c r="V44" s="1">
        <f>VLOOKUP($B44&amp;"__wt",'SegEnds_Xtal_BW#'!$A:$Z,22,FALSE)</f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20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43</v>
      </c>
      <c r="AH44" s="1">
        <f>VLOOKUP(A44,'SegEnds_NonXtal_Prot#'!A:AL,31,FALSE)-VLOOKUP(A44,'SegEnds_NonXtal_Prot#'!A:AL,28,FALSE)</f>
        <v>59</v>
      </c>
      <c r="AI44" s="1">
        <f>VLOOKUP(A44,'SegEnds_NonXtal_Prot#'!A:AL,34,FALSE)-VLOOKUP(A44,'SegEnds_NonXtal_Prot#'!A:AL,31,FALSE)</f>
        <v>36</v>
      </c>
      <c r="AJ44" s="1">
        <f>VLOOKUP(A44,'SegEnds_NonXtal_Prot#'!A:AL,37,FALSE)-VLOOKUP(A44,'SegEnds_NonXtal_Prot#'!A:AL,34,FALSE)</f>
        <v>10</v>
      </c>
      <c r="AK44" s="1" t="str">
        <f>IF(ISERROR(MATCH(A44,'SegEnds_Xtal_Prot#'!B:B, 0)), "NoXtal", "Xtal")</f>
        <v>NoXtal</v>
      </c>
    </row>
    <row r="45" spans="1:37" x14ac:dyDescent="0.2">
      <c r="A45" s="1" t="s">
        <v>190</v>
      </c>
      <c r="B45" s="1" t="str">
        <f>VLOOKUP(A45,Xtal_Templ!A:B,2,FALSE)</f>
        <v>adrb2_human</v>
      </c>
      <c r="C45" s="5">
        <f>VLOOKUP($B45&amp;"__wt",'SegEnds_Xtal_BW#'!$A:$Z,3,FALSE)</f>
        <v>25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8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INDEX('ICL3'!$G$2:$G$41,MATCH(MIN(ABS(AH45-'ICL3'!$F$2:$F$41)),ABS(AH45-'ICL3'!$F$2:$F$41),0))</f>
        <v>76</v>
      </c>
      <c r="U45" s="1">
        <f t="array" ref="U45">INDEX('ICL3'!$H$2:$H$41,MATCH(MIN(ABS(AH45-'ICL3'!$F$2:$F$41)),ABS(AH45-'ICL3'!$F$2:$F$41),0))</f>
        <v>24</v>
      </c>
      <c r="V45" s="1">
        <v>61</v>
      </c>
      <c r="W45" s="1">
        <v>28</v>
      </c>
      <c r="X45" s="1">
        <f>VLOOKUP($B45&amp;"__wt",'SegEnds_Xtal_BW#'!$A:$Z,24,FALSE)</f>
        <v>55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16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58</v>
      </c>
      <c r="AH45" s="1">
        <f>VLOOKUP(A45,'SegEnds_NonXtal_Prot#'!A:AL,31,FALSE)-VLOOKUP(A45,'SegEnds_NonXtal_Prot#'!A:AL,28,FALSE)</f>
        <v>81</v>
      </c>
      <c r="AI45" s="1">
        <f>VLOOKUP(A45,'SegEnds_NonXtal_Prot#'!A:AL,34,FALSE)-VLOOKUP(A45,'SegEnds_NonXtal_Prot#'!A:AL,31,FALSE)</f>
        <v>41</v>
      </c>
      <c r="AJ45" s="1">
        <f>VLOOKUP(A45,'SegEnds_NonXtal_Prot#'!A:AL,37,FALSE)-VLOOKUP(A45,'SegEnds_NonXtal_Prot#'!A:AL,34,FALSE)</f>
        <v>10</v>
      </c>
      <c r="AK45" s="1" t="str">
        <f>IF(ISERROR(MATCH(A45,'SegEnds_Xtal_Prot#'!B:B, 0)), "NoXtal", "Xtal")</f>
        <v>NoXtal</v>
      </c>
    </row>
    <row r="46" spans="1:37" x14ac:dyDescent="0.2">
      <c r="A46" s="1" t="s">
        <v>194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8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INDEX('ICL3'!$G$2:$G$41,MATCH(MIN(ABS(AH46-'ICL3'!$F$2:$F$41)),ABS(AH46-'ICL3'!$F$2:$F$41),0))</f>
        <v>76</v>
      </c>
      <c r="U46" s="1">
        <f t="array" ref="U46">INDEX('ICL3'!$H$2:$H$41,MATCH(MIN(ABS(AH46-'ICL3'!$F$2:$F$41)),ABS(AH46-'ICL3'!$F$2:$F$41),0))</f>
        <v>24</v>
      </c>
      <c r="V46" s="1">
        <v>64</v>
      </c>
      <c r="W46" s="1">
        <v>24</v>
      </c>
      <c r="X46" s="131"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16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72</v>
      </c>
      <c r="AH46" s="1">
        <f>VLOOKUP(A46,'SegEnds_NonXtal_Prot#'!A:AL,31,FALSE)-VLOOKUP(A46,'SegEnds_NonXtal_Prot#'!A:AL,28,FALSE)</f>
        <v>74</v>
      </c>
      <c r="AI46" s="1">
        <f>VLOOKUP(A46,'SegEnds_NonXtal_Prot#'!A:AL,34,FALSE)-VLOOKUP(A46,'SegEnds_NonXtal_Prot#'!A:AL,31,FALSE)</f>
        <v>45</v>
      </c>
      <c r="AJ46" s="1">
        <f>VLOOKUP(A46,'SegEnds_NonXtal_Prot#'!A:AL,37,FALSE)-VLOOKUP(A46,'SegEnds_NonXtal_Prot#'!A:AL,34,FALSE)</f>
        <v>10</v>
      </c>
      <c r="AK46" s="1" t="str">
        <f>IF(ISERROR(MATCH(A46,'SegEnds_Xtal_Prot#'!B:B, 0)), "NoXtal", "Xtal")</f>
        <v>NoXtal</v>
      </c>
    </row>
    <row r="47" spans="1:37" x14ac:dyDescent="0.2">
      <c r="A47" s="4" t="s">
        <v>200</v>
      </c>
      <c r="B47" s="4" t="str">
        <f>VLOOKUP(A47,Xtal_Templ!A:B,2,FALSE)</f>
        <v>ox2r_human</v>
      </c>
      <c r="C47" s="5">
        <f>VLOOKUP($B47&amp;"__wt",'SegEnds_Xtal_BW#'!$A:$Z,3,FALSE)</f>
        <v>31</v>
      </c>
      <c r="D47" s="4">
        <f>VLOOKUP($B47&amp;"__wt",'SegEnds_Xtal_BW#'!$A:$Z,4,FALSE)</f>
        <v>60</v>
      </c>
      <c r="E47" s="4">
        <f>VLOOKUP($B47&amp;"__wt",'SegEnds_Xtal_BW#'!$A:$Z,5,FALSE)</f>
        <v>48</v>
      </c>
      <c r="F47" s="4">
        <f>VLOOKUP($B47&amp;"__wt",'SegEnds_Xtal_BW#'!$A:$Z,6,FALSE)</f>
        <v>51</v>
      </c>
      <c r="G47" s="4">
        <v>37</v>
      </c>
      <c r="H47" s="11">
        <v>66</v>
      </c>
      <c r="I47" s="4">
        <f>VLOOKUP($B47&amp;"__wt",'SegEnds_Xtal_BW#'!$A:$Z,9,FALSE)</f>
        <v>49</v>
      </c>
      <c r="J47" s="4">
        <f>VLOOKUP($B47&amp;"__wt",'SegEnds_Xtal_BW#'!$A:$Z,10,FALSE)</f>
        <v>52</v>
      </c>
      <c r="K47" s="11">
        <v>21</v>
      </c>
      <c r="L47" s="4">
        <f>VLOOKUP($B47&amp;"__wt",'SegEnds_Xtal_BW#'!$A:$Z,12,FALSE)</f>
        <v>56</v>
      </c>
      <c r="M47" s="4">
        <f>VLOOKUP($B47&amp;"__wt",'SegEnds_Xtal_BW#'!$A:$Z,13,FALSE)</f>
        <v>50</v>
      </c>
      <c r="N47" s="11">
        <v>57</v>
      </c>
      <c r="O47" s="88">
        <f>VLOOKUP($B47&amp;"__wt",'SegEnds_Xtal_BW#'!$A:$Z,15,FALSE)</f>
        <v>38</v>
      </c>
      <c r="P47" s="4">
        <f>VLOOKUP($B47&amp;"__wt",'SegEnds_Xtal_BW#'!$A:$Z,16,FALSE)</f>
        <v>64</v>
      </c>
      <c r="Q47" s="4">
        <f>VLOOKUP($B47&amp;"__wt",'SegEnds_Xtal_BW#'!$A:$Z,17,FALSE)</f>
        <v>50</v>
      </c>
      <c r="R47" s="4">
        <f>VLOOKUP($B47&amp;"__wt",'SegEnds_Xtal_BW#'!$A:$Z,18,FALSE)</f>
        <v>52</v>
      </c>
      <c r="S47" s="4">
        <f>VLOOKUP($B47&amp;"__wt",'SegEnds_Xtal_BW#'!$A:$Z,19,FALSE)</f>
        <v>33</v>
      </c>
      <c r="T47" s="4">
        <f t="array" ref="T47">INDEX('ICL3'!$G$2:$G$41,MATCH(MIN(ABS(AH47-'ICL3'!$F$2:$F$41)),ABS(AH47-'ICL3'!$F$2:$F$41),0))</f>
        <v>76</v>
      </c>
      <c r="U47" s="4">
        <f t="array" ref="U47">INDEX('ICL3'!$H$2:$H$41,MATCH(MIN(ABS(AH47-'ICL3'!$F$2:$F$41)),ABS(AH47-'ICL3'!$F$2:$F$41),0))</f>
        <v>24</v>
      </c>
      <c r="V47" s="4">
        <v>61</v>
      </c>
      <c r="W47" s="4">
        <v>28</v>
      </c>
      <c r="X47" s="4">
        <f>VLOOKUP($B47&amp;"__wt",'SegEnds_Xtal_BW#'!$A:$Z,24,FALSE)</f>
        <v>56</v>
      </c>
      <c r="Y47" s="4">
        <f>VLOOKUP($B47&amp;"__wt",'SegEnds_Xtal_BW#'!$A:$Z,25,FALSE)</f>
        <v>47</v>
      </c>
      <c r="Z47" s="4">
        <f>VLOOKUP($B47&amp;"__wt",'SegEnds_Xtal_BW#'!$A:$Z,26,FALSE)</f>
        <v>58</v>
      </c>
      <c r="AA47" s="27" t="str">
        <f>VLOOKUP(A47,Classification!A:B,2,FALSE)</f>
        <v>A</v>
      </c>
      <c r="AB47" s="4" t="e">
        <f>VLOOKUP(A47,'SegEnds_NonXtal_Prot#'!A:AL,10,FALSE)-VLOOKUP(A47,'SegEnds_NonXtal_Prot#'!A:AL,7,FALSE)</f>
        <v>#VALUE!</v>
      </c>
      <c r="AC47" s="4">
        <f>VLOOKUP(A47,'SegEnds_NonXtal_Prot#'!A:AL,13,FALSE)-VLOOKUP(A47,'SegEnds_NonXtal_Prot#'!A:AL,10,FALSE)</f>
        <v>19</v>
      </c>
      <c r="AD47" s="4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4">
        <f>VLOOKUP(A47,'SegEnds_NonXtal_Prot#'!A:AL,28,FALSE)-VLOOKUP(A47,'SegEnds_NonXtal_Prot#'!A:AL,25,FALSE)</f>
        <v>25</v>
      </c>
      <c r="AG47" s="1">
        <f>VLOOKUP(A47,'SegEnds_NonXtal_Prot#'!A:AL,28,FALSE)-VLOOKUP(A47,'SegEnds_NonXtal_Prot#'!A:AL,22,FALSE)</f>
        <v>56</v>
      </c>
      <c r="AH47" s="4">
        <f>VLOOKUP(A47,'SegEnds_NonXtal_Prot#'!A:AL,31,FALSE)-VLOOKUP(A47,'SegEnds_NonXtal_Prot#'!A:AL,28,FALSE)</f>
        <v>76</v>
      </c>
      <c r="AI47" s="4">
        <f>VLOOKUP(A47,'SegEnds_NonXtal_Prot#'!A:AL,34,FALSE)-VLOOKUP(A47,'SegEnds_NonXtal_Prot#'!A:AL,31,FALSE)</f>
        <v>39</v>
      </c>
      <c r="AJ47" s="1">
        <f>VLOOKUP(A47,'SegEnds_NonXtal_Prot#'!A:AL,37,FALSE)-VLOOKUP(A47,'SegEnds_NonXtal_Prot#'!A:AL,34,FALSE)</f>
        <v>10</v>
      </c>
      <c r="AK47" s="1" t="str">
        <f>IF(ISERROR(MATCH(A47,'SegEnds_Xtal_Prot#'!B:B, 0)), "NoXtal", "Xtal")</f>
        <v>NoXtal</v>
      </c>
    </row>
    <row r="48" spans="1:37" x14ac:dyDescent="0.2">
      <c r="A48" s="1" t="s">
        <v>217</v>
      </c>
      <c r="B48" s="1" t="str">
        <f>VLOOKUP(A48,Xtal_Templ!A:B,2,FALSE)</f>
        <v>hrh1_human</v>
      </c>
      <c r="C48" s="5">
        <f>VLOOKUP($B48&amp;"__wt",'SegEnds_Xtal_BW#'!$A:$Z,3,FALSE)</f>
        <v>34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8">
        <v>38</v>
      </c>
      <c r="P48" s="1">
        <f>VLOOKUP($B48&amp;"__wt",'SegEnds_Xtal_BW#'!$A:$Z,16,FALSE)</f>
        <v>62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35</v>
      </c>
      <c r="T48" s="1">
        <f t="array" ref="T48">INDEX('ICL3'!$G$2:$G$41,MATCH(MIN(ABS(AH48-'ICL3'!$F$2:$F$41)),ABS(AH48-'ICL3'!$F$2:$F$41),0))</f>
        <v>68</v>
      </c>
      <c r="U48" s="1">
        <f t="array" ref="U48">INDEX('ICL3'!$H$2:$H$41,MATCH(MIN(ABS(AH48-'ICL3'!$F$2:$F$41)),ABS(AH48-'ICL3'!$F$2:$F$41),0))</f>
        <v>28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19</v>
      </c>
      <c r="AD48" s="1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30</v>
      </c>
      <c r="AG48" s="1">
        <f>VLOOKUP(A48,'SegEnds_NonXtal_Prot#'!A:AL,28,FALSE)-VLOOKUP(A48,'SegEnds_NonXtal_Prot#'!A:AL,22,FALSE)</f>
        <v>56</v>
      </c>
      <c r="AH48" s="1">
        <f>VLOOKUP(A48,'SegEnds_NonXtal_Prot#'!A:AL,31,FALSE)-VLOOKUP(A48,'SegEnds_NonXtal_Prot#'!A:AL,28,FALSE)</f>
        <v>44</v>
      </c>
      <c r="AI48" s="1">
        <f>VLOOKUP(A48,'SegEnds_NonXtal_Prot#'!A:AL,34,FALSE)-VLOOKUP(A48,'SegEnds_NonXtal_Prot#'!A:AL,31,FALSE)</f>
        <v>40</v>
      </c>
      <c r="AJ48" s="1">
        <f>VLOOKUP(A48,'SegEnds_NonXtal_Prot#'!A:AL,37,FALSE)-VLOOKUP(A48,'SegEnds_NonXtal_Prot#'!A:AL,34,FALSE)</f>
        <v>11</v>
      </c>
      <c r="AK48" s="1" t="str">
        <f>IF(ISERROR(MATCH(A48,'SegEnds_Xtal_Prot#'!B:B, 0)), "NoXtal", "Xtal")</f>
        <v>NoXtal</v>
      </c>
    </row>
    <row r="49" spans="1:37" x14ac:dyDescent="0.2">
      <c r="A49" s="1" t="s">
        <v>231</v>
      </c>
      <c r="B49" s="1" t="str">
        <f>VLOOKUP(A49,Xtal_Templ!A:B,2,FALSE)</f>
        <v>p2ry1_human</v>
      </c>
      <c r="C49" s="5">
        <f>VLOOKUP($B49&amp;"__wt",'SegEnds_Xtal_BW#'!$A:$Z,3,FALSE)</f>
        <v>30</v>
      </c>
      <c r="D49" s="1">
        <f>VLOOKUP($B49&amp;"__wt",'SegEnds_Xtal_BW#'!$A:$Z,4,FALSE)</f>
        <v>60</v>
      </c>
      <c r="E49" s="1" t="str">
        <f>VLOOKUP($B49&amp;"__wt",'SegEnds_Xtal_BW#'!$A:$Z,5,FALSE)</f>
        <v>-</v>
      </c>
      <c r="F49" s="1" t="str">
        <f>VLOOKUP($B49&amp;"__wt",'SegEnds_Xtal_BW#'!$A:$Z,6,FALSE)</f>
        <v>-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9">
        <v>56</v>
      </c>
      <c r="O49" s="88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32</v>
      </c>
      <c r="T49" s="1">
        <f t="array" ref="T49">INDEX('ICL3'!$G$2:$G$41,MATCH(MIN(ABS(AH49-'ICL3'!$F$2:$F$41)),ABS(AH49-'ICL3'!$F$2:$F$41),0))</f>
        <v>68</v>
      </c>
      <c r="U49" s="1">
        <f t="array" ref="U49">INDEX('ICL3'!$H$2:$H$41,MATCH(MIN(ABS(AH49-'ICL3'!$F$2:$F$41)),ABS(AH49-'ICL3'!$F$2:$F$41),0))</f>
        <v>24</v>
      </c>
      <c r="V49" s="1">
        <v>64</v>
      </c>
      <c r="W49" s="1">
        <v>24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 t="e">
        <f>VLOOKUP(A49,'SegEnds_NonXtal_Prot#'!A:AL,10,FALSE)-VLOOKUP(A49,'SegEnds_NonXtal_Prot#'!A:AL,7,FALSE)</f>
        <v>#VALUE!</v>
      </c>
      <c r="AC49" s="1">
        <f>VLOOKUP(A49,'SegEnds_NonXtal_Prot#'!A:AL,13,FALSE)-VLOOKUP(A49,'SegEnds_NonXtal_Prot#'!A:AL,10,FALSE)</f>
        <v>19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29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48</v>
      </c>
      <c r="AI49" s="1">
        <f>VLOOKUP(A49,'SegEnds_NonXtal_Prot#'!A:AL,34,FALSE)-VLOOKUP(A49,'SegEnds_NonXtal_Prot#'!A:AL,31,FALSE)</f>
        <v>44</v>
      </c>
      <c r="AJ49" s="1">
        <f>VLOOKUP(A49,'SegEnds_NonXtal_Prot#'!A:AL,37,FALSE)-VLOOKUP(A49,'SegEnds_NonXtal_Prot#'!A:AL,34,FALSE)</f>
        <v>10</v>
      </c>
      <c r="AK49" s="1" t="str">
        <f>IF(ISERROR(MATCH(A49,'SegEnds_Xtal_Prot#'!B:B, 0)), "NoXtal", "Xtal")</f>
        <v>NoXtal</v>
      </c>
    </row>
    <row r="50" spans="1:37" x14ac:dyDescent="0.2">
      <c r="A50" s="1" t="s">
        <v>241</v>
      </c>
      <c r="B50" s="1" t="str">
        <f>VLOOKUP(A50,Xtal_Templ!A:B,2,FALSE)</f>
        <v>oprk_human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8"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30</v>
      </c>
      <c r="T50" s="1">
        <f t="array" ref="T50">INDEX('ICL3'!$G$2:$G$41,MATCH(MIN(ABS(AH50-'ICL3'!$F$2:$F$41)),ABS(AH50-'ICL3'!$F$2:$F$41),0))</f>
        <v>68</v>
      </c>
      <c r="U50" s="1">
        <f t="array" ref="U50">INDEX('ICL3'!$H$2:$H$41,MATCH(MIN(ABS(AH50-'ICL3'!$F$2:$F$41)),ABS(AH50-'ICL3'!$F$2:$F$41),0))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 t="e">
        <f>VLOOKUP(A50,'SegEnds_NonXtal_Prot#'!A:AL,10,FALSE)-VLOOKUP(A50,'SegEnds_NonXtal_Prot#'!A:AL,7,FALSE)</f>
        <v>#VALUE!</v>
      </c>
      <c r="AC50" s="1">
        <f>VLOOKUP(A50,'SegEnds_NonXtal_Prot#'!A:AL,13,FALSE)-VLOOKUP(A50,'SegEnds_NonXtal_Prot#'!A:AL,10,FALSE)</f>
        <v>19</v>
      </c>
      <c r="AD50" s="1">
        <f>VLOOKUP(A50,'SegEnds_NonXtal_Prot#'!A:AL,16,FALSE)-VLOOKUP(A50,'SegEnds_NonXtal_Prot#'!A:AL,10,FALSE)</f>
        <v>51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27</v>
      </c>
      <c r="AG50" s="1">
        <f>VLOOKUP(A50,'SegEnds_NonXtal_Prot#'!A:AL,28,FALSE)-VLOOKUP(A50,'SegEnds_NonXtal_Prot#'!A:AL,22,FALSE)</f>
        <v>53</v>
      </c>
      <c r="AH50" s="1">
        <f>VLOOKUP(A50,'SegEnds_NonXtal_Prot#'!A:AL,31,FALSE)-VLOOKUP(A50,'SegEnds_NonXtal_Prot#'!A:AL,28,FALSE)</f>
        <v>48</v>
      </c>
      <c r="AI50" s="1">
        <f>VLOOKUP(A50,'SegEnds_NonXtal_Prot#'!A:AL,34,FALSE)-VLOOKUP(A50,'SegEnds_NonXtal_Prot#'!A:AL,31,FALSE)</f>
        <v>36</v>
      </c>
      <c r="AJ50" s="1">
        <f>VLOOKUP(A50,'SegEnds_NonXtal_Prot#'!A:AL,37,FALSE)-VLOOKUP(A50,'SegEnds_NonXtal_Prot#'!A:AL,34,FALSE)</f>
        <v>10</v>
      </c>
      <c r="AK50" s="1" t="str">
        <f>IF(ISERROR(MATCH(A50,'SegEnds_Xtal_Prot#'!B:B, 0)), "NoXtal", "Xtal")</f>
        <v>NoXtal</v>
      </c>
    </row>
    <row r="51" spans="1:37" x14ac:dyDescent="0.2">
      <c r="A51" s="1" t="s">
        <v>251</v>
      </c>
      <c r="B51" s="1" t="str">
        <f>VLOOKUP(A51,Xtal_Templ!A:B,2,FALSE)</f>
        <v>oprd_human</v>
      </c>
      <c r="C51" s="5">
        <f>VLOOKUP($B51&amp;"__wt",'SegEnds_Xtal_BW#'!$A:$Z,3,FALSE)</f>
        <v>22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8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INDEX('ICL3'!$G$2:$G$41,MATCH(MIN(ABS(AH51-'ICL3'!$F$2:$F$41)),ABS(AH51-'ICL3'!$F$2:$F$41),0))</f>
        <v>68</v>
      </c>
      <c r="U51" s="1">
        <f t="array" ref="U51">INDEX('ICL3'!$H$2:$H$41,MATCH(MIN(ABS(AH51-'ICL3'!$F$2:$F$41)),ABS(AH51-'ICL3'!$F$2:$F$41),0))</f>
        <v>30</v>
      </c>
      <c r="V51" s="1">
        <v>61</v>
      </c>
      <c r="W51" s="1">
        <v>28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 t="e">
        <f>VLOOKUP(A51,'SegEnds_NonXtal_Prot#'!A:AL,10,FALSE)-VLOOKUP(A51,'SegEnds_NonXtal_Prot#'!A:AL,7,FALSE)</f>
        <v>#VALUE!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37</v>
      </c>
      <c r="AG51" s="1">
        <f>VLOOKUP(A51,'SegEnds_NonXtal_Prot#'!A:AL,28,FALSE)-VLOOKUP(A51,'SegEnds_NonXtal_Prot#'!A:AL,22,FALSE)</f>
        <v>62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42</v>
      </c>
      <c r="AJ51" s="1">
        <f>VLOOKUP(A51,'SegEnds_NonXtal_Prot#'!A:AL,37,FALSE)-VLOOKUP(A51,'SegEnds_NonXtal_Prot#'!A:AL,34,FALSE)</f>
        <v>10</v>
      </c>
      <c r="AK51" s="1" t="str">
        <f>IF(ISERROR(MATCH(A51,'SegEnds_Xtal_Prot#'!B:B, 0)), "NoXtal", "Xtal")</f>
        <v>NoXtal</v>
      </c>
    </row>
    <row r="52" spans="1:37" x14ac:dyDescent="0.2">
      <c r="A52" s="1" t="s">
        <v>281</v>
      </c>
      <c r="B52" s="1" t="str">
        <f>VLOOKUP(A52,Xtal_Templ!A:B,2,FALSE)</f>
        <v>acm3_rat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58</v>
      </c>
      <c r="O52" s="88">
        <v>38</v>
      </c>
      <c r="P52" s="1"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INDEX('ICL3'!$G$2:$G$41,MATCH(MIN(ABS(AH52-'ICL3'!$F$2:$F$41)),ABS(AH52-'ICL3'!$F$2:$F$41),0))</f>
        <v>76</v>
      </c>
      <c r="U52" s="1">
        <f t="array" ref="U52">INDEX('ICL3'!$H$2:$H$41,MATCH(MIN(ABS(AH52-'ICL3'!$F$2:$F$41)),ABS(AH52-'ICL3'!$F$2:$F$41),0))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19</v>
      </c>
      <c r="AD52" s="1">
        <f>VLOOKUP(A52,'SegEnds_NonXtal_Prot#'!A:AL,16,FALSE)-VLOOKUP(A52,'SegEnds_NonXtal_Prot#'!A:AL,10,FALSE)</f>
        <v>51</v>
      </c>
      <c r="AE52" s="1">
        <f>VLOOKUP(A52,'SegEnds_NonXtal_Prot#'!A:AL,22,FALSE)-VLOOKUP(A52,'SegEnds_NonXtal_Prot#'!A:AL,19,FALSE)</f>
        <v>21</v>
      </c>
      <c r="AF52" s="1">
        <f>VLOOKUP(A52,'SegEnds_NonXtal_Prot#'!A:AL,28,FALSE)-VLOOKUP(A52,'SegEnds_NonXtal_Prot#'!A:AL,25,FALSE)</f>
        <v>22</v>
      </c>
      <c r="AG52" s="1">
        <f>VLOOKUP(A52,'SegEnds_NonXtal_Prot#'!A:AL,28,FALSE)-VLOOKUP(A52,'SegEnds_NonXtal_Prot#'!A:AL,22,FALSE)</f>
        <v>46</v>
      </c>
      <c r="AH52" s="1">
        <f>VLOOKUP(A52,'SegEnds_NonXtal_Prot#'!A:AL,31,FALSE)-VLOOKUP(A52,'SegEnds_NonXtal_Prot#'!A:AL,28,FALSE)</f>
        <v>132</v>
      </c>
      <c r="AI52" s="1">
        <f>VLOOKUP(A52,'SegEnds_NonXtal_Prot#'!A:AL,34,FALSE)-VLOOKUP(A52,'SegEnds_NonXtal_Prot#'!A:AL,31,FALSE)</f>
        <v>37</v>
      </c>
      <c r="AJ52" s="1">
        <f>VLOOKUP(A52,'SegEnds_NonXtal_Prot#'!A:AL,37,FALSE)-VLOOKUP(A52,'SegEnds_NonXtal_Prot#'!A:AL,34,FALSE)</f>
        <v>10</v>
      </c>
      <c r="AK52" s="1" t="str">
        <f>IF(ISERROR(MATCH(A52,'SegEnds_Xtal_Prot#'!B:B, 0)), "NoXtal", "Xtal")</f>
        <v>NoXtal</v>
      </c>
    </row>
    <row r="53" spans="1:37" x14ac:dyDescent="0.2">
      <c r="A53" s="1" t="s">
        <v>103</v>
      </c>
      <c r="B53" s="1" t="str">
        <f>VLOOKUP(A53,Xtal_Templ!A:B,2,FALSE)</f>
        <v>lpar1_human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63</v>
      </c>
      <c r="I53" s="1">
        <f>VLOOKUP($B53&amp;"__wt",'SegEnds_Xtal_BW#'!$A:$Z,9,FALSE)</f>
        <v>47</v>
      </c>
      <c r="J53" s="1">
        <f>VLOOKUP($B53&amp;"__wt",'SegEnds_Xtal_BW#'!$A:$Z,10,FALSE)</f>
        <v>53</v>
      </c>
      <c r="K53" s="12">
        <f>VLOOKUP($B53&amp;"__wt",'SegEnds_Xtal_BW#'!$A:$Z,11,FALSE)</f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56</v>
      </c>
      <c r="O53" s="88">
        <f>VLOOKUP($B53&amp;"__wt",'SegEnds_Xtal_BW#'!$A:$Z,15,FALSE)</f>
        <v>38</v>
      </c>
      <c r="P53" s="1">
        <f>VLOOKUP($B53&amp;"__wt",'SegEnds_Xtal_BW#'!$A:$Z,16,FALSE)</f>
        <v>63</v>
      </c>
      <c r="Q53" s="1" t="str">
        <f>VLOOKUP($B53&amp;"__wt",'SegEnds_Xtal_BW#'!$A:$Z,17,FALSE)</f>
        <v>-</v>
      </c>
      <c r="R53" s="1" t="str">
        <f>VLOOKUP($B53&amp;"__wt",'SegEnds_Xtal_BW#'!$A:$Z,18,FALSE)</f>
        <v>-</v>
      </c>
      <c r="S53" s="1">
        <f>VLOOKUP($B53&amp;"__wt",'SegEnds_Xtal_BW#'!$A:$Z,19,FALSE)</f>
        <v>36</v>
      </c>
      <c r="T53" s="1">
        <f t="array" ref="T53">INDEX('ICL3'!$G$2:$G$41,MATCH(MIN(ABS(AH53-'ICL3'!$F$2:$F$41)),ABS(AH53-'ICL3'!$F$2:$F$41),0))</f>
        <v>73</v>
      </c>
      <c r="U53" s="1">
        <f t="array" ref="U53">INDEX('ICL3'!$H$2:$H$41,MATCH(MIN(ABS(AH53-'ICL3'!$F$2:$F$41)),ABS(AH53-'ICL3'!$F$2:$F$41),0))</f>
        <v>22</v>
      </c>
      <c r="V53" s="1">
        <v>61</v>
      </c>
      <c r="W53" s="1">
        <v>30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18</v>
      </c>
      <c r="AD53" s="1">
        <f>VLOOKUP(A53,'SegEnds_NonXtal_Prot#'!A:AL,16,FALSE)-VLOOKUP(A53,'SegEnds_NonXtal_Prot#'!A:AL,10,FALSE)</f>
        <v>51</v>
      </c>
      <c r="AE53" s="1">
        <f>VLOOKUP(A53,'SegEnds_NonXtal_Prot#'!A:AL,22,FALSE)-VLOOKUP(A53,'SegEnds_NonXtal_Prot#'!A:AL,19,FALSE)</f>
        <v>19</v>
      </c>
      <c r="AF53" s="1" t="e">
        <f>VLOOKUP(A53,'SegEnds_NonXtal_Prot#'!A:AL,28,FALSE)-VLOOKUP(A53,'SegEnds_NonXtal_Prot#'!A:AL,25,FALSE)</f>
        <v>#VALUE!</v>
      </c>
      <c r="AG53" s="1">
        <f>VLOOKUP(A53,'SegEnds_NonXtal_Prot#'!A:AL,28,FALSE)-VLOOKUP(A53,'SegEnds_NonXtal_Prot#'!A:AL,22,FALSE)</f>
        <v>45</v>
      </c>
      <c r="AH53" s="1">
        <f>VLOOKUP(A53,'SegEnds_NonXtal_Prot#'!A:AL,31,FALSE)-VLOOKUP(A53,'SegEnds_NonXtal_Prot#'!A:AL,28,FALSE)</f>
        <v>56</v>
      </c>
      <c r="AI53" s="1">
        <f>VLOOKUP(A53,'SegEnds_NonXtal_Prot#'!A:AL,34,FALSE)-VLOOKUP(A53,'SegEnds_NonXtal_Prot#'!A:AL,31,FALSE)</f>
        <v>35</v>
      </c>
      <c r="AJ53" s="1">
        <f>VLOOKUP(A53,'SegEnds_NonXtal_Prot#'!A:AL,37,FALSE)-VLOOKUP(A53,'SegEnds_NonXtal_Prot#'!A:AL,34,FALSE)</f>
        <v>10</v>
      </c>
      <c r="AK53" s="1" t="str">
        <f>IF(ISERROR(MATCH(A53,'SegEnds_Xtal_Prot#'!B:B, 0)), "NoXtal", "Xtal")</f>
        <v>Xtal</v>
      </c>
    </row>
    <row r="54" spans="1:37" x14ac:dyDescent="0.2">
      <c r="A54" s="1" t="s">
        <v>286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09">
        <v>56</v>
      </c>
      <c r="O54" s="88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INDEX('ICL3'!$G$2:$G$41,MATCH(MIN(ABS(AH54-'ICL3'!$F$2:$F$41)),ABS(AH54-'ICL3'!$F$2:$F$41),0))</f>
        <v>73</v>
      </c>
      <c r="U54" s="1">
        <f t="array" ref="U54">INDEX('ICL3'!$H$2:$H$41,MATCH(MIN(ABS(AH54-'ICL3'!$F$2:$F$41)),ABS(AH54-'ICL3'!$F$2:$F$41),0))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18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19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45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36</v>
      </c>
      <c r="AJ54" s="1">
        <f>VLOOKUP(A54,'SegEnds_NonXtal_Prot#'!A:AL,37,FALSE)-VLOOKUP(A54,'SegEnds_NonXtal_Prot#'!A:AL,34,FALSE)</f>
        <v>10</v>
      </c>
      <c r="AK54" s="1" t="str">
        <f>IF(ISERROR(MATCH(A54,'SegEnds_Xtal_Prot#'!B:B, 0)), "NoXtal", "Xtal")</f>
        <v>NoXtal</v>
      </c>
    </row>
    <row r="55" spans="1:37" x14ac:dyDescent="0.2">
      <c r="A55" s="1" t="s">
        <v>287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9">
        <v>56</v>
      </c>
      <c r="O55" s="88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INDEX('ICL3'!$G$2:$G$41,MATCH(MIN(ABS(AH55-'ICL3'!$F$2:$F$41)),ABS(AH55-'ICL3'!$F$2:$F$41),0))</f>
        <v>73</v>
      </c>
      <c r="U55" s="1">
        <f t="array" ref="U55">INDEX('ICL3'!$H$2:$H$41,MATCH(MIN(ABS(AH55-'ICL3'!$F$2:$F$41)),ABS(AH55-'ICL3'!$F$2:$F$41),0))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18</v>
      </c>
      <c r="AD55" s="1">
        <f>VLOOKUP(A55,'SegEnds_NonXtal_Prot#'!A:AL,16,FALSE)-VLOOKUP(A55,'SegEnds_NonXtal_Prot#'!A:AL,10,FALSE)</f>
        <v>51</v>
      </c>
      <c r="AE55" s="1">
        <f>VLOOKUP(A55,'SegEnds_NonXtal_Prot#'!A:AL,22,FALSE)-VLOOKUP(A55,'SegEnds_NonXtal_Prot#'!A:AL,19,FALSE)</f>
        <v>19</v>
      </c>
      <c r="AF55" s="1" t="e">
        <f>VLOOKUP(A55,'SegEnds_NonXtal_Prot#'!A:AL,28,FALSE)-VLOOKUP(A55,'SegEnds_NonXtal_Prot#'!A:AL,25,FALSE)</f>
        <v>#VALUE!</v>
      </c>
      <c r="AG55" s="1">
        <f>VLOOKUP(A55,'SegEnds_NonXtal_Prot#'!A:AL,28,FALSE)-VLOOKUP(A55,'SegEnds_NonXtal_Prot#'!A:AL,22,FALSE)</f>
        <v>45</v>
      </c>
      <c r="AH55" s="1">
        <f>VLOOKUP(A55,'SegEnds_NonXtal_Prot#'!A:AL,31,FALSE)-VLOOKUP(A55,'SegEnds_NonXtal_Prot#'!A:AL,28,FALSE)</f>
        <v>56</v>
      </c>
      <c r="AI55" s="1">
        <f>VLOOKUP(A55,'SegEnds_NonXtal_Prot#'!A:AL,34,FALSE)-VLOOKUP(A55,'SegEnds_NonXtal_Prot#'!A:AL,31,FALSE)</f>
        <v>36</v>
      </c>
      <c r="AJ55" s="1">
        <f>VLOOKUP(A55,'SegEnds_NonXtal_Prot#'!A:AL,37,FALSE)-VLOOKUP(A55,'SegEnds_NonXtal_Prot#'!A:AL,34,FALSE)</f>
        <v>10</v>
      </c>
      <c r="AK55" s="1" t="str">
        <f>IF(ISERROR(MATCH(A55,'SegEnds_Xtal_Prot#'!B:B, 0)), "NoXtal", "Xtal")</f>
        <v>NoXtal</v>
      </c>
    </row>
    <row r="56" spans="1:37" x14ac:dyDescent="0.2">
      <c r="A56" s="1" t="s">
        <v>288</v>
      </c>
      <c r="B56" s="1" t="str">
        <f>VLOOKUP(A56,Xtal_Templ!A:B,2,FALSE)</f>
        <v>oprk_human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8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30</v>
      </c>
      <c r="T56" s="1">
        <f t="array" ref="T56">INDEX('ICL3'!$G$2:$G$41,MATCH(MIN(ABS(AH56-'ICL3'!$F$2:$F$41)),ABS(AH56-'ICL3'!$F$2:$F$41),0))</f>
        <v>68</v>
      </c>
      <c r="U56" s="1">
        <f t="array" ref="U56">INDEX('ICL3'!$H$2:$H$41,MATCH(MIN(ABS(AH56-'ICL3'!$F$2:$F$41)),ABS(AH56-'ICL3'!$F$2:$F$41),0))</f>
        <v>24</v>
      </c>
      <c r="V56" s="1">
        <v>64</v>
      </c>
      <c r="W56" s="1">
        <v>24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19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28</v>
      </c>
      <c r="AG56" s="1">
        <f>VLOOKUP(A56,'SegEnds_NonXtal_Prot#'!A:AL,28,FALSE)-VLOOKUP(A56,'SegEnds_NonXtal_Prot#'!A:AL,22,FALSE)</f>
        <v>53</v>
      </c>
      <c r="AH56" s="1">
        <f>VLOOKUP(A56,'SegEnds_NonXtal_Prot#'!A:AL,31,FALSE)-VLOOKUP(A56,'SegEnds_NonXtal_Prot#'!A:AL,28,FALSE)</f>
        <v>48</v>
      </c>
      <c r="AI56" s="1">
        <f>VLOOKUP(A56,'SegEnds_NonXtal_Prot#'!A:AL,34,FALSE)-VLOOKUP(A56,'SegEnds_NonXtal_Prot#'!A:AL,31,FALSE)</f>
        <v>44</v>
      </c>
      <c r="AJ56" s="1">
        <f>VLOOKUP(A56,'SegEnds_NonXtal_Prot#'!A:AL,37,FALSE)-VLOOKUP(A56,'SegEnds_NonXtal_Prot#'!A:AL,34,FALSE)</f>
        <v>10</v>
      </c>
      <c r="AK56" s="1" t="str">
        <f>IF(ISERROR(MATCH(A56,'SegEnds_Xtal_Prot#'!B:B, 0)), "NoXtal", "Xtal")</f>
        <v>NoXtal</v>
      </c>
    </row>
    <row r="57" spans="1:37" x14ac:dyDescent="0.2">
      <c r="A57" s="1" t="s">
        <v>289</v>
      </c>
      <c r="B57" s="1" t="str">
        <f>VLOOKUP(A57,Xtal_Templ!A:B,2,FALSE)</f>
        <v>par2_human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v>66</v>
      </c>
      <c r="I57" s="1">
        <f>VLOOKUP($B57&amp;"__wt",'SegEnds_Xtal_BW#'!$A:$Z,9,FALSE)</f>
        <v>47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8">
        <v>38</v>
      </c>
      <c r="P57" s="1">
        <f>VLOOKUP($B57&amp;"__wt",'SegEnds_Xtal_BW#'!$A:$Z,16,FALSE)</f>
        <v>62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31</v>
      </c>
      <c r="T57" s="1">
        <f t="array" ref="T57">INDEX('ICL3'!$G$2:$G$41,MATCH(MIN(ABS(AH57-'ICL3'!$F$2:$F$41)),ABS(AH57-'ICL3'!$F$2:$F$41),0))</f>
        <v>67</v>
      </c>
      <c r="U57" s="1">
        <f t="array" ref="U57">INDEX('ICL3'!$H$2:$H$41,MATCH(MIN(ABS(AH57-'ICL3'!$F$2:$F$41)),ABS(AH57-'ICL3'!$F$2:$F$41),0))</f>
        <v>26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61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19</v>
      </c>
      <c r="AD57" s="1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28</v>
      </c>
      <c r="AG57" s="1">
        <f>VLOOKUP(A57,'SegEnds_NonXtal_Prot#'!A:AL,28,FALSE)-VLOOKUP(A57,'SegEnds_NonXtal_Prot#'!A:AL,22,FALSE)</f>
        <v>57</v>
      </c>
      <c r="AH57" s="1">
        <f>VLOOKUP(A57,'SegEnds_NonXtal_Prot#'!A:AL,31,FALSE)-VLOOKUP(A57,'SegEnds_NonXtal_Prot#'!A:AL,28,FALSE)</f>
        <v>46</v>
      </c>
      <c r="AI57" s="1">
        <f>VLOOKUP(A57,'SegEnds_NonXtal_Prot#'!A:AL,34,FALSE)-VLOOKUP(A57,'SegEnds_NonXtal_Prot#'!A:AL,31,FALSE)</f>
        <v>45</v>
      </c>
      <c r="AJ57" s="1">
        <f>VLOOKUP(A57,'SegEnds_NonXtal_Prot#'!A:AL,37,FALSE)-VLOOKUP(A57,'SegEnds_NonXtal_Prot#'!A:AL,34,FALSE)</f>
        <v>10</v>
      </c>
      <c r="AK57" s="1" t="str">
        <f>IF(ISERROR(MATCH(A57,'SegEnds_Xtal_Prot#'!B:B, 0)), "NoXtal", "Xtal")</f>
        <v>NoXtal</v>
      </c>
    </row>
    <row r="58" spans="1:37" x14ac:dyDescent="0.2">
      <c r="A58" s="1" t="s">
        <v>290</v>
      </c>
      <c r="B58" s="1" t="str">
        <f>VLOOKUP(A58,Xtal_Templ!A:B,2,FALSE)</f>
        <v>agtr1_human</v>
      </c>
      <c r="C58" s="5">
        <f>VLOOKUP($B58&amp;"__wt",'SegEnds_Xtal_BW#'!$A:$Z,3,FALSE)</f>
        <v>30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8">
        <f>VLOOKUP($B58&amp;"__wt",'SegEnds_Xtal_BW#'!$A:$Z,15,FALSE)</f>
        <v>38</v>
      </c>
      <c r="P58" s="1">
        <f>VLOOKUP($B58&amp;"__wt",'SegEnds_Xtal_BW#'!$A:$Z,16,FALSE)</f>
        <v>64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34</v>
      </c>
      <c r="T58" s="1">
        <f t="array" ref="T58">INDEX('ICL3'!$G$2:$G$41,MATCH(MIN(ABS(AH58-'ICL3'!$F$2:$F$41)),ABS(AH58-'ICL3'!$F$2:$F$41),0))</f>
        <v>68</v>
      </c>
      <c r="U58" s="1">
        <f t="array" ref="U58">INDEX('ICL3'!$H$2:$H$41,MATCH(MIN(ABS(AH58-'ICL3'!$F$2:$F$41)),ABS(AH58-'ICL3'!$F$2:$F$41),0))</f>
        <v>24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61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19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28</v>
      </c>
      <c r="AG58" s="1">
        <f>VLOOKUP(A58,'SegEnds_NonXtal_Prot#'!A:AL,28,FALSE)-VLOOKUP(A58,'SegEnds_NonXtal_Prot#'!A:AL,22,FALSE)</f>
        <v>55</v>
      </c>
      <c r="AH58" s="1">
        <f>VLOOKUP(A58,'SegEnds_NonXtal_Prot#'!A:AL,31,FALSE)-VLOOKUP(A58,'SegEnds_NonXtal_Prot#'!A:AL,28,FALSE)</f>
        <v>48</v>
      </c>
      <c r="AI58" s="1">
        <f>VLOOKUP(A58,'SegEnds_NonXtal_Prot#'!A:AL,34,FALSE)-VLOOKUP(A58,'SegEnds_NonXtal_Prot#'!A:AL,31,FALSE)</f>
        <v>44</v>
      </c>
      <c r="AJ58" s="1">
        <f>VLOOKUP(A58,'SegEnds_NonXtal_Prot#'!A:AL,37,FALSE)-VLOOKUP(A58,'SegEnds_NonXtal_Prot#'!A:AL,34,FALSE)</f>
        <v>10</v>
      </c>
      <c r="AK58" s="1" t="str">
        <f>IF(ISERROR(MATCH(A58,'SegEnds_Xtal_Prot#'!B:B, 0)), "NoXtal", "Xtal")</f>
        <v>NoXtal</v>
      </c>
    </row>
    <row r="59" spans="1:37" x14ac:dyDescent="0.2">
      <c r="A59" s="1" t="s">
        <v>292</v>
      </c>
      <c r="B59" s="1" t="str">
        <f>VLOOKUP(A59,Xtal_Templ!A:B,2,FALSE)</f>
        <v>agtr1_human</v>
      </c>
      <c r="C59" s="5">
        <f>VLOOKUP($B59&amp;"__wt",'SegEnds_Xtal_BW#'!$A:$Z,3,FALSE)</f>
        <v>30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8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INDEX('ICL3'!$G$2:$G$41,MATCH(MIN(ABS(AH59-'ICL3'!$F$2:$F$41)),ABS(AH59-'ICL3'!$F$2:$F$41),0))</f>
        <v>68</v>
      </c>
      <c r="U59" s="1">
        <f t="array" ref="U59">INDEX('ICL3'!$H$2:$H$41,MATCH(MIN(ABS(AH59-'ICL3'!$F$2:$F$41)),ABS(AH59-'ICL3'!$F$2:$F$41),0))</f>
        <v>30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61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25</v>
      </c>
      <c r="AG59" s="1">
        <f>VLOOKUP(A59,'SegEnds_NonXtal_Prot#'!A:AL,28,FALSE)-VLOOKUP(A59,'SegEnds_NonXtal_Prot#'!A:AL,22,FALSE)</f>
        <v>51</v>
      </c>
      <c r="AH59" s="1">
        <f>VLOOKUP(A59,'SegEnds_NonXtal_Prot#'!A:AL,31,FALSE)-VLOOKUP(A59,'SegEnds_NonXtal_Prot#'!A:AL,28,FALSE)</f>
        <v>43</v>
      </c>
      <c r="AI59" s="1">
        <f>VLOOKUP(A59,'SegEnds_NonXtal_Prot#'!A:AL,34,FALSE)-VLOOKUP(A59,'SegEnds_NonXtal_Prot#'!A:AL,31,FALSE)</f>
        <v>46</v>
      </c>
      <c r="AJ59" s="1">
        <f>VLOOKUP(A59,'SegEnds_NonXtal_Prot#'!A:AL,37,FALSE)-VLOOKUP(A59,'SegEnds_NonXtal_Prot#'!A:AL,34,FALSE)</f>
        <v>10</v>
      </c>
      <c r="AK59" s="1" t="str">
        <f>IF(ISERROR(MATCH(A59,'SegEnds_Xtal_Prot#'!B:B, 0)), "NoXtal", "Xtal")</f>
        <v>NoXtal</v>
      </c>
    </row>
    <row r="60" spans="1:37" x14ac:dyDescent="0.2">
      <c r="A60" s="1" t="s">
        <v>293</v>
      </c>
      <c r="B60" s="1" t="str">
        <f>VLOOKUP(A60,Xtal_Templ!A:B,2,FALSE)</f>
        <v>c5ar1_human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 t="str">
        <f>VLOOKUP($B60&amp;"__wt",'SegEnds_Xtal_BW#'!$A:$Z,5,FALSE)</f>
        <v>-</v>
      </c>
      <c r="F60" s="1" t="str">
        <f>VLOOKUP($B60&amp;"__wt",'SegEnds_Xtal_BW#'!$A:$Z,6,FALSE)</f>
        <v>-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8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INDEX('ICL3'!$G$2:$G$41,MATCH(MIN(ABS(AH60-'ICL3'!$F$2:$F$41)),ABS(AH60-'ICL3'!$F$2:$F$41),0))</f>
        <v>67</v>
      </c>
      <c r="U60" s="1">
        <f t="array" ref="U60">INDEX('ICL3'!$H$2:$H$41,MATCH(MIN(ABS(AH60-'ICL3'!$F$2:$F$41)),ABS(AH60-'ICL3'!$F$2:$F$41),0))</f>
        <v>26</v>
      </c>
      <c r="V60" s="1">
        <v>64</v>
      </c>
      <c r="W60" s="1">
        <v>24</v>
      </c>
      <c r="X60" s="109">
        <v>56</v>
      </c>
      <c r="Y60" s="1">
        <f>VLOOKUP($B60&amp;"__wt",'SegEnds_Xtal_BW#'!$A:$Z,25,FALSE)</f>
        <v>47</v>
      </c>
      <c r="Z60" s="1">
        <f>VLOOKUP($B60&amp;"__wt",'SegEnds_Xtal_BW#'!$A:$Z,26,FALSE)</f>
        <v>56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17</v>
      </c>
      <c r="AC60" s="1">
        <f>VLOOKUP(A60,'SegEnds_NonXtal_Prot#'!A:AL,13,FALSE)-VLOOKUP(A60,'SegEnds_NonXtal_Prot#'!A:AL,10,FALSE)</f>
        <v>19</v>
      </c>
      <c r="AD60" s="1">
        <f>VLOOKUP(A60,'SegEnds_NonXtal_Prot#'!A:AL,16,FALSE)-VLOOKUP(A60,'SegEnds_NonXtal_Prot#'!A:AL,10,FALSE)</f>
        <v>51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47</v>
      </c>
      <c r="AH60" s="1">
        <f>VLOOKUP(A60,'SegEnds_NonXtal_Prot#'!A:AL,31,FALSE)-VLOOKUP(A60,'SegEnds_NonXtal_Prot#'!A:AL,28,FALSE)</f>
        <v>46</v>
      </c>
      <c r="AI60" s="1">
        <f>VLOOKUP(A60,'SegEnds_NonXtal_Prot#'!A:AL,34,FALSE)-VLOOKUP(A60,'SegEnds_NonXtal_Prot#'!A:AL,31,FALSE)</f>
        <v>46</v>
      </c>
      <c r="AJ60" s="1">
        <f>VLOOKUP(A60,'SegEnds_NonXtal_Prot#'!A:AL,37,FALSE)-VLOOKUP(A60,'SegEnds_NonXtal_Prot#'!A:AL,34,FALSE)</f>
        <v>10</v>
      </c>
      <c r="AK60" s="1" t="str">
        <f>IF(ISERROR(MATCH(A60,'SegEnds_Xtal_Prot#'!B:B, 0)), "NoXtal", "Xtal")</f>
        <v>NoXtal</v>
      </c>
    </row>
    <row r="61" spans="1:37" x14ac:dyDescent="0.2">
      <c r="A61" s="1" t="s">
        <v>301</v>
      </c>
      <c r="B61" s="1" t="str">
        <f>VLOOKUP(A61,Xtal_Templ!A:B,2,FALSE)</f>
        <v>c5ar1_human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8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31</v>
      </c>
      <c r="T61" s="1">
        <f t="array" ref="T61">INDEX('ICL3'!$G$2:$G$41,MATCH(MIN(ABS(AH61-'ICL3'!$F$2:$F$41)),ABS(AH61-'ICL3'!$F$2:$F$41),0))</f>
        <v>68</v>
      </c>
      <c r="U61" s="1">
        <f t="array" ref="U61">INDEX('ICL3'!$H$2:$H$41,MATCH(MIN(ABS(AH61-'ICL3'!$F$2:$F$41)),ABS(AH61-'ICL3'!$F$2:$F$41),0))</f>
        <v>28</v>
      </c>
      <c r="V61" s="1">
        <v>61</v>
      </c>
      <c r="W61" s="1">
        <v>31</v>
      </c>
      <c r="X61" s="109">
        <v>56</v>
      </c>
      <c r="Y61" s="1">
        <f>VLOOKUP($B61&amp;"__wt",'SegEnds_Xtal_BW#'!$A:$Z,25,FALSE)</f>
        <v>47</v>
      </c>
      <c r="Z61" s="1">
        <f>VLOOKUP($B61&amp;"__wt",'SegEnds_Xtal_BW#'!$A:$Z,26,FALSE)</f>
        <v>56</v>
      </c>
      <c r="AA61" s="27" t="str">
        <f>VLOOKUP(A61,Classification!A:B,2,FALSE)</f>
        <v>A</v>
      </c>
      <c r="AB61" s="1" t="e">
        <f>VLOOKUP(A61,'SegEnds_NonXtal_Prot#'!A:AL,10,FALSE)-VLOOKUP(A61,'SegEnds_NonXtal_Prot#'!A:AL,7,FALSE)</f>
        <v>#VALUE!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51</v>
      </c>
      <c r="AE61" s="1">
        <f>VLOOKUP(A61,'SegEnds_NonXtal_Prot#'!A:AL,22,FALSE)-VLOOKUP(A61,'SegEnds_NonXtal_Prot#'!A:AL,19,FALSE)</f>
        <v>20</v>
      </c>
      <c r="AF61" s="1" t="e">
        <f>VLOOKUP(A61,'SegEnds_NonXtal_Prot#'!A:AL,28,FALSE)-VLOOKUP(A61,'SegEnds_NonXtal_Prot#'!A:AL,25,FALSE)</f>
        <v>#VALUE!</v>
      </c>
      <c r="AG61" s="1">
        <f>VLOOKUP(A61,'SegEnds_NonXtal_Prot#'!A:AL,28,FALSE)-VLOOKUP(A61,'SegEnds_NonXtal_Prot#'!A:AL,22,FALSE)</f>
        <v>42</v>
      </c>
      <c r="AH61" s="1">
        <f>VLOOKUP(A61,'SegEnds_NonXtal_Prot#'!A:AL,31,FALSE)-VLOOKUP(A61,'SegEnds_NonXtal_Prot#'!A:AL,28,FALSE)</f>
        <v>44</v>
      </c>
      <c r="AI61" s="1">
        <f>VLOOKUP(A61,'SegEnds_NonXtal_Prot#'!A:AL,34,FALSE)-VLOOKUP(A61,'SegEnds_NonXtal_Prot#'!A:AL,31,FALSE)</f>
        <v>37</v>
      </c>
      <c r="AJ61" s="1">
        <f>VLOOKUP(A61,'SegEnds_NonXtal_Prot#'!A:AL,37,FALSE)-VLOOKUP(A61,'SegEnds_NonXtal_Prot#'!A:AL,34,FALSE)</f>
        <v>10</v>
      </c>
      <c r="AK61" s="1" t="str">
        <f>IF(ISERROR(MATCH(A61,'SegEnds_Xtal_Prot#'!B:B, 0)), "NoXtal", "Xtal")</f>
        <v>NoXtal</v>
      </c>
    </row>
    <row r="62" spans="1:37" x14ac:dyDescent="0.2">
      <c r="A62" s="1" t="s">
        <v>320</v>
      </c>
      <c r="B62" s="1" t="str">
        <f>VLOOKUP(A62,Xtal_Templ!A:B,2,FALSE)</f>
        <v>oprk_human</v>
      </c>
      <c r="C62" s="5">
        <f>VLOOKUP($B62&amp;"__wt",'SegEnds_Xtal_BW#'!$A:$Z,3,FALSE)</f>
        <v>30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f>VLOOKUP($B62&amp;"__wt",'SegEnds_Xtal_BW#'!$A:$Z,14,FALSE)</f>
        <v>57</v>
      </c>
      <c r="O62" s="88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30</v>
      </c>
      <c r="T62" s="1">
        <f t="array" ref="T62">INDEX('ICL3'!$G$2:$G$41,MATCH(MIN(ABS(AH62-'ICL3'!$F$2:$F$41)),ABS(AH62-'ICL3'!$F$2:$F$41),0))</f>
        <v>68</v>
      </c>
      <c r="U62" s="1">
        <f t="array" ref="U62">INDEX('ICL3'!$H$2:$H$41,MATCH(MIN(ABS(AH62-'ICL3'!$F$2:$F$41)),ABS(AH62-'ICL3'!$F$2:$F$41),0))</f>
        <v>23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19</v>
      </c>
      <c r="AD62" s="1">
        <f>VLOOKUP(A62,'SegEnds_NonXtal_Prot#'!A:AL,16,FALSE)-VLOOKUP(A62,'SegEnds_NonXtal_Prot#'!A:AL,10,FALSE)</f>
        <v>51</v>
      </c>
      <c r="AE62" s="1" t="e">
        <f>VLOOKUP(A62,'SegEnds_NonXtal_Prot#'!A:AL,22,FALSE)-VLOOKUP(A62,'SegEnds_NonXtal_Prot#'!A:AL,19,FALSE)</f>
        <v>#VALUE!</v>
      </c>
      <c r="AF62" s="1">
        <f>VLOOKUP(A62,'SegEnds_NonXtal_Prot#'!A:AL,28,FALSE)-VLOOKUP(A62,'SegEnds_NonXtal_Prot#'!A:AL,25,FALSE)</f>
        <v>27</v>
      </c>
      <c r="AG62" s="1">
        <f>VLOOKUP(A62,'SegEnds_NonXtal_Prot#'!A:AL,28,FALSE)-VLOOKUP(A62,'SegEnds_NonXtal_Prot#'!A:AL,22,FALSE)</f>
        <v>52</v>
      </c>
      <c r="AH62" s="1">
        <f>VLOOKUP(A62,'SegEnds_NonXtal_Prot#'!A:AL,31,FALSE)-VLOOKUP(A62,'SegEnds_NonXtal_Prot#'!A:AL,28,FALSE)</f>
        <v>51</v>
      </c>
      <c r="AI62" s="1">
        <f>VLOOKUP(A62,'SegEnds_NonXtal_Prot#'!A:AL,34,FALSE)-VLOOKUP(A62,'SegEnds_NonXtal_Prot#'!A:AL,31,FALSE)</f>
        <v>38</v>
      </c>
      <c r="AJ62" s="1">
        <f>VLOOKUP(A62,'SegEnds_NonXtal_Prot#'!A:AL,37,FALSE)-VLOOKUP(A62,'SegEnds_NonXtal_Prot#'!A:AL,34,FALSE)</f>
        <v>10</v>
      </c>
      <c r="AK62" s="1" t="str">
        <f>IF(ISERROR(MATCH(A62,'SegEnds_Xtal_Prot#'!B:B, 0)), "NoXtal", "Xtal")</f>
        <v>NoXtal</v>
      </c>
    </row>
    <row r="63" spans="1:37" x14ac:dyDescent="0.2">
      <c r="A63" s="1" t="s">
        <v>321</v>
      </c>
      <c r="B63" s="1" t="str">
        <f>VLOOKUP(A63,Xtal_Templ!A:B,2,FALSE)</f>
        <v>oprd_human</v>
      </c>
      <c r="C63" s="5">
        <f>VLOOKUP($B63&amp;"__wt",'SegEnds_Xtal_BW#'!$A:$Z,3,FALSE)</f>
        <v>22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8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INDEX('ICL3'!$G$2:$G$41,MATCH(MIN(ABS(AH63-'ICL3'!$F$2:$F$41)),ABS(AH63-'ICL3'!$F$2:$F$41),0))</f>
        <v>68</v>
      </c>
      <c r="U63" s="1">
        <f t="array" ref="U63">INDEX('ICL3'!$H$2:$H$41,MATCH(MIN(ABS(AH63-'ICL3'!$F$2:$F$41)),ABS(AH63-'ICL3'!$F$2:$F$41),0))</f>
        <v>23</v>
      </c>
      <c r="V63" s="1">
        <v>61</v>
      </c>
      <c r="W63" s="1"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19</v>
      </c>
      <c r="AD63" s="1">
        <f>VLOOKUP(A63,'SegEnds_NonXtal_Prot#'!A:AL,16,FALSE)-VLOOKUP(A63,'SegEnds_NonXtal_Prot#'!A:AL,10,FALSE)</f>
        <v>51</v>
      </c>
      <c r="AE63" s="1" t="e">
        <f>VLOOKUP(A63,'SegEnds_NonXtal_Prot#'!A:AL,22,FALSE)-VLOOKUP(A63,'SegEnds_NonXtal_Prot#'!A:AL,19,FALSE)</f>
        <v>#VALUE!</v>
      </c>
      <c r="AF63" s="1">
        <f>VLOOKUP(A63,'SegEnds_NonXtal_Prot#'!A:AL,28,FALSE)-VLOOKUP(A63,'SegEnds_NonXtal_Prot#'!A:AL,25,FALSE)</f>
        <v>27</v>
      </c>
      <c r="AG63" s="1">
        <f>VLOOKUP(A63,'SegEnds_NonXtal_Prot#'!A:AL,28,FALSE)-VLOOKUP(A63,'SegEnds_NonXtal_Prot#'!A:AL,22,FALSE)</f>
        <v>53</v>
      </c>
      <c r="AH63" s="1">
        <f>VLOOKUP(A63,'SegEnds_NonXtal_Prot#'!A:AL,31,FALSE)-VLOOKUP(A63,'SegEnds_NonXtal_Prot#'!A:AL,28,FALSE)</f>
        <v>51</v>
      </c>
      <c r="AI63" s="1">
        <f>VLOOKUP(A63,'SegEnds_NonXtal_Prot#'!A:AL,34,FALSE)-VLOOKUP(A63,'SegEnds_NonXtal_Prot#'!A:AL,31,FALSE)</f>
        <v>38</v>
      </c>
      <c r="AJ63" s="1">
        <f>VLOOKUP(A63,'SegEnds_NonXtal_Prot#'!A:AL,37,FALSE)-VLOOKUP(A63,'SegEnds_NonXtal_Prot#'!A:AL,34,FALSE)</f>
        <v>10</v>
      </c>
      <c r="AK63" s="1" t="str">
        <f>IF(ISERROR(MATCH(A63,'SegEnds_Xtal_Prot#'!B:B, 0)), "NoXtal", "Xtal")</f>
        <v>NoXtal</v>
      </c>
    </row>
    <row r="64" spans="1:37" x14ac:dyDescent="0.2">
      <c r="A64" s="1" t="s">
        <v>335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8">
        <f>VLOOKUP($B64&amp;"__wt",'SegEnds_Xtal_BW#'!$A:$Z,15,FALSE)</f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INDEX('ICL3'!$G$2:$G$41,MATCH(MIN(ABS(AH64-'ICL3'!$F$2:$F$41)),ABS(AH64-'ICL3'!$F$2:$F$41),0))</f>
        <v>68</v>
      </c>
      <c r="U64" s="1">
        <f t="array" ref="U64">INDEX('ICL3'!$H$2:$H$41,MATCH(MIN(ABS(AH64-'ICL3'!$F$2:$F$41)),ABS(AH64-'ICL3'!$F$2:$F$41),0))</f>
        <v>23</v>
      </c>
      <c r="V64" s="1">
        <v>61</v>
      </c>
      <c r="W64" s="1"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19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27</v>
      </c>
      <c r="AG64" s="1">
        <f>VLOOKUP(A64,'SegEnds_NonXtal_Prot#'!A:AL,28,FALSE)-VLOOKUP(A64,'SegEnds_NonXtal_Prot#'!A:AL,22,FALSE)</f>
        <v>52</v>
      </c>
      <c r="AH64" s="1">
        <f>VLOOKUP(A64,'SegEnds_NonXtal_Prot#'!A:AL,31,FALSE)-VLOOKUP(A64,'SegEnds_NonXtal_Prot#'!A:AL,28,FALSE)</f>
        <v>51</v>
      </c>
      <c r="AI64" s="1">
        <f>VLOOKUP(A64,'SegEnds_NonXtal_Prot#'!A:AL,34,FALSE)-VLOOKUP(A64,'SegEnds_NonXtal_Prot#'!A:AL,31,FALSE)</f>
        <v>39</v>
      </c>
      <c r="AJ64" s="1">
        <f>VLOOKUP(A64,'SegEnds_NonXtal_Prot#'!A:AL,37,FALSE)-VLOOKUP(A64,'SegEnds_NonXtal_Prot#'!A:AL,34,FALSE)</f>
        <v>10</v>
      </c>
      <c r="AK64" s="1" t="str">
        <f>IF(ISERROR(MATCH(A64,'SegEnds_Xtal_Prot#'!B:B, 0)), "NoXtal", "Xtal")</f>
        <v>Xtal</v>
      </c>
    </row>
    <row r="65" spans="1:37" x14ac:dyDescent="0.2">
      <c r="A65" s="1" t="s">
        <v>916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8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INDEX('ICL3'!$G$2:$G$41,MATCH(MIN(ABS(AH65-'ICL3'!$F$2:$F$41)),ABS(AH65-'ICL3'!$F$2:$F$41),0))</f>
        <v>68</v>
      </c>
      <c r="U65" s="1">
        <f t="array" ref="U65">INDEX('ICL3'!$H$2:$H$41,MATCH(MIN(ABS(AH65-'ICL3'!$F$2:$F$41)),ABS(AH65-'ICL3'!$F$2:$F$41),0))</f>
        <v>23</v>
      </c>
      <c r="V65" s="1">
        <v>61</v>
      </c>
      <c r="W65" s="1"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19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27</v>
      </c>
      <c r="AG65" s="1">
        <f>VLOOKUP(A65,'SegEnds_NonXtal_Prot#'!A:AL,28,FALSE)-VLOOKUP(A65,'SegEnds_NonXtal_Prot#'!A:AL,22,FALSE)</f>
        <v>52</v>
      </c>
      <c r="AH65" s="1">
        <f>VLOOKUP(A65,'SegEnds_NonXtal_Prot#'!A:AL,31,FALSE)-VLOOKUP(A65,'SegEnds_NonXtal_Prot#'!A:AL,28,FALSE)</f>
        <v>51</v>
      </c>
      <c r="AI65" s="1">
        <f>VLOOKUP(A65,'SegEnds_NonXtal_Prot#'!A:AL,34,FALSE)-VLOOKUP(A65,'SegEnds_NonXtal_Prot#'!A:AL,31,FALSE)</f>
        <v>39</v>
      </c>
      <c r="AJ65" s="1">
        <f>VLOOKUP(A65,'SegEnds_NonXtal_Prot#'!A:AL,37,FALSE)-VLOOKUP(A65,'SegEnds_NonXtal_Prot#'!A:AL,34,FALSE)</f>
        <v>10</v>
      </c>
      <c r="AK65" s="1" t="str">
        <f>IF(ISERROR(MATCH(A65,'SegEnds_Xtal_Prot#'!B:B, 0)), "NoXtal", "Xtal")</f>
        <v>Xtal</v>
      </c>
    </row>
    <row r="66" spans="1:37" x14ac:dyDescent="0.2">
      <c r="A66" s="1" t="s">
        <v>336</v>
      </c>
      <c r="B66" s="1" t="str">
        <f>VLOOKUP(A66,Xtal_Templ!A:B,2,FALSE)</f>
        <v>oprk_human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8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INDEX('ICL3'!$G$2:$G$41,MATCH(MIN(ABS(AH66-'ICL3'!$F$2:$F$41)),ABS(AH66-'ICL3'!$F$2:$F$41),0))</f>
        <v>68</v>
      </c>
      <c r="U66" s="1">
        <f t="array" ref="U66">INDEX('ICL3'!$H$2:$H$41,MATCH(MIN(ABS(AH66-'ICL3'!$F$2:$F$41)),ABS(AH66-'ICL3'!$F$2:$F$41),0))</f>
        <v>23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28</v>
      </c>
      <c r="AG66" s="1">
        <f>VLOOKUP(A66,'SegEnds_NonXtal_Prot#'!A:AL,28,FALSE)-VLOOKUP(A66,'SegEnds_NonXtal_Prot#'!A:AL,22,FALSE)</f>
        <v>55</v>
      </c>
      <c r="AH66" s="1">
        <f>VLOOKUP(A66,'SegEnds_NonXtal_Prot#'!A:AL,31,FALSE)-VLOOKUP(A66,'SegEnds_NonXtal_Prot#'!A:AL,28,FALSE)</f>
        <v>51</v>
      </c>
      <c r="AI66" s="1">
        <f>VLOOKUP(A66,'SegEnds_NonXtal_Prot#'!A:AL,34,FALSE)-VLOOKUP(A66,'SegEnds_NonXtal_Prot#'!A:AL,31,FALSE)</f>
        <v>38</v>
      </c>
      <c r="AJ66" s="1">
        <f>VLOOKUP(A66,'SegEnds_NonXtal_Prot#'!A:AL,37,FALSE)-VLOOKUP(A66,'SegEnds_NonXtal_Prot#'!A:AL,34,FALSE)</f>
        <v>10</v>
      </c>
      <c r="AK66" s="1" t="str">
        <f>IF(ISERROR(MATCH(A66,'SegEnds_Xtal_Prot#'!B:B, 0)), "NoXtal", "Xtal")</f>
        <v>Xtal</v>
      </c>
    </row>
    <row r="67" spans="1:37" x14ac:dyDescent="0.2">
      <c r="A67" s="1" t="s">
        <v>337</v>
      </c>
      <c r="B67" s="1" t="str">
        <f>VLOOKUP(A67,Xtal_Templ!A:B,2,FALSE)</f>
        <v>oprm_mouse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8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31</v>
      </c>
      <c r="T67" s="1">
        <f t="array" ref="T67">INDEX('ICL3'!$G$2:$G$41,MATCH(MIN(ABS(AH67-'ICL3'!$F$2:$F$41)),ABS(AH67-'ICL3'!$F$2:$F$41),0))</f>
        <v>68</v>
      </c>
      <c r="U67" s="1">
        <f t="array" ref="U67">INDEX('ICL3'!$H$2:$H$41,MATCH(MIN(ABS(AH67-'ICL3'!$F$2:$F$41)),ABS(AH67-'ICL3'!$F$2:$F$41),0))</f>
        <v>23</v>
      </c>
      <c r="V67" s="1">
        <v>61</v>
      </c>
      <c r="W67" s="1">
        <v>28</v>
      </c>
      <c r="X67" s="130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27</v>
      </c>
      <c r="AG67" s="1">
        <f>VLOOKUP(A67,'SegEnds_NonXtal_Prot#'!A:AL,28,FALSE)-VLOOKUP(A67,'SegEnds_NonXtal_Prot#'!A:AL,22,FALSE)</f>
        <v>52</v>
      </c>
      <c r="AH67" s="1">
        <f>VLOOKUP(A67,'SegEnds_NonXtal_Prot#'!A:AL,31,FALSE)-VLOOKUP(A67,'SegEnds_NonXtal_Prot#'!A:AL,28,FALSE)</f>
        <v>51</v>
      </c>
      <c r="AI67" s="1">
        <f>VLOOKUP(A67,'SegEnds_NonXtal_Prot#'!A:AL,34,FALSE)-VLOOKUP(A67,'SegEnds_NonXtal_Prot#'!A:AL,31,FALSE)</f>
        <v>38</v>
      </c>
      <c r="AJ67" s="1">
        <f>VLOOKUP(A67,'SegEnds_NonXtal_Prot#'!A:AL,37,FALSE)-VLOOKUP(A67,'SegEnds_NonXtal_Prot#'!A:AL,34,FALSE)</f>
        <v>10</v>
      </c>
      <c r="AK67" s="1" t="str">
        <f>IF(ISERROR(MATCH(A67,'SegEnds_Xtal_Prot#'!B:B, 0)), "NoXtal", "Xtal")</f>
        <v>NoXtal</v>
      </c>
    </row>
    <row r="68" spans="1:37" x14ac:dyDescent="0.2">
      <c r="A68" s="1" t="s">
        <v>918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f>VLOOKUP($B68&amp;"__wt",'SegEnds_Xtal_BW#'!$A:$Z,11,FALSE)</f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8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INDEX('ICL3'!$G$2:$G$41,MATCH(MIN(ABS(AH68-'ICL3'!$F$2:$F$41)),ABS(AH68-'ICL3'!$F$2:$F$41),0))</f>
        <v>68</v>
      </c>
      <c r="U68" s="1">
        <f t="array" ref="U68">INDEX('ICL3'!$H$2:$H$41,MATCH(MIN(ABS(AH68-'ICL3'!$F$2:$F$41)),ABS(AH68-'ICL3'!$F$2:$F$41),0))</f>
        <v>23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19</v>
      </c>
      <c r="AD68" s="1">
        <f>VLOOKUP(A68,'SegEnds_NonXtal_Prot#'!A:AL,16,FALSE)-VLOOKUP(A68,'SegEnds_NonXtal_Prot#'!A:AL,10,FALSE)</f>
        <v>51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52</v>
      </c>
      <c r="AH68" s="1">
        <f>VLOOKUP(A68,'SegEnds_NonXtal_Prot#'!A:AL,31,FALSE)-VLOOKUP(A68,'SegEnds_NonXtal_Prot#'!A:AL,28,FALSE)</f>
        <v>51</v>
      </c>
      <c r="AI68" s="1">
        <f>VLOOKUP(A68,'SegEnds_NonXtal_Prot#'!A:AL,34,FALSE)-VLOOKUP(A68,'SegEnds_NonXtal_Prot#'!A:AL,31,FALSE)</f>
        <v>38</v>
      </c>
      <c r="AJ68" s="1">
        <f>VLOOKUP(A68,'SegEnds_NonXtal_Prot#'!A:AL,37,FALSE)-VLOOKUP(A68,'SegEnds_NonXtal_Prot#'!A:AL,34,FALSE)</f>
        <v>10</v>
      </c>
      <c r="AK68" s="1" t="str">
        <f>IF(ISERROR(MATCH(A68,'SegEnds_Xtal_Prot#'!B:B, 0)), "NoXtal", "Xtal")</f>
        <v>Xtal</v>
      </c>
    </row>
    <row r="69" spans="1:37" x14ac:dyDescent="0.2">
      <c r="A69" s="1" t="s">
        <v>1174</v>
      </c>
      <c r="B69" s="1" t="str">
        <f>VLOOKUP(A69,Xtal_Templ!A:B,2,FALSE)</f>
        <v>oprx_human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8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INDEX('ICL3'!$G$2:$G$41,MATCH(MIN(ABS(AH69-'ICL3'!$F$2:$F$41)),ABS(AH69-'ICL3'!$F$2:$F$41),0))</f>
        <v>68</v>
      </c>
      <c r="U69" s="1">
        <f t="array" ref="U69">INDEX('ICL3'!$H$2:$H$41,MATCH(MIN(ABS(AH69-'ICL3'!$F$2:$F$41)),ABS(AH69-'ICL3'!$F$2:$F$41),0))</f>
        <v>23</v>
      </c>
      <c r="V69" s="1">
        <v>61</v>
      </c>
      <c r="W69" s="1">
        <v>28</v>
      </c>
      <c r="X69" s="130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19</v>
      </c>
      <c r="AD69" s="1">
        <f>VLOOKUP(A69,'SegEnds_NonXtal_Prot#'!A:AL,16,FALSE)-VLOOKUP(A69,'SegEnds_NonXtal_Prot#'!A:AL,10,FALSE)</f>
        <v>51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27</v>
      </c>
      <c r="AG69" s="1">
        <f>VLOOKUP(A69,'SegEnds_NonXtal_Prot#'!A:AL,28,FALSE)-VLOOKUP(A69,'SegEnds_NonXtal_Prot#'!A:AL,22,FALSE)</f>
        <v>52</v>
      </c>
      <c r="AH69" s="1">
        <f>VLOOKUP(A69,'SegEnds_NonXtal_Prot#'!A:AL,31,FALSE)-VLOOKUP(A69,'SegEnds_NonXtal_Prot#'!A:AL,28,FALSE)</f>
        <v>51</v>
      </c>
      <c r="AI69" s="1">
        <f>VLOOKUP(A69,'SegEnds_NonXtal_Prot#'!A:AL,34,FALSE)-VLOOKUP(A69,'SegEnds_NonXtal_Prot#'!A:AL,31,FALSE)</f>
        <v>38</v>
      </c>
      <c r="AJ69" s="1">
        <f>VLOOKUP(A69,'SegEnds_NonXtal_Prot#'!A:AL,37,FALSE)-VLOOKUP(A69,'SegEnds_NonXtal_Prot#'!A:AL,34,FALSE)</f>
        <v>10</v>
      </c>
      <c r="AK69" s="1" t="str">
        <f>IF(ISERROR(MATCH(A69,'SegEnds_Xtal_Prot#'!B:B, 0)), "NoXtal", "Xtal")</f>
        <v>Xtal</v>
      </c>
    </row>
    <row r="70" spans="1:37" x14ac:dyDescent="0.2">
      <c r="A70" s="4" t="s">
        <v>350</v>
      </c>
      <c r="B70" s="4" t="str">
        <f>VLOOKUP(A70,Xtal_Templ!A:B,2,FALSE)</f>
        <v>p2ry1_human</v>
      </c>
      <c r="C70" s="5">
        <f>VLOOKUP($B70&amp;"__wt",'SegEnds_Xtal_BW#'!$A:$Z,3,FALSE)</f>
        <v>30</v>
      </c>
      <c r="D70" s="4">
        <f>VLOOKUP($B70&amp;"__wt",'SegEnds_Xtal_BW#'!$A:$Z,4,FALSE)</f>
        <v>60</v>
      </c>
      <c r="E70" s="4" t="str">
        <f>VLOOKUP($B70&amp;"__wt",'SegEnds_Xtal_BW#'!$A:$Z,5,FALSE)</f>
        <v>-</v>
      </c>
      <c r="F70" s="4" t="str">
        <f>VLOOKUP($B70&amp;"__wt",'SegEnds_Xtal_BW#'!$A:$Z,6,FALSE)</f>
        <v>-</v>
      </c>
      <c r="G70" s="4">
        <v>37</v>
      </c>
      <c r="H70" s="11">
        <v>66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21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09">
        <v>56</v>
      </c>
      <c r="O70" s="88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32</v>
      </c>
      <c r="T70" s="4">
        <f t="array" ref="T70">INDEX('ICL3'!$G$2:$G$41,MATCH(MIN(ABS(AH70-'ICL3'!$F$2:$F$41)),ABS(AH70-'ICL3'!$F$2:$F$41),0))</f>
        <v>68</v>
      </c>
      <c r="U70" s="4">
        <f t="array" ref="U70">INDEX('ICL3'!$H$2:$H$41,MATCH(MIN(ABS(AH70-'ICL3'!$F$2:$F$41)),ABS(AH70-'ICL3'!$F$2:$F$41),0))</f>
        <v>24</v>
      </c>
      <c r="V70" s="4">
        <v>64</v>
      </c>
      <c r="W70" s="4">
        <v>24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59</v>
      </c>
      <c r="AA70" s="27" t="str">
        <f>VLOOKUP(A70,Classification!A:B,2,FALSE)</f>
        <v>A</v>
      </c>
      <c r="AB70" s="4" t="e">
        <f>VLOOKUP(A70,'SegEnds_NonXtal_Prot#'!A:AL,10,FALSE)-VLOOKUP(A70,'SegEnds_NonXtal_Prot#'!A:AL,7,FALSE)</f>
        <v>#VALUE!</v>
      </c>
      <c r="AC70" s="4">
        <f>VLOOKUP(A70,'SegEnds_NonXtal_Prot#'!A:AL,13,FALSE)-VLOOKUP(A70,'SegEnds_NonXtal_Prot#'!A:AL,10,FALSE)</f>
        <v>19</v>
      </c>
      <c r="AD70" s="4">
        <f>VLOOKUP(A70,'SegEnds_NonXtal_Prot#'!A:AL,16,FALSE)-VLOOKUP(A70,'SegEnds_NonXtal_Prot#'!A:AL,10,FALSE)</f>
        <v>51</v>
      </c>
      <c r="AE70" s="1">
        <f>VLOOKUP(A70,'SegEnds_NonXtal_Prot#'!A:AL,22,FALSE)-VLOOKUP(A70,'SegEnds_NonXtal_Prot#'!A:AL,19,FALSE)</f>
        <v>19</v>
      </c>
      <c r="AF70" s="4">
        <f>VLOOKUP(A70,'SegEnds_NonXtal_Prot#'!A:AL,28,FALSE)-VLOOKUP(A70,'SegEnds_NonXtal_Prot#'!A:AL,25,FALSE)</f>
        <v>29</v>
      </c>
      <c r="AG70" s="1">
        <f>VLOOKUP(A70,'SegEnds_NonXtal_Prot#'!A:AL,28,FALSE)-VLOOKUP(A70,'SegEnds_NonXtal_Prot#'!A:AL,22,FALSE)</f>
        <v>53</v>
      </c>
      <c r="AH70" s="4">
        <f>VLOOKUP(A70,'SegEnds_NonXtal_Prot#'!A:AL,31,FALSE)-VLOOKUP(A70,'SegEnds_NonXtal_Prot#'!A:AL,28,FALSE)</f>
        <v>48</v>
      </c>
      <c r="AI70" s="4">
        <f>VLOOKUP(A70,'SegEnds_NonXtal_Prot#'!A:AL,34,FALSE)-VLOOKUP(A70,'SegEnds_NonXtal_Prot#'!A:AL,31,FALSE)</f>
        <v>44</v>
      </c>
      <c r="AJ70" s="1">
        <f>VLOOKUP(A70,'SegEnds_NonXtal_Prot#'!A:AL,37,FALSE)-VLOOKUP(A70,'SegEnds_NonXtal_Prot#'!A:AL,34,FALSE)</f>
        <v>10</v>
      </c>
      <c r="AK70" s="1" t="str">
        <f>IF(ISERROR(MATCH(A70,'SegEnds_Xtal_Prot#'!B:B, 0)), "NoXtal", "Xtal")</f>
        <v>NoXtal</v>
      </c>
    </row>
    <row r="71" spans="1:37" x14ac:dyDescent="0.2">
      <c r="A71" s="1" t="s">
        <v>361</v>
      </c>
      <c r="B71" s="1" t="str">
        <f>VLOOKUP(A71,Xtal_Templ!A:B,2,FALSE)</f>
        <v>cnr1_human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 t="str">
        <f>VLOOKUP($B71&amp;"__wt",'SegEnds_Xtal_BW#'!$A:$Z,9,FALSE)</f>
        <v>-</v>
      </c>
      <c r="J71" s="1" t="str">
        <f>VLOOKUP($B71&amp;"__wt",'SegEnds_Xtal_BW#'!$A:$Z,10,FALSE)</f>
        <v>-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8">
        <f>VLOOKUP($B71&amp;"__wt",'SegEnds_Xtal_BW#'!$A:$Z,15,FALSE)</f>
        <v>38</v>
      </c>
      <c r="P71" s="1">
        <f>VLOOKUP($B71&amp;"__wt",'SegEnds_Xtal_BW#'!$A:$Z,16,FALSE)</f>
        <v>63</v>
      </c>
      <c r="Q71" s="109">
        <v>50</v>
      </c>
      <c r="R71" s="109">
        <v>52</v>
      </c>
      <c r="S71" s="1">
        <f>VLOOKUP($B71&amp;"__wt",'SegEnds_Xtal_BW#'!$A:$Z,19,FALSE)</f>
        <v>36</v>
      </c>
      <c r="T71" s="1">
        <f t="array" ref="T71">INDEX('ICL3'!$G$2:$G$41,MATCH(MIN(ABS(AH71-'ICL3'!$F$2:$F$41)),ABS(AH71-'ICL3'!$F$2:$F$41),0))</f>
        <v>74</v>
      </c>
      <c r="U71" s="1">
        <f t="array" ref="U71">INDEX('ICL3'!$H$2:$H$41,MATCH(MIN(ABS(AH71-'ICL3'!$F$2:$F$41)),ABS(AH71-'ICL3'!$F$2:$F$41),0))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20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51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28</v>
      </c>
      <c r="AG71" s="1">
        <f>VLOOKUP(A71,'SegEnds_NonXtal_Prot#'!A:AL,28,FALSE)-VLOOKUP(A71,'SegEnds_NonXtal_Prot#'!A:AL,22,FALSE)</f>
        <v>54</v>
      </c>
      <c r="AH71" s="1">
        <f>VLOOKUP(A71,'SegEnds_NonXtal_Prot#'!A:AL,31,FALSE)-VLOOKUP(A71,'SegEnds_NonXtal_Prot#'!A:AL,28,FALSE)</f>
        <v>96</v>
      </c>
      <c r="AI71" s="1">
        <f>VLOOKUP(A71,'SegEnds_NonXtal_Prot#'!A:AL,34,FALSE)-VLOOKUP(A71,'SegEnds_NonXtal_Prot#'!A:AL,31,FALSE)</f>
        <v>36</v>
      </c>
      <c r="AJ71" s="1">
        <f>VLOOKUP(A71,'SegEnds_NonXtal_Prot#'!A:AL,37,FALSE)-VLOOKUP(A71,'SegEnds_NonXtal_Prot#'!A:AL,34,FALSE)</f>
        <v>10</v>
      </c>
      <c r="AK71" s="1" t="str">
        <f>IF(ISERROR(MATCH(A71,'SegEnds_Xtal_Prot#'!B:B, 0)), "NoXtal", "Xtal")</f>
        <v>NoXtal</v>
      </c>
    </row>
    <row r="72" spans="1:37" x14ac:dyDescent="0.2">
      <c r="A72" s="1" t="s">
        <v>1451</v>
      </c>
      <c r="B72" s="1" t="str">
        <f>VLOOKUP(A72,Xtal_Templ!A:B,2,FALSE)</f>
        <v>q08bg4_danre</v>
      </c>
      <c r="C72" s="5">
        <f>VLOOKUP($B72&amp;"__wt",'SegEnds_Xtal_BW#'!$A:$Z,3,FALSE)</f>
        <v>31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48</v>
      </c>
      <c r="J72" s="1">
        <f>VLOOKUP($B72&amp;"__wt",'SegEnds_Xtal_BW#'!$A:$Z,10,FALSE)</f>
        <v>52</v>
      </c>
      <c r="K72" s="12">
        <f>VLOOKUP($B72&amp;"__wt",'SegEnds_Xtal_BW#'!$A:$Z,11,FALSE)</f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09">
        <f>VLOOKUP($B72&amp;"__wt",'SegEnds_Xtal_BW#'!$A:$Z,14,FALSE)</f>
        <v>57</v>
      </c>
      <c r="O72" s="109">
        <f>VLOOKUP($B72&amp;"__wt",'SegEnds_Xtal_BW#'!$A:$Z,15,FALSE)</f>
        <v>38</v>
      </c>
      <c r="P72" s="1">
        <f>VLOOKUP($B72&amp;"__wt",'SegEnds_Xtal_BW#'!$A:$Z,16,FALSE)</f>
        <v>65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31</v>
      </c>
      <c r="T72" s="1">
        <f t="array" ref="T72">INDEX('ICL3'!$G$2:$G$41,MATCH(MIN(ABS(AH72-'ICL3'!$F$2:$F$41)),ABS(AH72-'ICL3'!$F$2:$F$41),0))</f>
        <v>68</v>
      </c>
      <c r="U72" s="1">
        <f t="array" ref="U72">INDEX('ICL3'!$H$2:$H$41,MATCH(MIN(ABS(AH72-'ICL3'!$F$2:$F$41)),ABS(AH72-'ICL3'!$F$2:$F$41),0))</f>
        <v>24</v>
      </c>
      <c r="V72" s="109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19</v>
      </c>
      <c r="AD72" s="1">
        <f>VLOOKUP(A72,'SegEnds_NonXtal_Prot#'!A:AL,16,FALSE)-VLOOKUP(A72,'SegEnds_NonXtal_Prot#'!A:AL,10,FALSE)</f>
        <v>51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28</v>
      </c>
      <c r="AG72" s="1">
        <f>VLOOKUP(A72,'SegEnds_NonXtal_Prot#'!A:AL,28,FALSE)-VLOOKUP(A72,'SegEnds_NonXtal_Prot#'!A:AL,22,FALSE)</f>
        <v>55</v>
      </c>
      <c r="AH72" s="1">
        <f>VLOOKUP(A72,'SegEnds_NonXtal_Prot#'!A:AL,31,FALSE)-VLOOKUP(A72,'SegEnds_NonXtal_Prot#'!A:AL,28,FALSE)</f>
        <v>49</v>
      </c>
      <c r="AI72" s="1">
        <f>VLOOKUP(A72,'SegEnds_NonXtal_Prot#'!A:AL,34,FALSE)-VLOOKUP(A72,'SegEnds_NonXtal_Prot#'!A:AL,31,FALSE)</f>
        <v>44</v>
      </c>
      <c r="AJ72" s="1">
        <f>VLOOKUP(A72,'SegEnds_NonXtal_Prot#'!A:AL,37,FALSE)-VLOOKUP(A72,'SegEnds_NonXtal_Prot#'!A:AL,34,FALSE)</f>
        <v>10</v>
      </c>
      <c r="AK72" s="1" t="str">
        <f>IF(ISERROR(MATCH(A72,'SegEnds_Xtal_Prot#'!B:B, 0)), "NoXtal", "Xtal")</f>
        <v>Xtal</v>
      </c>
    </row>
    <row r="73" spans="1:37" x14ac:dyDescent="0.2">
      <c r="A73" s="1" t="s">
        <v>1463</v>
      </c>
      <c r="B73" s="1" t="s">
        <v>1463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67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57</v>
      </c>
      <c r="O73" s="88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INDEX('ICL3'!$G$2:$G$41,MATCH(MIN(ABS(AH73-'ICL3'!$F$2:$F$41)),ABS(AH73-'ICL3'!$F$2:$F$41),0))</f>
        <v>68</v>
      </c>
      <c r="U73" s="1">
        <f t="array" ref="U73">INDEX('ICL3'!$H$2:$H$41,MATCH(MIN(ABS(AH73-'ICL3'!$F$2:$F$41)),ABS(AH73-'ICL3'!$F$2:$F$41),0))</f>
        <v>30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51</v>
      </c>
      <c r="AH73" s="1">
        <f>VLOOKUP(A73,'SegEnds_NonXtal_Prot#'!A:AL,31,FALSE)-VLOOKUP(A73,'SegEnds_NonXtal_Prot#'!A:AL,28,FALSE)</f>
        <v>43</v>
      </c>
      <c r="AI73" s="1">
        <f>VLOOKUP(A73,'SegEnds_NonXtal_Prot#'!A:AL,34,FALSE)-VLOOKUP(A73,'SegEnds_NonXtal_Prot#'!A:AL,31,FALSE)</f>
        <v>43</v>
      </c>
      <c r="AJ73" s="1">
        <f>VLOOKUP(A73,'SegEnds_NonXtal_Prot#'!A:AL,37,FALSE)-VLOOKUP(A73,'SegEnds_NonXtal_Prot#'!A:AL,34,FALSE)</f>
        <v>10</v>
      </c>
      <c r="AK73" s="1" t="str">
        <f>IF(ISERROR(MATCH(A73,'SegEnds_Xtal_Prot#'!B:B, 0)), "NoXtal", "Xtal")</f>
        <v>Xtal</v>
      </c>
    </row>
    <row r="74" spans="1:37" x14ac:dyDescent="0.2">
      <c r="A74" s="4" t="s">
        <v>104</v>
      </c>
      <c r="B74" s="4" t="str">
        <f>VLOOKUP(A74,Xtal_Templ!A:B,2,FALSE)</f>
        <v>s1pr1_human</v>
      </c>
      <c r="C74" s="5">
        <f>VLOOKUP($B74&amp;"__wt",'SegEnds_Xtal_BW#'!$A:$Z,3,FALSE)</f>
        <v>29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1">
        <v>63</v>
      </c>
      <c r="I74" s="4">
        <f>VLOOKUP($B74&amp;"__wt",'SegEnds_Xtal_BW#'!$A:$Z,9,FALSE)</f>
        <v>47</v>
      </c>
      <c r="J74" s="4">
        <f>VLOOKUP($B74&amp;"__wt",'SegEnds_Xtal_BW#'!$A:$Z,10,FALSE)</f>
        <v>53</v>
      </c>
      <c r="K74" s="11">
        <f>VLOOKUP($B74&amp;"__wt",'SegEnds_Xtal_BW#'!$A:$Z,11,FALSE)</f>
        <v>21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09">
        <f>VLOOKUP($B74&amp;"__wt",'SegEnds_Xtal_BW#'!$A:$Z,14,FALSE)</f>
        <v>56</v>
      </c>
      <c r="O74" s="88">
        <f>VLOOKUP($B74&amp;"__wt",'SegEnds_Xtal_BW#'!$A:$Z,15,FALSE)</f>
        <v>38</v>
      </c>
      <c r="P74" s="4">
        <f>VLOOKUP($B74&amp;"__wt",'SegEnds_Xtal_BW#'!$A:$Z,16,FALSE)</f>
        <v>63</v>
      </c>
      <c r="Q74" s="4" t="str">
        <f>VLOOKUP($B74&amp;"__wt",'SegEnds_Xtal_BW#'!$A:$Z,17,FALSE)</f>
        <v>-</v>
      </c>
      <c r="R74" s="4" t="str">
        <f>VLOOKUP($B74&amp;"__wt",'SegEnds_Xtal_BW#'!$A:$Z,18,FALSE)</f>
        <v>-</v>
      </c>
      <c r="S74" s="4">
        <f>VLOOKUP($B74&amp;"__wt",'SegEnds_Xtal_BW#'!$A:$Z,19,FALSE)</f>
        <v>36</v>
      </c>
      <c r="T74" s="4">
        <f t="array" ref="T74">INDEX('ICL3'!$G$2:$G$41,MATCH(MIN(ABS(AH74-'ICL3'!$F$2:$F$41)),ABS(AH74-'ICL3'!$F$2:$F$41),0))</f>
        <v>73</v>
      </c>
      <c r="U74" s="4">
        <f t="array" ref="U74">INDEX('ICL3'!$H$2:$H$41,MATCH(MIN(ABS(AH74-'ICL3'!$F$2:$F$41)),ABS(AH74-'ICL3'!$F$2:$F$41),0))</f>
        <v>24</v>
      </c>
      <c r="V74" s="4">
        <v>61</v>
      </c>
      <c r="W74" s="4">
        <v>30</v>
      </c>
      <c r="X74" s="1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59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18</v>
      </c>
      <c r="AD74" s="4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19</v>
      </c>
      <c r="AF74" s="4" t="e">
        <f>VLOOKUP(A74,'SegEnds_NonXtal_Prot#'!A:AL,28,FALSE)-VLOOKUP(A74,'SegEnds_NonXtal_Prot#'!A:AL,25,FALSE)</f>
        <v>#VALUE!</v>
      </c>
      <c r="AG74" s="1">
        <f>VLOOKUP(A74,'SegEnds_NonXtal_Prot#'!A:AL,28,FALSE)-VLOOKUP(A74,'SegEnds_NonXtal_Prot#'!A:AL,22,FALSE)</f>
        <v>45</v>
      </c>
      <c r="AH74" s="4">
        <f>VLOOKUP(A74,'SegEnds_NonXtal_Prot#'!A:AL,31,FALSE)-VLOOKUP(A74,'SegEnds_NonXtal_Prot#'!A:AL,28,FALSE)</f>
        <v>58</v>
      </c>
      <c r="AI74" s="4">
        <f>VLOOKUP(A74,'SegEnds_NonXtal_Prot#'!A:AL,34,FALSE)-VLOOKUP(A74,'SegEnds_NonXtal_Prot#'!A:AL,31,FALSE)</f>
        <v>37</v>
      </c>
      <c r="AJ74" s="1">
        <f>VLOOKUP(A74,'SegEnds_NonXtal_Prot#'!A:AL,37,FALSE)-VLOOKUP(A74,'SegEnds_NonXtal_Prot#'!A:AL,34,FALSE)</f>
        <v>10</v>
      </c>
      <c r="AK74" s="1" t="str">
        <f>IF(ISERROR(MATCH(A74,'SegEnds_Xtal_Prot#'!B:B, 0)), "NoXtal", "Xtal")</f>
        <v>Xtal</v>
      </c>
    </row>
    <row r="75" spans="1:37" x14ac:dyDescent="0.2">
      <c r="A75" s="1" t="s">
        <v>377</v>
      </c>
      <c r="B75" s="1" t="str">
        <f>VLOOKUP(A75,Xtal_Templ!A:B,2,FALSE)</f>
        <v>s1pr1_human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v>63</v>
      </c>
      <c r="I75" s="1">
        <f>VLOOKUP($B75&amp;"__wt",'SegEnds_Xtal_BW#'!$A:$Z,9,FALSE)</f>
        <v>47</v>
      </c>
      <c r="J75" s="1">
        <f>VLOOKUP($B75&amp;"__wt",'SegEnds_Xtal_BW#'!$A:$Z,10,FALSE)</f>
        <v>53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09">
        <v>56</v>
      </c>
      <c r="O75" s="88">
        <f>VLOOKUP($B75&amp;"__wt",'SegEnds_Xtal_BW#'!$A:$Z,15,FALSE)</f>
        <v>38</v>
      </c>
      <c r="P75" s="1">
        <f>VLOOKUP($B75&amp;"__wt",'SegEnds_Xtal_BW#'!$A:$Z,16,FALSE)</f>
        <v>63</v>
      </c>
      <c r="Q75" s="1" t="str">
        <f>VLOOKUP($B75&amp;"__wt",'SegEnds_Xtal_BW#'!$A:$Z,17,FALSE)</f>
        <v>-</v>
      </c>
      <c r="R75" s="1" t="str">
        <f>VLOOKUP($B75&amp;"__wt",'SegEnds_Xtal_BW#'!$A:$Z,18,FALSE)</f>
        <v>-</v>
      </c>
      <c r="S75" s="1">
        <f>VLOOKUP($B75&amp;"__wt",'SegEnds_Xtal_BW#'!$A:$Z,19,FALSE)</f>
        <v>36</v>
      </c>
      <c r="T75" s="1">
        <f t="array" ref="T75">INDEX('ICL3'!$G$2:$G$41,MATCH(MIN(ABS(AH75-'ICL3'!$F$2:$F$41)),ABS(AH75-'ICL3'!$F$2:$F$41),0))</f>
        <v>67</v>
      </c>
      <c r="U75" s="1">
        <f t="array" ref="U75">INDEX('ICL3'!$H$2:$H$41,MATCH(MIN(ABS(AH75-'ICL3'!$F$2:$F$41)),ABS(AH75-'ICL3'!$F$2:$F$41),0))</f>
        <v>26</v>
      </c>
      <c r="V75" s="1">
        <v>61</v>
      </c>
      <c r="W75" s="1">
        <v>30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18</v>
      </c>
      <c r="AD75" s="1">
        <f>VLOOKUP(A75,'SegEnds_NonXtal_Prot#'!A:AL,16,FALSE)-VLOOKUP(A75,'SegEnds_NonXtal_Prot#'!A:AL,10,FALSE)</f>
        <v>51</v>
      </c>
      <c r="AE75" s="1">
        <f>VLOOKUP(A75,'SegEnds_NonXtal_Prot#'!A:AL,22,FALSE)-VLOOKUP(A75,'SegEnds_NonXtal_Prot#'!A:AL,19,FALSE)</f>
        <v>19</v>
      </c>
      <c r="AF75" s="1" t="e">
        <f>VLOOKUP(A75,'SegEnds_NonXtal_Prot#'!A:AL,28,FALSE)-VLOOKUP(A75,'SegEnds_NonXtal_Prot#'!A:AL,25,FALSE)</f>
        <v>#VALUE!</v>
      </c>
      <c r="AG75" s="1">
        <f>VLOOKUP(A75,'SegEnds_NonXtal_Prot#'!A:AL,28,FALSE)-VLOOKUP(A75,'SegEnds_NonXtal_Prot#'!A:AL,22,FALSE)</f>
        <v>45</v>
      </c>
      <c r="AH75" s="1">
        <f>VLOOKUP(A75,'SegEnds_NonXtal_Prot#'!A:AL,31,FALSE)-VLOOKUP(A75,'SegEnds_NonXtal_Prot#'!A:AL,28,FALSE)</f>
        <v>47</v>
      </c>
      <c r="AI75" s="1">
        <f>VLOOKUP(A75,'SegEnds_NonXtal_Prot#'!A:AL,34,FALSE)-VLOOKUP(A75,'SegEnds_NonXtal_Prot#'!A:AL,31,FALSE)</f>
        <v>37</v>
      </c>
      <c r="AJ75" s="1">
        <f>VLOOKUP(A75,'SegEnds_NonXtal_Prot#'!A:AL,37,FALSE)-VLOOKUP(A75,'SegEnds_NonXtal_Prot#'!A:AL,34,FALSE)</f>
        <v>10</v>
      </c>
      <c r="AK75" s="1" t="str">
        <f>IF(ISERROR(MATCH(A75,'SegEnds_Xtal_Prot#'!B:B, 0)), "NoXtal", "Xtal")</f>
        <v>NoXtal</v>
      </c>
    </row>
    <row r="76" spans="1:37" x14ac:dyDescent="0.2">
      <c r="A76" s="1" t="s">
        <v>378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9">
        <v>56</v>
      </c>
      <c r="O76" s="88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INDEX('ICL3'!$G$2:$G$41,MATCH(MIN(ABS(AH76-'ICL3'!$F$2:$F$41)),ABS(AH76-'ICL3'!$F$2:$F$41),0))</f>
        <v>68</v>
      </c>
      <c r="U76" s="1">
        <f t="array" ref="U76">INDEX('ICL3'!$H$2:$H$41,MATCH(MIN(ABS(AH76-'ICL3'!$F$2:$F$41)),ABS(AH76-'ICL3'!$F$2:$F$41),0))</f>
        <v>23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18</v>
      </c>
      <c r="AD76" s="1">
        <f>VLOOKUP(A76,'SegEnds_NonXtal_Prot#'!A:AL,16,FALSE)-VLOOKUP(A76,'SegEnds_NonXtal_Prot#'!A:AL,10,FALSE)</f>
        <v>51</v>
      </c>
      <c r="AE76" s="1">
        <f>VLOOKUP(A76,'SegEnds_NonXtal_Prot#'!A:AL,22,FALSE)-VLOOKUP(A76,'SegEnds_NonXtal_Prot#'!A:AL,19,FALSE)</f>
        <v>19</v>
      </c>
      <c r="AF76" s="1" t="e">
        <f>VLOOKUP(A76,'SegEnds_NonXtal_Prot#'!A:AL,28,FALSE)-VLOOKUP(A76,'SegEnds_NonXtal_Prot#'!A:AL,25,FALSE)</f>
        <v>#VALUE!</v>
      </c>
      <c r="AG76" s="1">
        <f>VLOOKUP(A76,'SegEnds_NonXtal_Prot#'!A:AL,28,FALSE)-VLOOKUP(A76,'SegEnds_NonXtal_Prot#'!A:AL,22,FALSE)</f>
        <v>45</v>
      </c>
      <c r="AH76" s="1">
        <f>VLOOKUP(A76,'SegEnds_NonXtal_Prot#'!A:AL,31,FALSE)-VLOOKUP(A76,'SegEnds_NonXtal_Prot#'!A:AL,28,FALSE)</f>
        <v>51</v>
      </c>
      <c r="AI76" s="1">
        <f>VLOOKUP(A76,'SegEnds_NonXtal_Prot#'!A:AL,34,FALSE)-VLOOKUP(A76,'SegEnds_NonXtal_Prot#'!A:AL,31,FALSE)</f>
        <v>37</v>
      </c>
      <c r="AJ76" s="1">
        <f>VLOOKUP(A76,'SegEnds_NonXtal_Prot#'!A:AL,37,FALSE)-VLOOKUP(A76,'SegEnds_NonXtal_Prot#'!A:AL,34,FALSE)</f>
        <v>10</v>
      </c>
      <c r="AK76" s="1" t="str">
        <f>IF(ISERROR(MATCH(A76,'SegEnds_Xtal_Prot#'!B:B, 0)), "NoXtal", "Xtal")</f>
        <v>NoXtal</v>
      </c>
    </row>
    <row r="77" spans="1:37" x14ac:dyDescent="0.2">
      <c r="A77" s="1" t="s">
        <v>379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8"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INDEX('ICL3'!$G$2:$G$41,MATCH(MIN(ABS(AH77-'ICL3'!$F$2:$F$41)),ABS(AH77-'ICL3'!$F$2:$F$41),0))</f>
        <v>68</v>
      </c>
      <c r="U77" s="1">
        <f t="array" ref="U77">INDEX('ICL3'!$H$2:$H$41,MATCH(MIN(ABS(AH77-'ICL3'!$F$2:$F$41)),ABS(AH77-'ICL3'!$F$2:$F$41),0))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18</v>
      </c>
      <c r="AD77" s="1">
        <f>VLOOKUP(A77,'SegEnds_NonXtal_Prot#'!A:AL,16,FALSE)-VLOOKUP(A77,'SegEnds_NonXtal_Prot#'!A:AL,10,FALSE)</f>
        <v>51</v>
      </c>
      <c r="AE77" s="1">
        <f>VLOOKUP(A77,'SegEnds_NonXtal_Prot#'!A:AL,22,FALSE)-VLOOKUP(A77,'SegEnds_NonXtal_Prot#'!A:AL,19,FALSE)</f>
        <v>20</v>
      </c>
      <c r="AF77" s="1" t="e">
        <f>VLOOKUP(A77,'SegEnds_NonXtal_Prot#'!A:AL,28,FALSE)-VLOOKUP(A77,'SegEnds_NonXtal_Prot#'!A:AL,25,FALSE)</f>
        <v>#VALUE!</v>
      </c>
      <c r="AG77" s="1">
        <f>VLOOKUP(A77,'SegEnds_NonXtal_Prot#'!A:AL,28,FALSE)-VLOOKUP(A77,'SegEnds_NonXtal_Prot#'!A:AL,22,FALSE)</f>
        <v>45</v>
      </c>
      <c r="AH77" s="1">
        <f>VLOOKUP(A77,'SegEnds_NonXtal_Prot#'!A:AL,31,FALSE)-VLOOKUP(A77,'SegEnds_NonXtal_Prot#'!A:AL,28,FALSE)</f>
        <v>51</v>
      </c>
      <c r="AI77" s="1">
        <f>VLOOKUP(A77,'SegEnds_NonXtal_Prot#'!A:AL,34,FALSE)-VLOOKUP(A77,'SegEnds_NonXtal_Prot#'!A:AL,31,FALSE)</f>
        <v>38</v>
      </c>
      <c r="AJ77" s="1">
        <f>VLOOKUP(A77,'SegEnds_NonXtal_Prot#'!A:AL,37,FALSE)-VLOOKUP(A77,'SegEnds_NonXtal_Prot#'!A:AL,34,FALSE)</f>
        <v>10</v>
      </c>
      <c r="AK77" s="1" t="str">
        <f>IF(ISERROR(MATCH(A77,'SegEnds_Xtal_Prot#'!B:B, 0)), "NoXtal", "Xtal")</f>
        <v>NoXtal</v>
      </c>
    </row>
    <row r="78" spans="1:37" x14ac:dyDescent="0.2">
      <c r="A78" s="1" t="s">
        <v>380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09">
        <v>56</v>
      </c>
      <c r="O78" s="88">
        <f>VLOOKUP($B78&amp;"__wt",'SegEnds_Xtal_BW#'!$A:$Z,15,FALSE)</f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INDEX('ICL3'!$G$2:$G$41,MATCH(MIN(ABS(AH78-'ICL3'!$F$2:$F$41)),ABS(AH78-'ICL3'!$F$2:$F$41),0))</f>
        <v>74</v>
      </c>
      <c r="U78" s="1">
        <f t="array" ref="U78">INDEX('ICL3'!$H$2:$H$41,MATCH(MIN(ABS(AH78-'ICL3'!$F$2:$F$41)),ABS(AH78-'ICL3'!$F$2:$F$41),0))</f>
        <v>21</v>
      </c>
      <c r="V78" s="1">
        <v>61</v>
      </c>
      <c r="W78" s="1"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18</v>
      </c>
      <c r="AD78" s="1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19</v>
      </c>
      <c r="AF78" s="1" t="e">
        <f>VLOOKUP(A78,'SegEnds_NonXtal_Prot#'!A:AL,28,FALSE)-VLOOKUP(A78,'SegEnds_NonXtal_Prot#'!A:AL,25,FALSE)</f>
        <v>#VALUE!</v>
      </c>
      <c r="AG78" s="1">
        <f>VLOOKUP(A78,'SegEnds_NonXtal_Prot#'!A:AL,28,FALSE)-VLOOKUP(A78,'SegEnds_NonXtal_Prot#'!A:AL,22,FALSE)</f>
        <v>45</v>
      </c>
      <c r="AH78" s="1">
        <f>VLOOKUP(A78,'SegEnds_NonXtal_Prot#'!A:AL,31,FALSE)-VLOOKUP(A78,'SegEnds_NonXtal_Prot#'!A:AL,28,FALSE)</f>
        <v>62</v>
      </c>
      <c r="AI78" s="1">
        <f>VLOOKUP(A78,'SegEnds_NonXtal_Prot#'!A:AL,34,FALSE)-VLOOKUP(A78,'SegEnds_NonXtal_Prot#'!A:AL,31,FALSE)</f>
        <v>37</v>
      </c>
      <c r="AJ78" s="1">
        <f>VLOOKUP(A78,'SegEnds_NonXtal_Prot#'!A:AL,37,FALSE)-VLOOKUP(A78,'SegEnds_NonXtal_Prot#'!A:AL,34,FALSE)</f>
        <v>10</v>
      </c>
      <c r="AK78" s="1" t="str">
        <f>IF(ISERROR(MATCH(A78,'SegEnds_Xtal_Prot#'!B:B, 0)), "NoXtal", "Xtal")</f>
        <v>NoXtal</v>
      </c>
    </row>
    <row r="79" spans="1:37" x14ac:dyDescent="0.2">
      <c r="A79" s="1" t="s">
        <v>381</v>
      </c>
      <c r="B79" s="1" t="str">
        <f>VLOOKUP(A79,Xtal_Templ!A:B,2,FALSE)</f>
        <v>oprk_human</v>
      </c>
      <c r="C79" s="5">
        <f>VLOOKUP($B79&amp;"__wt",'SegEnds_Xtal_BW#'!$A:$Z,3,FALSE)</f>
        <v>30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8"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INDEX('ICL3'!$G$2:$G$41,MATCH(MIN(ABS(AH79-'ICL3'!$F$2:$F$41)),ABS(AH79-'ICL3'!$F$2:$F$41),0))</f>
        <v>68</v>
      </c>
      <c r="U79" s="1">
        <f t="array" ref="U79">INDEX('ICL3'!$H$2:$H$41,MATCH(MIN(ABS(AH79-'ICL3'!$F$2:$F$41)),ABS(AH79-'ICL3'!$F$2:$F$41),0))</f>
        <v>23</v>
      </c>
      <c r="V79" s="1">
        <v>61</v>
      </c>
      <c r="W79" s="1">
        <v>32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27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51</v>
      </c>
      <c r="AI79" s="1">
        <f>VLOOKUP(A79,'SegEnds_NonXtal_Prot#'!A:AL,34,FALSE)-VLOOKUP(A79,'SegEnds_NonXtal_Prot#'!A:AL,31,FALSE)</f>
        <v>34</v>
      </c>
      <c r="AJ79" s="1">
        <f>VLOOKUP(A79,'SegEnds_NonXtal_Prot#'!A:AL,37,FALSE)-VLOOKUP(A79,'SegEnds_NonXtal_Prot#'!A:AL,34,FALSE)</f>
        <v>10</v>
      </c>
      <c r="AK79" s="1" t="str">
        <f>IF(ISERROR(MATCH(A79,'SegEnds_Xtal_Prot#'!B:B, 0)), "NoXtal", "Xtal")</f>
        <v>NoXtal</v>
      </c>
    </row>
    <row r="80" spans="1:37" x14ac:dyDescent="0.2">
      <c r="A80" s="1" t="s">
        <v>382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8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INDEX('ICL3'!$G$2:$G$41,MATCH(MIN(ABS(AH80-'ICL3'!$F$2:$F$41)),ABS(AH80-'ICL3'!$F$2:$F$41),0))</f>
        <v>68</v>
      </c>
      <c r="U80" s="1">
        <f t="array" ref="U80">INDEX('ICL3'!$H$2:$H$41,MATCH(MIN(ABS(AH80-'ICL3'!$F$2:$F$41)),ABS(AH80-'ICL3'!$F$2:$F$41),0))</f>
        <v>23</v>
      </c>
      <c r="V80" s="1">
        <v>61</v>
      </c>
      <c r="W80" s="1">
        <v>28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19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27</v>
      </c>
      <c r="AG80" s="1">
        <f>VLOOKUP(A80,'SegEnds_NonXtal_Prot#'!A:AL,28,FALSE)-VLOOKUP(A80,'SegEnds_NonXtal_Prot#'!A:AL,22,FALSE)</f>
        <v>53</v>
      </c>
      <c r="AH80" s="1">
        <f>VLOOKUP(A80,'SegEnds_NonXtal_Prot#'!A:AL,31,FALSE)-VLOOKUP(A80,'SegEnds_NonXtal_Prot#'!A:AL,28,FALSE)</f>
        <v>51</v>
      </c>
      <c r="AI80" s="1">
        <f>VLOOKUP(A80,'SegEnds_NonXtal_Prot#'!A:AL,34,FALSE)-VLOOKUP(A80,'SegEnds_NonXtal_Prot#'!A:AL,31,FALSE)</f>
        <v>38</v>
      </c>
      <c r="AJ80" s="1">
        <f>VLOOKUP(A80,'SegEnds_NonXtal_Prot#'!A:AL,37,FALSE)-VLOOKUP(A80,'SegEnds_NonXtal_Prot#'!A:AL,34,FALSE)</f>
        <v>10</v>
      </c>
      <c r="AK80" s="1" t="str">
        <f>IF(ISERROR(MATCH(A80,'SegEnds_Xtal_Prot#'!B:B, 0)), "NoXtal", "Xtal")</f>
        <v>NoXtal</v>
      </c>
    </row>
    <row r="81" spans="1:37" x14ac:dyDescent="0.2">
      <c r="A81" s="1" t="s">
        <v>383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8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INDEX('ICL3'!$G$2:$G$41,MATCH(MIN(ABS(AH81-'ICL3'!$F$2:$F$41)),ABS(AH81-'ICL3'!$F$2:$F$41),0))</f>
        <v>72</v>
      </c>
      <c r="U81" s="1">
        <f t="array" ref="U81">INDEX('ICL3'!$H$2:$H$41,MATCH(MIN(ABS(AH81-'ICL3'!$F$2:$F$41)),ABS(AH81-'ICL3'!$F$2:$F$41),0))</f>
        <v>24</v>
      </c>
      <c r="V81" s="1">
        <v>61</v>
      </c>
      <c r="W81" s="1"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27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54</v>
      </c>
      <c r="AI81" s="1">
        <f>VLOOKUP(A81,'SegEnds_NonXtal_Prot#'!A:AL,34,FALSE)-VLOOKUP(A81,'SegEnds_NonXtal_Prot#'!A:AL,31,FALSE)</f>
        <v>38</v>
      </c>
      <c r="AJ81" s="1">
        <f>VLOOKUP(A81,'SegEnds_NonXtal_Prot#'!A:AL,37,FALSE)-VLOOKUP(A81,'SegEnds_NonXtal_Prot#'!A:AL,34,FALSE)</f>
        <v>10</v>
      </c>
      <c r="AK81" s="1" t="str">
        <f>IF(ISERROR(MATCH(A81,'SegEnds_Xtal_Prot#'!B:B, 0)), "NoXtal", "Xtal")</f>
        <v>NoXtal</v>
      </c>
    </row>
    <row r="82" spans="1:37" x14ac:dyDescent="0.2">
      <c r="A82" s="1" t="s">
        <v>384</v>
      </c>
      <c r="B82" s="1" t="str">
        <f>VLOOKUP(A82,Xtal_Templ!A:B,2,FALSE)</f>
        <v>oprd_human</v>
      </c>
      <c r="C82" s="5">
        <f>VLOOKUP($B82&amp;"__wt",'SegEnds_Xtal_BW#'!$A:$Z,3,FALSE)</f>
        <v>22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8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INDEX('ICL3'!$G$2:$G$41,MATCH(MIN(ABS(AH82-'ICL3'!$F$2:$F$41)),ABS(AH82-'ICL3'!$F$2:$F$41),0))</f>
        <v>68</v>
      </c>
      <c r="U82" s="1">
        <f t="array" ref="U82">INDEX('ICL3'!$H$2:$H$41,MATCH(MIN(ABS(AH82-'ICL3'!$F$2:$F$41)),ABS(AH82-'ICL3'!$F$2:$F$41),0))</f>
        <v>23</v>
      </c>
      <c r="V82" s="1">
        <v>61</v>
      </c>
      <c r="W82" s="1">
        <v>32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60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19</v>
      </c>
      <c r="AD82" s="1">
        <f>VLOOKUP(A82,'SegEnds_NonXtal_Prot#'!A:AL,16,FALSE)-VLOOKUP(A82,'SegEnds_NonXtal_Prot#'!A:AL,10,FALSE)</f>
        <v>51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25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51</v>
      </c>
      <c r="AI82" s="1">
        <f>VLOOKUP(A82,'SegEnds_NonXtal_Prot#'!A:AL,34,FALSE)-VLOOKUP(A82,'SegEnds_NonXtal_Prot#'!A:AL,31,FALSE)</f>
        <v>34</v>
      </c>
      <c r="AJ82" s="1">
        <f>VLOOKUP(A82,'SegEnds_NonXtal_Prot#'!A:AL,37,FALSE)-VLOOKUP(A82,'SegEnds_NonXtal_Prot#'!A:AL,34,FALSE)</f>
        <v>10</v>
      </c>
      <c r="AK82" s="1" t="str">
        <f>IF(ISERROR(MATCH(A82,'SegEnds_Xtal_Prot#'!B:B, 0)), "NoXtal", "Xtal")</f>
        <v>NoXtal</v>
      </c>
    </row>
    <row r="83" spans="1:37" x14ac:dyDescent="0.2">
      <c r="A83" s="1" t="s">
        <v>385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8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INDEX('ICL3'!$G$2:$G$41,MATCH(MIN(ABS(AH83-'ICL3'!$F$2:$F$41)),ABS(AH83-'ICL3'!$F$2:$F$41),0))</f>
        <v>72</v>
      </c>
      <c r="U83" s="1">
        <f t="array" ref="U83">INDEX('ICL3'!$H$2:$H$41,MATCH(MIN(ABS(AH83-'ICL3'!$F$2:$F$41)),ABS(AH83-'ICL3'!$F$2:$F$41),0))</f>
        <v>29</v>
      </c>
      <c r="V83" s="1">
        <v>61</v>
      </c>
      <c r="W83" s="1">
        <v>28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19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49</v>
      </c>
      <c r="AH83" s="1">
        <f>VLOOKUP(A83,'SegEnds_NonXtal_Prot#'!A:AL,31,FALSE)-VLOOKUP(A83,'SegEnds_NonXtal_Prot#'!A:AL,28,FALSE)</f>
        <v>50</v>
      </c>
      <c r="AI83" s="1">
        <f>VLOOKUP(A83,'SegEnds_NonXtal_Prot#'!A:AL,34,FALSE)-VLOOKUP(A83,'SegEnds_NonXtal_Prot#'!A:AL,31,FALSE)</f>
        <v>38</v>
      </c>
      <c r="AJ83" s="1">
        <f>VLOOKUP(A83,'SegEnds_NonXtal_Prot#'!A:AL,37,FALSE)-VLOOKUP(A83,'SegEnds_NonXtal_Prot#'!A:AL,34,FALSE)</f>
        <v>10</v>
      </c>
      <c r="AK83" s="1" t="str">
        <f>IF(ISERROR(MATCH(A83,'SegEnds_Xtal_Prot#'!B:B, 0)), "NoXtal", "Xtal")</f>
        <v>NoXtal</v>
      </c>
    </row>
    <row r="84" spans="1:37" x14ac:dyDescent="0.2">
      <c r="A84" s="1" t="s">
        <v>386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8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INDEX('ICL3'!$G$2:$G$41,MATCH(MIN(ABS(AH84-'ICL3'!$F$2:$F$41)),ABS(AH84-'ICL3'!$F$2:$F$41),0))</f>
        <v>68</v>
      </c>
      <c r="U84" s="1">
        <f t="array" ref="U84">INDEX('ICL3'!$H$2:$H$41,MATCH(MIN(ABS(AH84-'ICL3'!$F$2:$F$41)),ABS(AH84-'ICL3'!$F$2:$F$41),0))</f>
        <v>24</v>
      </c>
      <c r="V84" s="1">
        <v>64</v>
      </c>
      <c r="W84" s="1">
        <v>24</v>
      </c>
      <c r="X84" s="130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>
        <f>VLOOKUP(A84,'SegEnds_NonXtal_Prot#'!A:AL,13,FALSE)-VLOOKUP(A84,'SegEnds_NonXtal_Prot#'!A:AL,10,FALSE)</f>
        <v>19</v>
      </c>
      <c r="AD84" s="1">
        <f>VLOOKUP(A84,'SegEnds_NonXtal_Prot#'!A:AL,16,FALSE)-VLOOKUP(A84,'SegEnds_NonXtal_Prot#'!A:AL,10,FALSE)</f>
        <v>51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48</v>
      </c>
      <c r="AI84" s="1">
        <f>VLOOKUP(A84,'SegEnds_NonXtal_Prot#'!A:AL,34,FALSE)-VLOOKUP(A84,'SegEnds_NonXtal_Prot#'!A:AL,31,FALSE)</f>
        <v>45</v>
      </c>
      <c r="AJ84" s="1">
        <f>VLOOKUP(A84,'SegEnds_NonXtal_Prot#'!A:AL,37,FALSE)-VLOOKUP(A84,'SegEnds_NonXtal_Prot#'!A:AL,34,FALSE)</f>
        <v>10</v>
      </c>
      <c r="AK84" s="1" t="str">
        <f>IF(ISERROR(MATCH(A84,'SegEnds_Xtal_Prot#'!B:B, 0)), "NoXtal", "Xtal")</f>
        <v>NoXtal</v>
      </c>
    </row>
    <row r="85" spans="1:37" x14ac:dyDescent="0.2">
      <c r="A85" s="1" t="s">
        <v>396</v>
      </c>
      <c r="B85" s="1" t="str">
        <f>VLOOKUP(A85,Xtal_Templ!A:B,2,FALSE)</f>
        <v>adrb2_human</v>
      </c>
      <c r="C85" s="5">
        <f>VLOOKUP($B85&amp;"__wt",'SegEnds_Xtal_BW#'!$A:$Z,3,FALSE)</f>
        <v>25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9">
        <v>56</v>
      </c>
      <c r="O85" s="88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35</v>
      </c>
      <c r="T85" s="1">
        <f t="array" ref="T85">INDEX('ICL3'!$G$2:$G$41,MATCH(MIN(ABS(AH85-'ICL3'!$F$2:$F$41)),ABS(AH85-'ICL3'!$F$2:$F$41),0))</f>
        <v>72</v>
      </c>
      <c r="U85" s="1">
        <f t="array" ref="U85">INDEX('ICL3'!$H$2:$H$41,MATCH(MIN(ABS(AH85-'ICL3'!$F$2:$F$41)),ABS(AH85-'ICL3'!$F$2:$F$41),0))</f>
        <v>29</v>
      </c>
      <c r="V85" s="1">
        <v>61</v>
      </c>
      <c r="W85" s="1">
        <v>28</v>
      </c>
      <c r="X85" s="109"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19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49</v>
      </c>
      <c r="AH85" s="1">
        <f>VLOOKUP(A85,'SegEnds_NonXtal_Prot#'!A:AL,31,FALSE)-VLOOKUP(A85,'SegEnds_NonXtal_Prot#'!A:AL,28,FALSE)</f>
        <v>50</v>
      </c>
      <c r="AI85" s="1">
        <f>VLOOKUP(A85,'SegEnds_NonXtal_Prot#'!A:AL,34,FALSE)-VLOOKUP(A85,'SegEnds_NonXtal_Prot#'!A:AL,31,FALSE)</f>
        <v>39</v>
      </c>
      <c r="AJ85" s="1">
        <f>VLOOKUP(A85,'SegEnds_NonXtal_Prot#'!A:AL,37,FALSE)-VLOOKUP(A85,'SegEnds_NonXtal_Prot#'!A:AL,34,FALSE)</f>
        <v>10</v>
      </c>
      <c r="AK85" s="1" t="str">
        <f>IF(ISERROR(MATCH(A85,'SegEnds_Xtal_Prot#'!B:B, 0)), "NoXtal", "Xtal")</f>
        <v>NoXtal</v>
      </c>
    </row>
    <row r="86" spans="1:37" x14ac:dyDescent="0.2">
      <c r="A86" s="1" t="s">
        <v>128</v>
      </c>
      <c r="B86" s="1" t="str">
        <f>VLOOKUP(A86,Xtal_Templ!A:B,2,FALSE)</f>
        <v>5ht1b_human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68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8"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INDEX('ICL3'!$G$2:$G$41,MATCH(MIN(ABS(AH86-'ICL3'!$F$2:$F$41)),ABS(AH86-'ICL3'!$F$2:$F$41),0))</f>
        <v>76</v>
      </c>
      <c r="U86" s="1">
        <f t="array" ref="U86">INDEX('ICL3'!$H$2:$H$41,MATCH(MIN(ABS(AH86-'ICL3'!$F$2:$F$41)),ABS(AH86-'ICL3'!$F$2:$F$41),0))</f>
        <v>24</v>
      </c>
      <c r="V86" s="1">
        <v>60</v>
      </c>
      <c r="W86" s="1">
        <v>31</v>
      </c>
      <c r="X86" s="130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58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20</v>
      </c>
      <c r="AG86" s="1">
        <f>VLOOKUP(A86,'SegEnds_NonXtal_Prot#'!A:AL,28,FALSE)-VLOOKUP(A86,'SegEnds_NonXtal_Prot#'!A:AL,22,FALSE)</f>
        <v>46</v>
      </c>
      <c r="AH86" s="1">
        <f>VLOOKUP(A86,'SegEnds_NonXtal_Prot#'!A:AL,31,FALSE)-VLOOKUP(A86,'SegEnds_NonXtal_Prot#'!A:AL,28,FALSE)</f>
        <v>153</v>
      </c>
      <c r="AI86" s="1">
        <f>VLOOKUP(A86,'SegEnds_NonXtal_Prot#'!A:AL,34,FALSE)-VLOOKUP(A86,'SegEnds_NonXtal_Prot#'!A:AL,31,FALSE)</f>
        <v>37</v>
      </c>
      <c r="AJ86" s="1">
        <f>VLOOKUP(A86,'SegEnds_NonXtal_Prot#'!A:AL,37,FALSE)-VLOOKUP(A86,'SegEnds_NonXtal_Prot#'!A:AL,34,FALSE)</f>
        <v>10</v>
      </c>
      <c r="AK86" s="1" t="str">
        <f>IF(ISERROR(MATCH(A86,'SegEnds_Xtal_Prot#'!B:B, 0)), "NoXtal", "Xtal")</f>
        <v>NoXtal</v>
      </c>
    </row>
    <row r="87" spans="1:37" x14ac:dyDescent="0.2">
      <c r="A87" s="1" t="s">
        <v>34</v>
      </c>
      <c r="B87" s="1" t="str">
        <f>VLOOKUP(A87,Xtal_Templ!A:B,2,FALSE)</f>
        <v>5ht1b_human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f>VLOOKUP($B87&amp;"__wt",'SegEnds_Xtal_BW#'!$A:$Z,14,FALSE)</f>
        <v>57</v>
      </c>
      <c r="O87" s="88">
        <f>VLOOKUP($B87&amp;"__wt",'SegEnds_Xtal_BW#'!$A:$Z,15,FALSE)</f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INDEX('ICL3'!$G$2:$G$41,MATCH(MIN(ABS(AH87-'ICL3'!$F$2:$F$41)),ABS(AH87-'ICL3'!$F$2:$F$41),0))</f>
        <v>74</v>
      </c>
      <c r="U87" s="1">
        <f t="array" ref="U87">INDEX('ICL3'!$H$2:$H$41,MATCH(MIN(ABS(AH87-'ICL3'!$F$2:$F$41)),ABS(AH87-'ICL3'!$F$2:$F$41),0))</f>
        <v>24</v>
      </c>
      <c r="V87" s="1">
        <v>60</v>
      </c>
      <c r="W87" s="1">
        <v>31</v>
      </c>
      <c r="X87" s="130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21</v>
      </c>
      <c r="AG87" s="1">
        <f>VLOOKUP(A87,'SegEnds_NonXtal_Prot#'!A:AL,28,FALSE)-VLOOKUP(A87,'SegEnds_NonXtal_Prot#'!A:AL,22,FALSE)</f>
        <v>46</v>
      </c>
      <c r="AH87" s="1">
        <f>VLOOKUP(A87,'SegEnds_NonXtal_Prot#'!A:AL,31,FALSE)-VLOOKUP(A87,'SegEnds_NonXtal_Prot#'!A:AL,28,FALSE)</f>
        <v>109</v>
      </c>
      <c r="AI87" s="1">
        <f>VLOOKUP(A87,'SegEnds_NonXtal_Prot#'!A:AL,34,FALSE)-VLOOKUP(A87,'SegEnds_NonXtal_Prot#'!A:AL,31,FALSE)</f>
        <v>37</v>
      </c>
      <c r="AJ87" s="1">
        <f>VLOOKUP(A87,'SegEnds_NonXtal_Prot#'!A:AL,37,FALSE)-VLOOKUP(A87,'SegEnds_NonXtal_Prot#'!A:AL,34,FALSE)</f>
        <v>10</v>
      </c>
      <c r="AK87" s="1" t="str">
        <f>IF(ISERROR(MATCH(A87,'SegEnds_Xtal_Prot#'!B:B, 0)), "NoXtal", "Xtal")</f>
        <v>Xtal</v>
      </c>
    </row>
    <row r="88" spans="1:37" x14ac:dyDescent="0.2">
      <c r="A88" s="1" t="s">
        <v>129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8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INDEX('ICL3'!$G$2:$G$41,MATCH(MIN(ABS(AH88-'ICL3'!$F$2:$F$41)),ABS(AH88-'ICL3'!$F$2:$F$41),0))</f>
        <v>74</v>
      </c>
      <c r="U88" s="1">
        <f t="array" ref="U88">INDEX('ICL3'!$H$2:$H$41,MATCH(MIN(ABS(AH88-'ICL3'!$F$2:$F$41)),ABS(AH88-'ICL3'!$F$2:$F$41),0))</f>
        <v>24</v>
      </c>
      <c r="V88" s="1">
        <v>60</v>
      </c>
      <c r="W88" s="1">
        <v>31</v>
      </c>
      <c r="X88" s="130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21</v>
      </c>
      <c r="AG88" s="1">
        <f>VLOOKUP(A88,'SegEnds_NonXtal_Prot#'!A:AL,28,FALSE)-VLOOKUP(A88,'SegEnds_NonXtal_Prot#'!A:AL,22,FALSE)</f>
        <v>46</v>
      </c>
      <c r="AH88" s="1">
        <f>VLOOKUP(A88,'SegEnds_NonXtal_Prot#'!A:AL,31,FALSE)-VLOOKUP(A88,'SegEnds_NonXtal_Prot#'!A:AL,28,FALSE)</f>
        <v>107</v>
      </c>
      <c r="AI88" s="1">
        <f>VLOOKUP(A88,'SegEnds_NonXtal_Prot#'!A:AL,34,FALSE)-VLOOKUP(A88,'SegEnds_NonXtal_Prot#'!A:AL,31,FALSE)</f>
        <v>37</v>
      </c>
      <c r="AJ88" s="1">
        <f>VLOOKUP(A88,'SegEnds_NonXtal_Prot#'!A:AL,37,FALSE)-VLOOKUP(A88,'SegEnds_NonXtal_Prot#'!A:AL,34,FALSE)</f>
        <v>10</v>
      </c>
      <c r="AK88" s="1" t="str">
        <f>IF(ISERROR(MATCH(A88,'SegEnds_Xtal_Prot#'!B:B, 0)), "NoXtal", "Xtal")</f>
        <v>NoXtal</v>
      </c>
    </row>
    <row r="89" spans="1:37" x14ac:dyDescent="0.2">
      <c r="A89" s="1" t="s">
        <v>130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8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35</v>
      </c>
      <c r="T89" s="1">
        <f t="array" ref="T89">INDEX('ICL3'!$G$2:$G$41,MATCH(MIN(ABS(AH89-'ICL3'!$F$2:$F$41)),ABS(AH89-'ICL3'!$F$2:$F$41),0))</f>
        <v>76</v>
      </c>
      <c r="U89" s="1">
        <f t="array" ref="U89">INDEX('ICL3'!$H$2:$H$41,MATCH(MIN(ABS(AH89-'ICL3'!$F$2:$F$41)),ABS(AH89-'ICL3'!$F$2:$F$41),0))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21</v>
      </c>
      <c r="AG89" s="1">
        <f>VLOOKUP(A89,'SegEnds_NonXtal_Prot#'!A:AL,28,FALSE)-VLOOKUP(A89,'SegEnds_NonXtal_Prot#'!A:AL,22,FALSE)</f>
        <v>47</v>
      </c>
      <c r="AH89" s="1">
        <f>VLOOKUP(A89,'SegEnds_NonXtal_Prot#'!A:AL,31,FALSE)-VLOOKUP(A89,'SegEnds_NonXtal_Prot#'!A:AL,28,FALSE)</f>
        <v>112</v>
      </c>
      <c r="AI89" s="1">
        <f>VLOOKUP(A89,'SegEnds_NonXtal_Prot#'!A:AL,34,FALSE)-VLOOKUP(A89,'SegEnds_NonXtal_Prot#'!A:AL,31,FALSE)</f>
        <v>35</v>
      </c>
      <c r="AJ89" s="1">
        <f>VLOOKUP(A89,'SegEnds_NonXtal_Prot#'!A:AL,37,FALSE)-VLOOKUP(A89,'SegEnds_NonXtal_Prot#'!A:AL,34,FALSE)</f>
        <v>10</v>
      </c>
      <c r="AK89" s="1" t="str">
        <f>IF(ISERROR(MATCH(A89,'SegEnds_Xtal_Prot#'!B:B, 0)), "NoXtal", "Xtal")</f>
        <v>NoXtal</v>
      </c>
    </row>
    <row r="90" spans="1:37" x14ac:dyDescent="0.2">
      <c r="A90" s="1" t="s">
        <v>131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8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INDEX('ICL3'!$G$2:$G$41,MATCH(MIN(ABS(AH90-'ICL3'!$F$2:$F$41)),ABS(AH90-'ICL3'!$F$2:$F$41),0))</f>
        <v>76</v>
      </c>
      <c r="U90" s="1">
        <f t="array" ref="U90">INDEX('ICL3'!$H$2:$H$41,MATCH(MIN(ABS(AH90-'ICL3'!$F$2:$F$41)),ABS(AH90-'ICL3'!$F$2:$F$41),0))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21</v>
      </c>
      <c r="AG90" s="1">
        <f>VLOOKUP(A90,'SegEnds_NonXtal_Prot#'!A:AL,28,FALSE)-VLOOKUP(A90,'SegEnds_NonXtal_Prot#'!A:AL,22,FALSE)</f>
        <v>45</v>
      </c>
      <c r="AH90" s="1">
        <f>VLOOKUP(A90,'SegEnds_NonXtal_Prot#'!A:AL,31,FALSE)-VLOOKUP(A90,'SegEnds_NonXtal_Prot#'!A:AL,28,FALSE)</f>
        <v>115</v>
      </c>
      <c r="AI90" s="1">
        <f>VLOOKUP(A90,'SegEnds_NonXtal_Prot#'!A:AL,34,FALSE)-VLOOKUP(A90,'SegEnds_NonXtal_Prot#'!A:AL,31,FALSE)</f>
        <v>36</v>
      </c>
      <c r="AJ90" s="1">
        <f>VLOOKUP(A90,'SegEnds_NonXtal_Prot#'!A:AL,37,FALSE)-VLOOKUP(A90,'SegEnds_NonXtal_Prot#'!A:AL,34,FALSE)</f>
        <v>10</v>
      </c>
      <c r="AK90" s="1" t="str">
        <f>IF(ISERROR(MATCH(A90,'SegEnds_Xtal_Prot#'!B:B, 0)), "NoXtal", "Xtal")</f>
        <v>NoXtal</v>
      </c>
    </row>
    <row r="91" spans="1:37" x14ac:dyDescent="0.2">
      <c r="A91" s="1" t="s">
        <v>134</v>
      </c>
      <c r="B91" s="1" t="str">
        <f>VLOOKUP(A91,Xtal_Templ!A:B,2,FALSE)</f>
        <v>drd2_human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8"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INDEX('ICL3'!$G$2:$G$41,MATCH(MIN(ABS(AH91-'ICL3'!$F$2:$F$41)),ABS(AH91-'ICL3'!$F$2:$F$41),0))</f>
        <v>76</v>
      </c>
      <c r="U91" s="1">
        <f t="array" ref="U91">INDEX('ICL3'!$H$2:$H$41,MATCH(MIN(ABS(AH91-'ICL3'!$F$2:$F$41)),ABS(AH91-'ICL3'!$F$2:$F$41),0))</f>
        <v>24</v>
      </c>
      <c r="V91" s="1">
        <v>61</v>
      </c>
      <c r="W91" s="1">
        <v>31</v>
      </c>
      <c r="X91" s="131"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16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20</v>
      </c>
      <c r="AG91" s="1">
        <f>VLOOKUP(A91,'SegEnds_NonXtal_Prot#'!A:AL,28,FALSE)-VLOOKUP(A91,'SegEnds_NonXtal_Prot#'!A:AL,22,FALSE)</f>
        <v>58</v>
      </c>
      <c r="AH91" s="1">
        <f>VLOOKUP(A91,'SegEnds_NonXtal_Prot#'!A:AL,31,FALSE)-VLOOKUP(A91,'SegEnds_NonXtal_Prot#'!A:AL,28,FALSE)</f>
        <v>70</v>
      </c>
      <c r="AI91" s="1">
        <f>VLOOKUP(A91,'SegEnds_NonXtal_Prot#'!A:AL,34,FALSE)-VLOOKUP(A91,'SegEnds_NonXtal_Prot#'!A:AL,31,FALSE)</f>
        <v>35</v>
      </c>
      <c r="AJ91" s="1">
        <f>VLOOKUP(A91,'SegEnds_NonXtal_Prot#'!A:AL,37,FALSE)-VLOOKUP(A91,'SegEnds_NonXtal_Prot#'!A:AL,34,FALSE)</f>
        <v>10</v>
      </c>
      <c r="AK91" s="1" t="str">
        <f>IF(ISERROR(MATCH(A91,'SegEnds_Xtal_Prot#'!B:B, 0)), "NoXtal", "Xtal")</f>
        <v>NoXtal</v>
      </c>
    </row>
    <row r="92" spans="1:37" x14ac:dyDescent="0.2">
      <c r="A92" s="1" t="s">
        <v>136</v>
      </c>
      <c r="B92" s="1" t="str">
        <f>VLOOKUP(A92,Xtal_Templ!A:B,2,FALSE)</f>
        <v>5ht2c_human</v>
      </c>
      <c r="C92" s="5">
        <f>VLOOKUP($B92&amp;"__wt",'SegEnds_Xtal_BW#'!$A:$Z,3,FALSE)</f>
        <v>33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8">
        <v>38</v>
      </c>
      <c r="P92" s="1">
        <f>VLOOKUP($B92&amp;"__wt",'SegEnds_Xtal_BW#'!$A:$Z,16,FALSE)</f>
        <v>67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INDEX('ICL3'!$G$2:$G$41,MATCH(MIN(ABS(AH92-'ICL3'!$F$2:$F$41)),ABS(AH92-'ICL3'!$F$2:$F$41),0))</f>
        <v>76</v>
      </c>
      <c r="U92" s="1">
        <f t="array" ref="U92">INDEX('ICL3'!$H$2:$H$41,MATCH(MIN(ABS(AH92-'ICL3'!$F$2:$F$41)),ABS(AH92-'ICL3'!$F$2:$F$41),0))</f>
        <v>24</v>
      </c>
      <c r="V92" s="1">
        <v>61</v>
      </c>
      <c r="W92" s="1">
        <v>32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60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20</v>
      </c>
      <c r="AG92" s="1">
        <f>VLOOKUP(A92,'SegEnds_NonXtal_Prot#'!A:AL,28,FALSE)-VLOOKUP(A92,'SegEnds_NonXtal_Prot#'!A:AL,22,FALSE)</f>
        <v>49</v>
      </c>
      <c r="AH92" s="1">
        <f>VLOOKUP(A92,'SegEnds_NonXtal_Prot#'!A:AL,31,FALSE)-VLOOKUP(A92,'SegEnds_NonXtal_Prot#'!A:AL,28,FALSE)</f>
        <v>83</v>
      </c>
      <c r="AI92" s="1">
        <f>VLOOKUP(A92,'SegEnds_NonXtal_Prot#'!A:AL,34,FALSE)-VLOOKUP(A92,'SegEnds_NonXtal_Prot#'!A:AL,31,FALSE)</f>
        <v>34</v>
      </c>
      <c r="AJ92" s="1">
        <f>VLOOKUP(A92,'SegEnds_NonXtal_Prot#'!A:AL,37,FALSE)-VLOOKUP(A92,'SegEnds_NonXtal_Prot#'!A:AL,34,FALSE)</f>
        <v>10</v>
      </c>
      <c r="AK92" s="1" t="str">
        <f>IF(ISERROR(MATCH(A92,'SegEnds_Xtal_Prot#'!B:B, 0)), "NoXtal", "Xtal")</f>
        <v>NoXtal</v>
      </c>
    </row>
    <row r="93" spans="1:37" x14ac:dyDescent="0.2">
      <c r="A93" s="1" t="s">
        <v>144</v>
      </c>
      <c r="B93" s="1" t="str">
        <f>VLOOKUP(A93,Xtal_Templ!A:B,2,FALSE)</f>
        <v>agtr1_human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21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8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INDEX('ICL3'!$G$2:$G$41,MATCH(MIN(ABS(AH93-'ICL3'!$F$2:$F$41)),ABS(AH93-'ICL3'!$F$2:$F$41),0))</f>
        <v>68</v>
      </c>
      <c r="U93" s="1">
        <f t="array" ref="U93">INDEX('ICL3'!$H$2:$H$41,MATCH(MIN(ABS(AH93-'ICL3'!$F$2:$F$41)),ABS(AH93-'ICL3'!$F$2:$F$41),0))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61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 t="e">
        <f>VLOOKUP(A93,'SegEnds_NonXtal_Prot#'!A:AL,22,FALSE)-VLOOKUP(A93,'SegEnds_NonXtal_Prot#'!A:AL,19,FALSE)</f>
        <v>#VALUE!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55</v>
      </c>
      <c r="AH93" s="1">
        <f>VLOOKUP(A93,'SegEnds_NonXtal_Prot#'!A:AL,31,FALSE)-VLOOKUP(A93,'SegEnds_NonXtal_Prot#'!A:AL,28,FALSE)</f>
        <v>43</v>
      </c>
      <c r="AI93" s="1">
        <f>VLOOKUP(A93,'SegEnds_NonXtal_Prot#'!A:AL,34,FALSE)-VLOOKUP(A93,'SegEnds_NonXtal_Prot#'!A:AL,31,FALSE)</f>
        <v>45</v>
      </c>
      <c r="AJ93" s="1">
        <f>VLOOKUP(A93,'SegEnds_NonXtal_Prot#'!A:AL,37,FALSE)-VLOOKUP(A93,'SegEnds_NonXtal_Prot#'!A:AL,34,FALSE)</f>
        <v>10</v>
      </c>
      <c r="AK93" s="1" t="str">
        <f>IF(ISERROR(MATCH(A93,'SegEnds_Xtal_Prot#'!B:B, 0)), "NoXtal", "Xtal")</f>
        <v>NoXtal</v>
      </c>
    </row>
    <row r="94" spans="1:37" x14ac:dyDescent="0.2">
      <c r="A94" s="1" t="s">
        <v>146</v>
      </c>
      <c r="B94" s="1" t="str">
        <f>VLOOKUP(A94,Xtal_Templ!A:B,2,FALSE)</f>
        <v>acm1_human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8">
        <f>VLOOKUP($B94&amp;"__wt",'SegEnds_Xtal_BW#'!$A:$Z,15,FALSE)</f>
        <v>38</v>
      </c>
      <c r="P94" s="1">
        <f>VLOOKUP($B94&amp;"__wt",'SegEnds_Xtal_BW#'!$A:$Z,16,FALSE)</f>
        <v>69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35</v>
      </c>
      <c r="T94" s="1">
        <f t="array" ref="T94">INDEX('ICL3'!$G$2:$G$41,MATCH(MIN(ABS(AH94-'ICL3'!$F$2:$F$41)),ABS(AH94-'ICL3'!$F$2:$F$41),0))</f>
        <v>75</v>
      </c>
      <c r="U94" s="1">
        <f t="array" ref="U94">INDEX('ICL3'!$H$2:$H$41,MATCH(MIN(ABS(AH94-'ICL3'!$F$2:$F$41)),ABS(AH94-'ICL3'!$F$2:$F$41),0))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22</v>
      </c>
      <c r="AG94" s="1">
        <f>VLOOKUP(A94,'SegEnds_NonXtal_Prot#'!A:AL,28,FALSE)-VLOOKUP(A94,'SegEnds_NonXtal_Prot#'!A:AL,22,FALSE)</f>
        <v>50</v>
      </c>
      <c r="AH94" s="1">
        <f>VLOOKUP(A94,'SegEnds_NonXtal_Prot#'!A:AL,31,FALSE)-VLOOKUP(A94,'SegEnds_NonXtal_Prot#'!A:AL,28,FALSE)</f>
        <v>180</v>
      </c>
      <c r="AI94" s="1">
        <f>VLOOKUP(A94,'SegEnds_NonXtal_Prot#'!A:AL,34,FALSE)-VLOOKUP(A94,'SegEnds_NonXtal_Prot#'!A:AL,31,FALSE)</f>
        <v>35</v>
      </c>
      <c r="AJ94" s="1">
        <f>VLOOKUP(A94,'SegEnds_NonXtal_Prot#'!A:AL,37,FALSE)-VLOOKUP(A94,'SegEnds_NonXtal_Prot#'!A:AL,34,FALSE)</f>
        <v>10</v>
      </c>
      <c r="AK94" s="1" t="str">
        <f>IF(ISERROR(MATCH(A94,'SegEnds_Xtal_Prot#'!B:B, 0)), "NoXtal", "Xtal")</f>
        <v>Xtal</v>
      </c>
    </row>
    <row r="95" spans="1:37" x14ac:dyDescent="0.2">
      <c r="A95" s="1" t="s">
        <v>147</v>
      </c>
      <c r="B95" s="1" t="str">
        <f>VLOOKUP(A95,Xtal_Templ!A:B,2,FALSE)</f>
        <v>acm2_human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8">
        <f>VLOOKUP($B95&amp;"__wt",'SegEnds_Xtal_BW#'!$A:$Z,15,FALSE)</f>
        <v>38</v>
      </c>
      <c r="P95" s="1">
        <f>VLOOKUP($B95&amp;"__wt",'SegEnds_Xtal_BW#'!$A:$Z,16,FALSE)</f>
        <v>69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35</v>
      </c>
      <c r="T95" s="1">
        <f t="array" ref="T95">INDEX('ICL3'!$G$2:$G$41,MATCH(MIN(ABS(AH95-'ICL3'!$F$2:$F$41)),ABS(AH95-'ICL3'!$F$2:$F$41),0))</f>
        <v>75</v>
      </c>
      <c r="U95" s="1">
        <f t="array" ref="U95">INDEX('ICL3'!$H$2:$H$41,MATCH(MIN(ABS(AH95-'ICL3'!$F$2:$F$41)),ABS(AH95-'ICL3'!$F$2:$F$41),0))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22</v>
      </c>
      <c r="AG95" s="1">
        <f>VLOOKUP(A95,'SegEnds_NonXtal_Prot#'!A:AL,28,FALSE)-VLOOKUP(A95,'SegEnds_NonXtal_Prot#'!A:AL,22,FALSE)</f>
        <v>50</v>
      </c>
      <c r="AH95" s="1">
        <f>VLOOKUP(A95,'SegEnds_NonXtal_Prot#'!A:AL,31,FALSE)-VLOOKUP(A95,'SegEnds_NonXtal_Prot#'!A:AL,28,FALSE)</f>
        <v>204</v>
      </c>
      <c r="AI95" s="1">
        <f>VLOOKUP(A95,'SegEnds_NonXtal_Prot#'!A:AL,34,FALSE)-VLOOKUP(A95,'SegEnds_NonXtal_Prot#'!A:AL,31,FALSE)</f>
        <v>35</v>
      </c>
      <c r="AJ95" s="1">
        <f>VLOOKUP(A95,'SegEnds_NonXtal_Prot#'!A:AL,37,FALSE)-VLOOKUP(A95,'SegEnds_NonXtal_Prot#'!A:AL,34,FALSE)</f>
        <v>10</v>
      </c>
      <c r="AK95" s="1" t="str">
        <f>IF(ISERROR(MATCH(A95,'SegEnds_Xtal_Prot#'!B:B, 0)), "NoXtal", "Xtal")</f>
        <v>Xtal</v>
      </c>
    </row>
    <row r="96" spans="1:37" x14ac:dyDescent="0.2">
      <c r="A96" s="1" t="s">
        <v>148</v>
      </c>
      <c r="B96" s="1" t="str">
        <f>VLOOKUP(A96,Xtal_Templ!A:B,2,FALSE)</f>
        <v>acm3_rat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8"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INDEX('ICL3'!$G$2:$G$41,MATCH(MIN(ABS(AH96-'ICL3'!$F$2:$F$41)),ABS(AH96-'ICL3'!$F$2:$F$41),0))</f>
        <v>75</v>
      </c>
      <c r="U96" s="1">
        <f t="array" ref="U96">INDEX('ICL3'!$H$2:$H$41,MATCH(MIN(ABS(AH96-'ICL3'!$F$2:$F$41)),ABS(AH96-'ICL3'!$F$2:$F$41),0))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22</v>
      </c>
      <c r="AG96" s="1">
        <f>VLOOKUP(A96,'SegEnds_NonXtal_Prot#'!A:AL,28,FALSE)-VLOOKUP(A96,'SegEnds_NonXtal_Prot#'!A:AL,22,FALSE)</f>
        <v>50</v>
      </c>
      <c r="AH96" s="1">
        <f>VLOOKUP(A96,'SegEnds_NonXtal_Prot#'!A:AL,31,FALSE)-VLOOKUP(A96,'SegEnds_NonXtal_Prot#'!A:AL,28,FALSE)</f>
        <v>263</v>
      </c>
      <c r="AI96" s="1">
        <f>VLOOKUP(A96,'SegEnds_NonXtal_Prot#'!A:AL,34,FALSE)-VLOOKUP(A96,'SegEnds_NonXtal_Prot#'!A:AL,31,FALSE)</f>
        <v>35</v>
      </c>
      <c r="AJ96" s="1">
        <f>VLOOKUP(A96,'SegEnds_NonXtal_Prot#'!A:AL,37,FALSE)-VLOOKUP(A96,'SegEnds_NonXtal_Prot#'!A:AL,34,FALSE)</f>
        <v>10</v>
      </c>
      <c r="AK96" s="1" t="str">
        <f>IF(ISERROR(MATCH(A96,'SegEnds_Xtal_Prot#'!B:B, 0)), "NoXtal", "Xtal")</f>
        <v>NoXtal</v>
      </c>
    </row>
    <row r="97" spans="1:37" x14ac:dyDescent="0.2">
      <c r="A97" s="4" t="s">
        <v>910</v>
      </c>
      <c r="B97" s="4" t="str">
        <f>VLOOKUP(A97,Xtal_Templ!A:B,2,FALSE)</f>
        <v>acm3_rat</v>
      </c>
      <c r="C97" s="5">
        <f>VLOOKUP($B97&amp;"__wt",'SegEnds_Xtal_BW#'!$A:$Z,3,FALSE)</f>
        <v>29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f>VLOOKUP($B97&amp;"__wt",'SegEnds_Xtal_BW#'!$A:$Z,8,FALSE)</f>
        <v>67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2">
        <f>VLOOKUP($B97&amp;"__wt",'SegEnds_Xtal_BW#'!$A:$Z,14,FALSE)</f>
        <v>57</v>
      </c>
      <c r="O97" s="88">
        <f>VLOOKUP($B97&amp;"__wt",'SegEnds_Xtal_BW#'!$A:$Z,15,FALSE)</f>
        <v>38</v>
      </c>
      <c r="P97" s="4">
        <f>VLOOKUP($B97&amp;"__wt",'SegEnds_Xtal_BW#'!$A:$Z,16,FALSE)</f>
        <v>69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1">
        <f>VLOOKUP($B97&amp;"__wt",'SegEnds_Xtal_BW#'!$A:$Z,19,FALSE)</f>
        <v>35</v>
      </c>
      <c r="T97" s="4">
        <f t="array" ref="T97">INDEX('ICL3'!$G$2:$G$41,MATCH(MIN(ABS(AH97-'ICL3'!$F$2:$F$41)),ABS(AH97-'ICL3'!$F$2:$F$41),0))</f>
        <v>75</v>
      </c>
      <c r="U97" s="4">
        <f t="array" ref="U97">INDEX('ICL3'!$H$2:$H$41,MATCH(MIN(ABS(AH97-'ICL3'!$F$2:$F$41)),ABS(AH97-'ICL3'!$F$2:$F$41),0))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20</v>
      </c>
      <c r="AD97" s="4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4">
        <f>VLOOKUP(A97,'SegEnds_NonXtal_Prot#'!A:AL,28,FALSE)-VLOOKUP(A97,'SegEnds_NonXtal_Prot#'!A:AL,25,FALSE)</f>
        <v>22</v>
      </c>
      <c r="AG97" s="1">
        <f>VLOOKUP(A97,'SegEnds_NonXtal_Prot#'!A:AL,28,FALSE)-VLOOKUP(A97,'SegEnds_NonXtal_Prot#'!A:AL,22,FALSE)</f>
        <v>50</v>
      </c>
      <c r="AH97" s="4">
        <f>VLOOKUP(A97,'SegEnds_NonXtal_Prot#'!A:AL,31,FALSE)-VLOOKUP(A97,'SegEnds_NonXtal_Prot#'!A:AL,28,FALSE)</f>
        <v>263</v>
      </c>
      <c r="AI97" s="4">
        <f>VLOOKUP(A97,'SegEnds_NonXtal_Prot#'!A:AL,34,FALSE)-VLOOKUP(A97,'SegEnds_NonXtal_Prot#'!A:AL,31,FALSE)</f>
        <v>35</v>
      </c>
      <c r="AJ97" s="1">
        <f>VLOOKUP(A97,'SegEnds_NonXtal_Prot#'!A:AL,37,FALSE)-VLOOKUP(A97,'SegEnds_NonXtal_Prot#'!A:AL,34,FALSE)</f>
        <v>10</v>
      </c>
      <c r="AK97" s="1" t="str">
        <f>IF(ISERROR(MATCH(A97,'SegEnds_Xtal_Prot#'!B:B, 0)), "NoXtal", "Xtal")</f>
        <v>Xtal</v>
      </c>
    </row>
    <row r="98" spans="1:37" x14ac:dyDescent="0.2">
      <c r="A98" s="1" t="s">
        <v>149</v>
      </c>
      <c r="B98" s="1" t="str">
        <f>VLOOKUP(A98,Xtal_Templ!A:B,2,FALSE)</f>
        <v>acm4_human</v>
      </c>
      <c r="C98" s="5">
        <f>VLOOKUP($B98&amp;"__wt",'SegEnds_Xtal_BW#'!$A:$Z,3,FALSE)</f>
        <v>26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8">
        <f>VLOOKUP($B98&amp;"__wt",'SegEnds_Xtal_BW#'!$A:$Z,15,FALSE)</f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INDEX('ICL3'!$G$2:$G$41,MATCH(MIN(ABS(AH98-'ICL3'!$F$2:$F$41)),ABS(AH98-'ICL3'!$F$2:$F$41),0))</f>
        <v>75</v>
      </c>
      <c r="U98" s="1">
        <f t="array" ref="U98">INDEX('ICL3'!$H$2:$H$41,MATCH(MIN(ABS(AH98-'ICL3'!$F$2:$F$41)),ABS(AH98-'ICL3'!$F$2:$F$41),0))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22</v>
      </c>
      <c r="AG98" s="1">
        <f>VLOOKUP(A98,'SegEnds_NonXtal_Prot#'!A:AL,28,FALSE)-VLOOKUP(A98,'SegEnds_NonXtal_Prot#'!A:AL,22,FALSE)</f>
        <v>50</v>
      </c>
      <c r="AH98" s="1">
        <f>VLOOKUP(A98,'SegEnds_NonXtal_Prot#'!A:AL,31,FALSE)-VLOOKUP(A98,'SegEnds_NonXtal_Prot#'!A:AL,28,FALSE)</f>
        <v>208</v>
      </c>
      <c r="AI98" s="1">
        <f>VLOOKUP(A98,'SegEnds_NonXtal_Prot#'!A:AL,34,FALSE)-VLOOKUP(A98,'SegEnds_NonXtal_Prot#'!A:AL,31,FALSE)</f>
        <v>35</v>
      </c>
      <c r="AJ98" s="1">
        <f>VLOOKUP(A98,'SegEnds_NonXtal_Prot#'!A:AL,37,FALSE)-VLOOKUP(A98,'SegEnds_NonXtal_Prot#'!A:AL,34,FALSE)</f>
        <v>10</v>
      </c>
      <c r="AK98" s="1" t="str">
        <f>IF(ISERROR(MATCH(A98,'SegEnds_Xtal_Prot#'!B:B, 0)), "NoXtal", "Xtal")</f>
        <v>Xtal</v>
      </c>
    </row>
    <row r="99" spans="1:37" x14ac:dyDescent="0.2">
      <c r="A99" s="1" t="s">
        <v>150</v>
      </c>
      <c r="B99" s="1" t="str">
        <f>VLOOKUP(A99,Xtal_Templ!A:B,2,FALSE)</f>
        <v>acm3_rat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8"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35</v>
      </c>
      <c r="T99" s="1">
        <f t="array" ref="T99">INDEX('ICL3'!$G$2:$G$41,MATCH(MIN(ABS(AH99-'ICL3'!$F$2:$F$41)),ABS(AH99-'ICL3'!$F$2:$F$41),0))</f>
        <v>75</v>
      </c>
      <c r="U99" s="1">
        <f t="array" ref="U99">INDEX('ICL3'!$H$2:$H$41,MATCH(MIN(ABS(AH99-'ICL3'!$F$2:$F$41)),ABS(AH99-'ICL3'!$F$2:$F$41),0))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58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22</v>
      </c>
      <c r="AG99" s="1">
        <f>VLOOKUP(A99,'SegEnds_NonXtal_Prot#'!A:AL,28,FALSE)-VLOOKUP(A99,'SegEnds_NonXtal_Prot#'!A:AL,22,FALSE)</f>
        <v>50</v>
      </c>
      <c r="AH99" s="1">
        <f>VLOOKUP(A99,'SegEnds_NonXtal_Prot#'!A:AL,31,FALSE)-VLOOKUP(A99,'SegEnds_NonXtal_Prot#'!A:AL,28,FALSE)</f>
        <v>252</v>
      </c>
      <c r="AI99" s="1">
        <f>VLOOKUP(A99,'SegEnds_NonXtal_Prot#'!A:AL,34,FALSE)-VLOOKUP(A99,'SegEnds_NonXtal_Prot#'!A:AL,31,FALSE)</f>
        <v>35</v>
      </c>
      <c r="AJ99" s="1">
        <f>VLOOKUP(A99,'SegEnds_NonXtal_Prot#'!A:AL,37,FALSE)-VLOOKUP(A99,'SegEnds_NonXtal_Prot#'!A:AL,34,FALSE)</f>
        <v>10</v>
      </c>
      <c r="AK99" s="1" t="str">
        <f>IF(ISERROR(MATCH(A99,'SegEnds_Xtal_Prot#'!B:B, 0)), "NoXtal", "Xtal")</f>
        <v>NoXtal</v>
      </c>
    </row>
    <row r="100" spans="1:37" x14ac:dyDescent="0.2">
      <c r="A100" s="1" t="s">
        <v>152</v>
      </c>
      <c r="B100" s="1" t="str">
        <f>VLOOKUP(A100,Xtal_Templ!A:B,2,FALSE)</f>
        <v>drd2_human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8"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INDEX('ICL3'!$G$2:$G$41,MATCH(MIN(ABS(AH100-'ICL3'!$F$2:$F$41)),ABS(AH100-'ICL3'!$F$2:$F$41),0))</f>
        <v>76</v>
      </c>
      <c r="U100" s="1">
        <f t="array" ref="U100">INDEX('ICL3'!$H$2:$H$41,MATCH(MIN(ABS(AH100-'ICL3'!$F$2:$F$41)),ABS(AH100-'ICL3'!$F$2:$F$41),0))</f>
        <v>24</v>
      </c>
      <c r="V100" s="1">
        <v>61</v>
      </c>
      <c r="W100" s="1">
        <v>31</v>
      </c>
      <c r="X100" s="109"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20</v>
      </c>
      <c r="AG100" s="1">
        <f>VLOOKUP(A100,'SegEnds_NonXtal_Prot#'!A:AL,28,FALSE)-VLOOKUP(A100,'SegEnds_NonXtal_Prot#'!A:AL,22,FALSE)</f>
        <v>45</v>
      </c>
      <c r="AH100" s="1">
        <f>VLOOKUP(A100,'SegEnds_NonXtal_Prot#'!A:AL,31,FALSE)-VLOOKUP(A100,'SegEnds_NonXtal_Prot#'!A:AL,28,FALSE)</f>
        <v>91</v>
      </c>
      <c r="AI100" s="1">
        <f>VLOOKUP(A100,'SegEnds_NonXtal_Prot#'!A:AL,34,FALSE)-VLOOKUP(A100,'SegEnds_NonXtal_Prot#'!A:AL,31,FALSE)</f>
        <v>36</v>
      </c>
      <c r="AJ100" s="1">
        <f>VLOOKUP(A100,'SegEnds_NonXtal_Prot#'!A:AL,37,FALSE)-VLOOKUP(A100,'SegEnds_NonXtal_Prot#'!A:AL,34,FALSE)</f>
        <v>10</v>
      </c>
      <c r="AK100" s="1" t="str">
        <f>IF(ISERROR(MATCH(A100,'SegEnds_Xtal_Prot#'!B:B, 0)), "NoXtal", "Xtal")</f>
        <v>NoXtal</v>
      </c>
    </row>
    <row r="101" spans="1:37" x14ac:dyDescent="0.2">
      <c r="A101" s="1" t="s">
        <v>153</v>
      </c>
      <c r="B101" s="1" t="str">
        <f>VLOOKUP(A101,Xtal_Templ!A:B,2,FALSE)</f>
        <v>drd2_human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8"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v>35</v>
      </c>
      <c r="T101" s="1">
        <f t="array" ref="T101">INDEX('ICL3'!$G$2:$G$41,MATCH(MIN(ABS(AH101-'ICL3'!$F$2:$F$41)),ABS(AH101-'ICL3'!$F$2:$F$41),0))</f>
        <v>74</v>
      </c>
      <c r="U101" s="1">
        <f t="array" ref="U101">INDEX('ICL3'!$H$2:$H$41,MATCH(MIN(ABS(AH101-'ICL3'!$F$2:$F$41)),ABS(AH101-'ICL3'!$F$2:$F$41),0))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15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20</v>
      </c>
      <c r="AG101" s="1">
        <f>VLOOKUP(A101,'SegEnds_NonXtal_Prot#'!A:AL,28,FALSE)-VLOOKUP(A101,'SegEnds_NonXtal_Prot#'!A:AL,22,FALSE)</f>
        <v>45</v>
      </c>
      <c r="AH101" s="1">
        <f>VLOOKUP(A101,'SegEnds_NonXtal_Prot#'!A:AL,31,FALSE)-VLOOKUP(A101,'SegEnds_NonXtal_Prot#'!A:AL,28,FALSE)</f>
        <v>94</v>
      </c>
      <c r="AI101" s="1">
        <f>VLOOKUP(A101,'SegEnds_NonXtal_Prot#'!A:AL,34,FALSE)-VLOOKUP(A101,'SegEnds_NonXtal_Prot#'!A:AL,31,FALSE)</f>
        <v>36</v>
      </c>
      <c r="AJ101" s="1">
        <f>VLOOKUP(A101,'SegEnds_NonXtal_Prot#'!A:AL,37,FALSE)-VLOOKUP(A101,'SegEnds_NonXtal_Prot#'!A:AL,34,FALSE)</f>
        <v>10</v>
      </c>
      <c r="AK101" s="1" t="str">
        <f>IF(ISERROR(MATCH(A101,'SegEnds_Xtal_Prot#'!B:B, 0)), "NoXtal", "Xtal")</f>
        <v>NoXtal</v>
      </c>
    </row>
    <row r="102" spans="1:37" x14ac:dyDescent="0.2">
      <c r="A102" s="1" t="s">
        <v>154</v>
      </c>
      <c r="B102" s="1" t="str">
        <f>VLOOKUP(A102,Xtal_Templ!A:B,2,FALSE)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8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INDEX('ICL3'!$G$2:$G$41,MATCH(MIN(ABS(AH102-'ICL3'!$F$2:$F$41)),ABS(AH102-'ICL3'!$F$2:$F$41),0))</f>
        <v>74</v>
      </c>
      <c r="U102" s="1">
        <f t="array" ref="U102">INDEX('ICL3'!$H$2:$H$41,MATCH(MIN(ABS(AH102-'ICL3'!$F$2:$F$41)),ABS(AH102-'ICL3'!$F$2:$F$41),0))</f>
        <v>24</v>
      </c>
      <c r="V102" s="1">
        <v>61</v>
      </c>
      <c r="W102" s="1">
        <v>31</v>
      </c>
      <c r="X102" s="109"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45</v>
      </c>
      <c r="AH102" s="1">
        <f>VLOOKUP(A102,'SegEnds_NonXtal_Prot#'!A:AL,31,FALSE)-VLOOKUP(A102,'SegEnds_NonXtal_Prot#'!A:AL,28,FALSE)</f>
        <v>97</v>
      </c>
      <c r="AI102" s="1">
        <f>VLOOKUP(A102,'SegEnds_NonXtal_Prot#'!A:AL,34,FALSE)-VLOOKUP(A102,'SegEnds_NonXtal_Prot#'!A:AL,31,FALSE)</f>
        <v>36</v>
      </c>
      <c r="AJ102" s="1">
        <f>VLOOKUP(A102,'SegEnds_NonXtal_Prot#'!A:AL,37,FALSE)-VLOOKUP(A102,'SegEnds_NonXtal_Prot#'!A:AL,34,FALSE)</f>
        <v>10</v>
      </c>
      <c r="AK102" s="1" t="str">
        <f>IF(ISERROR(MATCH(A102,'SegEnds_Xtal_Prot#'!B:B, 0)), "NoXtal", "Xtal")</f>
        <v>NoXtal</v>
      </c>
    </row>
    <row r="103" spans="1:37" x14ac:dyDescent="0.2">
      <c r="A103" s="1" t="s">
        <v>155</v>
      </c>
      <c r="B103" s="1" t="str">
        <f>VLOOKUP(A103,Xtal_Templ!A:B,2,FALSE)</f>
        <v>drd2_human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8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INDEX('ICL3'!$G$2:$G$41,MATCH(MIN(ABS(AH103-'ICL3'!$F$2:$F$41)),ABS(AH103-'ICL3'!$F$2:$F$41),0))</f>
        <v>75</v>
      </c>
      <c r="U103" s="1">
        <f t="array" ref="U103">INDEX('ICL3'!$H$2:$H$41,MATCH(MIN(ABS(AH103-'ICL3'!$F$2:$F$41)),ABS(AH103-'ICL3'!$F$2:$F$41),0))</f>
        <v>24</v>
      </c>
      <c r="V103" s="1">
        <v>61</v>
      </c>
      <c r="W103" s="1">
        <v>32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20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181</v>
      </c>
      <c r="AI103" s="1">
        <f>VLOOKUP(A103,'SegEnds_NonXtal_Prot#'!A:AL,34,FALSE)-VLOOKUP(A103,'SegEnds_NonXtal_Prot#'!A:AL,31,FALSE)</f>
        <v>34</v>
      </c>
      <c r="AJ103" s="1">
        <f>VLOOKUP(A103,'SegEnds_NonXtal_Prot#'!A:AL,37,FALSE)-VLOOKUP(A103,'SegEnds_NonXtal_Prot#'!A:AL,34,FALSE)</f>
        <v>10</v>
      </c>
      <c r="AK103" s="1" t="str">
        <f>IF(ISERROR(MATCH(A103,'SegEnds_Xtal_Prot#'!B:B, 0)), "NoXtal", "Xtal")</f>
        <v>NoXtal</v>
      </c>
    </row>
    <row r="104" spans="1:37" x14ac:dyDescent="0.2">
      <c r="A104" s="1" t="s">
        <v>156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8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INDEX('ICL3'!$G$2:$G$41,MATCH(MIN(ABS(AH104-'ICL3'!$F$2:$F$41)),ABS(AH104-'ICL3'!$F$2:$F$41),0))</f>
        <v>75</v>
      </c>
      <c r="U104" s="1">
        <f t="array" ref="U104">INDEX('ICL3'!$H$2:$H$41,MATCH(MIN(ABS(AH104-'ICL3'!$F$2:$F$41)),ABS(AH104-'ICL3'!$F$2:$F$41),0))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20</v>
      </c>
      <c r="AG104" s="1">
        <f>VLOOKUP(A104,'SegEnds_NonXtal_Prot#'!A:AL,28,FALSE)-VLOOKUP(A104,'SegEnds_NonXtal_Prot#'!A:AL,22,FALSE)</f>
        <v>47</v>
      </c>
      <c r="AH104" s="1">
        <f>VLOOKUP(A104,'SegEnds_NonXtal_Prot#'!A:AL,31,FALSE)-VLOOKUP(A104,'SegEnds_NonXtal_Prot#'!A:AL,28,FALSE)</f>
        <v>199</v>
      </c>
      <c r="AI104" s="1">
        <f>VLOOKUP(A104,'SegEnds_NonXtal_Prot#'!A:AL,34,FALSE)-VLOOKUP(A104,'SegEnds_NonXtal_Prot#'!A:AL,31,FALSE)</f>
        <v>37</v>
      </c>
      <c r="AJ104" s="1">
        <f>VLOOKUP(A104,'SegEnds_NonXtal_Prot#'!A:AL,37,FALSE)-VLOOKUP(A104,'SegEnds_NonXtal_Prot#'!A:AL,34,FALSE)</f>
        <v>10</v>
      </c>
      <c r="AK104" s="1" t="str">
        <f>IF(ISERROR(MATCH(A104,'SegEnds_Xtal_Prot#'!B:B, 0)), "NoXtal", "Xtal")</f>
        <v>NoXtal</v>
      </c>
    </row>
    <row r="105" spans="1:37" x14ac:dyDescent="0.2">
      <c r="A105" s="1" t="s">
        <v>157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8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INDEX('ICL3'!$G$2:$G$41,MATCH(MIN(ABS(AH105-'ICL3'!$F$2:$F$41)),ABS(AH105-'ICL3'!$F$2:$F$41),0))</f>
        <v>75</v>
      </c>
      <c r="U105" s="1">
        <f t="array" ref="U105">INDEX('ICL3'!$H$2:$H$41,MATCH(MIN(ABS(AH105-'ICL3'!$F$2:$F$41)),ABS(AH105-'ICL3'!$F$2:$F$41),0))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20</v>
      </c>
      <c r="AG105" s="1">
        <f>VLOOKUP(A105,'SegEnds_NonXtal_Prot#'!A:AL,28,FALSE)-VLOOKUP(A105,'SegEnds_NonXtal_Prot#'!A:AL,22,FALSE)</f>
        <v>46</v>
      </c>
      <c r="AH105" s="1">
        <f>VLOOKUP(A105,'SegEnds_NonXtal_Prot#'!A:AL,31,FALSE)-VLOOKUP(A105,'SegEnds_NonXtal_Prot#'!A:AL,28,FALSE)</f>
        <v>175</v>
      </c>
      <c r="AI105" s="1">
        <f>VLOOKUP(A105,'SegEnds_NonXtal_Prot#'!A:AL,34,FALSE)-VLOOKUP(A105,'SegEnds_NonXtal_Prot#'!A:AL,31,FALSE)</f>
        <v>37</v>
      </c>
      <c r="AJ105" s="1">
        <f>VLOOKUP(A105,'SegEnds_NonXtal_Prot#'!A:AL,37,FALSE)-VLOOKUP(A105,'SegEnds_NonXtal_Prot#'!A:AL,34,FALSE)</f>
        <v>10</v>
      </c>
      <c r="AK105" s="1" t="str">
        <f>IF(ISERROR(MATCH(A105,'SegEnds_Xtal_Prot#'!B:B, 0)), "NoXtal", "Xtal")</f>
        <v>NoXtal</v>
      </c>
    </row>
    <row r="106" spans="1:37" x14ac:dyDescent="0.2">
      <c r="A106" s="1" t="s">
        <v>125</v>
      </c>
      <c r="B106" s="1" t="str">
        <f>VLOOKUP(A106,Xtal_Templ!A:B,2,FALSE)</f>
        <v>adrb2_human</v>
      </c>
      <c r="C106" s="5">
        <f>VLOOKUP($B106&amp;"__wt",'SegEnds_Xtal_BW#'!$A:$Z,3,FALSE)</f>
        <v>25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8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35</v>
      </c>
      <c r="T106" s="1">
        <f t="array" ref="T106">INDEX('ICL3'!$G$2:$G$41,MATCH(MIN(ABS(AH106-'ICL3'!$F$2:$F$41)),ABS(AH106-'ICL3'!$F$2:$F$41),0))</f>
        <v>74</v>
      </c>
      <c r="U106" s="1">
        <f t="array" ref="U106">INDEX('ICL3'!$H$2:$H$41,MATCH(MIN(ABS(AH106-'ICL3'!$F$2:$F$41)),ABS(AH106-'ICL3'!$F$2:$F$41),0))</f>
        <v>24</v>
      </c>
      <c r="V106" s="1">
        <v>61</v>
      </c>
      <c r="W106" s="1">
        <v>31</v>
      </c>
      <c r="X106" s="1">
        <f>VLOOKUP($B106&amp;"__wt",'SegEnds_Xtal_BW#'!$A:$Z,24,FALSE)</f>
        <v>55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53</v>
      </c>
      <c r="AH106" s="1">
        <f>VLOOKUP(A106,'SegEnds_NonXtal_Prot#'!A:AL,31,FALSE)-VLOOKUP(A106,'SegEnds_NonXtal_Prot#'!A:AL,28,FALSE)</f>
        <v>103</v>
      </c>
      <c r="AI106" s="1">
        <f>VLOOKUP(A106,'SegEnds_NonXtal_Prot#'!A:AL,34,FALSE)-VLOOKUP(A106,'SegEnds_NonXtal_Prot#'!A:AL,31,FALSE)</f>
        <v>35</v>
      </c>
      <c r="AJ106" s="1">
        <f>VLOOKUP(A106,'SegEnds_NonXtal_Prot#'!A:AL,37,FALSE)-VLOOKUP(A106,'SegEnds_NonXtal_Prot#'!A:AL,34,FALSE)</f>
        <v>9</v>
      </c>
      <c r="AK106" s="1" t="str">
        <f>IF(ISERROR(MATCH(A106,'SegEnds_Xtal_Prot#'!B:B, 0)), "NoXtal", "Xtal")</f>
        <v>NoXtal</v>
      </c>
    </row>
    <row r="107" spans="1:37" x14ac:dyDescent="0.2">
      <c r="A107" s="1" t="s">
        <v>912</v>
      </c>
      <c r="B107" s="1" t="str">
        <f>VLOOKUP(A107,Xtal_Templ!A:B,2,FALSE)</f>
        <v>adrb1_melga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8">
        <f>VLOOKUP($B107&amp;"__wt",'SegEnds_Xtal_BW#'!$A:$Z,15,FALSE)</f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INDEX('ICL3'!$G$2:$G$41,MATCH(MIN(ABS(AH107-'ICL3'!$F$2:$F$41)),ABS(AH107-'ICL3'!$F$2:$F$41),0))</f>
        <v>76</v>
      </c>
      <c r="U107" s="1">
        <v>20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53</v>
      </c>
      <c r="AH107" s="1">
        <f>VLOOKUP(A107,'SegEnds_NonXtal_Prot#'!A:AL,31,FALSE)-VLOOKUP(A107,'SegEnds_NonXtal_Prot#'!A:AL,28,FALSE)</f>
        <v>86</v>
      </c>
      <c r="AI107" s="1">
        <f>VLOOKUP(A107,'SegEnds_NonXtal_Prot#'!A:AL,34,FALSE)-VLOOKUP(A107,'SegEnds_NonXtal_Prot#'!A:AL,31,FALSE)</f>
        <v>35</v>
      </c>
      <c r="AJ107" s="1">
        <f>VLOOKUP(A107,'SegEnds_NonXtal_Prot#'!A:AL,37,FALSE)-VLOOKUP(A107,'SegEnds_NonXtal_Prot#'!A:AL,34,FALSE)</f>
        <v>9</v>
      </c>
      <c r="AK107" s="1" t="str">
        <f>IF(ISERROR(MATCH(A107,'SegEnds_Xtal_Prot#'!B:B, 0)), "NoXtal", "Xtal")</f>
        <v>Xtal</v>
      </c>
    </row>
    <row r="108" spans="1:37" x14ac:dyDescent="0.2">
      <c r="A108" s="1" t="s">
        <v>126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8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INDEX('ICL3'!$G$2:$G$41,MATCH(MIN(ABS(AH108-'ICL3'!$F$2:$F$41)),ABS(AH108-'ICL3'!$F$2:$F$41),0))</f>
        <v>76</v>
      </c>
      <c r="U108" s="1">
        <f t="array" ref="U108">INDEX('ICL3'!$H$2:$H$41,MATCH(MIN(ABS(AH108-'ICL3'!$F$2:$F$41)),ABS(AH108-'ICL3'!$F$2:$F$41),0))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20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77</v>
      </c>
      <c r="AI108" s="1">
        <f>VLOOKUP(A108,'SegEnds_NonXtal_Prot#'!A:AL,34,FALSE)-VLOOKUP(A108,'SegEnds_NonXtal_Prot#'!A:AL,31,FALSE)</f>
        <v>35</v>
      </c>
      <c r="AJ108" s="1">
        <f>VLOOKUP(A108,'SegEnds_NonXtal_Prot#'!A:AL,37,FALSE)-VLOOKUP(A108,'SegEnds_NonXtal_Prot#'!A:AL,34,FALSE)</f>
        <v>9</v>
      </c>
      <c r="AK108" s="1" t="str">
        <f>IF(ISERROR(MATCH(A108,'SegEnds_Xtal_Prot#'!B:B, 0)), "NoXtal", "Xtal")</f>
        <v>Xtal</v>
      </c>
    </row>
    <row r="109" spans="1:37" x14ac:dyDescent="0.2">
      <c r="A109" s="1" t="s">
        <v>102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8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INDEX('ICL3'!$G$2:$G$41,MATCH(MIN(ABS(AH109-'ICL3'!$F$2:$F$41)),ABS(AH109-'ICL3'!$F$2:$F$41),0))</f>
        <v>76</v>
      </c>
      <c r="U109" s="1">
        <f t="array" ref="U109">INDEX('ICL3'!$H$2:$H$41,MATCH(MIN(ABS(AH109-'ICL3'!$F$2:$F$41)),ABS(AH109-'ICL3'!$F$2:$F$41),0))</f>
        <v>24</v>
      </c>
      <c r="V109" s="1">
        <v>61</v>
      </c>
      <c r="W109" s="1">
        <v>31</v>
      </c>
      <c r="X109" s="130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20</v>
      </c>
      <c r="AG109" s="1">
        <f>VLOOKUP(A109,'SegEnds_NonXtal_Prot#'!A:AL,28,FALSE)-VLOOKUP(A109,'SegEnds_NonXtal_Prot#'!A:AL,22,FALSE)</f>
        <v>54</v>
      </c>
      <c r="AH109" s="1">
        <f>VLOOKUP(A109,'SegEnds_NonXtal_Prot#'!A:AL,31,FALSE)-VLOOKUP(A109,'SegEnds_NonXtal_Prot#'!A:AL,28,FALSE)</f>
        <v>91</v>
      </c>
      <c r="AI109" s="1">
        <f>VLOOKUP(A109,'SegEnds_NonXtal_Prot#'!A:AL,34,FALSE)-VLOOKUP(A109,'SegEnds_NonXtal_Prot#'!A:AL,31,FALSE)</f>
        <v>36</v>
      </c>
      <c r="AJ109" s="1">
        <f>VLOOKUP(A109,'SegEnds_NonXtal_Prot#'!A:AL,37,FALSE)-VLOOKUP(A109,'SegEnds_NonXtal_Prot#'!A:AL,34,FALSE)</f>
        <v>9</v>
      </c>
      <c r="AK109" s="1" t="str">
        <f>IF(ISERROR(MATCH(A109,'SegEnds_Xtal_Prot#'!B:B, 0)), "NoXtal", "Xtal")</f>
        <v>NoXtal</v>
      </c>
    </row>
    <row r="110" spans="1:37" x14ac:dyDescent="0.2">
      <c r="A110" s="1" t="s">
        <v>158</v>
      </c>
      <c r="B110" s="1" t="str">
        <f>VLOOKUP(A110,Xtal_Templ!A:B,2,FALSE)</f>
        <v>agtr1_human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8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34</v>
      </c>
      <c r="T110" s="1">
        <f t="array" ref="T110">INDEX('ICL3'!$G$2:$G$41,MATCH(MIN(ABS(AH110-'ICL3'!$F$2:$F$41)),ABS(AH110-'ICL3'!$F$2:$F$41),0))</f>
        <v>68</v>
      </c>
      <c r="U110" s="1">
        <f t="array" ref="U110">INDEX('ICL3'!$H$2:$H$41,MATCH(MIN(ABS(AH110-'ICL3'!$F$2:$F$41)),ABS(AH110-'ICL3'!$F$2:$F$41),0))</f>
        <v>24</v>
      </c>
      <c r="V110" s="1">
        <v>64</v>
      </c>
      <c r="W110" s="1">
        <v>24</v>
      </c>
      <c r="X110" s="130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27</v>
      </c>
      <c r="AG110" s="1">
        <f>VLOOKUP(A110,'SegEnds_NonXtal_Prot#'!A:AL,28,FALSE)-VLOOKUP(A110,'SegEnds_NonXtal_Prot#'!A:AL,22,FALSE)</f>
        <v>54</v>
      </c>
      <c r="AH110" s="1">
        <f>VLOOKUP(A110,'SegEnds_NonXtal_Prot#'!A:AL,31,FALSE)-VLOOKUP(A110,'SegEnds_NonXtal_Prot#'!A:AL,28,FALSE)</f>
        <v>48</v>
      </c>
      <c r="AI110" s="1">
        <f>VLOOKUP(A110,'SegEnds_NonXtal_Prot#'!A:AL,34,FALSE)-VLOOKUP(A110,'SegEnds_NonXtal_Prot#'!A:AL,31,FALSE)</f>
        <v>44</v>
      </c>
      <c r="AJ110" s="1">
        <f>VLOOKUP(A110,'SegEnds_NonXtal_Prot#'!A:AL,37,FALSE)-VLOOKUP(A110,'SegEnds_NonXtal_Prot#'!A:AL,34,FALSE)</f>
        <v>10</v>
      </c>
      <c r="AK110" s="1" t="str">
        <f>IF(ISERROR(MATCH(A110,'SegEnds_Xtal_Prot#'!B:B, 0)), "NoXtal", "Xtal")</f>
        <v>Xtal</v>
      </c>
    </row>
    <row r="111" spans="1:37" x14ac:dyDescent="0.2">
      <c r="A111" s="1" t="s">
        <v>159</v>
      </c>
      <c r="B111" s="1" t="str">
        <f>VLOOKUP(A111,Xtal_Templ!A:B,2,FALSE)</f>
        <v>agtr2_human</v>
      </c>
      <c r="C111" s="5">
        <f>VLOOKUP($B111&amp;"__wt",'SegEnds_Xtal_BW#'!$A:$Z,3,FALSE)</f>
        <v>33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09">
        <v>38</v>
      </c>
      <c r="H111" s="12">
        <f>VLOOKUP($B111&amp;"__wt",'SegEnds_Xtal_BW#'!$A:$Z,8,FALSE)</f>
        <v>66</v>
      </c>
      <c r="I111" s="1">
        <f>VLOOKUP($B111&amp;"__wt",'SegEnds_Xtal_BW#'!$A:$Z,9,FALSE)</f>
        <v>47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56</v>
      </c>
      <c r="O111" s="88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INDEX('ICL3'!$G$2:$G$41,MATCH(MIN(ABS(AH111-'ICL3'!$F$2:$F$41)),ABS(AH111-'ICL3'!$F$2:$F$41),0))</f>
        <v>68</v>
      </c>
      <c r="U111" s="1">
        <f t="array" ref="U111">INDEX('ICL3'!$H$2:$H$41,MATCH(MIN(ABS(AH111-'ICL3'!$F$2:$F$41)),ABS(AH111-'ICL3'!$F$2:$F$41),0))</f>
        <v>24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61</v>
      </c>
      <c r="AA111" s="27" t="str">
        <f>VLOOKUP(A111,Classification!A:B,2,FALSE)</f>
        <v>A</v>
      </c>
      <c r="AB111" s="1" t="e">
        <f>VLOOKUP(A111,'SegEnds_NonXtal_Prot#'!A:AL,10,FALSE)-VLOOKUP(A111,'SegEnds_NonXtal_Prot#'!A:AL,7,FALSE)</f>
        <v>#VALUE!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19</v>
      </c>
      <c r="AF111" s="1">
        <f>VLOOKUP(A111,'SegEnds_NonXtal_Prot#'!A:AL,28,FALSE)-VLOOKUP(A111,'SegEnds_NonXtal_Prot#'!A:AL,25,FALSE)</f>
        <v>28</v>
      </c>
      <c r="AG111" s="1">
        <f>VLOOKUP(A111,'SegEnds_NonXtal_Prot#'!A:AL,28,FALSE)-VLOOKUP(A111,'SegEnds_NonXtal_Prot#'!A:AL,22,FALSE)</f>
        <v>55</v>
      </c>
      <c r="AH111" s="1">
        <f>VLOOKUP(A111,'SegEnds_NonXtal_Prot#'!A:AL,31,FALSE)-VLOOKUP(A111,'SegEnds_NonXtal_Prot#'!A:AL,28,FALSE)</f>
        <v>48</v>
      </c>
      <c r="AI111" s="1">
        <f>VLOOKUP(A111,'SegEnds_NonXtal_Prot#'!A:AL,34,FALSE)-VLOOKUP(A111,'SegEnds_NonXtal_Prot#'!A:AL,31,FALSE)</f>
        <v>44</v>
      </c>
      <c r="AJ111" s="1">
        <f>VLOOKUP(A111,'SegEnds_NonXtal_Prot#'!A:AL,37,FALSE)-VLOOKUP(A111,'SegEnds_NonXtal_Prot#'!A:AL,34,FALSE)</f>
        <v>10</v>
      </c>
      <c r="AK111" s="1" t="str">
        <f>IF(ISERROR(MATCH(A111,'SegEnds_Xtal_Prot#'!B:B, 0)), "NoXtal", "Xtal")</f>
        <v>Xtal</v>
      </c>
    </row>
    <row r="112" spans="1:37" x14ac:dyDescent="0.2">
      <c r="A112" s="1" t="s">
        <v>160</v>
      </c>
      <c r="B112" s="1" t="str">
        <f>VLOOKUP(A112,Xtal_Templ!A:B,2,FALSE)</f>
        <v>apj_human</v>
      </c>
      <c r="C112" s="5">
        <f>VLOOKUP($B112&amp;"__wt",'SegEnds_Xtal_BW#'!$A:$Z,3,FALSE)</f>
        <v>33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52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8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INDEX('ICL3'!$G$2:$G$41,MATCH(MIN(ABS(AH112-'ICL3'!$F$2:$F$41)),ABS(AH112-'ICL3'!$F$2:$F$41),0))</f>
        <v>72</v>
      </c>
      <c r="U112" s="1">
        <f t="array" ref="U112">INDEX('ICL3'!$H$2:$H$41,MATCH(MIN(ABS(AH112-'ICL3'!$F$2:$F$41)),ABS(AH112-'ICL3'!$F$2:$F$41),0))</f>
        <v>29</v>
      </c>
      <c r="V112" s="109">
        <v>63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16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32</v>
      </c>
      <c r="AG112" s="1">
        <f>VLOOKUP(A112,'SegEnds_NonXtal_Prot#'!A:AL,28,FALSE)-VLOOKUP(A112,'SegEnds_NonXtal_Prot#'!A:AL,22,FALSE)</f>
        <v>59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43</v>
      </c>
      <c r="AJ112" s="1">
        <f>VLOOKUP(A112,'SegEnds_NonXtal_Prot#'!A:AL,37,FALSE)-VLOOKUP(A112,'SegEnds_NonXtal_Prot#'!A:AL,34,FALSE)</f>
        <v>10</v>
      </c>
      <c r="AK112" s="1" t="str">
        <f>IF(ISERROR(MATCH(A112,'SegEnds_Xtal_Prot#'!B:B, 0)), "NoXtal", "Xtal")</f>
        <v>Xtal</v>
      </c>
    </row>
    <row r="113" spans="1:37" x14ac:dyDescent="0.2">
      <c r="A113" s="1" t="s">
        <v>161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57</v>
      </c>
      <c r="O113" s="88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INDEX('ICL3'!$G$2:$G$41,MATCH(MIN(ABS(AH113-'ICL3'!$F$2:$F$41)),ABS(AH113-'ICL3'!$F$2:$F$41),0))</f>
        <v>68</v>
      </c>
      <c r="U113" s="1">
        <f t="array" ref="U113">INDEX('ICL3'!$H$2:$H$41,MATCH(MIN(ABS(AH113-'ICL3'!$F$2:$F$41)),ABS(AH113-'ICL3'!$F$2:$F$41),0))</f>
        <v>23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52</v>
      </c>
      <c r="AH113" s="1">
        <f>VLOOKUP(A113,'SegEnds_NonXtal_Prot#'!A:AL,31,FALSE)-VLOOKUP(A113,'SegEnds_NonXtal_Prot#'!A:AL,28,FALSE)</f>
        <v>51</v>
      </c>
      <c r="AI113" s="1">
        <f>VLOOKUP(A113,'SegEnds_NonXtal_Prot#'!A:AL,34,FALSE)-VLOOKUP(A113,'SegEnds_NonXtal_Prot#'!A:AL,31,FALSE)</f>
        <v>44</v>
      </c>
      <c r="AJ113" s="1">
        <f>VLOOKUP(A113,'SegEnds_NonXtal_Prot#'!A:AL,37,FALSE)-VLOOKUP(A113,'SegEnds_NonXtal_Prot#'!A:AL,34,FALSE)</f>
        <v>10</v>
      </c>
      <c r="AK113" s="1" t="str">
        <f>IF(ISERROR(MATCH(A113,'SegEnds_Xtal_Prot#'!B:B, 0)), "NoXtal", "Xtal")</f>
        <v>NoXtal</v>
      </c>
    </row>
    <row r="114" spans="1:37" x14ac:dyDescent="0.2">
      <c r="A114" s="1" t="s">
        <v>162</v>
      </c>
      <c r="B114" s="1" t="str">
        <f>VLOOKUP(A114,Xtal_Templ!A:B,2,FALSE)</f>
        <v>agtr2_human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47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9">
        <v>57</v>
      </c>
      <c r="O114" s="88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INDEX('ICL3'!$G$2:$G$41,MATCH(MIN(ABS(AH114-'ICL3'!$F$2:$F$41)),ABS(AH114-'ICL3'!$F$2:$F$41),0))</f>
        <v>68</v>
      </c>
      <c r="U114" s="1">
        <f t="array" ref="U114">INDEX('ICL3'!$H$2:$H$41,MATCH(MIN(ABS(AH114-'ICL3'!$F$2:$F$41)),ABS(AH114-'ICL3'!$F$2:$F$41),0))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25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49</v>
      </c>
      <c r="AI114" s="1">
        <f>VLOOKUP(A114,'SegEnds_NonXtal_Prot#'!A:AL,34,FALSE)-VLOOKUP(A114,'SegEnds_NonXtal_Prot#'!A:AL,31,FALSE)</f>
        <v>44</v>
      </c>
      <c r="AJ114" s="1">
        <f>VLOOKUP(A114,'SegEnds_NonXtal_Prot#'!A:AL,37,FALSE)-VLOOKUP(A114,'SegEnds_NonXtal_Prot#'!A:AL,34,FALSE)</f>
        <v>10</v>
      </c>
      <c r="AK114" s="1" t="str">
        <f>IF(ISERROR(MATCH(A114,'SegEnds_Xtal_Prot#'!B:B, 0)), "NoXtal", "Xtal")</f>
        <v>NoXtal</v>
      </c>
    </row>
    <row r="115" spans="1:37" x14ac:dyDescent="0.2">
      <c r="A115" s="1" t="s">
        <v>163</v>
      </c>
      <c r="B115" s="1" t="str">
        <f>VLOOKUP(A115,Xtal_Templ!A:B,2,FALSE)</f>
        <v>ednrb_human</v>
      </c>
      <c r="C115" s="5">
        <f>VLOOKUP($B115&amp;"__wt",'SegEnds_Xtal_BW#'!$A:$Z,3,FALSE)</f>
        <v>22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52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8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28</v>
      </c>
      <c r="T115" s="1">
        <f t="array" ref="T115">INDEX('ICL3'!$G$2:$G$41,MATCH(MIN(ABS(AH115-'ICL3'!$F$2:$F$41)),ABS(AH115-'ICL3'!$F$2:$F$41),0))</f>
        <v>72</v>
      </c>
      <c r="U115" s="1">
        <f t="array" ref="U115">INDEX('ICL3'!$H$2:$H$41,MATCH(MIN(ABS(AH115-'ICL3'!$F$2:$F$41)),ABS(AH115-'ICL3'!$F$2:$F$41),0))</f>
        <v>24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20</v>
      </c>
      <c r="AD115" s="1">
        <f>VLOOKUP(A115,'SegEnds_NonXtal_Prot#'!A:AL,16,FALSE)-VLOOKUP(A115,'SegEnds_NonXtal_Prot#'!A:AL,10,FALSE)</f>
        <v>52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26</v>
      </c>
      <c r="AG115" s="1">
        <f>VLOOKUP(A115,'SegEnds_NonXtal_Prot#'!A:AL,28,FALSE)-VLOOKUP(A115,'SegEnds_NonXtal_Prot#'!A:AL,22,FALSE)</f>
        <v>57</v>
      </c>
      <c r="AH115" s="1">
        <f>VLOOKUP(A115,'SegEnds_NonXtal_Prot#'!A:AL,31,FALSE)-VLOOKUP(A115,'SegEnds_NonXtal_Prot#'!A:AL,28,FALSE)</f>
        <v>57</v>
      </c>
      <c r="AI115" s="1">
        <f>VLOOKUP(A115,'SegEnds_NonXtal_Prot#'!A:AL,34,FALSE)-VLOOKUP(A115,'SegEnds_NonXtal_Prot#'!A:AL,31,FALSE)</f>
        <v>41</v>
      </c>
      <c r="AJ115" s="1">
        <f>VLOOKUP(A115,'SegEnds_NonXtal_Prot#'!A:AL,37,FALSE)-VLOOKUP(A115,'SegEnds_NonXtal_Prot#'!A:AL,34,FALSE)</f>
        <v>10</v>
      </c>
      <c r="AK115" s="1" t="str">
        <f>IF(ISERROR(MATCH(A115,'SegEnds_Xtal_Prot#'!B:B, 0)), "NoXtal", "Xtal")</f>
        <v>NoXtal</v>
      </c>
    </row>
    <row r="116" spans="1:37" x14ac:dyDescent="0.2">
      <c r="A116" s="1" t="s">
        <v>164</v>
      </c>
      <c r="B116" s="1" t="str">
        <f>VLOOKUP(A116,Xtal_Templ!A:B,2,FALSE)</f>
        <v>c5ar1_human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8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31</v>
      </c>
      <c r="T116" s="1">
        <f t="array" ref="T116">INDEX('ICL3'!$G$2:$G$41,MATCH(MIN(ABS(AH116-'ICL3'!$F$2:$F$41)),ABS(AH116-'ICL3'!$F$2:$F$41),0))</f>
        <v>68</v>
      </c>
      <c r="U116" s="109">
        <v>31</v>
      </c>
      <c r="V116" s="1">
        <v>61</v>
      </c>
      <c r="W116" s="109">
        <v>25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56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20</v>
      </c>
      <c r="AF116" s="1">
        <f>VLOOKUP(A116,'SegEnds_NonXtal_Prot#'!A:AL,28,FALSE)-VLOOKUP(A116,'SegEnds_NonXtal_Prot#'!A:AL,25,FALSE)</f>
        <v>176</v>
      </c>
      <c r="AG116" s="1">
        <f>VLOOKUP(A116,'SegEnds_NonXtal_Prot#'!A:AL,28,FALSE)-VLOOKUP(A116,'SegEnds_NonXtal_Prot#'!A:AL,22,FALSE)</f>
        <v>201</v>
      </c>
      <c r="AH116" s="1">
        <f>VLOOKUP(A116,'SegEnds_NonXtal_Prot#'!A:AL,31,FALSE)-VLOOKUP(A116,'SegEnds_NonXtal_Prot#'!A:AL,28,FALSE)</f>
        <v>44</v>
      </c>
      <c r="AI116" s="1">
        <f>VLOOKUP(A116,'SegEnds_NonXtal_Prot#'!A:AL,34,FALSE)-VLOOKUP(A116,'SegEnds_NonXtal_Prot#'!A:AL,31,FALSE)</f>
        <v>40</v>
      </c>
      <c r="AJ116" s="1">
        <f>VLOOKUP(A116,'SegEnds_NonXtal_Prot#'!A:AL,37,FALSE)-VLOOKUP(A116,'SegEnds_NonXtal_Prot#'!A:AL,34,FALSE)</f>
        <v>10</v>
      </c>
      <c r="AK116" s="1" t="str">
        <f>IF(ISERROR(MATCH(A116,'SegEnds_Xtal_Prot#'!B:B, 0)), "NoXtal", "Xtal")</f>
        <v>NoXtal</v>
      </c>
    </row>
    <row r="117" spans="1:37" x14ac:dyDescent="0.2">
      <c r="A117" s="1" t="s">
        <v>165</v>
      </c>
      <c r="B117" s="1" t="str">
        <f>VLOOKUP(A117,Xtal_Templ!A:B,2,FALSE)</f>
        <v>c5ar1_human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8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INDEX('ICL3'!$G$2:$G$41,MATCH(MIN(ABS(AH117-'ICL3'!$F$2:$F$41)),ABS(AH117-'ICL3'!$F$2:$F$41),0))</f>
        <v>68</v>
      </c>
      <c r="U117" s="109">
        <v>31</v>
      </c>
      <c r="V117" s="1">
        <v>61</v>
      </c>
      <c r="W117" s="109">
        <v>25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56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26</v>
      </c>
      <c r="AG117" s="1">
        <f>VLOOKUP(A117,'SegEnds_NonXtal_Prot#'!A:AL,28,FALSE)-VLOOKUP(A117,'SegEnds_NonXtal_Prot#'!A:AL,22,FALSE)</f>
        <v>53</v>
      </c>
      <c r="AH117" s="1">
        <f>VLOOKUP(A117,'SegEnds_NonXtal_Prot#'!A:AL,31,FALSE)-VLOOKUP(A117,'SegEnds_NonXtal_Prot#'!A:AL,28,FALSE)</f>
        <v>43</v>
      </c>
      <c r="AI117" s="1">
        <f>VLOOKUP(A117,'SegEnds_NonXtal_Prot#'!A:AL,34,FALSE)-VLOOKUP(A117,'SegEnds_NonXtal_Prot#'!A:AL,31,FALSE)</f>
        <v>40</v>
      </c>
      <c r="AJ117" s="1">
        <f>VLOOKUP(A117,'SegEnds_NonXtal_Prot#'!A:AL,37,FALSE)-VLOOKUP(A117,'SegEnds_NonXtal_Prot#'!A:AL,34,FALSE)</f>
        <v>10</v>
      </c>
      <c r="AK117" s="1" t="str">
        <f>IF(ISERROR(MATCH(A117,'SegEnds_Xtal_Prot#'!B:B, 0)), "NoXtal", "Xtal")</f>
        <v>Xtal</v>
      </c>
    </row>
    <row r="118" spans="1:37" x14ac:dyDescent="0.2">
      <c r="A118" s="1" t="s">
        <v>166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8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INDEX('ICL3'!$G$2:$G$41,MATCH(MIN(ABS(AH118-'ICL3'!$F$2:$F$41)),ABS(AH118-'ICL3'!$F$2:$F$41),0))</f>
        <v>64</v>
      </c>
      <c r="U118" s="109">
        <v>31</v>
      </c>
      <c r="V118" s="1">
        <v>61</v>
      </c>
      <c r="W118" s="109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 t="e">
        <f>VLOOKUP(A118,'SegEnds_NonXtal_Prot#'!A:AL,10,FALSE)-VLOOKUP(A118,'SegEnds_NonXtal_Prot#'!A:AL,7,FALSE)</f>
        <v>#VALUE!</v>
      </c>
      <c r="AC118" s="1">
        <f>VLOOKUP(A118,'SegEnds_NonXtal_Prot#'!A:AL,13,FALSE)-VLOOKUP(A118,'SegEnds_NonXtal_Prot#'!A:AL,10,FALSE)</f>
        <v>20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26</v>
      </c>
      <c r="AG118" s="1">
        <f>VLOOKUP(A118,'SegEnds_NonXtal_Prot#'!A:AL,28,FALSE)-VLOOKUP(A118,'SegEnds_NonXtal_Prot#'!A:AL,22,FALSE)</f>
        <v>53</v>
      </c>
      <c r="AH118" s="1">
        <f>VLOOKUP(A118,'SegEnds_NonXtal_Prot#'!A:AL,31,FALSE)-VLOOKUP(A118,'SegEnds_NonXtal_Prot#'!A:AL,28,FALSE)</f>
        <v>36</v>
      </c>
      <c r="AI118" s="1">
        <f>VLOOKUP(A118,'SegEnds_NonXtal_Prot#'!A:AL,34,FALSE)-VLOOKUP(A118,'SegEnds_NonXtal_Prot#'!A:AL,31,FALSE)</f>
        <v>40</v>
      </c>
      <c r="AJ118" s="1">
        <f>VLOOKUP(A118,'SegEnds_NonXtal_Prot#'!A:AL,37,FALSE)-VLOOKUP(A118,'SegEnds_NonXtal_Prot#'!A:AL,34,FALSE)</f>
        <v>10</v>
      </c>
      <c r="AK118" s="1" t="str">
        <f>IF(ISERROR(MATCH(A118,'SegEnds_Xtal_Prot#'!B:B, 0)), "NoXtal", "Xtal")</f>
        <v>NoXtal</v>
      </c>
    </row>
    <row r="119" spans="1:37" x14ac:dyDescent="0.2">
      <c r="A119" s="1" t="s">
        <v>167</v>
      </c>
      <c r="B119" s="1" t="str">
        <f>VLOOKUP(A119,Xtal_Templ!A:B,2,FALSE)</f>
        <v>ox1r_human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8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32</v>
      </c>
      <c r="T119" s="1">
        <f t="array" ref="T119">INDEX('ICL3'!$G$2:$G$41,MATCH(MIN(ABS(AH119-'ICL3'!$F$2:$F$41)),ABS(AH119-'ICL3'!$F$2:$F$41),0))</f>
        <v>74</v>
      </c>
      <c r="U119" s="1">
        <f t="array" ref="U119">INDEX('ICL3'!$H$2:$H$41,MATCH(MIN(ABS(AH119-'ICL3'!$F$2:$F$41)),ABS(AH119-'ICL3'!$F$2:$F$41),0))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25</v>
      </c>
      <c r="AG119" s="1">
        <f>VLOOKUP(A119,'SegEnds_NonXtal_Prot#'!A:AL,28,FALSE)-VLOOKUP(A119,'SegEnds_NonXtal_Prot#'!A:AL,22,FALSE)</f>
        <v>55</v>
      </c>
      <c r="AH119" s="1">
        <f>VLOOKUP(A119,'SegEnds_NonXtal_Prot#'!A:AL,31,FALSE)-VLOOKUP(A119,'SegEnds_NonXtal_Prot#'!A:AL,28,FALSE)</f>
        <v>107</v>
      </c>
      <c r="AI119" s="1">
        <f>VLOOKUP(A119,'SegEnds_NonXtal_Prot#'!A:AL,34,FALSE)-VLOOKUP(A119,'SegEnds_NonXtal_Prot#'!A:AL,31,FALSE)</f>
        <v>39</v>
      </c>
      <c r="AJ119" s="1">
        <f>VLOOKUP(A119,'SegEnds_NonXtal_Prot#'!A:AL,37,FALSE)-VLOOKUP(A119,'SegEnds_NonXtal_Prot#'!A:AL,34,FALSE)</f>
        <v>10</v>
      </c>
      <c r="AK119" s="1" t="str">
        <f>IF(ISERROR(MATCH(A119,'SegEnds_Xtal_Prot#'!B:B, 0)), "NoXtal", "Xtal")</f>
        <v>NoXtal</v>
      </c>
    </row>
    <row r="120" spans="1:37" x14ac:dyDescent="0.2">
      <c r="A120" s="1" t="s">
        <v>179</v>
      </c>
      <c r="B120" s="1" t="str">
        <f>VLOOKUP(A120,Xtal_Templ!A:B,2,FALSE)</f>
        <v>p2ry1_human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8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32</v>
      </c>
      <c r="T120" s="1">
        <f t="array" ref="T120">INDEX('ICL3'!$G$2:$G$41,MATCH(MIN(ABS(AH120-'ICL3'!$F$2:$F$41)),ABS(AH120-'ICL3'!$F$2:$F$41),0))</f>
        <v>67</v>
      </c>
      <c r="U120" s="1">
        <f t="array" ref="U120">INDEX('ICL3'!$H$2:$H$41,MATCH(MIN(ABS(AH120-'ICL3'!$F$2:$F$41)),ABS(AH120-'ICL3'!$F$2:$F$41),0))</f>
        <v>26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 t="e">
        <f>VLOOKUP(A120,'SegEnds_NonXtal_Prot#'!A:AL,10,FALSE)-VLOOKUP(A120,'SegEnds_NonXtal_Prot#'!A:AL,7,FALSE)</f>
        <v>#VALUE!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28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47</v>
      </c>
      <c r="AI120" s="1">
        <f>VLOOKUP(A120,'SegEnds_NonXtal_Prot#'!A:AL,34,FALSE)-VLOOKUP(A120,'SegEnds_NonXtal_Prot#'!A:AL,31,FALSE)</f>
        <v>44</v>
      </c>
      <c r="AJ120" s="1">
        <f>VLOOKUP(A120,'SegEnds_NonXtal_Prot#'!A:AL,37,FALSE)-VLOOKUP(A120,'SegEnds_NonXtal_Prot#'!A:AL,34,FALSE)</f>
        <v>10</v>
      </c>
      <c r="AK120" s="1" t="str">
        <f>IF(ISERROR(MATCH(A120,'SegEnds_Xtal_Prot#'!B:B, 0)), "NoXtal", "Xtal")</f>
        <v>NoXtal</v>
      </c>
    </row>
    <row r="121" spans="1:37" x14ac:dyDescent="0.2">
      <c r="A121" s="1" t="s">
        <v>180</v>
      </c>
      <c r="B121" s="1" t="str">
        <f>VLOOKUP(A121,Xtal_Templ!A:B,2,FALSE)</f>
        <v>p2ry1_human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8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32</v>
      </c>
      <c r="T121" s="1">
        <f t="array" ref="T121">INDEX('ICL3'!$G$2:$G$41,MATCH(MIN(ABS(AH121-'ICL3'!$F$2:$F$41)),ABS(AH121-'ICL3'!$F$2:$F$41),0))</f>
        <v>68</v>
      </c>
      <c r="U121" s="1">
        <f t="array" ref="U121">INDEX('ICL3'!$H$2:$H$41,MATCH(MIN(ABS(AH121-'ICL3'!$F$2:$F$41)),ABS(AH121-'ICL3'!$F$2:$F$41),0))</f>
        <v>24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50</v>
      </c>
      <c r="AH121" s="1">
        <f>VLOOKUP(A121,'SegEnds_NonXtal_Prot#'!A:AL,31,FALSE)-VLOOKUP(A121,'SegEnds_NonXtal_Prot#'!A:AL,28,FALSE)</f>
        <v>49</v>
      </c>
      <c r="AI121" s="1">
        <f>VLOOKUP(A121,'SegEnds_NonXtal_Prot#'!A:AL,34,FALSE)-VLOOKUP(A121,'SegEnds_NonXtal_Prot#'!A:AL,31,FALSE)</f>
        <v>40</v>
      </c>
      <c r="AJ121" s="1">
        <f>VLOOKUP(A121,'SegEnds_NonXtal_Prot#'!A:AL,37,FALSE)-VLOOKUP(A121,'SegEnds_NonXtal_Prot#'!A:AL,34,FALSE)</f>
        <v>10</v>
      </c>
      <c r="AK121" s="1" t="str">
        <f>IF(ISERROR(MATCH(A121,'SegEnds_Xtal_Prot#'!B:B, 0)), "NoXtal", "Xtal")</f>
        <v>NoXtal</v>
      </c>
    </row>
    <row r="122" spans="1:37" x14ac:dyDescent="0.2">
      <c r="A122" s="1" t="s">
        <v>181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8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INDEX('ICL3'!$G$2:$G$41,MATCH(MIN(ABS(AH122-'ICL3'!$F$2:$F$41)),ABS(AH122-'ICL3'!$F$2:$F$41),0))</f>
        <v>68</v>
      </c>
      <c r="U122" s="1">
        <f t="array" ref="U122">INDEX('ICL3'!$H$2:$H$41,MATCH(MIN(ABS(AH122-'ICL3'!$F$2:$F$41)),ABS(AH122-'ICL3'!$F$2:$F$41),0))</f>
        <v>30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43</v>
      </c>
      <c r="AG122" s="1">
        <f>VLOOKUP(A122,'SegEnds_NonXtal_Prot#'!A:AL,28,FALSE)-VLOOKUP(A122,'SegEnds_NonXtal_Prot#'!A:AL,22,FALSE)</f>
        <v>68</v>
      </c>
      <c r="AH122" s="1">
        <f>VLOOKUP(A122,'SegEnds_NonXtal_Prot#'!A:AL,31,FALSE)-VLOOKUP(A122,'SegEnds_NonXtal_Prot#'!A:AL,28,FALSE)</f>
        <v>43</v>
      </c>
      <c r="AI122" s="1">
        <f>VLOOKUP(A122,'SegEnds_NonXtal_Prot#'!A:AL,34,FALSE)-VLOOKUP(A122,'SegEnds_NonXtal_Prot#'!A:AL,31,FALSE)</f>
        <v>38</v>
      </c>
      <c r="AJ122" s="1">
        <f>VLOOKUP(A122,'SegEnds_NonXtal_Prot#'!A:AL,37,FALSE)-VLOOKUP(A122,'SegEnds_NonXtal_Prot#'!A:AL,34,FALSE)</f>
        <v>10</v>
      </c>
      <c r="AK122" s="1" t="str">
        <f>IF(ISERROR(MATCH(A122,'SegEnds_Xtal_Prot#'!B:B, 0)), "NoXtal", "Xtal")</f>
        <v>NoXtal</v>
      </c>
    </row>
    <row r="123" spans="1:37" x14ac:dyDescent="0.2">
      <c r="A123" s="1" t="s">
        <v>191</v>
      </c>
      <c r="B123" s="1" t="str">
        <f>VLOOKUP(A123,Xtal_Templ!A:B,2,FALSE)</f>
        <v>drd2_human</v>
      </c>
      <c r="C123" s="5">
        <f>VLOOKUP($B123&amp;"__wt",'SegEnds_Xtal_BW#'!$A:$Z,3,FALSE)</f>
        <v>29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68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f>VLOOKUP($B123&amp;"__wt",'SegEnds_Xtal_BW#'!$A:$Z,14,FALSE)</f>
        <v>58</v>
      </c>
      <c r="O123" s="88">
        <v>38</v>
      </c>
      <c r="P123" s="1">
        <f>VLOOKUP($B123&amp;"__wt",'SegEnds_Xtal_BW#'!$A:$Z,16,FALSE)</f>
        <v>62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35</v>
      </c>
      <c r="T123" s="1">
        <f t="array" ref="T123">INDEX('ICL3'!$G$2:$G$41,MATCH(MIN(ABS(AH123-'ICL3'!$F$2:$F$41)),ABS(AH123-'ICL3'!$F$2:$F$41),0))</f>
        <v>75</v>
      </c>
      <c r="U123" s="1">
        <f t="array" ref="U123">INDEX('ICL3'!$H$2:$H$41,MATCH(MIN(ABS(AH123-'ICL3'!$F$2:$F$41)),ABS(AH123-'ICL3'!$F$2:$F$41),0))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21</v>
      </c>
      <c r="AF123" s="1">
        <f>VLOOKUP(A123,'SegEnds_NonXtal_Prot#'!A:AL,28,FALSE)-VLOOKUP(A123,'SegEnds_NonXtal_Prot#'!A:AL,25,FALSE)</f>
        <v>19</v>
      </c>
      <c r="AG123" s="1">
        <f>VLOOKUP(A123,'SegEnds_NonXtal_Prot#'!A:AL,28,FALSE)-VLOOKUP(A123,'SegEnds_NonXtal_Prot#'!A:AL,22,FALSE)</f>
        <v>41</v>
      </c>
      <c r="AH123" s="1">
        <f>VLOOKUP(A123,'SegEnds_NonXtal_Prot#'!A:AL,31,FALSE)-VLOOKUP(A123,'SegEnds_NonXtal_Prot#'!A:AL,28,FALSE)</f>
        <v>187</v>
      </c>
      <c r="AI123" s="1">
        <f>VLOOKUP(A123,'SegEnds_NonXtal_Prot#'!A:AL,34,FALSE)-VLOOKUP(A123,'SegEnds_NonXtal_Prot#'!A:AL,31,FALSE)</f>
        <v>35</v>
      </c>
      <c r="AJ123" s="1">
        <f>VLOOKUP(A123,'SegEnds_NonXtal_Prot#'!A:AL,37,FALSE)-VLOOKUP(A123,'SegEnds_NonXtal_Prot#'!A:AL,34,FALSE)</f>
        <v>10</v>
      </c>
      <c r="AK123" s="1" t="str">
        <f>IF(ISERROR(MATCH(A123,'SegEnds_Xtal_Prot#'!B:B, 0)), "NoXtal", "Xtal")</f>
        <v>Xtal</v>
      </c>
    </row>
    <row r="124" spans="1:37" x14ac:dyDescent="0.2">
      <c r="A124" s="1" t="s">
        <v>196</v>
      </c>
      <c r="B124" s="1" t="str">
        <f>VLOOKUP(A124,Xtal_Templ!A:B,2,FALSE)</f>
        <v>ednrb_human</v>
      </c>
      <c r="C124" s="5">
        <f>VLOOKUP($B124&amp;"__wt",'SegEnds_Xtal_BW#'!$A:$Z,3,FALSE)</f>
        <v>22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38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8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28</v>
      </c>
      <c r="T124" s="1">
        <f t="array" ref="T124">INDEX('ICL3'!$G$2:$G$41,MATCH(MIN(ABS(AH124-'ICL3'!$F$2:$F$41)),ABS(AH124-'ICL3'!$F$2:$F$41),0))</f>
        <v>72</v>
      </c>
      <c r="U124" s="1">
        <f t="array" ref="U124">INDEX('ICL3'!$H$2:$H$41,MATCH(MIN(ABS(AH124-'ICL3'!$F$2:$F$41)),ABS(AH124-'ICL3'!$F$2:$F$41),0))</f>
        <v>24</v>
      </c>
      <c r="V124" s="1">
        <v>62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60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30</v>
      </c>
      <c r="AG124" s="1">
        <f>VLOOKUP(A124,'SegEnds_NonXtal_Prot#'!A:AL,28,FALSE)-VLOOKUP(A124,'SegEnds_NonXtal_Prot#'!A:AL,22,FALSE)</f>
        <v>59</v>
      </c>
      <c r="AH124" s="1">
        <f>VLOOKUP(A124,'SegEnds_NonXtal_Prot#'!A:AL,31,FALSE)-VLOOKUP(A124,'SegEnds_NonXtal_Prot#'!A:AL,28,FALSE)</f>
        <v>53</v>
      </c>
      <c r="AI124" s="1">
        <f>VLOOKUP(A124,'SegEnds_NonXtal_Prot#'!A:AL,34,FALSE)-VLOOKUP(A124,'SegEnds_NonXtal_Prot#'!A:AL,31,FALSE)</f>
        <v>45</v>
      </c>
      <c r="AJ124" s="1">
        <f>VLOOKUP(A124,'SegEnds_NonXtal_Prot#'!A:AL,37,FALSE)-VLOOKUP(A124,'SegEnds_NonXtal_Prot#'!A:AL,34,FALSE)</f>
        <v>10</v>
      </c>
      <c r="AK124" s="1" t="str">
        <f>IF(ISERROR(MATCH(A124,'SegEnds_Xtal_Prot#'!B:B, 0)), "NoXtal", "Xtal")</f>
        <v>Xtal</v>
      </c>
    </row>
    <row r="125" spans="1:37" x14ac:dyDescent="0.2">
      <c r="A125" s="1" t="s">
        <v>197</v>
      </c>
      <c r="B125" s="1" t="str">
        <f>VLOOKUP(A125,Xtal_Templ!A:B,2,FALSE)</f>
        <v>ednrb_human</v>
      </c>
      <c r="C125" s="5">
        <f>VLOOKUP($B125&amp;"__wt",'SegEnds_Xtal_BW#'!$A:$Z,3,FALSE)</f>
        <v>22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8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28</v>
      </c>
      <c r="T125" s="1">
        <f t="array" ref="T125">INDEX('ICL3'!$G$2:$G$41,MATCH(MIN(ABS(AH125-'ICL3'!$F$2:$F$41)),ABS(AH125-'ICL3'!$F$2:$F$41),0))</f>
        <v>72</v>
      </c>
      <c r="U125" s="1">
        <f t="array" ref="U125">INDEX('ICL3'!$H$2:$H$41,MATCH(MIN(ABS(AH125-'ICL3'!$F$2:$F$41)),ABS(AH125-'ICL3'!$F$2:$F$41),0))</f>
        <v>24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60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 t="e">
        <f>VLOOKUP(A125,'SegEnds_NonXtal_Prot#'!A:AL,13,FALSE)-VLOOKUP(A125,'SegEnds_NonXtal_Prot#'!A:AL,10,FALSE)</f>
        <v>#VALUE!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35</v>
      </c>
      <c r="AG125" s="1">
        <f>VLOOKUP(A125,'SegEnds_NonXtal_Prot#'!A:AL,28,FALSE)-VLOOKUP(A125,'SegEnds_NonXtal_Prot#'!A:AL,22,FALSE)</f>
        <v>65</v>
      </c>
      <c r="AH125" s="1">
        <f>VLOOKUP(A125,'SegEnds_NonXtal_Prot#'!A:AL,31,FALSE)-VLOOKUP(A125,'SegEnds_NonXtal_Prot#'!A:AL,28,FALSE)</f>
        <v>53</v>
      </c>
      <c r="AI125" s="1">
        <f>VLOOKUP(A125,'SegEnds_NonXtal_Prot#'!A:AL,34,FALSE)-VLOOKUP(A125,'SegEnds_NonXtal_Prot#'!A:AL,31,FALSE)</f>
        <v>39</v>
      </c>
      <c r="AJ125" s="1">
        <f>VLOOKUP(A125,'SegEnds_NonXtal_Prot#'!A:AL,37,FALSE)-VLOOKUP(A125,'SegEnds_NonXtal_Prot#'!A:AL,34,FALSE)</f>
        <v>10</v>
      </c>
      <c r="AK125" s="1" t="str">
        <f>IF(ISERROR(MATCH(A125,'SegEnds_Xtal_Prot#'!B:B, 0)), "NoXtal", "Xtal")</f>
        <v>NoXtal</v>
      </c>
    </row>
    <row r="126" spans="1:37" x14ac:dyDescent="0.2">
      <c r="A126" s="1" t="s">
        <v>1173</v>
      </c>
      <c r="B126" s="1" t="str">
        <f>VLOOKUP(A126,Xtal_Templ!A:B,2,FALSE)</f>
        <v>ffar1_human</v>
      </c>
      <c r="C126" s="5">
        <f>VLOOKUP($B126&amp;"__wt",'SegEnds_Xtal_BW#'!$A:$Z,3,FALSE)</f>
        <v>31</v>
      </c>
      <c r="D126" s="1">
        <f>VLOOKUP($B126&amp;"__wt",'SegEnds_Xtal_BW#'!$A:$Z,4,FALSE)</f>
        <v>64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8">
        <f>VLOOKUP($B126&amp;"__wt",'SegEnds_Xtal_BW#'!$A:$Z,15,FALSE)</f>
        <v>38</v>
      </c>
      <c r="P126" s="1">
        <f>VLOOKUP($B126&amp;"__wt",'SegEnds_Xtal_BW#'!$A:$Z,16,FALSE)</f>
        <v>65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INDEX('ICL3'!$G$2:$G$41,MATCH(MIN(ABS(AH126-'ICL3'!$F$2:$F$41)),ABS(AH126-'ICL3'!$F$2:$F$41),0))</f>
        <v>67</v>
      </c>
      <c r="U126" s="1">
        <f t="array" ref="U126">INDEX('ICL3'!$H$2:$H$41,MATCH(MIN(ABS(AH126-'ICL3'!$F$2:$F$41)),ABS(AH126-'ICL3'!$F$2:$F$41),0))</f>
        <v>28</v>
      </c>
      <c r="V126" s="1">
        <v>61</v>
      </c>
      <c r="W126" s="1">
        <v>32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24</v>
      </c>
      <c r="AG126" s="1">
        <f>VLOOKUP(A126,'SegEnds_NonXtal_Prot#'!A:AL,28,FALSE)-VLOOKUP(A126,'SegEnds_NonXtal_Prot#'!A:AL,22,FALSE)</f>
        <v>63</v>
      </c>
      <c r="AH126" s="1">
        <f>VLOOKUP(A126,'SegEnds_NonXtal_Prot#'!A:AL,31,FALSE)-VLOOKUP(A126,'SegEnds_NonXtal_Prot#'!A:AL,28,FALSE)</f>
        <v>45</v>
      </c>
      <c r="AI126" s="1">
        <f>VLOOKUP(A126,'SegEnds_NonXtal_Prot#'!A:AL,34,FALSE)-VLOOKUP(A126,'SegEnds_NonXtal_Prot#'!A:AL,31,FALSE)</f>
        <v>34</v>
      </c>
      <c r="AJ126" s="1">
        <f>VLOOKUP(A126,'SegEnds_NonXtal_Prot#'!A:AL,37,FALSE)-VLOOKUP(A126,'SegEnds_NonXtal_Prot#'!A:AL,34,FALSE)</f>
        <v>10</v>
      </c>
      <c r="AK126" s="1" t="str">
        <f>IF(ISERROR(MATCH(A126,'SegEnds_Xtal_Prot#'!B:B, 0)), "NoXtal", "Xtal")</f>
        <v>Xtal</v>
      </c>
    </row>
    <row r="127" spans="1:37" x14ac:dyDescent="0.2">
      <c r="A127" s="1" t="s">
        <v>198</v>
      </c>
      <c r="B127" s="1" t="str">
        <f>VLOOKUP(A127,Xtal_Templ!A:B,2,FALSE)</f>
        <v>par2_human</v>
      </c>
      <c r="C127" s="5">
        <f>VLOOKUP($B127&amp;"__wt",'SegEnds_Xtal_BW#'!$A:$Z,3,FALSE)</f>
        <v>28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8">
        <f>VLOOKUP($B127&amp;"__wt",'SegEnds_Xtal_BW#'!$A:$Z,15,FALSE)</f>
        <v>38</v>
      </c>
      <c r="P127" s="1">
        <f>VLOOKUP($B127&amp;"__wt",'SegEnds_Xtal_BW#'!$A:$Z,16,FALSE)</f>
        <v>62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INDEX('ICL3'!$G$2:$G$41,MATCH(MIN(ABS(AH127-'ICL3'!$F$2:$F$41)),ABS(AH127-'ICL3'!$F$2:$F$41),0))</f>
        <v>67</v>
      </c>
      <c r="U127" s="1">
        <f t="array" ref="U127">INDEX('ICL3'!$H$2:$H$41,MATCH(MIN(ABS(AH127-'ICL3'!$F$2:$F$41)),ABS(AH127-'ICL3'!$F$2:$F$41),0))</f>
        <v>26</v>
      </c>
      <c r="V127" s="1">
        <v>61</v>
      </c>
      <c r="W127" s="1">
        <v>33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57</v>
      </c>
      <c r="AH127" s="1">
        <f>VLOOKUP(A127,'SegEnds_NonXtal_Prot#'!A:AL,31,FALSE)-VLOOKUP(A127,'SegEnds_NonXtal_Prot#'!A:AL,28,FALSE)</f>
        <v>46</v>
      </c>
      <c r="AI127" s="1">
        <f>VLOOKUP(A127,'SegEnds_NonXtal_Prot#'!A:AL,34,FALSE)-VLOOKUP(A127,'SegEnds_NonXtal_Prot#'!A:AL,31,FALSE)</f>
        <v>33</v>
      </c>
      <c r="AJ127" s="1">
        <f>VLOOKUP(A127,'SegEnds_NonXtal_Prot#'!A:AL,37,FALSE)-VLOOKUP(A127,'SegEnds_NonXtal_Prot#'!A:AL,34,FALSE)</f>
        <v>10</v>
      </c>
      <c r="AK127" s="1" t="str">
        <f>IF(ISERROR(MATCH(A127,'SegEnds_Xtal_Prot#'!B:B, 0)), "NoXtal", "Xtal")</f>
        <v>NoXtal</v>
      </c>
    </row>
    <row r="128" spans="1:37" x14ac:dyDescent="0.2">
      <c r="A128" s="1" t="s">
        <v>199</v>
      </c>
      <c r="B128" s="1" t="str">
        <f>VLOOKUP(A128,Xtal_Templ!A:B,2,FALSE)</f>
        <v>par1_human</v>
      </c>
      <c r="C128" s="5">
        <f>VLOOKUP($B128&amp;"__wt",'SegEnds_Xtal_BW#'!$A:$Z,3,FALSE)</f>
        <v>29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8">
        <f>VLOOKUP($B128&amp;"__wt",'SegEnds_Xtal_BW#'!$A:$Z,15,FALSE)</f>
        <v>38</v>
      </c>
      <c r="P128" s="1">
        <f>VLOOKUP($B128&amp;"__wt",'SegEnds_Xtal_BW#'!$A:$Z,16,FALSE)</f>
        <v>63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32</v>
      </c>
      <c r="T128" s="1">
        <f t="array" ref="T128">INDEX('ICL3'!$G$2:$G$41,MATCH(MIN(ABS(AH128-'ICL3'!$F$2:$F$41)),ABS(AH128-'ICL3'!$F$2:$F$41),0))</f>
        <v>68</v>
      </c>
      <c r="U128" s="1">
        <f t="array" ref="U128">INDEX('ICL3'!$H$2:$H$41,MATCH(MIN(ABS(AH128-'ICL3'!$F$2:$F$41)),ABS(AH128-'ICL3'!$F$2:$F$41),0))</f>
        <v>28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27</v>
      </c>
      <c r="AG128" s="1">
        <f>VLOOKUP(A128,'SegEnds_NonXtal_Prot#'!A:AL,28,FALSE)-VLOOKUP(A128,'SegEnds_NonXtal_Prot#'!A:AL,22,FALSE)</f>
        <v>56</v>
      </c>
      <c r="AH128" s="1">
        <f>VLOOKUP(A128,'SegEnds_NonXtal_Prot#'!A:AL,31,FALSE)-VLOOKUP(A128,'SegEnds_NonXtal_Prot#'!A:AL,28,FALSE)</f>
        <v>44</v>
      </c>
      <c r="AI128" s="1">
        <f>VLOOKUP(A128,'SegEnds_NonXtal_Prot#'!A:AL,34,FALSE)-VLOOKUP(A128,'SegEnds_NonXtal_Prot#'!A:AL,31,FALSE)</f>
        <v>33</v>
      </c>
      <c r="AJ128" s="1">
        <f>VLOOKUP(A128,'SegEnds_NonXtal_Prot#'!A:AL,37,FALSE)-VLOOKUP(A128,'SegEnds_NonXtal_Prot#'!A:AL,34,FALSE)</f>
        <v>10</v>
      </c>
      <c r="AK128" s="1" t="str">
        <f>IF(ISERROR(MATCH(A128,'SegEnds_Xtal_Prot#'!B:B, 0)), "NoXtal", "Xtal")</f>
        <v>NoXtal</v>
      </c>
    </row>
    <row r="129" spans="1:37" x14ac:dyDescent="0.2">
      <c r="A129" s="1" t="s">
        <v>201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8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INDEX('ICL3'!$G$2:$G$41,MATCH(MIN(ABS(AH129-'ICL3'!$F$2:$F$41)),ABS(AH129-'ICL3'!$F$2:$F$41),0))</f>
        <v>68</v>
      </c>
      <c r="U129" s="1">
        <f t="array" ref="U129">INDEX('ICL3'!$H$2:$H$41,MATCH(MIN(ABS(AH129-'ICL3'!$F$2:$F$41)),ABS(AH129-'ICL3'!$F$2:$F$41),0))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37</v>
      </c>
      <c r="AG129" s="1">
        <f>VLOOKUP(A129,'SegEnds_NonXtal_Prot#'!A:AL,28,FALSE)-VLOOKUP(A129,'SegEnds_NonXtal_Prot#'!A:AL,22,FALSE)</f>
        <v>63</v>
      </c>
      <c r="AH129" s="1">
        <f>VLOOKUP(A129,'SegEnds_NonXtal_Prot#'!A:AL,31,FALSE)-VLOOKUP(A129,'SegEnds_NonXtal_Prot#'!A:AL,28,FALSE)</f>
        <v>43</v>
      </c>
      <c r="AI129" s="1">
        <f>VLOOKUP(A129,'SegEnds_NonXtal_Prot#'!A:AL,34,FALSE)-VLOOKUP(A129,'SegEnds_NonXtal_Prot#'!A:AL,31,FALSE)</f>
        <v>42</v>
      </c>
      <c r="AJ129" s="1">
        <f>VLOOKUP(A129,'SegEnds_NonXtal_Prot#'!A:AL,37,FALSE)-VLOOKUP(A129,'SegEnds_NonXtal_Prot#'!A:AL,34,FALSE)</f>
        <v>10</v>
      </c>
      <c r="AK129" s="1" t="str">
        <f>IF(ISERROR(MATCH(A129,'SegEnds_Xtal_Prot#'!B:B, 0)), "NoXtal", "Xtal")</f>
        <v>NoXtal</v>
      </c>
    </row>
    <row r="130" spans="1:37" x14ac:dyDescent="0.2">
      <c r="A130" s="1" t="s">
        <v>202</v>
      </c>
      <c r="B130" s="1" t="str">
        <f>VLOOKUP(A130,Xtal_Templ!A:B,2,FALSE)</f>
        <v>c5ar1_human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f>VLOOKUP($B130&amp;"__wt",'SegEnds_Xtal_BW#'!$A:$Z,14,FALSE)</f>
        <v>57</v>
      </c>
      <c r="O130" s="88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INDEX('ICL3'!$G$2:$G$41,MATCH(MIN(ABS(AH130-'ICL3'!$F$2:$F$41)),ABS(AH130-'ICL3'!$F$2:$F$41),0))</f>
        <v>68</v>
      </c>
      <c r="U130" s="1">
        <f t="array" ref="U130">INDEX('ICL3'!$H$2:$H$41,MATCH(MIN(ABS(AH130-'ICL3'!$F$2:$F$41)),ABS(AH130-'ICL3'!$F$2:$F$41),0))</f>
        <v>30</v>
      </c>
      <c r="V130" s="1">
        <v>61</v>
      </c>
      <c r="W130" s="1">
        <v>24</v>
      </c>
      <c r="X130" s="109">
        <v>56</v>
      </c>
      <c r="Y130" s="1">
        <f>VLOOKUP($B130&amp;"__wt",'SegEnds_Xtal_BW#'!$A:$Z,25,FALSE)</f>
        <v>47</v>
      </c>
      <c r="Z130" s="1">
        <f>VLOOKUP($B130&amp;"__wt",'SegEnds_Xtal_BW#'!$A:$Z,26,FALSE)</f>
        <v>56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37</v>
      </c>
      <c r="AG130" s="1">
        <f>VLOOKUP(A130,'SegEnds_NonXtal_Prot#'!A:AL,28,FALSE)-VLOOKUP(A130,'SegEnds_NonXtal_Prot#'!A:AL,22,FALSE)</f>
        <v>63</v>
      </c>
      <c r="AH130" s="1">
        <f>VLOOKUP(A130,'SegEnds_NonXtal_Prot#'!A:AL,31,FALSE)-VLOOKUP(A130,'SegEnds_NonXtal_Prot#'!A:AL,28,FALSE)</f>
        <v>43</v>
      </c>
      <c r="AI130" s="1">
        <f>VLOOKUP(A130,'SegEnds_NonXtal_Prot#'!A:AL,34,FALSE)-VLOOKUP(A130,'SegEnds_NonXtal_Prot#'!A:AL,31,FALSE)</f>
        <v>43</v>
      </c>
      <c r="AJ130" s="1">
        <f>VLOOKUP(A130,'SegEnds_NonXtal_Prot#'!A:AL,37,FALSE)-VLOOKUP(A130,'SegEnds_NonXtal_Prot#'!A:AL,34,FALSE)</f>
        <v>10</v>
      </c>
      <c r="AK130" s="1" t="str">
        <f>IF(ISERROR(MATCH(A130,'SegEnds_Xtal_Prot#'!B:B, 0)), "NoXtal", "Xtal")</f>
        <v>NoXtal</v>
      </c>
    </row>
    <row r="131" spans="1:37" x14ac:dyDescent="0.2">
      <c r="A131" s="1" t="s">
        <v>203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8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INDEX('ICL3'!$G$2:$G$41,MATCH(MIN(ABS(AH131-'ICL3'!$F$2:$F$41)),ABS(AH131-'ICL3'!$F$2:$F$41),0))</f>
        <v>68</v>
      </c>
      <c r="U131" s="1">
        <f t="array" ref="U131">INDEX('ICL3'!$H$2:$H$41,MATCH(MIN(ABS(AH131-'ICL3'!$F$2:$F$41)),ABS(AH131-'ICL3'!$F$2:$F$41),0))</f>
        <v>30</v>
      </c>
      <c r="V131" s="1">
        <v>61</v>
      </c>
      <c r="W131" s="1">
        <v>24</v>
      </c>
      <c r="X131" s="109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37</v>
      </c>
      <c r="AG131" s="1">
        <f>VLOOKUP(A131,'SegEnds_NonXtal_Prot#'!A:AL,28,FALSE)-VLOOKUP(A131,'SegEnds_NonXtal_Prot#'!A:AL,22,FALSE)</f>
        <v>63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43</v>
      </c>
      <c r="AJ131" s="1">
        <f>VLOOKUP(A131,'SegEnds_NonXtal_Prot#'!A:AL,37,FALSE)-VLOOKUP(A131,'SegEnds_NonXtal_Prot#'!A:AL,34,FALSE)</f>
        <v>10</v>
      </c>
      <c r="AK131" s="1" t="str">
        <f>IF(ISERROR(MATCH(A131,'SegEnds_Xtal_Prot#'!B:B, 0)), "NoXtal", "Xtal")</f>
        <v>NoXtal</v>
      </c>
    </row>
    <row r="132" spans="1:37" x14ac:dyDescent="0.2">
      <c r="A132" s="1" t="s">
        <v>205</v>
      </c>
      <c r="B132" s="1" t="str">
        <f>VLOOKUP(A132,Xtal_Templ!A:B,2,FALSE)</f>
        <v>oprk_human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8">
        <f>VLOOKUP($B132&amp;"__wt",'SegEnds_Xtal_BW#'!$A:$Z,15,FALSE)</f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30</v>
      </c>
      <c r="T132" s="1">
        <f t="array" ref="T132">INDEX('ICL3'!$G$2:$G$41,MATCH(MIN(ABS(AH132-'ICL3'!$F$2:$F$41)),ABS(AH132-'ICL3'!$F$2:$F$41),0))</f>
        <v>72</v>
      </c>
      <c r="U132" s="1">
        <f t="array" ref="U132">INDEX('ICL3'!$H$2:$H$41,MATCH(MIN(ABS(AH132-'ICL3'!$F$2:$F$41)),ABS(AH132-'ICL3'!$F$2:$F$41),0))</f>
        <v>29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25</v>
      </c>
      <c r="AG132" s="1">
        <f>VLOOKUP(A132,'SegEnds_NonXtal_Prot#'!A:AL,28,FALSE)-VLOOKUP(A132,'SegEnds_NonXtal_Prot#'!A:AL,22,FALSE)</f>
        <v>52</v>
      </c>
      <c r="AH132" s="1">
        <f>VLOOKUP(A132,'SegEnds_NonXtal_Prot#'!A:AL,31,FALSE)-VLOOKUP(A132,'SegEnds_NonXtal_Prot#'!A:AL,28,FALSE)</f>
        <v>50</v>
      </c>
      <c r="AI132" s="1">
        <f>VLOOKUP(A132,'SegEnds_NonXtal_Prot#'!A:AL,34,FALSE)-VLOOKUP(A132,'SegEnds_NonXtal_Prot#'!A:AL,31,FALSE)</f>
        <v>38</v>
      </c>
      <c r="AJ132" s="1">
        <f>VLOOKUP(A132,'SegEnds_NonXtal_Prot#'!A:AL,37,FALSE)-VLOOKUP(A132,'SegEnds_NonXtal_Prot#'!A:AL,34,FALSE)</f>
        <v>10</v>
      </c>
      <c r="AK132" s="1" t="str">
        <f>IF(ISERROR(MATCH(A132,'SegEnds_Xtal_Prot#'!B:B, 0)), "NoXtal", "Xtal")</f>
        <v>NoXtal</v>
      </c>
    </row>
    <row r="133" spans="1:37" x14ac:dyDescent="0.2">
      <c r="A133" s="1" t="s">
        <v>206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8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INDEX('ICL3'!$G$2:$G$41,MATCH(MIN(ABS(AH133-'ICL3'!$F$2:$F$41)),ABS(AH133-'ICL3'!$F$2:$F$41),0))</f>
        <v>72</v>
      </c>
      <c r="U133" s="1">
        <f t="array" ref="U133">INDEX('ICL3'!$H$2:$H$41,MATCH(MIN(ABS(AH133-'ICL3'!$F$2:$F$41)),ABS(AH133-'ICL3'!$F$2:$F$41),0))</f>
        <v>24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24</v>
      </c>
      <c r="AG133" s="1">
        <f>VLOOKUP(A133,'SegEnds_NonXtal_Prot#'!A:AL,28,FALSE)-VLOOKUP(A133,'SegEnds_NonXtal_Prot#'!A:AL,22,FALSE)</f>
        <v>49</v>
      </c>
      <c r="AH133" s="1">
        <f>VLOOKUP(A133,'SegEnds_NonXtal_Prot#'!A:AL,31,FALSE)-VLOOKUP(A133,'SegEnds_NonXtal_Prot#'!A:AL,28,FALSE)</f>
        <v>52</v>
      </c>
      <c r="AI133" s="1">
        <f>VLOOKUP(A133,'SegEnds_NonXtal_Prot#'!A:AL,34,FALSE)-VLOOKUP(A133,'SegEnds_NonXtal_Prot#'!A:AL,31,FALSE)</f>
        <v>38</v>
      </c>
      <c r="AJ133" s="1">
        <f>VLOOKUP(A133,'SegEnds_NonXtal_Prot#'!A:AL,37,FALSE)-VLOOKUP(A133,'SegEnds_NonXtal_Prot#'!A:AL,34,FALSE)</f>
        <v>10</v>
      </c>
      <c r="AK133" s="1" t="str">
        <f>IF(ISERROR(MATCH(A133,'SegEnds_Xtal_Prot#'!B:B, 0)), "NoXtal", "Xtal")</f>
        <v>NoXtal</v>
      </c>
    </row>
    <row r="134" spans="1:37" x14ac:dyDescent="0.2">
      <c r="A134" s="1" t="s">
        <v>207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8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INDEX('ICL3'!$G$2:$G$41,MATCH(MIN(ABS(AH134-'ICL3'!$F$2:$F$41)),ABS(AH134-'ICL3'!$F$2:$F$41),0))</f>
        <v>72</v>
      </c>
      <c r="U134" s="1">
        <f t="array" ref="U134">INDEX('ICL3'!$H$2:$H$41,MATCH(MIN(ABS(AH134-'ICL3'!$F$2:$F$41)),ABS(AH134-'ICL3'!$F$2:$F$41),0))</f>
        <v>24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19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24</v>
      </c>
      <c r="AG134" s="1">
        <f>VLOOKUP(A134,'SegEnds_NonXtal_Prot#'!A:AL,28,FALSE)-VLOOKUP(A134,'SegEnds_NonXtal_Prot#'!A:AL,22,FALSE)</f>
        <v>49</v>
      </c>
      <c r="AH134" s="1">
        <f>VLOOKUP(A134,'SegEnds_NonXtal_Prot#'!A:AL,31,FALSE)-VLOOKUP(A134,'SegEnds_NonXtal_Prot#'!A:AL,28,FALSE)</f>
        <v>54</v>
      </c>
      <c r="AI134" s="1">
        <f>VLOOKUP(A134,'SegEnds_NonXtal_Prot#'!A:AL,34,FALSE)-VLOOKUP(A134,'SegEnds_NonXtal_Prot#'!A:AL,31,FALSE)</f>
        <v>38</v>
      </c>
      <c r="AJ134" s="1">
        <f>VLOOKUP(A134,'SegEnds_NonXtal_Prot#'!A:AL,37,FALSE)-VLOOKUP(A134,'SegEnds_NonXtal_Prot#'!A:AL,34,FALSE)</f>
        <v>10</v>
      </c>
      <c r="AK134" s="1" t="str">
        <f>IF(ISERROR(MATCH(A134,'SegEnds_Xtal_Prot#'!B:B, 0)), "NoXtal", "Xtal")</f>
        <v>NoXtal</v>
      </c>
    </row>
    <row r="135" spans="1:37" x14ac:dyDescent="0.2">
      <c r="A135" s="1" t="s">
        <v>208</v>
      </c>
      <c r="B135" s="1" t="str">
        <f>VLOOKUP(A135,Xtal_Templ!A:B,2,FALSE)</f>
        <v>ox2r_human</v>
      </c>
      <c r="C135" s="5">
        <f>VLOOKUP($B135&amp;"__wt",'SegEnds_Xtal_BW#'!$A:$Z,3,FALSE)</f>
        <v>31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8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33</v>
      </c>
      <c r="T135" s="1">
        <f t="array" ref="T135">INDEX('ICL3'!$G$2:$G$41,MATCH(MIN(ABS(AH135-'ICL3'!$F$2:$F$41)),ABS(AH135-'ICL3'!$F$2:$F$41),0))</f>
        <v>76</v>
      </c>
      <c r="U135" s="1">
        <f t="array" ref="U135">INDEX('ICL3'!$H$2:$H$41,MATCH(MIN(ABS(AH135-'ICL3'!$F$2:$F$41)),ABS(AH135-'ICL3'!$F$2:$F$41),0))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58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25</v>
      </c>
      <c r="AG135" s="1">
        <f>VLOOKUP(A135,'SegEnds_NonXtal_Prot#'!A:AL,28,FALSE)-VLOOKUP(A135,'SegEnds_NonXtal_Prot#'!A:AL,22,FALSE)</f>
        <v>51</v>
      </c>
      <c r="AH135" s="1">
        <f>VLOOKUP(A135,'SegEnds_NonXtal_Prot#'!A:AL,31,FALSE)-VLOOKUP(A135,'SegEnds_NonXtal_Prot#'!A:AL,28,FALSE)</f>
        <v>118</v>
      </c>
      <c r="AI135" s="1">
        <f>VLOOKUP(A135,'SegEnds_NonXtal_Prot#'!A:AL,34,FALSE)-VLOOKUP(A135,'SegEnds_NonXtal_Prot#'!A:AL,31,FALSE)</f>
        <v>39</v>
      </c>
      <c r="AJ135" s="1">
        <f>VLOOKUP(A135,'SegEnds_NonXtal_Prot#'!A:AL,37,FALSE)-VLOOKUP(A135,'SegEnds_NonXtal_Prot#'!A:AL,34,FALSE)</f>
        <v>10</v>
      </c>
      <c r="AK135" s="1" t="str">
        <f>IF(ISERROR(MATCH(A135,'SegEnds_Xtal_Prot#'!B:B, 0)), "NoXtal", "Xtal")</f>
        <v>NoXtal</v>
      </c>
    </row>
    <row r="136" spans="1:37" x14ac:dyDescent="0.2">
      <c r="A136" s="1" t="s">
        <v>209</v>
      </c>
      <c r="B136" s="1" t="str">
        <f>VLOOKUP(A136,Xtal_Templ!A:B,2,FALSE)</f>
        <v>ntr1_rat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8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32</v>
      </c>
      <c r="T136" s="1">
        <f t="array" ref="T136">INDEX('ICL3'!$G$2:$G$41,MATCH(MIN(ABS(AH136-'ICL3'!$F$2:$F$41)),ABS(AH136-'ICL3'!$F$2:$F$41),0))</f>
        <v>72</v>
      </c>
      <c r="U136" s="1">
        <f t="array" ref="U136">INDEX('ICL3'!$H$2:$H$41,MATCH(MIN(ABS(AH136-'ICL3'!$F$2:$F$41)),ABS(AH136-'ICL3'!$F$2:$F$41),0))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58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26</v>
      </c>
      <c r="AG136" s="1">
        <f>VLOOKUP(A136,'SegEnds_NonXtal_Prot#'!A:AL,28,FALSE)-VLOOKUP(A136,'SegEnds_NonXtal_Prot#'!A:AL,22,FALSE)</f>
        <v>56</v>
      </c>
      <c r="AH136" s="1">
        <f>VLOOKUP(A136,'SegEnds_NonXtal_Prot#'!A:AL,31,FALSE)-VLOOKUP(A136,'SegEnds_NonXtal_Prot#'!A:AL,28,FALSE)</f>
        <v>54</v>
      </c>
      <c r="AI136" s="1">
        <f>VLOOKUP(A136,'SegEnds_NonXtal_Prot#'!A:AL,34,FALSE)-VLOOKUP(A136,'SegEnds_NonXtal_Prot#'!A:AL,31,FALSE)</f>
        <v>42</v>
      </c>
      <c r="AJ136" s="1">
        <f>VLOOKUP(A136,'SegEnds_NonXtal_Prot#'!A:AL,37,FALSE)-VLOOKUP(A136,'SegEnds_NonXtal_Prot#'!A:AL,34,FALSE)</f>
        <v>10</v>
      </c>
      <c r="AK136" s="1" t="str">
        <f>IF(ISERROR(MATCH(A136,'SegEnds_Xtal_Prot#'!B:B, 0)), "NoXtal", "Xtal")</f>
        <v>NoXtal</v>
      </c>
    </row>
    <row r="137" spans="1:37" x14ac:dyDescent="0.2">
      <c r="A137" s="1" t="s">
        <v>210</v>
      </c>
      <c r="B137" s="1" t="str">
        <f>VLOOKUP(A137,Xtal_Templ!A:B,2,FALSE)</f>
        <v>apj_human</v>
      </c>
      <c r="C137" s="5">
        <f>VLOOKUP($B137&amp;"__wt",'SegEnds_Xtal_BW#'!$A:$Z,3,FALSE)</f>
        <v>33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52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53</v>
      </c>
      <c r="O137" s="88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INDEX('ICL3'!$G$2:$G$41,MATCH(MIN(ABS(AH137-'ICL3'!$F$2:$F$41)),ABS(AH137-'ICL3'!$F$2:$F$41),0))</f>
        <v>74</v>
      </c>
      <c r="U137" s="1">
        <f t="array" ref="U137">INDEX('ICL3'!$H$2:$H$41,MATCH(MIN(ABS(AH137-'ICL3'!$F$2:$F$41)),ABS(AH137-'ICL3'!$F$2:$F$41),0))</f>
        <v>21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14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18</v>
      </c>
      <c r="AF137" s="1">
        <f>VLOOKUP(A137,'SegEnds_NonXtal_Prot#'!A:AL,28,FALSE)-VLOOKUP(A137,'SegEnds_NonXtal_Prot#'!A:AL,25,FALSE)</f>
        <v>23</v>
      </c>
      <c r="AG137" s="1">
        <f>VLOOKUP(A137,'SegEnds_NonXtal_Prot#'!A:AL,28,FALSE)-VLOOKUP(A137,'SegEnds_NonXtal_Prot#'!A:AL,22,FALSE)</f>
        <v>59</v>
      </c>
      <c r="AH137" s="1">
        <f>VLOOKUP(A137,'SegEnds_NonXtal_Prot#'!A:AL,31,FALSE)-VLOOKUP(A137,'SegEnds_NonXtal_Prot#'!A:AL,28,FALSE)</f>
        <v>59</v>
      </c>
      <c r="AI137" s="1">
        <f>VLOOKUP(A137,'SegEnds_NonXtal_Prot#'!A:AL,34,FALSE)-VLOOKUP(A137,'SegEnds_NonXtal_Prot#'!A:AL,31,FALSE)</f>
        <v>38</v>
      </c>
      <c r="AJ137" s="1" t="e">
        <f>VLOOKUP(A137,'SegEnds_NonXtal_Prot#'!A:AL,37,FALSE)-VLOOKUP(A137,'SegEnds_NonXtal_Prot#'!A:AL,34,FALSE)</f>
        <v>#VALUE!</v>
      </c>
      <c r="AK137" s="1" t="str">
        <f>IF(ISERROR(MATCH(A137,'SegEnds_Xtal_Prot#'!B:B, 0)), "NoXtal", "Xtal")</f>
        <v>NoXtal</v>
      </c>
    </row>
    <row r="138" spans="1:37" x14ac:dyDescent="0.2">
      <c r="A138" s="1" t="s">
        <v>212</v>
      </c>
      <c r="B138" s="1" t="str">
        <f>VLOOKUP(A138,Xtal_Templ!A:B,2,FALSE)</f>
        <v>5ht2c_human</v>
      </c>
      <c r="C138" s="5">
        <f>VLOOKUP($B138&amp;"__wt",'SegEnds_Xtal_BW#'!$A:$Z,3,FALSE)</f>
        <v>33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68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8">
        <v>38</v>
      </c>
      <c r="P138" s="1">
        <f>VLOOKUP($B138&amp;"__wt",'SegEnds_Xtal_BW#'!$A:$Z,16,FALSE)</f>
        <v>67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v>35</v>
      </c>
      <c r="T138" s="1">
        <f t="array" ref="T138">INDEX('ICL3'!$G$2:$G$41,MATCH(MIN(ABS(AH138-'ICL3'!$F$2:$F$41)),ABS(AH138-'ICL3'!$F$2:$F$41),0))</f>
        <v>75</v>
      </c>
      <c r="U138" s="1">
        <f t="array" ref="U138">INDEX('ICL3'!$H$2:$H$41,MATCH(MIN(ABS(AH138-'ICL3'!$F$2:$F$41)),ABS(AH138-'ICL3'!$F$2:$F$41),0))</f>
        <v>24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22</v>
      </c>
      <c r="AG138" s="1">
        <f>VLOOKUP(A138,'SegEnds_NonXtal_Prot#'!A:AL,28,FALSE)-VLOOKUP(A138,'SegEnds_NonXtal_Prot#'!A:AL,22,FALSE)</f>
        <v>48</v>
      </c>
      <c r="AH138" s="1">
        <f>VLOOKUP(A138,'SegEnds_NonXtal_Prot#'!A:AL,31,FALSE)-VLOOKUP(A138,'SegEnds_NonXtal_Prot#'!A:AL,28,FALSE)</f>
        <v>210</v>
      </c>
      <c r="AI138" s="1">
        <f>VLOOKUP(A138,'SegEnds_NonXtal_Prot#'!A:AL,34,FALSE)-VLOOKUP(A138,'SegEnds_NonXtal_Prot#'!A:AL,31,FALSE)</f>
        <v>37</v>
      </c>
      <c r="AJ138" s="1">
        <f>VLOOKUP(A138,'SegEnds_NonXtal_Prot#'!A:AL,37,FALSE)-VLOOKUP(A138,'SegEnds_NonXtal_Prot#'!A:AL,34,FALSE)</f>
        <v>10</v>
      </c>
      <c r="AK138" s="1" t="str">
        <f>IF(ISERROR(MATCH(A138,'SegEnds_Xtal_Prot#'!B:B, 0)), "NoXtal", "Xtal")</f>
        <v>NoXtal</v>
      </c>
    </row>
    <row r="139" spans="1:37" x14ac:dyDescent="0.2">
      <c r="A139" s="1" t="s">
        <v>213</v>
      </c>
      <c r="B139" s="1" t="str">
        <f>VLOOKUP(A139,Xtal_Templ!A:B,2,FALSE)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09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8"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INDEX('ICL3'!$G$2:$G$41,MATCH(MIN(ABS(AH139-'ICL3'!$F$2:$F$41)),ABS(AH139-'ICL3'!$F$2:$F$41),0))</f>
        <v>74</v>
      </c>
      <c r="U139" s="1">
        <f t="array" ref="U139">INDEX('ICL3'!$H$2:$H$41,MATCH(MIN(ABS(AH139-'ICL3'!$F$2:$F$41)),ABS(AH139-'ICL3'!$F$2:$F$41),0))</f>
        <v>21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 t="e">
        <f>VLOOKUP(A139,'SegEnds_NonXtal_Prot#'!A:AL,13,FALSE)-VLOOKUP(A139,'SegEnds_NonXtal_Prot#'!A:AL,10,FALSE)</f>
        <v>#VALUE!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21</v>
      </c>
      <c r="AG139" s="1">
        <f>VLOOKUP(A139,'SegEnds_NonXtal_Prot#'!A:AL,28,FALSE)-VLOOKUP(A139,'SegEnds_NonXtal_Prot#'!A:AL,22,FALSE)</f>
        <v>46</v>
      </c>
      <c r="AH139" s="1">
        <f>VLOOKUP(A139,'SegEnds_NonXtal_Prot#'!A:AL,31,FALSE)-VLOOKUP(A139,'SegEnds_NonXtal_Prot#'!A:AL,28,FALSE)</f>
        <v>64</v>
      </c>
      <c r="AI139" s="1">
        <f>VLOOKUP(A139,'SegEnds_NonXtal_Prot#'!A:AL,34,FALSE)-VLOOKUP(A139,'SegEnds_NonXtal_Prot#'!A:AL,31,FALSE)</f>
        <v>36</v>
      </c>
      <c r="AJ139" s="1">
        <f>VLOOKUP(A139,'SegEnds_NonXtal_Prot#'!A:AL,37,FALSE)-VLOOKUP(A139,'SegEnds_NonXtal_Prot#'!A:AL,34,FALSE)</f>
        <v>10</v>
      </c>
      <c r="AK139" s="1" t="str">
        <f>IF(ISERROR(MATCH(A139,'SegEnds_Xtal_Prot#'!B:B, 0)), "NoXtal", "Xtal")</f>
        <v>NoXtal</v>
      </c>
    </row>
    <row r="140" spans="1:37" x14ac:dyDescent="0.2">
      <c r="A140" s="1" t="s">
        <v>214</v>
      </c>
      <c r="B140" s="1" t="str">
        <f>VLOOKUP(A140,Xtal_Templ!A:B,2,FALSE)</f>
        <v>p2ry1_human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8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32</v>
      </c>
      <c r="T140" s="1">
        <f t="array" ref="T140">INDEX('ICL3'!$G$2:$G$41,MATCH(MIN(ABS(AH140-'ICL3'!$F$2:$F$41)),ABS(AH140-'ICL3'!$F$2:$F$41),0))</f>
        <v>67</v>
      </c>
      <c r="U140" s="1">
        <f t="array" ref="U140">INDEX('ICL3'!$H$2:$H$41,MATCH(MIN(ABS(AH140-'ICL3'!$F$2:$F$41)),ABS(AH140-'ICL3'!$F$2:$F$41),0))</f>
        <v>26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 t="e">
        <f>VLOOKUP(A140,'SegEnds_NonXtal_Prot#'!A:AL,22,FALSE)-VLOOKUP(A140,'SegEnds_NonXtal_Prot#'!A:AL,19,FALSE)</f>
        <v>#VALUE!</v>
      </c>
      <c r="AF140" s="1">
        <f>VLOOKUP(A140,'SegEnds_NonXtal_Prot#'!A:AL,28,FALSE)-VLOOKUP(A140,'SegEnds_NonXtal_Prot#'!A:AL,25,FALSE)</f>
        <v>25</v>
      </c>
      <c r="AG140" s="1">
        <f>VLOOKUP(A140,'SegEnds_NonXtal_Prot#'!A:AL,28,FALSE)-VLOOKUP(A140,'SegEnds_NonXtal_Prot#'!A:AL,22,FALSE)</f>
        <v>44</v>
      </c>
      <c r="AH140" s="1">
        <f>VLOOKUP(A140,'SegEnds_NonXtal_Prot#'!A:AL,31,FALSE)-VLOOKUP(A140,'SegEnds_NonXtal_Prot#'!A:AL,28,FALSE)</f>
        <v>46</v>
      </c>
      <c r="AI140" s="1">
        <f>VLOOKUP(A140,'SegEnds_NonXtal_Prot#'!A:AL,34,FALSE)-VLOOKUP(A140,'SegEnds_NonXtal_Prot#'!A:AL,31,FALSE)</f>
        <v>48</v>
      </c>
      <c r="AJ140" s="1">
        <f>VLOOKUP(A140,'SegEnds_NonXtal_Prot#'!A:AL,37,FALSE)-VLOOKUP(A140,'SegEnds_NonXtal_Prot#'!A:AL,34,FALSE)</f>
        <v>10</v>
      </c>
      <c r="AK140" s="1" t="str">
        <f>IF(ISERROR(MATCH(A140,'SegEnds_Xtal_Prot#'!B:B, 0)), "NoXtal", "Xtal")</f>
        <v>NoXtal</v>
      </c>
    </row>
    <row r="141" spans="1:37" x14ac:dyDescent="0.2">
      <c r="A141" s="1" t="s">
        <v>223</v>
      </c>
      <c r="B141" s="1" t="str">
        <f>VLOOKUP(A141,Xtal_Templ!A:B,2,FALSE)</f>
        <v>agtr2_human</v>
      </c>
      <c r="C141" s="5">
        <f>VLOOKUP($B141&amp;"__wt",'SegEnds_Xtal_BW#'!$A:$Z,3,FALSE)</f>
        <v>33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56</v>
      </c>
      <c r="O141" s="88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INDEX('ICL3'!$G$2:$G$41,MATCH(MIN(ABS(AH141-'ICL3'!$F$2:$F$41)),ABS(AH141-'ICL3'!$F$2:$F$41),0))</f>
        <v>68</v>
      </c>
      <c r="U141" s="1">
        <f t="array" ref="U141">INDEX('ICL3'!$H$2:$H$41,MATCH(MIN(ABS(AH141-'ICL3'!$F$2:$F$41)),ABS(AH141-'ICL3'!$F$2:$F$41),0))</f>
        <v>23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19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38</v>
      </c>
      <c r="AJ141" s="1">
        <f>VLOOKUP(A141,'SegEnds_NonXtal_Prot#'!A:AL,37,FALSE)-VLOOKUP(A141,'SegEnds_NonXtal_Prot#'!A:AL,34,FALSE)</f>
        <v>10</v>
      </c>
      <c r="AK141" s="1" t="str">
        <f>IF(ISERROR(MATCH(A141,'SegEnds_Xtal_Prot#'!B:B, 0)), "NoXtal", "Xtal")</f>
        <v>NoXtal</v>
      </c>
    </row>
    <row r="142" spans="1:37" x14ac:dyDescent="0.2">
      <c r="A142" s="1" t="s">
        <v>224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8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INDEX('ICL3'!$G$2:$G$41,MATCH(MIN(ABS(AH142-'ICL3'!$F$2:$F$41)),ABS(AH142-'ICL3'!$F$2:$F$41),0))</f>
        <v>68</v>
      </c>
      <c r="U142" s="1">
        <f t="array" ref="U142">INDEX('ICL3'!$H$2:$H$41,MATCH(MIN(ABS(AH142-'ICL3'!$F$2:$F$41)),ABS(AH142-'ICL3'!$F$2:$F$41),0))</f>
        <v>24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22</v>
      </c>
      <c r="AG142" s="1">
        <f>VLOOKUP(A142,'SegEnds_NonXtal_Prot#'!A:AL,28,FALSE)-VLOOKUP(A142,'SegEnds_NonXtal_Prot#'!A:AL,22,FALSE)</f>
        <v>48</v>
      </c>
      <c r="AH142" s="1">
        <f>VLOOKUP(A142,'SegEnds_NonXtal_Prot#'!A:AL,31,FALSE)-VLOOKUP(A142,'SegEnds_NonXtal_Prot#'!A:AL,28,FALSE)</f>
        <v>48</v>
      </c>
      <c r="AI142" s="1">
        <f>VLOOKUP(A142,'SegEnds_NonXtal_Prot#'!A:AL,34,FALSE)-VLOOKUP(A142,'SegEnds_NonXtal_Prot#'!A:AL,31,FALSE)</f>
        <v>40</v>
      </c>
      <c r="AJ142" s="1">
        <f>VLOOKUP(A142,'SegEnds_NonXtal_Prot#'!A:AL,37,FALSE)-VLOOKUP(A142,'SegEnds_NonXtal_Prot#'!A:AL,34,FALSE)</f>
        <v>10</v>
      </c>
      <c r="AK142" s="1" t="str">
        <f>IF(ISERROR(MATCH(A142,'SegEnds_Xtal_Prot#'!B:B, 0)), "NoXtal", "Xtal")</f>
        <v>NoXtal</v>
      </c>
    </row>
    <row r="143" spans="1:37" x14ac:dyDescent="0.2">
      <c r="A143" s="1" t="s">
        <v>227</v>
      </c>
      <c r="B143" s="1" t="str">
        <f>VLOOKUP(A143,Xtal_Templ!A:B,2,FALSE)</f>
        <v>5ht1b_human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68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8">
        <v>38</v>
      </c>
      <c r="P143" s="1"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v>35</v>
      </c>
      <c r="T143" s="1">
        <f t="array" ref="T143">INDEX('ICL3'!$G$2:$G$41,MATCH(MIN(ABS(AH143-'ICL3'!$F$2:$F$41)),ABS(AH143-'ICL3'!$F$2:$F$41),0))</f>
        <v>76</v>
      </c>
      <c r="U143" s="1">
        <f t="array" ref="U143">INDEX('ICL3'!$H$2:$H$41,MATCH(MIN(ABS(AH143-'ICL3'!$F$2:$F$41)),ABS(AH143-'ICL3'!$F$2:$F$41),0))</f>
        <v>24</v>
      </c>
      <c r="V143" s="1">
        <v>61</v>
      </c>
      <c r="W143" s="1">
        <v>31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58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22</v>
      </c>
      <c r="AG143" s="1">
        <f>VLOOKUP(A143,'SegEnds_NonXtal_Prot#'!A:AL,28,FALSE)-VLOOKUP(A143,'SegEnds_NonXtal_Prot#'!A:AL,22,FALSE)</f>
        <v>48</v>
      </c>
      <c r="AH143" s="1">
        <f>VLOOKUP(A143,'SegEnds_NonXtal_Prot#'!A:AL,31,FALSE)-VLOOKUP(A143,'SegEnds_NonXtal_Prot#'!A:AL,28,FALSE)</f>
        <v>85</v>
      </c>
      <c r="AI143" s="1">
        <f>VLOOKUP(A143,'SegEnds_NonXtal_Prot#'!A:AL,34,FALSE)-VLOOKUP(A143,'SegEnds_NonXtal_Prot#'!A:AL,31,FALSE)</f>
        <v>36</v>
      </c>
      <c r="AJ143" s="1">
        <f>VLOOKUP(A143,'SegEnds_NonXtal_Prot#'!A:AL,37,FALSE)-VLOOKUP(A143,'SegEnds_NonXtal_Prot#'!A:AL,34,FALSE)</f>
        <v>10</v>
      </c>
      <c r="AK143" s="1" t="str">
        <f>IF(ISERROR(MATCH(A143,'SegEnds_Xtal_Prot#'!B:B, 0)), "NoXtal", "Xtal")</f>
        <v>NoXtal</v>
      </c>
    </row>
    <row r="144" spans="1:37" x14ac:dyDescent="0.2">
      <c r="A144" s="1" t="s">
        <v>229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8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INDEX('ICL3'!$G$2:$G$41,MATCH(MIN(ABS(AH144-'ICL3'!$F$2:$F$41)),ABS(AH144-'ICL3'!$F$2:$F$41),0))</f>
        <v>67</v>
      </c>
      <c r="U144" s="1">
        <f t="array" ref="U144">INDEX('ICL3'!$H$2:$H$41,MATCH(MIN(ABS(AH144-'ICL3'!$F$2:$F$41)),ABS(AH144-'ICL3'!$F$2:$F$41),0))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26</v>
      </c>
      <c r="AG144" s="1">
        <f>VLOOKUP(A144,'SegEnds_NonXtal_Prot#'!A:AL,28,FALSE)-VLOOKUP(A144,'SegEnds_NonXtal_Prot#'!A:AL,22,FALSE)</f>
        <v>52</v>
      </c>
      <c r="AH144" s="1">
        <f>VLOOKUP(A144,'SegEnds_NonXtal_Prot#'!A:AL,31,FALSE)-VLOOKUP(A144,'SegEnds_NonXtal_Prot#'!A:AL,28,FALSE)</f>
        <v>47</v>
      </c>
      <c r="AI144" s="1">
        <f>VLOOKUP(A144,'SegEnds_NonXtal_Prot#'!A:AL,34,FALSE)-VLOOKUP(A144,'SegEnds_NonXtal_Prot#'!A:AL,31,FALSE)</f>
        <v>44</v>
      </c>
      <c r="AJ144" s="1">
        <f>VLOOKUP(A144,'SegEnds_NonXtal_Prot#'!A:AL,37,FALSE)-VLOOKUP(A144,'SegEnds_NonXtal_Prot#'!A:AL,34,FALSE)</f>
        <v>10</v>
      </c>
      <c r="AK144" s="1" t="str">
        <f>IF(ISERROR(MATCH(A144,'SegEnds_Xtal_Prot#'!B:B, 0)), "NoXtal", "Xtal")</f>
        <v>NoXtal</v>
      </c>
    </row>
    <row r="145" spans="1:37" x14ac:dyDescent="0.2">
      <c r="A145" s="1" t="s">
        <v>233</v>
      </c>
      <c r="B145" s="1" t="str">
        <f>VLOOKUP(A145,Xtal_Templ!A:B,2,FALSE)</f>
        <v>apj_human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52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8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INDEX('ICL3'!$G$2:$G$41,MATCH(MIN(ABS(AH145-'ICL3'!$F$2:$F$41)),ABS(AH145-'ICL3'!$F$2:$F$41),0))</f>
        <v>68</v>
      </c>
      <c r="U145" s="1">
        <f t="array" ref="U145">INDEX('ICL3'!$H$2:$H$41,MATCH(MIN(ABS(AH145-'ICL3'!$F$2:$F$41)),ABS(AH145-'ICL3'!$F$2:$F$41),0))</f>
        <v>30</v>
      </c>
      <c r="V145" s="1">
        <v>64</v>
      </c>
      <c r="W145" s="1">
        <v>24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28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43</v>
      </c>
      <c r="AI145" s="1">
        <f>VLOOKUP(A145,'SegEnds_NonXtal_Prot#'!A:AL,34,FALSE)-VLOOKUP(A145,'SegEnds_NonXtal_Prot#'!A:AL,31,FALSE)</f>
        <v>44</v>
      </c>
      <c r="AJ145" s="1">
        <f>VLOOKUP(A145,'SegEnds_NonXtal_Prot#'!A:AL,37,FALSE)-VLOOKUP(A145,'SegEnds_NonXtal_Prot#'!A:AL,34,FALSE)</f>
        <v>10</v>
      </c>
      <c r="AK145" s="1" t="str">
        <f>IF(ISERROR(MATCH(A145,'SegEnds_Xtal_Prot#'!B:B, 0)), "NoXtal", "Xtal")</f>
        <v>NoXtal</v>
      </c>
    </row>
    <row r="146" spans="1:37" x14ac:dyDescent="0.2">
      <c r="A146" s="1" t="s">
        <v>234</v>
      </c>
      <c r="B146" s="1" t="str">
        <f>VLOOKUP(A146,Xtal_Templ!A:B,2,FALSE)</f>
        <v>ccr5_human</v>
      </c>
      <c r="C146" s="5">
        <f>VLOOKUP($B146&amp;"__wt",'SegEnds_Xtal_BW#'!$A:$Z,3,FALSE)</f>
        <v>24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8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INDEX('ICL3'!$G$2:$G$41,MATCH(MIN(ABS(AH146-'ICL3'!$F$2:$F$41)),ABS(AH146-'ICL3'!$F$2:$F$41),0))</f>
        <v>68</v>
      </c>
      <c r="U146" s="1">
        <f t="array" ref="U146">INDEX('ICL3'!$H$2:$H$41,MATCH(MIN(ABS(AH146-'ICL3'!$F$2:$F$41)),ABS(AH146-'ICL3'!$F$2:$F$41),0))</f>
        <v>23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27</v>
      </c>
      <c r="AG146" s="1">
        <f>VLOOKUP(A146,'SegEnds_NonXtal_Prot#'!A:AL,28,FALSE)-VLOOKUP(A146,'SegEnds_NonXtal_Prot#'!A:AL,22,FALSE)</f>
        <v>52</v>
      </c>
      <c r="AH146" s="1">
        <f>VLOOKUP(A146,'SegEnds_NonXtal_Prot#'!A:AL,31,FALSE)-VLOOKUP(A146,'SegEnds_NonXtal_Prot#'!A:AL,28,FALSE)</f>
        <v>51</v>
      </c>
      <c r="AI146" s="1">
        <f>VLOOKUP(A146,'SegEnds_NonXtal_Prot#'!A:AL,34,FALSE)-VLOOKUP(A146,'SegEnds_NonXtal_Prot#'!A:AL,31,FALSE)</f>
        <v>46</v>
      </c>
      <c r="AJ146" s="1">
        <f>VLOOKUP(A146,'SegEnds_NonXtal_Prot#'!A:AL,37,FALSE)-VLOOKUP(A146,'SegEnds_NonXtal_Prot#'!A:AL,34,FALSE)</f>
        <v>10</v>
      </c>
      <c r="AK146" s="1" t="str">
        <f>IF(ISERROR(MATCH(A146,'SegEnds_Xtal_Prot#'!B:B, 0)), "NoXtal", "Xtal")</f>
        <v>NoXtal</v>
      </c>
    </row>
    <row r="147" spans="1:37" x14ac:dyDescent="0.2">
      <c r="A147" s="1" t="s">
        <v>237</v>
      </c>
      <c r="B147" s="1" t="str">
        <f>VLOOKUP(A147,Xtal_Templ!A:B,2,FALSE)</f>
        <v>agtr1_human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8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INDEX('ICL3'!$G$2:$G$41,MATCH(MIN(ABS(AH147-'ICL3'!$F$2:$F$41)),ABS(AH147-'ICL3'!$F$2:$F$41),0))</f>
        <v>68</v>
      </c>
      <c r="U147" s="1">
        <f t="array" ref="U147">INDEX('ICL3'!$H$2:$H$41,MATCH(MIN(ABS(AH147-'ICL3'!$F$2:$F$41)),ABS(AH147-'ICL3'!$F$2:$F$41),0))</f>
        <v>30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31</v>
      </c>
      <c r="AG147" s="1">
        <f>VLOOKUP(A147,'SegEnds_NonXtal_Prot#'!A:AL,28,FALSE)-VLOOKUP(A147,'SegEnds_NonXtal_Prot#'!A:AL,22,FALSE)</f>
        <v>56</v>
      </c>
      <c r="AH147" s="1">
        <f>VLOOKUP(A147,'SegEnds_NonXtal_Prot#'!A:AL,31,FALSE)-VLOOKUP(A147,'SegEnds_NonXtal_Prot#'!A:AL,28,FALSE)</f>
        <v>43</v>
      </c>
      <c r="AI147" s="1">
        <f>VLOOKUP(A147,'SegEnds_NonXtal_Prot#'!A:AL,34,FALSE)-VLOOKUP(A147,'SegEnds_NonXtal_Prot#'!A:AL,31,FALSE)</f>
        <v>40</v>
      </c>
      <c r="AJ147" s="1">
        <f>VLOOKUP(A147,'SegEnds_NonXtal_Prot#'!A:AL,37,FALSE)-VLOOKUP(A147,'SegEnds_NonXtal_Prot#'!A:AL,34,FALSE)</f>
        <v>10</v>
      </c>
      <c r="AK147" s="1" t="str">
        <f>IF(ISERROR(MATCH(A147,'SegEnds_Xtal_Prot#'!B:B, 0)), "NoXtal", "Xtal")</f>
        <v>NoXtal</v>
      </c>
    </row>
    <row r="148" spans="1:37" x14ac:dyDescent="0.2">
      <c r="A148" s="1" t="s">
        <v>239</v>
      </c>
      <c r="B148" s="1" t="str">
        <f>VLOOKUP(A148,Xtal_Templ!A:B,2,FALSE)</f>
        <v>agtr1_human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f>VLOOKUP($B148&amp;"__wt",'SegEnds_Xtal_BW#'!$A:$Z,14,FALSE)</f>
        <v>57</v>
      </c>
      <c r="O148" s="88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INDEX('ICL3'!$G$2:$G$41,MATCH(MIN(ABS(AH148-'ICL3'!$F$2:$F$41)),ABS(AH148-'ICL3'!$F$2:$F$41),0))</f>
        <v>68</v>
      </c>
      <c r="U148" s="1">
        <f t="array" ref="U148">INDEX('ICL3'!$H$2:$H$41,MATCH(MIN(ABS(AH148-'ICL3'!$F$2:$F$41)),ABS(AH148-'ICL3'!$F$2:$F$41),0))</f>
        <v>24</v>
      </c>
      <c r="V148" s="1">
        <v>61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24</v>
      </c>
      <c r="AG148" s="1">
        <f>VLOOKUP(A148,'SegEnds_NonXtal_Prot#'!A:AL,28,FALSE)-VLOOKUP(A148,'SegEnds_NonXtal_Prot#'!A:AL,22,FALSE)</f>
        <v>49</v>
      </c>
      <c r="AH148" s="1">
        <f>VLOOKUP(A148,'SegEnds_NonXtal_Prot#'!A:AL,31,FALSE)-VLOOKUP(A148,'SegEnds_NonXtal_Prot#'!A:AL,28,FALSE)</f>
        <v>49</v>
      </c>
      <c r="AI148" s="1">
        <f>VLOOKUP(A148,'SegEnds_NonXtal_Prot#'!A:AL,34,FALSE)-VLOOKUP(A148,'SegEnds_NonXtal_Prot#'!A:AL,31,FALSE)</f>
        <v>43</v>
      </c>
      <c r="AJ148" s="1">
        <f>VLOOKUP(A148,'SegEnds_NonXtal_Prot#'!A:AL,37,FALSE)-VLOOKUP(A148,'SegEnds_NonXtal_Prot#'!A:AL,34,FALSE)</f>
        <v>10</v>
      </c>
      <c r="AK148" s="1" t="str">
        <f>IF(ISERROR(MATCH(A148,'SegEnds_Xtal_Prot#'!B:B, 0)), "NoXtal", "Xtal")</f>
        <v>NoXtal</v>
      </c>
    </row>
    <row r="149" spans="1:37" x14ac:dyDescent="0.2">
      <c r="A149" s="1" t="s">
        <v>240</v>
      </c>
      <c r="B149" s="1" t="str">
        <f>VLOOKUP(A149,Xtal_Templ!A:B,2,FALSE)</f>
        <v>apj_human</v>
      </c>
      <c r="C149" s="5">
        <f>VLOOKUP($B149&amp;"__wt",'SegEnds_Xtal_BW#'!$A:$Z,3,FALSE)</f>
        <v>33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52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8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INDEX('ICL3'!$G$2:$G$41,MATCH(MIN(ABS(AH149-'ICL3'!$F$2:$F$41)),ABS(AH149-'ICL3'!$F$2:$F$41),0))</f>
        <v>67</v>
      </c>
      <c r="U149" s="1">
        <f t="array" ref="U149">INDEX('ICL3'!$H$2:$H$41,MATCH(MIN(ABS(AH149-'ICL3'!$F$2:$F$41)),ABS(AH149-'ICL3'!$F$2:$F$41),0))</f>
        <v>26</v>
      </c>
      <c r="V149" s="1">
        <v>64</v>
      </c>
      <c r="W149" s="1">
        <v>24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 t="e">
        <f>VLOOKUP(A149,'SegEnds_NonXtal_Prot#'!A:AL,10,FALSE)-VLOOKUP(A149,'SegEnds_NonXtal_Prot#'!A:AL,7,FALSE)</f>
        <v>#VALUE!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23</v>
      </c>
      <c r="AG149" s="1">
        <f>VLOOKUP(A149,'SegEnds_NonXtal_Prot#'!A:AL,28,FALSE)-VLOOKUP(A149,'SegEnds_NonXtal_Prot#'!A:AL,22,FALSE)</f>
        <v>48</v>
      </c>
      <c r="AH149" s="1">
        <f>VLOOKUP(A149,'SegEnds_NonXtal_Prot#'!A:AL,31,FALSE)-VLOOKUP(A149,'SegEnds_NonXtal_Prot#'!A:AL,28,FALSE)</f>
        <v>46</v>
      </c>
      <c r="AI149" s="1">
        <f>VLOOKUP(A149,'SegEnds_NonXtal_Prot#'!A:AL,34,FALSE)-VLOOKUP(A149,'SegEnds_NonXtal_Prot#'!A:AL,31,FALSE)</f>
        <v>44</v>
      </c>
      <c r="AJ149" s="1">
        <f>VLOOKUP(A149,'SegEnds_NonXtal_Prot#'!A:AL,37,FALSE)-VLOOKUP(A149,'SegEnds_NonXtal_Prot#'!A:AL,34,FALSE)</f>
        <v>10</v>
      </c>
      <c r="AK149" s="1" t="str">
        <f>IF(ISERROR(MATCH(A149,'SegEnds_Xtal_Prot#'!B:B, 0)), "NoXtal", "Xtal")</f>
        <v>NoXtal</v>
      </c>
    </row>
    <row r="150" spans="1:37" x14ac:dyDescent="0.2">
      <c r="A150" s="4" t="s">
        <v>242</v>
      </c>
      <c r="B150" s="4" t="str">
        <f>VLOOKUP(A150,Xtal_Templ!A:B,2,FALSE)</f>
        <v>ox2r_human</v>
      </c>
      <c r="C150" s="5">
        <f>VLOOKUP($B150&amp;"__wt",'SegEnds_Xtal_BW#'!$A:$Z,3,FALSE)</f>
        <v>31</v>
      </c>
      <c r="D150" s="4">
        <f>VLOOKUP($B150&amp;"__wt",'SegEnds_Xtal_BW#'!$A:$Z,4,FALSE)</f>
        <v>60</v>
      </c>
      <c r="E150" s="4">
        <f>VLOOKUP($B150&amp;"__wt",'SegEnds_Xtal_BW#'!$A:$Z,5,FALSE)</f>
        <v>48</v>
      </c>
      <c r="F150" s="4">
        <f>VLOOKUP($B150&amp;"__wt",'SegEnds_Xtal_BW#'!$A:$Z,6,FALSE)</f>
        <v>51</v>
      </c>
      <c r="G150" s="4">
        <v>37</v>
      </c>
      <c r="H150" s="12">
        <f>VLOOKUP($B150&amp;"__wt",'SegEnds_Xtal_BW#'!$A:$Z,8,FALSE)</f>
        <v>68</v>
      </c>
      <c r="I150" s="4">
        <f>VLOOKUP($B150&amp;"__wt",'SegEnds_Xtal_BW#'!$A:$Z,9,FALSE)</f>
        <v>49</v>
      </c>
      <c r="J150" s="4">
        <f>VLOOKUP($B150&amp;"__wt",'SegEnds_Xtal_BW#'!$A:$Z,10,FALSE)</f>
        <v>52</v>
      </c>
      <c r="K150" s="11">
        <v>18</v>
      </c>
      <c r="L150" s="4">
        <f>VLOOKUP($B150&amp;"__wt",'SegEnds_Xtal_BW#'!$A:$Z,12,FALSE)</f>
        <v>56</v>
      </c>
      <c r="M150" s="4">
        <f>VLOOKUP($B150&amp;"__wt",'SegEnds_Xtal_BW#'!$A:$Z,13,FALSE)</f>
        <v>50</v>
      </c>
      <c r="N150" s="11">
        <v>53</v>
      </c>
      <c r="O150" s="88">
        <f>VLOOKUP($B150&amp;"__wt",'SegEnds_Xtal_BW#'!$A:$Z,15,FALSE)</f>
        <v>38</v>
      </c>
      <c r="P150" s="4">
        <f>VLOOKUP($B150&amp;"__wt",'SegEnds_Xtal_BW#'!$A:$Z,16,FALSE)</f>
        <v>64</v>
      </c>
      <c r="Q150" s="4">
        <f>VLOOKUP($B150&amp;"__wt",'SegEnds_Xtal_BW#'!$A:$Z,17,FALSE)</f>
        <v>50</v>
      </c>
      <c r="R150" s="4">
        <f>VLOOKUP($B150&amp;"__wt",'SegEnds_Xtal_BW#'!$A:$Z,18,FALSE)</f>
        <v>52</v>
      </c>
      <c r="S150" s="4">
        <f>VLOOKUP($B150&amp;"__wt",'SegEnds_Xtal_BW#'!$A:$Z,19,FALSE)</f>
        <v>33</v>
      </c>
      <c r="T150" s="4">
        <f t="array" ref="T150">INDEX('ICL3'!$G$2:$G$41,MATCH(MIN(ABS(AH150-'ICL3'!$F$2:$F$41)),ABS(AH150-'ICL3'!$F$2:$F$41),0))</f>
        <v>73</v>
      </c>
      <c r="U150" s="4">
        <f t="array" ref="U150">INDEX('ICL3'!$H$2:$H$41,MATCH(MIN(ABS(AH150-'ICL3'!$F$2:$F$41)),ABS(AH150-'ICL3'!$F$2:$F$41),0))</f>
        <v>22</v>
      </c>
      <c r="V150" s="4">
        <v>61</v>
      </c>
      <c r="W150" s="4">
        <v>31</v>
      </c>
      <c r="X150" s="4">
        <f>VLOOKUP($B150&amp;"__wt",'SegEnds_Xtal_BW#'!$A:$Z,24,FALSE)</f>
        <v>56</v>
      </c>
      <c r="Y150" s="4">
        <f>VLOOKUP($B150&amp;"__wt",'SegEnds_Xtal_BW#'!$A:$Z,25,FALSE)</f>
        <v>47</v>
      </c>
      <c r="Z150" s="4">
        <f>VLOOKUP($B150&amp;"__wt",'SegEnds_Xtal_BW#'!$A:$Z,26,FALSE)</f>
        <v>58</v>
      </c>
      <c r="AA150" s="27" t="str">
        <f>VLOOKUP(A150,Classification!A:B,2,FALSE)</f>
        <v>A</v>
      </c>
      <c r="AB150" s="4">
        <f>VLOOKUP(A150,'SegEnds_NonXtal_Prot#'!A:AL,10,FALSE)-VLOOKUP(A150,'SegEnds_NonXtal_Prot#'!A:AL,7,FALSE)</f>
        <v>15</v>
      </c>
      <c r="AC150" s="4">
        <f>VLOOKUP(A150,'SegEnds_NonXtal_Prot#'!A:AL,13,FALSE)-VLOOKUP(A150,'SegEnds_NonXtal_Prot#'!A:AL,10,FALSE)</f>
        <v>20</v>
      </c>
      <c r="AD150" s="4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18</v>
      </c>
      <c r="AF150" s="4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47</v>
      </c>
      <c r="AH150" s="4">
        <f>VLOOKUP(A150,'SegEnds_NonXtal_Prot#'!A:AL,31,FALSE)-VLOOKUP(A150,'SegEnds_NonXtal_Prot#'!A:AL,28,FALSE)</f>
        <v>56</v>
      </c>
      <c r="AI150" s="4">
        <f>VLOOKUP(A150,'SegEnds_NonXtal_Prot#'!A:AL,34,FALSE)-VLOOKUP(A150,'SegEnds_NonXtal_Prot#'!A:AL,31,FALSE)</f>
        <v>36</v>
      </c>
      <c r="AJ150" s="1">
        <f>VLOOKUP(A150,'SegEnds_NonXtal_Prot#'!A:AL,37,FALSE)-VLOOKUP(A150,'SegEnds_NonXtal_Prot#'!A:AL,34,FALSE)</f>
        <v>10</v>
      </c>
      <c r="AK150" s="1" t="str">
        <f>IF(ISERROR(MATCH(A150,'SegEnds_Xtal_Prot#'!B:B, 0)), "NoXtal", "Xtal")</f>
        <v>NoXtal</v>
      </c>
    </row>
    <row r="151" spans="1:37" x14ac:dyDescent="0.2">
      <c r="A151" s="1" t="s">
        <v>244</v>
      </c>
      <c r="B151" s="1" t="str">
        <f>VLOOKUP(A151,Xtal_Templ!A:B,2,FALSE)</f>
        <v>5ht2c_human</v>
      </c>
      <c r="C151" s="5">
        <f>VLOOKUP($B151&amp;"__wt",'SegEnds_Xtal_BW#'!$A:$Z,3,FALSE)</f>
        <v>33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09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8">
        <v>38</v>
      </c>
      <c r="P151" s="1">
        <f>VLOOKUP($B151&amp;"__wt",'SegEnds_Xtal_BW#'!$A:$Z,16,FALSE)</f>
        <v>67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INDEX('ICL3'!$G$2:$G$41,MATCH(MIN(ABS(AH151-'ICL3'!$F$2:$F$41)),ABS(AH151-'ICL3'!$F$2:$F$41),0))</f>
        <v>74</v>
      </c>
      <c r="U151" s="1">
        <f t="array" ref="U151">INDEX('ICL3'!$H$2:$H$41,MATCH(MIN(ABS(AH151-'ICL3'!$F$2:$F$41)),ABS(AH151-'ICL3'!$F$2:$F$41),0))</f>
        <v>21</v>
      </c>
      <c r="V151" s="1">
        <v>61</v>
      </c>
      <c r="W151" s="1">
        <v>32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16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21</v>
      </c>
      <c r="AG151" s="1">
        <f>VLOOKUP(A151,'SegEnds_NonXtal_Prot#'!A:AL,28,FALSE)-VLOOKUP(A151,'SegEnds_NonXtal_Prot#'!A:AL,22,FALSE)</f>
        <v>48</v>
      </c>
      <c r="AH151" s="1">
        <f>VLOOKUP(A151,'SegEnds_NonXtal_Prot#'!A:AL,31,FALSE)-VLOOKUP(A151,'SegEnds_NonXtal_Prot#'!A:AL,28,FALSE)</f>
        <v>65</v>
      </c>
      <c r="AI151" s="1">
        <f>VLOOKUP(A151,'SegEnds_NonXtal_Prot#'!A:AL,34,FALSE)-VLOOKUP(A151,'SegEnds_NonXtal_Prot#'!A:AL,31,FALSE)</f>
        <v>34</v>
      </c>
      <c r="AJ151" s="1">
        <f>VLOOKUP(A151,'SegEnds_NonXtal_Prot#'!A:AL,37,FALSE)-VLOOKUP(A151,'SegEnds_NonXtal_Prot#'!A:AL,34,FALSE)</f>
        <v>10</v>
      </c>
      <c r="AK151" s="1" t="str">
        <f>IF(ISERROR(MATCH(A151,'SegEnds_Xtal_Prot#'!B:B, 0)), "NoXtal", "Xtal")</f>
        <v>NoXtal</v>
      </c>
    </row>
    <row r="152" spans="1:37" x14ac:dyDescent="0.2">
      <c r="A152" s="1" t="s">
        <v>245</v>
      </c>
      <c r="B152" s="1" t="str">
        <f>VLOOKUP(A152,Xtal_Templ!A:B,2,FALSE)</f>
        <v>hrh1_human</v>
      </c>
      <c r="C152" s="5">
        <f>VLOOKUP($B152&amp;"__wt",'SegEnds_Xtal_BW#'!$A:$Z,3,FALSE)</f>
        <v>34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53</v>
      </c>
      <c r="O152" s="88">
        <f>VLOOKUP($B152&amp;"__wt",'SegEnds_Xtal_BW#'!$A:$Z,15,FALSE)</f>
        <v>38</v>
      </c>
      <c r="P152" s="1">
        <v>63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INDEX('ICL3'!$G$2:$G$41,MATCH(MIN(ABS(AH152-'ICL3'!$F$2:$F$41)),ABS(AH152-'ICL3'!$F$2:$F$41),0))</f>
        <v>74</v>
      </c>
      <c r="U152" s="1">
        <f t="array" ref="U152">INDEX('ICL3'!$H$2:$H$41,MATCH(MIN(ABS(AH152-'ICL3'!$F$2:$F$41)),ABS(AH152-'ICL3'!$F$2:$F$41),0))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16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18</v>
      </c>
      <c r="AF152" s="1">
        <f>VLOOKUP(A152,'SegEnds_NonXtal_Prot#'!A:AL,28,FALSE)-VLOOKUP(A152,'SegEnds_NonXtal_Prot#'!A:AL,25,FALSE)</f>
        <v>26</v>
      </c>
      <c r="AG152" s="1">
        <f>VLOOKUP(A152,'SegEnds_NonXtal_Prot#'!A:AL,28,FALSE)-VLOOKUP(A152,'SegEnds_NonXtal_Prot#'!A:AL,22,FALSE)</f>
        <v>58</v>
      </c>
      <c r="AH152" s="1">
        <f>VLOOKUP(A152,'SegEnds_NonXtal_Prot#'!A:AL,31,FALSE)-VLOOKUP(A152,'SegEnds_NonXtal_Prot#'!A:AL,28,FALSE)</f>
        <v>105</v>
      </c>
      <c r="AI152" s="1">
        <f>VLOOKUP(A152,'SegEnds_NonXtal_Prot#'!A:AL,34,FALSE)-VLOOKUP(A152,'SegEnds_NonXtal_Prot#'!A:AL,31,FALSE)</f>
        <v>36</v>
      </c>
      <c r="AJ152" s="1">
        <f>VLOOKUP(A152,'SegEnds_NonXtal_Prot#'!A:AL,37,FALSE)-VLOOKUP(A152,'SegEnds_NonXtal_Prot#'!A:AL,34,FALSE)</f>
        <v>10</v>
      </c>
      <c r="AK152" s="1" t="str">
        <f>IF(ISERROR(MATCH(A152,'SegEnds_Xtal_Prot#'!B:B, 0)), "NoXtal", "Xtal")</f>
        <v>NoXtal</v>
      </c>
    </row>
    <row r="153" spans="1:37" x14ac:dyDescent="0.2">
      <c r="A153" s="1" t="s">
        <v>246</v>
      </c>
      <c r="B153" s="1" t="str">
        <f>VLOOKUP(A153,Xtal_Templ!A:B,2,FALSE)</f>
        <v>agtr1_human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8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34</v>
      </c>
      <c r="T153" s="1">
        <f t="array" ref="T153">INDEX('ICL3'!$G$2:$G$41,MATCH(MIN(ABS(AH153-'ICL3'!$F$2:$F$41)),ABS(AH153-'ICL3'!$F$2:$F$41),0))</f>
        <v>67</v>
      </c>
      <c r="U153" s="1">
        <f t="array" ref="U153">INDEX('ICL3'!$H$2:$H$41,MATCH(MIN(ABS(AH153-'ICL3'!$F$2:$F$41)),ABS(AH153-'ICL3'!$F$2:$F$41),0))</f>
        <v>28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61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23</v>
      </c>
      <c r="AG153" s="1">
        <f>VLOOKUP(A153,'SegEnds_NonXtal_Prot#'!A:AL,28,FALSE)-VLOOKUP(A153,'SegEnds_NonXtal_Prot#'!A:AL,22,FALSE)</f>
        <v>50</v>
      </c>
      <c r="AH153" s="1">
        <f>VLOOKUP(A153,'SegEnds_NonXtal_Prot#'!A:AL,31,FALSE)-VLOOKUP(A153,'SegEnds_NonXtal_Prot#'!A:AL,28,FALSE)</f>
        <v>45</v>
      </c>
      <c r="AI153" s="1">
        <f>VLOOKUP(A153,'SegEnds_NonXtal_Prot#'!A:AL,34,FALSE)-VLOOKUP(A153,'SegEnds_NonXtal_Prot#'!A:AL,31,FALSE)</f>
        <v>45</v>
      </c>
      <c r="AJ153" s="1">
        <f>VLOOKUP(A153,'SegEnds_NonXtal_Prot#'!A:AL,37,FALSE)-VLOOKUP(A153,'SegEnds_NonXtal_Prot#'!A:AL,34,FALSE)</f>
        <v>10</v>
      </c>
      <c r="AK153" s="1" t="str">
        <f>IF(ISERROR(MATCH(A153,'SegEnds_Xtal_Prot#'!B:B, 0)), "NoXtal", "Xtal")</f>
        <v>NoXtal</v>
      </c>
    </row>
    <row r="154" spans="1:37" x14ac:dyDescent="0.2">
      <c r="A154" s="1" t="s">
        <v>247</v>
      </c>
      <c r="B154" s="1" t="str">
        <f>VLOOKUP(A154,Xtal_Templ!A:B,2,FALSE)</f>
        <v>drd2_human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8"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INDEX('ICL3'!$G$2:$G$41,MATCH(MIN(ABS(AH154-'ICL3'!$F$2:$F$41)),ABS(AH154-'ICL3'!$F$2:$F$41),0))</f>
        <v>76</v>
      </c>
      <c r="U154" s="1">
        <f t="array" ref="U154">INDEX('ICL3'!$H$2:$H$41,MATCH(MIN(ABS(AH154-'ICL3'!$F$2:$F$41)),ABS(AH154-'ICL3'!$F$2:$F$41),0))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16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53</v>
      </c>
      <c r="AH154" s="1">
        <f>VLOOKUP(A154,'SegEnds_NonXtal_Prot#'!A:AL,31,FALSE)-VLOOKUP(A154,'SegEnds_NonXtal_Prot#'!A:AL,28,FALSE)</f>
        <v>72</v>
      </c>
      <c r="AI154" s="1">
        <f>VLOOKUP(A154,'SegEnds_NonXtal_Prot#'!A:AL,34,FALSE)-VLOOKUP(A154,'SegEnds_NonXtal_Prot#'!A:AL,31,FALSE)</f>
        <v>35</v>
      </c>
      <c r="AJ154" s="1">
        <f>VLOOKUP(A154,'SegEnds_NonXtal_Prot#'!A:AL,37,FALSE)-VLOOKUP(A154,'SegEnds_NonXtal_Prot#'!A:AL,34,FALSE)</f>
        <v>10</v>
      </c>
      <c r="AK154" s="1" t="str">
        <f>IF(ISERROR(MATCH(A154,'SegEnds_Xtal_Prot#'!B:B, 0)), "NoXtal", "Xtal")</f>
        <v>NoXtal</v>
      </c>
    </row>
    <row r="155" spans="1:37" x14ac:dyDescent="0.2">
      <c r="A155" s="1" t="s">
        <v>250</v>
      </c>
      <c r="B155" s="1" t="str">
        <f>VLOOKUP(A155,Xtal_Templ!A:B,2,FALSE)</f>
        <v>oprd_human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8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31</v>
      </c>
      <c r="T155" s="1">
        <f t="array" ref="T155">INDEX('ICL3'!$G$2:$G$41,MATCH(MIN(ABS(AH155-'ICL3'!$F$2:$F$41)),ABS(AH155-'ICL3'!$F$2:$F$41),0))</f>
        <v>68</v>
      </c>
      <c r="U155" s="1">
        <f t="array" ref="U155">INDEX('ICL3'!$H$2:$H$41,MATCH(MIN(ABS(AH155-'ICL3'!$F$2:$F$41)),ABS(AH155-'ICL3'!$F$2:$F$41),0))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27</v>
      </c>
      <c r="AG155" s="1">
        <f>VLOOKUP(A155,'SegEnds_NonXtal_Prot#'!A:AL,28,FALSE)-VLOOKUP(A155,'SegEnds_NonXtal_Prot#'!A:AL,22,FALSE)</f>
        <v>50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42</v>
      </c>
      <c r="AJ155" s="1">
        <f>VLOOKUP(A155,'SegEnds_NonXtal_Prot#'!A:AL,37,FALSE)-VLOOKUP(A155,'SegEnds_NonXtal_Prot#'!A:AL,34,FALSE)</f>
        <v>10</v>
      </c>
      <c r="AK155" s="1" t="str">
        <f>IF(ISERROR(MATCH(A155,'SegEnds_Xtal_Prot#'!B:B, 0)), "NoXtal", "Xtal")</f>
        <v>NoXtal</v>
      </c>
    </row>
    <row r="156" spans="1:37" x14ac:dyDescent="0.2">
      <c r="A156" s="1" t="s">
        <v>252</v>
      </c>
      <c r="B156" s="1" t="str">
        <f>VLOOKUP(A156,Xtal_Templ!A:B,2,FALSE)</f>
        <v>agtr1_human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8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34</v>
      </c>
      <c r="T156" s="1">
        <f t="array" ref="T156">INDEX('ICL3'!$G$2:$G$41,MATCH(MIN(ABS(AH156-'ICL3'!$F$2:$F$41)),ABS(AH156-'ICL3'!$F$2:$F$41),0))</f>
        <v>68</v>
      </c>
      <c r="U156" s="1">
        <f t="array" ref="U156">INDEX('ICL3'!$H$2:$H$41,MATCH(MIN(ABS(AH156-'ICL3'!$F$2:$F$41)),ABS(AH156-'ICL3'!$F$2:$F$41),0))</f>
        <v>30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38</v>
      </c>
      <c r="AG156" s="1">
        <f>VLOOKUP(A156,'SegEnds_NonXtal_Prot#'!A:AL,28,FALSE)-VLOOKUP(A156,'SegEnds_NonXtal_Prot#'!A:AL,22,FALSE)</f>
        <v>64</v>
      </c>
      <c r="AH156" s="1">
        <f>VLOOKUP(A156,'SegEnds_NonXtal_Prot#'!A:AL,31,FALSE)-VLOOKUP(A156,'SegEnds_NonXtal_Prot#'!A:AL,28,FALSE)</f>
        <v>43</v>
      </c>
      <c r="AI156" s="1">
        <f>VLOOKUP(A156,'SegEnds_NonXtal_Prot#'!A:AL,34,FALSE)-VLOOKUP(A156,'SegEnds_NonXtal_Prot#'!A:AL,31,FALSE)</f>
        <v>36</v>
      </c>
      <c r="AJ156" s="1">
        <f>VLOOKUP(A156,'SegEnds_NonXtal_Prot#'!A:AL,37,FALSE)-VLOOKUP(A156,'SegEnds_NonXtal_Prot#'!A:AL,34,FALSE)</f>
        <v>10</v>
      </c>
      <c r="AK156" s="1" t="str">
        <f>IF(ISERROR(MATCH(A156,'SegEnds_Xtal_Prot#'!B:B, 0)), "NoXtal", "Xtal")</f>
        <v>NoXtal</v>
      </c>
    </row>
    <row r="157" spans="1:37" x14ac:dyDescent="0.2">
      <c r="A157" s="1" t="s">
        <v>253</v>
      </c>
      <c r="B157" s="1" t="str">
        <f>VLOOKUP(A157,Xtal_Templ!A:B,2,FALSE)</f>
        <v>par1_human</v>
      </c>
      <c r="C157" s="5">
        <f>VLOOKUP($B157&amp;"__wt",'SegEnds_Xtal_BW#'!$A:$Z,3,FALSE)</f>
        <v>29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8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INDEX('ICL3'!$G$2:$G$41,MATCH(MIN(ABS(AH157-'ICL3'!$F$2:$F$41)),ABS(AH157-'ICL3'!$F$2:$F$41),0))</f>
        <v>68</v>
      </c>
      <c r="U157" s="1">
        <f t="array" ref="U157">INDEX('ICL3'!$H$2:$H$41,MATCH(MIN(ABS(AH157-'ICL3'!$F$2:$F$41)),ABS(AH157-'ICL3'!$F$2:$F$41),0))</f>
        <v>23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61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26</v>
      </c>
      <c r="AG157" s="1">
        <f>VLOOKUP(A157,'SegEnds_NonXtal_Prot#'!A:AL,28,FALSE)-VLOOKUP(A157,'SegEnds_NonXtal_Prot#'!A:AL,22,FALSE)</f>
        <v>51</v>
      </c>
      <c r="AH157" s="1">
        <f>VLOOKUP(A157,'SegEnds_NonXtal_Prot#'!A:AL,31,FALSE)-VLOOKUP(A157,'SegEnds_NonXtal_Prot#'!A:AL,28,FALSE)</f>
        <v>51</v>
      </c>
      <c r="AI157" s="1">
        <f>VLOOKUP(A157,'SegEnds_NonXtal_Prot#'!A:AL,34,FALSE)-VLOOKUP(A157,'SegEnds_NonXtal_Prot#'!A:AL,31,FALSE)</f>
        <v>43</v>
      </c>
      <c r="AJ157" s="1">
        <f>VLOOKUP(A157,'SegEnds_NonXtal_Prot#'!A:AL,37,FALSE)-VLOOKUP(A157,'SegEnds_NonXtal_Prot#'!A:AL,34,FALSE)</f>
        <v>10</v>
      </c>
      <c r="AK157" s="1" t="str">
        <f>IF(ISERROR(MATCH(A157,'SegEnds_Xtal_Prot#'!B:B, 0)), "NoXtal", "Xtal")</f>
        <v>NoXtal</v>
      </c>
    </row>
    <row r="158" spans="1:37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8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INDEX('ICL3'!$G$2:$G$41,MATCH(MIN(ABS(AH158-'ICL3'!$F$2:$F$41)),ABS(AH158-'ICL3'!$F$2:$F$41),0))</f>
        <v>72</v>
      </c>
      <c r="U158" s="1">
        <f t="array" ref="U158">INDEX('ICL3'!$H$2:$H$41,MATCH(MIN(ABS(AH158-'ICL3'!$F$2:$F$41)),ABS(AH158-'ICL3'!$F$2:$F$41),0))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>
        <f>VLOOKUP(A158,'SegEnds_NonXtal_Prot#'!A:AL,37,FALSE)-VLOOKUP(A158,'SegEnds_NonXtal_Prot#'!A:AL,34,FALSE)</f>
        <v>10</v>
      </c>
      <c r="AK158" s="1" t="str">
        <f>IF(ISERROR(MATCH(A158,'SegEnds_Xtal_Prot#'!B:B, 0)), "NoXtal", "Xtal")</f>
        <v>NoXtal</v>
      </c>
    </row>
    <row r="159" spans="1:37" x14ac:dyDescent="0.2">
      <c r="A159" s="1" t="s">
        <v>257</v>
      </c>
      <c r="B159" s="1" t="str">
        <f>VLOOKUP(A159,Xtal_Templ!A:B,2,FALSE)</f>
        <v>par2_human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>
        <f>VLOOKUP($B159&amp;"__wt",'SegEnds_Xtal_BW#'!$A:$Z,9,FALSE)</f>
        <v>47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8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31</v>
      </c>
      <c r="T159" s="1">
        <f t="array" ref="T159">INDEX('ICL3'!$G$2:$G$41,MATCH(MIN(ABS(AH159-'ICL3'!$F$2:$F$41)),ABS(AH159-'ICL3'!$F$2:$F$41),0))</f>
        <v>67</v>
      </c>
      <c r="U159" s="1">
        <f t="array" ref="U159">INDEX('ICL3'!$H$2:$H$41,MATCH(MIN(ABS(AH159-'ICL3'!$F$2:$F$41)),ABS(AH159-'ICL3'!$F$2:$F$41),0))</f>
        <v>26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 t="e">
        <f>VLOOKUP(A159,'SegEnds_NonXtal_Prot#'!A:AL,10,FALSE)-VLOOKUP(A159,'SegEnds_NonXtal_Prot#'!A:AL,7,FALSE)</f>
        <v>#VALUE!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46</v>
      </c>
      <c r="AI159" s="1">
        <f>VLOOKUP(A159,'SegEnds_NonXtal_Prot#'!A:AL,34,FALSE)-VLOOKUP(A159,'SegEnds_NonXtal_Prot#'!A:AL,31,FALSE)</f>
        <v>44</v>
      </c>
      <c r="AJ159" s="1">
        <f>VLOOKUP(A159,'SegEnds_NonXtal_Prot#'!A:AL,37,FALSE)-VLOOKUP(A159,'SegEnds_NonXtal_Prot#'!A:AL,34,FALSE)</f>
        <v>10</v>
      </c>
      <c r="AK159" s="1" t="str">
        <f>IF(ISERROR(MATCH(A159,'SegEnds_Xtal_Prot#'!B:B, 0)), "NoXtal", "Xtal")</f>
        <v>NoXtal</v>
      </c>
    </row>
    <row r="160" spans="1:37" x14ac:dyDescent="0.2">
      <c r="A160" s="1" t="s">
        <v>258</v>
      </c>
      <c r="B160" s="1" t="str">
        <f>VLOOKUP(A160,Xtal_Templ!A:B,2,FALSE)</f>
        <v>par1_human</v>
      </c>
      <c r="C160" s="5">
        <f>VLOOKUP($B160&amp;"__wt",'SegEnds_Xtal_BW#'!$A:$Z,3,FALSE)</f>
        <v>29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8">
        <f>VLOOKUP($B160&amp;"__wt",'SegEnds_Xtal_BW#'!$A:$Z,15,FALSE)</f>
        <v>38</v>
      </c>
      <c r="P160" s="1">
        <f>VLOOKUP($B160&amp;"__wt",'SegEnds_Xtal_BW#'!$A:$Z,16,FALSE)</f>
        <v>63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INDEX('ICL3'!$G$2:$G$41,MATCH(MIN(ABS(AH160-'ICL3'!$F$2:$F$41)),ABS(AH160-'ICL3'!$F$2:$F$41),0))</f>
        <v>68</v>
      </c>
      <c r="U160" s="1">
        <f t="array" ref="U160">INDEX('ICL3'!$H$2:$H$41,MATCH(MIN(ABS(AH160-'ICL3'!$F$2:$F$41)),ABS(AH160-'ICL3'!$F$2:$F$41),0))</f>
        <v>28</v>
      </c>
      <c r="V160" s="1">
        <v>61</v>
      </c>
      <c r="W160" s="1">
        <v>33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61</v>
      </c>
      <c r="AA160" s="27" t="str">
        <f>VLOOKUP(A160,Classification!A:B,2,FALSE)</f>
        <v>A</v>
      </c>
      <c r="AB160" s="1" t="e">
        <f>VLOOKUP(A160,'SegEnds_NonXtal_Prot#'!A:AL,10,FALSE)-VLOOKUP(A160,'SegEnds_NonXtal_Prot#'!A:AL,7,FALSE)</f>
        <v>#VALUE!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27</v>
      </c>
      <c r="AG160" s="1">
        <f>VLOOKUP(A160,'SegEnds_NonXtal_Prot#'!A:AL,28,FALSE)-VLOOKUP(A160,'SegEnds_NonXtal_Prot#'!A:AL,22,FALSE)</f>
        <v>56</v>
      </c>
      <c r="AH160" s="1">
        <f>VLOOKUP(A160,'SegEnds_NonXtal_Prot#'!A:AL,31,FALSE)-VLOOKUP(A160,'SegEnds_NonXtal_Prot#'!A:AL,28,FALSE)</f>
        <v>44</v>
      </c>
      <c r="AI160" s="1">
        <f>VLOOKUP(A160,'SegEnds_NonXtal_Prot#'!A:AL,34,FALSE)-VLOOKUP(A160,'SegEnds_NonXtal_Prot#'!A:AL,31,FALSE)</f>
        <v>33</v>
      </c>
      <c r="AJ160" s="1">
        <f>VLOOKUP(A160,'SegEnds_NonXtal_Prot#'!A:AL,37,FALSE)-VLOOKUP(A160,'SegEnds_NonXtal_Prot#'!A:AL,34,FALSE)</f>
        <v>10</v>
      </c>
      <c r="AK160" s="1" t="str">
        <f>IF(ISERROR(MATCH(A160,'SegEnds_Xtal_Prot#'!B:B, 0)), "NoXtal", "Xtal")</f>
        <v>NoXtal</v>
      </c>
    </row>
    <row r="161" spans="1:37" x14ac:dyDescent="0.2">
      <c r="A161" s="1" t="s">
        <v>259</v>
      </c>
      <c r="B161" s="1" t="str">
        <f>VLOOKUP(A161,Xtal_Templ!A:B,2,FALSE)</f>
        <v>drd2_human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68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f>VLOOKUP($B161&amp;"__wt",'SegEnds_Xtal_BW#'!$A:$Z,14,FALSE)</f>
        <v>58</v>
      </c>
      <c r="O161" s="88">
        <v>38</v>
      </c>
      <c r="P161" s="1">
        <f>VLOOKUP($B161&amp;"__wt",'SegEnds_Xtal_BW#'!$A:$Z,16,FALSE)</f>
        <v>62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v>35</v>
      </c>
      <c r="T161" s="1">
        <f t="array" ref="T161">INDEX('ICL3'!$G$2:$G$41,MATCH(MIN(ABS(AH161-'ICL3'!$F$2:$F$41)),ABS(AH161-'ICL3'!$F$2:$F$41),0))</f>
        <v>76</v>
      </c>
      <c r="U161" s="1">
        <f t="array" ref="U161">INDEX('ICL3'!$H$2:$H$41,MATCH(MIN(ABS(AH161-'ICL3'!$F$2:$F$41)),ABS(AH161-'ICL3'!$F$2:$F$41),0))</f>
        <v>24</v>
      </c>
      <c r="V161" s="1">
        <v>61</v>
      </c>
      <c r="W161" s="1">
        <v>28</v>
      </c>
      <c r="X161" s="130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 t="e">
        <f>VLOOKUP(A161,'SegEnds_NonXtal_Prot#'!A:AL,22,FALSE)-VLOOKUP(A161,'SegEnds_NonXtal_Prot#'!A:AL,19,FALSE)</f>
        <v>#VALUE!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51</v>
      </c>
      <c r="AH161" s="1">
        <f>VLOOKUP(A161,'SegEnds_NonXtal_Prot#'!A:AL,31,FALSE)-VLOOKUP(A161,'SegEnds_NonXtal_Prot#'!A:AL,28,FALSE)</f>
        <v>75</v>
      </c>
      <c r="AI161" s="1">
        <f>VLOOKUP(A161,'SegEnds_NonXtal_Prot#'!A:AL,34,FALSE)-VLOOKUP(A161,'SegEnds_NonXtal_Prot#'!A:AL,31,FALSE)</f>
        <v>39</v>
      </c>
      <c r="AJ161" s="1">
        <f>VLOOKUP(A161,'SegEnds_NonXtal_Prot#'!A:AL,37,FALSE)-VLOOKUP(A161,'SegEnds_NonXtal_Prot#'!A:AL,34,FALSE)</f>
        <v>10</v>
      </c>
      <c r="AK161" s="1" t="str">
        <f>IF(ISERROR(MATCH(A161,'SegEnds_Xtal_Prot#'!B:B, 0)), "NoXtal", "Xtal")</f>
        <v>NoXtal</v>
      </c>
    </row>
    <row r="162" spans="1:37" x14ac:dyDescent="0.2">
      <c r="A162" s="1" t="s">
        <v>260</v>
      </c>
      <c r="B162" s="1" t="str">
        <f>VLOOKUP(A162,Xtal_Templ!A:B,2,FALSE)</f>
        <v>5ht2b_human</v>
      </c>
      <c r="C162" s="5">
        <f>VLOOKUP($B162&amp;"__wt",'SegEnds_Xtal_BW#'!$A:$Z,3,FALSE)</f>
        <v>32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09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8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INDEX('ICL3'!$G$2:$G$41,MATCH(MIN(ABS(AH162-'ICL3'!$F$2:$F$41)),ABS(AH162-'ICL3'!$F$2:$F$41),0))</f>
        <v>74</v>
      </c>
      <c r="U162" s="1">
        <f t="array" ref="U162">INDEX('ICL3'!$H$2:$H$41,MATCH(MIN(ABS(AH162-'ICL3'!$F$2:$F$41)),ABS(AH162-'ICL3'!$F$2:$F$41),0))</f>
        <v>21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16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21</v>
      </c>
      <c r="AG162" s="1">
        <f>VLOOKUP(A162,'SegEnds_NonXtal_Prot#'!A:AL,28,FALSE)-VLOOKUP(A162,'SegEnds_NonXtal_Prot#'!A:AL,22,FALSE)</f>
        <v>48</v>
      </c>
      <c r="AH162" s="1">
        <f>VLOOKUP(A162,'SegEnds_NonXtal_Prot#'!A:AL,31,FALSE)-VLOOKUP(A162,'SegEnds_NonXtal_Prot#'!A:AL,28,FALSE)</f>
        <v>66</v>
      </c>
      <c r="AI162" s="1">
        <f>VLOOKUP(A162,'SegEnds_NonXtal_Prot#'!A:AL,34,FALSE)-VLOOKUP(A162,'SegEnds_NonXtal_Prot#'!A:AL,31,FALSE)</f>
        <v>34</v>
      </c>
      <c r="AJ162" s="1">
        <f>VLOOKUP(A162,'SegEnds_NonXtal_Prot#'!A:AL,37,FALSE)-VLOOKUP(A162,'SegEnds_NonXtal_Prot#'!A:AL,34,FALSE)</f>
        <v>10</v>
      </c>
      <c r="AK162" s="1" t="str">
        <f>IF(ISERROR(MATCH(A162,'SegEnds_Xtal_Prot#'!B:B, 0)), "NoXtal", "Xtal")</f>
        <v>NoXtal</v>
      </c>
    </row>
    <row r="163" spans="1:37" x14ac:dyDescent="0.2">
      <c r="A163" s="1" t="s">
        <v>265</v>
      </c>
      <c r="B163" s="1" t="str">
        <f>VLOOKUP(A163,Xtal_Templ!A:B,2,FALSE)</f>
        <v>5ht2c_human</v>
      </c>
      <c r="C163" s="5">
        <f>VLOOKUP($B163&amp;"__wt",'SegEnds_Xtal_BW#'!$A:$Z,3,FALSE)</f>
        <v>33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57</v>
      </c>
      <c r="O163" s="88"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INDEX('ICL3'!$G$2:$G$41,MATCH(MIN(ABS(AH163-'ICL3'!$F$2:$F$41)),ABS(AH163-'ICL3'!$F$2:$F$41),0))</f>
        <v>76</v>
      </c>
      <c r="U163" s="1">
        <f t="array" ref="U163">INDEX('ICL3'!$H$2:$H$41,MATCH(MIN(ABS(AH163-'ICL3'!$F$2:$F$41)),ABS(AH163-'ICL3'!$F$2:$F$41),0))</f>
        <v>24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60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 t="e">
        <f>VLOOKUP(A163,'SegEnds_NonXtal_Prot#'!A:AL,22,FALSE)-VLOOKUP(A163,'SegEnds_NonXtal_Prot#'!A:AL,19,FALSE)</f>
        <v>#VALUE!</v>
      </c>
      <c r="AF163" s="1">
        <f>VLOOKUP(A163,'SegEnds_NonXtal_Prot#'!A:AL,28,FALSE)-VLOOKUP(A163,'SegEnds_NonXtal_Prot#'!A:AL,25,FALSE)</f>
        <v>25</v>
      </c>
      <c r="AG163" s="1">
        <f>VLOOKUP(A163,'SegEnds_NonXtal_Prot#'!A:AL,28,FALSE)-VLOOKUP(A163,'SegEnds_NonXtal_Prot#'!A:AL,22,FALSE)</f>
        <v>51</v>
      </c>
      <c r="AH163" s="1">
        <f>VLOOKUP(A163,'SegEnds_NonXtal_Prot#'!A:AL,31,FALSE)-VLOOKUP(A163,'SegEnds_NonXtal_Prot#'!A:AL,28,FALSE)</f>
        <v>75</v>
      </c>
      <c r="AI163" s="1">
        <f>VLOOKUP(A163,'SegEnds_NonXtal_Prot#'!A:AL,34,FALSE)-VLOOKUP(A163,'SegEnds_NonXtal_Prot#'!A:AL,31,FALSE)</f>
        <v>39</v>
      </c>
      <c r="AJ163" s="1">
        <f>VLOOKUP(A163,'SegEnds_NonXtal_Prot#'!A:AL,37,FALSE)-VLOOKUP(A163,'SegEnds_NonXtal_Prot#'!A:AL,34,FALSE)</f>
        <v>10</v>
      </c>
      <c r="AK163" s="1" t="str">
        <f>IF(ISERROR(MATCH(A163,'SegEnds_Xtal_Prot#'!B:B, 0)), "NoXtal", "Xtal")</f>
        <v>NoXtal</v>
      </c>
    </row>
    <row r="164" spans="1:37" x14ac:dyDescent="0.2">
      <c r="A164" s="1" t="s">
        <v>267</v>
      </c>
      <c r="B164" s="1" t="str">
        <f>VLOOKUP(A164,Xtal_Templ!A:B,2,FALSE)</f>
        <v>drd2_human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68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8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35</v>
      </c>
      <c r="T164" s="1">
        <f t="array" ref="T164">INDEX('ICL3'!$G$2:$G$41,MATCH(MIN(ABS(AH164-'ICL3'!$F$2:$F$41)),ABS(AH164-'ICL3'!$F$2:$F$41),0))</f>
        <v>76</v>
      </c>
      <c r="U164" s="1">
        <f t="array" ref="U164">INDEX('ICL3'!$H$2:$H$41,MATCH(MIN(ABS(AH164-'ICL3'!$F$2:$F$41)),ABS(AH164-'ICL3'!$F$2:$F$41),0))</f>
        <v>24</v>
      </c>
      <c r="V164" s="1">
        <v>61</v>
      </c>
      <c r="W164" s="1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16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28</v>
      </c>
      <c r="AG164" s="1">
        <f>VLOOKUP(A164,'SegEnds_NonXtal_Prot#'!A:AL,28,FALSE)-VLOOKUP(A164,'SegEnds_NonXtal_Prot#'!A:AL,22,FALSE)</f>
        <v>53</v>
      </c>
      <c r="AH164" s="1">
        <f>VLOOKUP(A164,'SegEnds_NonXtal_Prot#'!A:AL,31,FALSE)-VLOOKUP(A164,'SegEnds_NonXtal_Prot#'!A:AL,28,FALSE)</f>
        <v>72</v>
      </c>
      <c r="AI164" s="1">
        <f>VLOOKUP(A164,'SegEnds_NonXtal_Prot#'!A:AL,34,FALSE)-VLOOKUP(A164,'SegEnds_NonXtal_Prot#'!A:AL,31,FALSE)</f>
        <v>35</v>
      </c>
      <c r="AJ164" s="1">
        <f>VLOOKUP(A164,'SegEnds_NonXtal_Prot#'!A:AL,37,FALSE)-VLOOKUP(A164,'SegEnds_NonXtal_Prot#'!A:AL,34,FALSE)</f>
        <v>10</v>
      </c>
      <c r="AK164" s="1" t="str">
        <f>IF(ISERROR(MATCH(A164,'SegEnds_Xtal_Prot#'!B:B, 0)), "NoXtal", "Xtal")</f>
        <v>NoXtal</v>
      </c>
    </row>
    <row r="165" spans="1:37" x14ac:dyDescent="0.2">
      <c r="A165" s="1" t="s">
        <v>269</v>
      </c>
      <c r="B165" s="1" t="str">
        <f>VLOOKUP(A165,Xtal_Templ!A:B,2,FALSE)</f>
        <v>ox2r_human</v>
      </c>
      <c r="C165" s="5">
        <f>VLOOKUP($B165&amp;"__wt",'SegEnds_Xtal_BW#'!$A:$Z,3,FALSE)</f>
        <v>31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56</v>
      </c>
      <c r="O165" s="88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33</v>
      </c>
      <c r="T165" s="1">
        <f t="array" ref="T165">INDEX('ICL3'!$G$2:$G$41,MATCH(MIN(ABS(AH165-'ICL3'!$F$2:$F$41)),ABS(AH165-'ICL3'!$F$2:$F$41),0))</f>
        <v>73</v>
      </c>
      <c r="U165" s="1">
        <f t="array" ref="U165">INDEX('ICL3'!$H$2:$H$41,MATCH(MIN(ABS(AH165-'ICL3'!$F$2:$F$41)),ABS(AH165-'ICL3'!$F$2:$F$41),0))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 t="e">
        <f>VLOOKUP(A165,'SegEnds_NonXtal_Prot#'!A:AL,22,FALSE)-VLOOKUP(A165,'SegEnds_NonXtal_Prot#'!A:AL,19,FALSE)</f>
        <v>#VALUE!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57</v>
      </c>
      <c r="AH165" s="1">
        <f>VLOOKUP(A165,'SegEnds_NonXtal_Prot#'!A:AL,31,FALSE)-VLOOKUP(A165,'SegEnds_NonXtal_Prot#'!A:AL,28,FALSE)</f>
        <v>56</v>
      </c>
      <c r="AI165" s="1">
        <f>VLOOKUP(A165,'SegEnds_NonXtal_Prot#'!A:AL,34,FALSE)-VLOOKUP(A165,'SegEnds_NonXtal_Prot#'!A:AL,31,FALSE)</f>
        <v>35</v>
      </c>
      <c r="AJ165" s="1">
        <f>VLOOKUP(A165,'SegEnds_NonXtal_Prot#'!A:AL,37,FALSE)-VLOOKUP(A165,'SegEnds_NonXtal_Prot#'!A:AL,34,FALSE)</f>
        <v>10</v>
      </c>
      <c r="AK165" s="1" t="str">
        <f>IF(ISERROR(MATCH(A165,'SegEnds_Xtal_Prot#'!B:B, 0)), "NoXtal", "Xtal")</f>
        <v>NoXtal</v>
      </c>
    </row>
    <row r="166" spans="1:37" x14ac:dyDescent="0.2">
      <c r="A166" s="1" t="s">
        <v>270</v>
      </c>
      <c r="B166" s="1" t="str">
        <f>VLOOKUP(A166,Xtal_Templ!A:B,2,FALSE)</f>
        <v>5ht2c_human</v>
      </c>
      <c r="C166" s="5">
        <f>VLOOKUP($B166&amp;"__wt",'SegEnds_Xtal_BW#'!$A:$Z,3,FALSE)</f>
        <v>33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8">
        <v>38</v>
      </c>
      <c r="P166" s="1">
        <f>VLOOKUP($B166&amp;"__wt",'SegEnds_Xtal_BW#'!$A:$Z,16,FALSE)</f>
        <v>67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INDEX('ICL3'!$G$2:$G$41,MATCH(MIN(ABS(AH166-'ICL3'!$F$2:$F$41)),ABS(AH166-'ICL3'!$F$2:$F$41),0))</f>
        <v>74</v>
      </c>
      <c r="U166" s="1">
        <f t="array" ref="U166">INDEX('ICL3'!$H$2:$H$41,MATCH(MIN(ABS(AH166-'ICL3'!$F$2:$F$41)),ABS(AH166-'ICL3'!$F$2:$F$41),0))</f>
        <v>24</v>
      </c>
      <c r="V166" s="1">
        <v>61</v>
      </c>
      <c r="W166" s="1">
        <v>33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60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 t="e">
        <f>VLOOKUP(A166,'SegEnds_NonXtal_Prot#'!A:AL,13,FALSE)-VLOOKUP(A166,'SegEnds_NonXtal_Prot#'!A:AL,10,FALSE)</f>
        <v>#VALUE!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67</v>
      </c>
      <c r="AG166" s="1">
        <f>VLOOKUP(A166,'SegEnds_NonXtal_Prot#'!A:AL,28,FALSE)-VLOOKUP(A166,'SegEnds_NonXtal_Prot#'!A:AL,22,FALSE)</f>
        <v>90</v>
      </c>
      <c r="AH166" s="1">
        <f>VLOOKUP(A166,'SegEnds_NonXtal_Prot#'!A:AL,31,FALSE)-VLOOKUP(A166,'SegEnds_NonXtal_Prot#'!A:AL,28,FALSE)</f>
        <v>99</v>
      </c>
      <c r="AI166" s="1">
        <f>VLOOKUP(A166,'SegEnds_NonXtal_Prot#'!A:AL,34,FALSE)-VLOOKUP(A166,'SegEnds_NonXtal_Prot#'!A:AL,31,FALSE)</f>
        <v>33</v>
      </c>
      <c r="AJ166" s="1">
        <f>VLOOKUP(A166,'SegEnds_NonXtal_Prot#'!A:AL,37,FALSE)-VLOOKUP(A166,'SegEnds_NonXtal_Prot#'!A:AL,34,FALSE)</f>
        <v>10</v>
      </c>
      <c r="AK166" s="1" t="str">
        <f>IF(ISERROR(MATCH(A166,'SegEnds_Xtal_Prot#'!B:B, 0)), "NoXtal", "Xtal")</f>
        <v>NoXtal</v>
      </c>
    </row>
    <row r="167" spans="1:37" x14ac:dyDescent="0.2">
      <c r="A167" s="1" t="s">
        <v>272</v>
      </c>
      <c r="B167" s="1" t="str">
        <f>VLOOKUP(A167,Xtal_Templ!A:B,2,FALSE)</f>
        <v>p2y12_human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 t="str">
        <f>VLOOKUP($B167&amp;"__wt",'SegEnds_Xtal_BW#'!$A:$Z,5,FALSE)</f>
        <v>-</v>
      </c>
      <c r="F167" s="1" t="str">
        <f>VLOOKUP($B167&amp;"__wt",'SegEnds_Xtal_BW#'!$A:$Z,6,FALSE)</f>
        <v>-</v>
      </c>
      <c r="G167" s="1">
        <v>37</v>
      </c>
      <c r="H167" s="12">
        <f>VLOOKUP($B167&amp;"__wt",'SegEnds_Xtal_BW#'!$A:$Z,8,FALSE)</f>
        <v>66</v>
      </c>
      <c r="I167" s="1" t="str">
        <f>VLOOKUP($B167&amp;"__wt",'SegEnds_Xtal_BW#'!$A:$Z,9,FALSE)</f>
        <v>-</v>
      </c>
      <c r="J167" s="1" t="str">
        <f>VLOOKUP($B167&amp;"__wt",'SegEnds_Xtal_BW#'!$A:$Z,10,FALSE)</f>
        <v>-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8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30</v>
      </c>
      <c r="T167" s="1">
        <f t="array" ref="T167">INDEX('ICL3'!$G$2:$G$41,MATCH(MIN(ABS(AH167-'ICL3'!$F$2:$F$41)),ABS(AH167-'ICL3'!$F$2:$F$41),0))</f>
        <v>68</v>
      </c>
      <c r="U167" s="1">
        <f t="array" ref="U167">INDEX('ICL3'!$H$2:$H$41,MATCH(MIN(ABS(AH167-'ICL3'!$F$2:$F$41)),ABS(AH167-'ICL3'!$F$2:$F$41),0))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57</v>
      </c>
      <c r="AA167" s="27" t="str">
        <f>VLOOKUP(A167,Classification!A:B,2,FALSE)</f>
        <v>A</v>
      </c>
      <c r="AB167" s="1" t="e">
        <f>VLOOKUP(A167,'SegEnds_NonXtal_Prot#'!A:AL,10,FALSE)-VLOOKUP(A167,'SegEnds_NonXtal_Prot#'!A:AL,7,FALSE)</f>
        <v>#VALUE!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26</v>
      </c>
      <c r="AG167" s="1">
        <f>VLOOKUP(A167,'SegEnds_NonXtal_Prot#'!A:AL,28,FALSE)-VLOOKUP(A167,'SegEnds_NonXtal_Prot#'!A:AL,22,FALSE)</f>
        <v>52</v>
      </c>
      <c r="AH167" s="1">
        <f>VLOOKUP(A167,'SegEnds_NonXtal_Prot#'!A:AL,31,FALSE)-VLOOKUP(A167,'SegEnds_NonXtal_Prot#'!A:AL,28,FALSE)</f>
        <v>49</v>
      </c>
      <c r="AI167" s="1">
        <f>VLOOKUP(A167,'SegEnds_NonXtal_Prot#'!A:AL,34,FALSE)-VLOOKUP(A167,'SegEnds_NonXtal_Prot#'!A:AL,31,FALSE)</f>
        <v>44</v>
      </c>
      <c r="AJ167" s="1">
        <f>VLOOKUP(A167,'SegEnds_NonXtal_Prot#'!A:AL,37,FALSE)-VLOOKUP(A167,'SegEnds_NonXtal_Prot#'!A:AL,34,FALSE)</f>
        <v>10</v>
      </c>
      <c r="AK167" s="1" t="str">
        <f>IF(ISERROR(MATCH(A167,'SegEnds_Xtal_Prot#'!B:B, 0)), "NoXtal", "Xtal")</f>
        <v>NoXtal</v>
      </c>
    </row>
    <row r="168" spans="1:37" x14ac:dyDescent="0.2">
      <c r="A168" s="1" t="s">
        <v>274</v>
      </c>
      <c r="B168" s="1" t="str">
        <f>VLOOKUP(A168,Xtal_Templ!A:B,2,FALSE)</f>
        <v>ednrb_human</v>
      </c>
      <c r="C168" s="5">
        <f>VLOOKUP($B168&amp;"__wt",'SegEnds_Xtal_BW#'!$A:$Z,3,FALSE)</f>
        <v>22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52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8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28</v>
      </c>
      <c r="T168" s="1">
        <f t="array" ref="T168">INDEX('ICL3'!$G$2:$G$41,MATCH(MIN(ABS(AH168-'ICL3'!$F$2:$F$41)),ABS(AH168-'ICL3'!$F$2:$F$41),0))</f>
        <v>72</v>
      </c>
      <c r="U168" s="1">
        <f t="array" ref="U168">INDEX('ICL3'!$H$2:$H$41,MATCH(MIN(ABS(AH168-'ICL3'!$F$2:$F$41)),ABS(AH168-'ICL3'!$F$2:$F$41),0))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26</v>
      </c>
      <c r="AG168" s="1">
        <f>VLOOKUP(A168,'SegEnds_NonXtal_Prot#'!A:AL,28,FALSE)-VLOOKUP(A168,'SegEnds_NonXtal_Prot#'!A:AL,22,FALSE)</f>
        <v>57</v>
      </c>
      <c r="AH168" s="1">
        <f>VLOOKUP(A168,'SegEnds_NonXtal_Prot#'!A:AL,31,FALSE)-VLOOKUP(A168,'SegEnds_NonXtal_Prot#'!A:AL,28,FALSE)</f>
        <v>57</v>
      </c>
      <c r="AI168" s="1">
        <f>VLOOKUP(A168,'SegEnds_NonXtal_Prot#'!A:AL,34,FALSE)-VLOOKUP(A168,'SegEnds_NonXtal_Prot#'!A:AL,31,FALSE)</f>
        <v>40</v>
      </c>
      <c r="AJ168" s="1">
        <f>VLOOKUP(A168,'SegEnds_NonXtal_Prot#'!A:AL,37,FALSE)-VLOOKUP(A168,'SegEnds_NonXtal_Prot#'!A:AL,34,FALSE)</f>
        <v>10</v>
      </c>
      <c r="AK168" s="1" t="str">
        <f>IF(ISERROR(MATCH(A168,'SegEnds_Xtal_Prot#'!B:B, 0)), "NoXtal", "Xtal")</f>
        <v>NoXtal</v>
      </c>
    </row>
    <row r="169" spans="1:37" x14ac:dyDescent="0.2">
      <c r="A169" s="1" t="s">
        <v>275</v>
      </c>
      <c r="B169" s="1" t="str">
        <f>VLOOKUP(A169,Xtal_Templ!A:B,2,FALSE)</f>
        <v>p2ry1_human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8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INDEX('ICL3'!$G$2:$G$41,MATCH(MIN(ABS(AH169-'ICL3'!$F$2:$F$41)),ABS(AH169-'ICL3'!$F$2:$F$41),0))</f>
        <v>67</v>
      </c>
      <c r="U169" s="1">
        <f t="array" ref="U169">INDEX('ICL3'!$H$2:$H$41,MATCH(MIN(ABS(AH169-'ICL3'!$F$2:$F$41)),ABS(AH169-'ICL3'!$F$2:$F$41),0))</f>
        <v>26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59</v>
      </c>
      <c r="AA169" s="27" t="str">
        <f>VLOOKUP(A169,Classification!A:B,2,FALSE)</f>
        <v>A</v>
      </c>
      <c r="AB169" s="1" t="e">
        <f>VLOOKUP(A169,'SegEnds_NonXtal_Prot#'!A:AL,10,FALSE)-VLOOKUP(A169,'SegEnds_NonXtal_Prot#'!A:AL,7,FALSE)</f>
        <v>#VALUE!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23</v>
      </c>
      <c r="AG169" s="1">
        <f>VLOOKUP(A169,'SegEnds_NonXtal_Prot#'!A:AL,28,FALSE)-VLOOKUP(A169,'SegEnds_NonXtal_Prot#'!A:AL,22,FALSE)</f>
        <v>48</v>
      </c>
      <c r="AH169" s="1">
        <f>VLOOKUP(A169,'SegEnds_NonXtal_Prot#'!A:AL,31,FALSE)-VLOOKUP(A169,'SegEnds_NonXtal_Prot#'!A:AL,28,FALSE)</f>
        <v>47</v>
      </c>
      <c r="AI169" s="1">
        <f>VLOOKUP(A169,'SegEnds_NonXtal_Prot#'!A:AL,34,FALSE)-VLOOKUP(A169,'SegEnds_NonXtal_Prot#'!A:AL,31,FALSE)</f>
        <v>40</v>
      </c>
      <c r="AJ169" s="1">
        <f>VLOOKUP(A169,'SegEnds_NonXtal_Prot#'!A:AL,37,FALSE)-VLOOKUP(A169,'SegEnds_NonXtal_Prot#'!A:AL,34,FALSE)</f>
        <v>10</v>
      </c>
      <c r="AK169" s="1" t="str">
        <f>IF(ISERROR(MATCH(A169,'SegEnds_Xtal_Prot#'!B:B, 0)), "NoXtal", "Xtal")</f>
        <v>NoXtal</v>
      </c>
    </row>
    <row r="170" spans="1:37" x14ac:dyDescent="0.2">
      <c r="A170" s="1" t="s">
        <v>276</v>
      </c>
      <c r="B170" s="1" t="str">
        <f>VLOOKUP(A170,Xtal_Templ!A:B,2,FALSE)</f>
        <v>oprk_human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8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INDEX('ICL3'!$G$2:$G$41,MATCH(MIN(ABS(AH170-'ICL3'!$F$2:$F$41)),ABS(AH170-'ICL3'!$F$2:$F$41),0))</f>
        <v>67</v>
      </c>
      <c r="U170" s="1">
        <f t="array" ref="U170">INDEX('ICL3'!$H$2:$H$41,MATCH(MIN(ABS(AH170-'ICL3'!$F$2:$F$41)),ABS(AH170-'ICL3'!$F$2:$F$41),0))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 t="e">
        <f>VLOOKUP(A170,'SegEnds_NonXtal_Prot#'!A:AL,10,FALSE)-VLOOKUP(A170,'SegEnds_NonXtal_Prot#'!A:AL,7,FALSE)</f>
        <v>#VALUE!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23</v>
      </c>
      <c r="AG170" s="1">
        <f>VLOOKUP(A170,'SegEnds_NonXtal_Prot#'!A:AL,28,FALSE)-VLOOKUP(A170,'SegEnds_NonXtal_Prot#'!A:AL,22,FALSE)</f>
        <v>48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45</v>
      </c>
      <c r="AJ170" s="1">
        <f>VLOOKUP(A170,'SegEnds_NonXtal_Prot#'!A:AL,37,FALSE)-VLOOKUP(A170,'SegEnds_NonXtal_Prot#'!A:AL,34,FALSE)</f>
        <v>10</v>
      </c>
      <c r="AK170" s="1" t="str">
        <f>IF(ISERROR(MATCH(A170,'SegEnds_Xtal_Prot#'!B:B, 0)), "NoXtal", "Xtal")</f>
        <v>NoXtal</v>
      </c>
    </row>
    <row r="171" spans="1:37" x14ac:dyDescent="0.2">
      <c r="A171" s="1" t="s">
        <v>277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8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INDEX('ICL3'!$G$2:$G$41,MATCH(MIN(ABS(AH171-'ICL3'!$F$2:$F$41)),ABS(AH171-'ICL3'!$F$2:$F$41),0))</f>
        <v>67</v>
      </c>
      <c r="U171" s="1">
        <f t="array" ref="U171">INDEX('ICL3'!$H$2:$H$41,MATCH(MIN(ABS(AH171-'ICL3'!$F$2:$F$41)),ABS(AH171-'ICL3'!$F$2:$F$41),0))</f>
        <v>26</v>
      </c>
      <c r="V171" s="1">
        <v>64</v>
      </c>
      <c r="W171" s="1">
        <v>24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23</v>
      </c>
      <c r="AG171" s="1">
        <f>VLOOKUP(A171,'SegEnds_NonXtal_Prot#'!A:AL,28,FALSE)-VLOOKUP(A171,'SegEnds_NonXtal_Prot#'!A:AL,22,FALSE)</f>
        <v>48</v>
      </c>
      <c r="AH171" s="1">
        <f>VLOOKUP(A171,'SegEnds_NonXtal_Prot#'!A:AL,31,FALSE)-VLOOKUP(A171,'SegEnds_NonXtal_Prot#'!A:AL,28,FALSE)</f>
        <v>46</v>
      </c>
      <c r="AI171" s="1">
        <f>VLOOKUP(A171,'SegEnds_NonXtal_Prot#'!A:AL,34,FALSE)-VLOOKUP(A171,'SegEnds_NonXtal_Prot#'!A:AL,31,FALSE)</f>
        <v>45</v>
      </c>
      <c r="AJ171" s="1">
        <f>VLOOKUP(A171,'SegEnds_NonXtal_Prot#'!A:AL,37,FALSE)-VLOOKUP(A171,'SegEnds_NonXtal_Prot#'!A:AL,34,FALSE)</f>
        <v>10</v>
      </c>
      <c r="AK171" s="1" t="str">
        <f>IF(ISERROR(MATCH(A171,'SegEnds_Xtal_Prot#'!B:B, 0)), "NoXtal", "Xtal")</f>
        <v>NoXtal</v>
      </c>
    </row>
    <row r="172" spans="1:37" x14ac:dyDescent="0.2">
      <c r="A172" s="1" t="s">
        <v>278</v>
      </c>
      <c r="B172" s="1" t="str">
        <f>VLOOKUP(A172,Xtal_Templ!A:B,2,FALSE)</f>
        <v>hrh1_human</v>
      </c>
      <c r="C172" s="5">
        <f>VLOOKUP($B172&amp;"__wt",'SegEnds_Xtal_BW#'!$A:$Z,3,FALSE)</f>
        <v>34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8">
        <f>VLOOKUP($B172&amp;"__wt",'SegEnds_Xtal_BW#'!$A:$Z,15,FALSE)</f>
        <v>38</v>
      </c>
      <c r="P172" s="1">
        <f>VLOOKUP($B172&amp;"__wt",'SegEnds_Xtal_BW#'!$A:$Z,16,FALSE)</f>
        <v>62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v>35</v>
      </c>
      <c r="T172" s="1">
        <f t="array" ref="T172">INDEX('ICL3'!$G$2:$G$41,MATCH(MIN(ABS(AH172-'ICL3'!$F$2:$F$41)),ABS(AH172-'ICL3'!$F$2:$F$41),0))</f>
        <v>76</v>
      </c>
      <c r="U172" s="1">
        <f t="array" ref="U172">INDEX('ICL3'!$H$2:$H$41,MATCH(MIN(ABS(AH172-'ICL3'!$F$2:$F$41)),ABS(AH172-'ICL3'!$F$2:$F$41),0))</f>
        <v>24</v>
      </c>
      <c r="V172" s="1">
        <v>61</v>
      </c>
      <c r="W172" s="1">
        <v>31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22</v>
      </c>
      <c r="AG172" s="1">
        <f>VLOOKUP(A172,'SegEnds_NonXtal_Prot#'!A:AL,28,FALSE)-VLOOKUP(A172,'SegEnds_NonXtal_Prot#'!A:AL,22,FALSE)</f>
        <v>50</v>
      </c>
      <c r="AH172" s="1">
        <f>VLOOKUP(A172,'SegEnds_NonXtal_Prot#'!A:AL,31,FALSE)-VLOOKUP(A172,'SegEnds_NonXtal_Prot#'!A:AL,28,FALSE)</f>
        <v>228</v>
      </c>
      <c r="AI172" s="1">
        <f>VLOOKUP(A172,'SegEnds_NonXtal_Prot#'!A:AL,34,FALSE)-VLOOKUP(A172,'SegEnds_NonXtal_Prot#'!A:AL,31,FALSE)</f>
        <v>35</v>
      </c>
      <c r="AJ172" s="1">
        <f>VLOOKUP(A172,'SegEnds_NonXtal_Prot#'!A:AL,37,FALSE)-VLOOKUP(A172,'SegEnds_NonXtal_Prot#'!A:AL,34,FALSE)</f>
        <v>10</v>
      </c>
      <c r="AK172" s="1" t="str">
        <f>IF(ISERROR(MATCH(A172,'SegEnds_Xtal_Prot#'!B:B, 0)), "NoXtal", "Xtal")</f>
        <v>Xtal</v>
      </c>
    </row>
    <row r="173" spans="1:37" x14ac:dyDescent="0.2">
      <c r="A173" s="1" t="s">
        <v>279</v>
      </c>
      <c r="B173" s="1" t="str">
        <f>VLOOKUP(A173,Xtal_Templ!A:B,2,FALSE)</f>
        <v>adrb2_human</v>
      </c>
      <c r="C173" s="5">
        <f>VLOOKUP($B173&amp;"__wt",'SegEnds_Xtal_BW#'!$A:$Z,3,FALSE)</f>
        <v>25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8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INDEX('ICL3'!$G$2:$G$41,MATCH(MIN(ABS(AH173-'ICL3'!$F$2:$F$41)),ABS(AH173-'ICL3'!$F$2:$F$41),0))</f>
        <v>73</v>
      </c>
      <c r="U173" s="1">
        <f t="array" ref="U173">INDEX('ICL3'!$H$2:$H$41,MATCH(MIN(ABS(AH173-'ICL3'!$F$2:$F$41)),ABS(AH173-'ICL3'!$F$2:$F$41),0))</f>
        <v>22</v>
      </c>
      <c r="V173" s="1">
        <v>61</v>
      </c>
      <c r="W173" s="1">
        <v>31</v>
      </c>
      <c r="X173" s="109"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20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55</v>
      </c>
      <c r="AI173" s="1">
        <f>VLOOKUP(A173,'SegEnds_NonXtal_Prot#'!A:AL,34,FALSE)-VLOOKUP(A173,'SegEnds_NonXtal_Prot#'!A:AL,31,FALSE)</f>
        <v>36</v>
      </c>
      <c r="AJ173" s="1">
        <f>VLOOKUP(A173,'SegEnds_NonXtal_Prot#'!A:AL,37,FALSE)-VLOOKUP(A173,'SegEnds_NonXtal_Prot#'!A:AL,34,FALSE)</f>
        <v>10</v>
      </c>
      <c r="AK173" s="1" t="str">
        <f>IF(ISERROR(MATCH(A173,'SegEnds_Xtal_Prot#'!B:B, 0)), "NoXtal", "Xtal")</f>
        <v>NoXtal</v>
      </c>
    </row>
    <row r="174" spans="1:37" x14ac:dyDescent="0.2">
      <c r="A174" s="1" t="s">
        <v>280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58</v>
      </c>
      <c r="O174" s="88">
        <f>VLOOKUP($B174&amp;"__wt",'SegEnds_Xtal_BW#'!$A:$Z,15,FALSE)</f>
        <v>38</v>
      </c>
      <c r="P174" s="1">
        <v>63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INDEX('ICL3'!$G$2:$G$41,MATCH(MIN(ABS(AH174-'ICL3'!$F$2:$F$41)),ABS(AH174-'ICL3'!$F$2:$F$41),0))</f>
        <v>75</v>
      </c>
      <c r="U174" s="1">
        <f t="array" ref="U174">INDEX('ICL3'!$H$2:$H$41,MATCH(MIN(ABS(AH174-'ICL3'!$F$2:$F$41)),ABS(AH174-'ICL3'!$F$2:$F$41),0))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21</v>
      </c>
      <c r="AF174" s="1">
        <f>VLOOKUP(A174,'SegEnds_NonXtal_Prot#'!A:AL,28,FALSE)-VLOOKUP(A174,'SegEnds_NonXtal_Prot#'!A:AL,25,FALSE)</f>
        <v>22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163</v>
      </c>
      <c r="AI174" s="1">
        <f>VLOOKUP(A174,'SegEnds_NonXtal_Prot#'!A:AL,34,FALSE)-VLOOKUP(A174,'SegEnds_NonXtal_Prot#'!A:AL,31,FALSE)</f>
        <v>36</v>
      </c>
      <c r="AJ174" s="1">
        <f>VLOOKUP(A174,'SegEnds_NonXtal_Prot#'!A:AL,37,FALSE)-VLOOKUP(A174,'SegEnds_NonXtal_Prot#'!A:AL,34,FALSE)</f>
        <v>10</v>
      </c>
      <c r="AK174" s="1" t="str">
        <f>IF(ISERROR(MATCH(A174,'SegEnds_Xtal_Prot#'!B:B, 0)), "NoXtal", "Xtal")</f>
        <v>NoXtal</v>
      </c>
    </row>
    <row r="175" spans="1:37" x14ac:dyDescent="0.2">
      <c r="A175" s="1" t="s">
        <v>282</v>
      </c>
      <c r="B175" s="1" t="str">
        <f>VLOOKUP(A175,Xtal_Templ!A:B,2,FALSE)</f>
        <v>oprk_human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8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INDEX('ICL3'!$G$2:$G$41,MATCH(MIN(ABS(AH175-'ICL3'!$F$2:$F$41)),ABS(AH175-'ICL3'!$F$2:$F$41),0))</f>
        <v>74</v>
      </c>
      <c r="U175" s="1">
        <f t="array" ref="U175">INDEX('ICL3'!$H$2:$H$41,MATCH(MIN(ABS(AH175-'ICL3'!$F$2:$F$41)),ABS(AH175-'ICL3'!$F$2:$F$41),0))</f>
        <v>21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49</v>
      </c>
      <c r="AH175" s="1">
        <f>VLOOKUP(A175,'SegEnds_NonXtal_Prot#'!A:AL,31,FALSE)-VLOOKUP(A175,'SegEnds_NonXtal_Prot#'!A:AL,28,FALSE)</f>
        <v>62</v>
      </c>
      <c r="AI175" s="1">
        <f>VLOOKUP(A175,'SegEnds_NonXtal_Prot#'!A:AL,34,FALSE)-VLOOKUP(A175,'SegEnds_NonXtal_Prot#'!A:AL,31,FALSE)</f>
        <v>42</v>
      </c>
      <c r="AJ175" s="1">
        <f>VLOOKUP(A175,'SegEnds_NonXtal_Prot#'!A:AL,37,FALSE)-VLOOKUP(A175,'SegEnds_NonXtal_Prot#'!A:AL,34,FALSE)</f>
        <v>10</v>
      </c>
      <c r="AK175" s="1" t="str">
        <f>IF(ISERROR(MATCH(A175,'SegEnds_Xtal_Prot#'!B:B, 0)), "NoXtal", "Xtal")</f>
        <v>NoXtal</v>
      </c>
    </row>
    <row r="176" spans="1:37" x14ac:dyDescent="0.2">
      <c r="A176" s="1" t="s">
        <v>295</v>
      </c>
      <c r="B176" s="1" t="str">
        <f>VLOOKUP(A176,Xtal_Templ!A:B,2,FALSE)</f>
        <v>ccr9_human</v>
      </c>
      <c r="C176" s="5">
        <f>VLOOKUP($B176&amp;"__wt",'SegEnds_Xtal_BW#'!$A:$Z,3,FALSE)</f>
        <v>27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8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INDEX('ICL3'!$G$2:$G$41,MATCH(MIN(ABS(AH176-'ICL3'!$F$2:$F$41)),ABS(AH176-'ICL3'!$F$2:$F$41),0))</f>
        <v>68</v>
      </c>
      <c r="U176" s="1">
        <f t="array" ref="U176">INDEX('ICL3'!$H$2:$H$41,MATCH(MIN(ABS(AH176-'ICL3'!$F$2:$F$41)),ABS(AH176-'ICL3'!$F$2:$F$41),0))</f>
        <v>30</v>
      </c>
      <c r="V176" s="1">
        <v>61</v>
      </c>
      <c r="W176" s="1">
        <v>34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67</v>
      </c>
      <c r="AA176" s="27" t="str">
        <f>VLOOKUP(A176,Classification!A:B,2,FALSE)</f>
        <v>A</v>
      </c>
      <c r="AB176" s="1" t="e">
        <f>VLOOKUP(A176,'SegEnds_NonXtal_Prot#'!A:AL,10,FALSE)-VLOOKUP(A176,'SegEnds_NonXtal_Prot#'!A:AL,7,FALSE)</f>
        <v>#VALUE!</v>
      </c>
      <c r="AC176" s="1" t="e">
        <f>VLOOKUP(A176,'SegEnds_NonXtal_Prot#'!A:AL,13,FALSE)-VLOOKUP(A176,'SegEnds_NonXtal_Prot#'!A:AL,10,FALSE)</f>
        <v>#VALUE!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 t="e">
        <f>VLOOKUP(A176,'SegEnds_NonXtal_Prot#'!A:AL,28,FALSE)-VLOOKUP(A176,'SegEnds_NonXtal_Prot#'!A:AL,25,FALSE)</f>
        <v>#VALUE!</v>
      </c>
      <c r="AG176" s="1">
        <f>VLOOKUP(A176,'SegEnds_NonXtal_Prot#'!A:AL,28,FALSE)-VLOOKUP(A176,'SegEnds_NonXtal_Prot#'!A:AL,22,FALSE)</f>
        <v>39</v>
      </c>
      <c r="AH176" s="1">
        <f>VLOOKUP(A176,'SegEnds_NonXtal_Prot#'!A:AL,31,FALSE)-VLOOKUP(A176,'SegEnds_NonXtal_Prot#'!A:AL,28,FALSE)</f>
        <v>42</v>
      </c>
      <c r="AI176" s="1">
        <f>VLOOKUP(A176,'SegEnds_NonXtal_Prot#'!A:AL,34,FALSE)-VLOOKUP(A176,'SegEnds_NonXtal_Prot#'!A:AL,31,FALSE)</f>
        <v>32</v>
      </c>
      <c r="AJ176" s="1">
        <f>VLOOKUP(A176,'SegEnds_NonXtal_Prot#'!A:AL,37,FALSE)-VLOOKUP(A176,'SegEnds_NonXtal_Prot#'!A:AL,34,FALSE)</f>
        <v>10</v>
      </c>
      <c r="AK176" s="1" t="str">
        <f>IF(ISERROR(MATCH(A176,'SegEnds_Xtal_Prot#'!B:B, 0)), "NoXtal", "Xtal")</f>
        <v>NoXtal</v>
      </c>
    </row>
    <row r="177" spans="1:37" x14ac:dyDescent="0.2">
      <c r="A177" s="1" t="s">
        <v>299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8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INDEX('ICL3'!$G$2:$G$41,MATCH(MIN(ABS(AH177-'ICL3'!$F$2:$F$41)),ABS(AH177-'ICL3'!$F$2:$F$41),0))</f>
        <v>68</v>
      </c>
      <c r="U177" s="1">
        <f t="array" ref="U177">INDEX('ICL3'!$H$2:$H$41,MATCH(MIN(ABS(AH177-'ICL3'!$F$2:$F$41)),ABS(AH177-'ICL3'!$F$2:$F$41),0))</f>
        <v>23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18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26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37</v>
      </c>
      <c r="AJ177" s="1">
        <f>VLOOKUP(A177,'SegEnds_NonXtal_Prot#'!A:AL,37,FALSE)-VLOOKUP(A177,'SegEnds_NonXtal_Prot#'!A:AL,34,FALSE)</f>
        <v>10</v>
      </c>
      <c r="AK177" s="1" t="str">
        <f>IF(ISERROR(MATCH(A177,'SegEnds_Xtal_Prot#'!B:B, 0)), "NoXtal", "Xtal")</f>
        <v>NoXtal</v>
      </c>
    </row>
    <row r="178" spans="1:37" x14ac:dyDescent="0.2">
      <c r="A178" s="1" t="s">
        <v>300</v>
      </c>
      <c r="B178" s="1" t="str">
        <f>VLOOKUP(A178,Xtal_Templ!A:B,2,FALSE)</f>
        <v>oprd_human</v>
      </c>
      <c r="C178" s="5">
        <f>VLOOKUP($B178&amp;"__wt",'SegEnds_Xtal_BW#'!$A:$Z,3,FALSE)</f>
        <v>22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8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INDEX('ICL3'!$G$2:$G$41,MATCH(MIN(ABS(AH178-'ICL3'!$F$2:$F$41)),ABS(AH178-'ICL3'!$F$2:$F$41),0))</f>
        <v>72</v>
      </c>
      <c r="U178" s="1">
        <f t="array" ref="U178">INDEX('ICL3'!$H$2:$H$41,MATCH(MIN(ABS(AH178-'ICL3'!$F$2:$F$41)),ABS(AH178-'ICL3'!$F$2:$F$41),0))</f>
        <v>24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60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51</v>
      </c>
      <c r="AH178" s="1">
        <f>VLOOKUP(A178,'SegEnds_NonXtal_Prot#'!A:AL,31,FALSE)-VLOOKUP(A178,'SegEnds_NonXtal_Prot#'!A:AL,28,FALSE)</f>
        <v>57</v>
      </c>
      <c r="AI178" s="1">
        <f>VLOOKUP(A178,'SegEnds_NonXtal_Prot#'!A:AL,34,FALSE)-VLOOKUP(A178,'SegEnds_NonXtal_Prot#'!A:AL,31,FALSE)</f>
        <v>37</v>
      </c>
      <c r="AJ178" s="1">
        <f>VLOOKUP(A178,'SegEnds_NonXtal_Prot#'!A:AL,37,FALSE)-VLOOKUP(A178,'SegEnds_NonXtal_Prot#'!A:AL,34,FALSE)</f>
        <v>10</v>
      </c>
      <c r="AK178" s="1" t="str">
        <f>IF(ISERROR(MATCH(A178,'SegEnds_Xtal_Prot#'!B:B, 0)), "NoXtal", "Xtal")</f>
        <v>NoXtal</v>
      </c>
    </row>
    <row r="179" spans="1:37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8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INDEX('ICL3'!$G$2:$G$41,MATCH(MIN(ABS(AH179-'ICL3'!$F$2:$F$41)),ABS(AH179-'ICL3'!$F$2:$F$41),0))</f>
        <v>68</v>
      </c>
      <c r="U179" s="1">
        <f t="array" ref="U179">INDEX('ICL3'!$H$2:$H$41,MATCH(MIN(ABS(AH179-'ICL3'!$F$2:$F$41)),ABS(AH179-'ICL3'!$F$2:$F$41),0))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>
        <f>VLOOKUP(A179,'SegEnds_NonXtal_Prot#'!A:AL,37,FALSE)-VLOOKUP(A179,'SegEnds_NonXtal_Prot#'!A:AL,34,FALSE)</f>
        <v>10</v>
      </c>
      <c r="AK179" s="1" t="str">
        <f>IF(ISERROR(MATCH(A179,'SegEnds_Xtal_Prot#'!B:B, 0)), "NoXtal", "Xtal")</f>
        <v>NoXtal</v>
      </c>
    </row>
    <row r="180" spans="1:37" x14ac:dyDescent="0.2">
      <c r="A180" s="1" t="s">
        <v>303</v>
      </c>
      <c r="B180" s="1" t="str">
        <f>VLOOKUP(A180,Xtal_Templ!A:B,2,FALSE)</f>
        <v>c5ar1_human</v>
      </c>
      <c r="C180" s="5">
        <f>VLOOKUP($B180&amp;"__wt",'SegEnds_Xtal_BW#'!$A:$Z,3,FALSE)</f>
        <v>29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8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INDEX('ICL3'!$G$2:$G$41,MATCH(MIN(ABS(AH180-'ICL3'!$F$2:$F$41)),ABS(AH180-'ICL3'!$F$2:$F$41),0))</f>
        <v>68</v>
      </c>
      <c r="U180" s="1">
        <f t="array" ref="U180">INDEX('ICL3'!$H$2:$H$41,MATCH(MIN(ABS(AH180-'ICL3'!$F$2:$F$41)),ABS(AH180-'ICL3'!$F$2:$F$41),0))</f>
        <v>30</v>
      </c>
      <c r="V180" s="1">
        <v>61</v>
      </c>
      <c r="W180" s="1">
        <v>32</v>
      </c>
      <c r="X180" s="109">
        <v>56</v>
      </c>
      <c r="Y180" s="1">
        <f>VLOOKUP($B180&amp;"__wt",'SegEnds_Xtal_BW#'!$A:$Z,25,FALSE)</f>
        <v>47</v>
      </c>
      <c r="Z180" s="1">
        <f>VLOOKUP($B180&amp;"__wt",'SegEnds_Xtal_BW#'!$A:$Z,26,FALSE)</f>
        <v>56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>
        <f>VLOOKUP(A180,'SegEnds_NonXtal_Prot#'!A:AL,37,FALSE)-VLOOKUP(A180,'SegEnds_NonXtal_Prot#'!A:AL,34,FALSE)</f>
        <v>10</v>
      </c>
      <c r="AK180" s="1" t="str">
        <f>IF(ISERROR(MATCH(A180,'SegEnds_Xtal_Prot#'!B:B, 0)), "NoXtal", "Xtal")</f>
        <v>NoXtal</v>
      </c>
    </row>
    <row r="181" spans="1:37" x14ac:dyDescent="0.2">
      <c r="A181" s="1" t="s">
        <v>306</v>
      </c>
      <c r="B181" s="1" t="str">
        <f>VLOOKUP(A181,Xtal_Templ!A:B,2,FALSE)</f>
        <v>c5ar1_human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8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INDEX('ICL3'!$G$2:$G$41,MATCH(MIN(ABS(AH181-'ICL3'!$F$2:$F$41)),ABS(AH181-'ICL3'!$F$2:$F$41),0))</f>
        <v>68</v>
      </c>
      <c r="U181" s="1">
        <f t="array" ref="U181">INDEX('ICL3'!$H$2:$H$41,MATCH(MIN(ABS(AH181-'ICL3'!$F$2:$F$41)),ABS(AH181-'ICL3'!$F$2:$F$41),0))</f>
        <v>30</v>
      </c>
      <c r="V181" s="1">
        <v>61</v>
      </c>
      <c r="W181" s="1">
        <v>28</v>
      </c>
      <c r="X181" s="109">
        <v>56</v>
      </c>
      <c r="Y181" s="1">
        <f>VLOOKUP($B181&amp;"__wt",'SegEnds_Xtal_BW#'!$A:$Z,25,FALSE)</f>
        <v>47</v>
      </c>
      <c r="Z181" s="1">
        <f>VLOOKUP($B181&amp;"__wt",'SegEnds_Xtal_BW#'!$A:$Z,26,FALSE)</f>
        <v>56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42</v>
      </c>
      <c r="AI181" s="1">
        <f>VLOOKUP(A181,'SegEnds_NonXtal_Prot#'!A:AL,34,FALSE)-VLOOKUP(A181,'SegEnds_NonXtal_Prot#'!A:AL,31,FALSE)</f>
        <v>38</v>
      </c>
      <c r="AJ181" s="1">
        <f>VLOOKUP(A181,'SegEnds_NonXtal_Prot#'!A:AL,37,FALSE)-VLOOKUP(A181,'SegEnds_NonXtal_Prot#'!A:AL,34,FALSE)</f>
        <v>10</v>
      </c>
      <c r="AK181" s="1" t="str">
        <f>IF(ISERROR(MATCH(A181,'SegEnds_Xtal_Prot#'!B:B, 0)), "NoXtal", "Xtal")</f>
        <v>NoXtal</v>
      </c>
    </row>
    <row r="182" spans="1:37" x14ac:dyDescent="0.2">
      <c r="A182" s="1" t="s">
        <v>310</v>
      </c>
      <c r="B182" s="1" t="str">
        <f>VLOOKUP(A182,Xtal_Templ!A:B,2,FALSE)</f>
        <v>ntr1_rat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8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32</v>
      </c>
      <c r="T182" s="1">
        <f t="array" ref="T182">INDEX('ICL3'!$G$2:$G$41,MATCH(MIN(ABS(AH182-'ICL3'!$F$2:$F$41)),ABS(AH182-'ICL3'!$F$2:$F$41),0))</f>
        <v>72</v>
      </c>
      <c r="U182" s="1">
        <f t="array" ref="U182">INDEX('ICL3'!$H$2:$H$41,MATCH(MIN(ABS(AH182-'ICL3'!$F$2:$F$41)),ABS(AH182-'ICL3'!$F$2:$F$41),0))</f>
        <v>24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24</v>
      </c>
      <c r="AG182" s="1">
        <f>VLOOKUP(A182,'SegEnds_NonXtal_Prot#'!A:AL,28,FALSE)-VLOOKUP(A182,'SegEnds_NonXtal_Prot#'!A:AL,22,FALSE)</f>
        <v>96</v>
      </c>
      <c r="AH182" s="1">
        <f>VLOOKUP(A182,'SegEnds_NonXtal_Prot#'!A:AL,31,FALSE)-VLOOKUP(A182,'SegEnds_NonXtal_Prot#'!A:AL,28,FALSE)</f>
        <v>54</v>
      </c>
      <c r="AI182" s="1">
        <f>VLOOKUP(A182,'SegEnds_NonXtal_Prot#'!A:AL,34,FALSE)-VLOOKUP(A182,'SegEnds_NonXtal_Prot#'!A:AL,31,FALSE)</f>
        <v>39</v>
      </c>
      <c r="AJ182" s="1">
        <f>VLOOKUP(A182,'SegEnds_NonXtal_Prot#'!A:AL,37,FALSE)-VLOOKUP(A182,'SegEnds_NonXtal_Prot#'!A:AL,34,FALSE)</f>
        <v>10</v>
      </c>
      <c r="AK182" s="1" t="str">
        <f>IF(ISERROR(MATCH(A182,'SegEnds_Xtal_Prot#'!B:B, 0)), "NoXtal", "Xtal")</f>
        <v>NoXtal</v>
      </c>
    </row>
    <row r="183" spans="1:37" x14ac:dyDescent="0.2">
      <c r="A183" s="1" t="s">
        <v>311</v>
      </c>
      <c r="B183" s="1" t="str">
        <f>VLOOKUP(A183,Xtal_Templ!A:B,2,FALSE)</f>
        <v>ox2r_human</v>
      </c>
      <c r="C183" s="5">
        <f>VLOOKUP($B183&amp;"__wt",'SegEnds_Xtal_BW#'!$A:$Z,3,FALSE)</f>
        <v>31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68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8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INDEX('ICL3'!$G$2:$G$41,MATCH(MIN(ABS(AH183-'ICL3'!$F$2:$F$41)),ABS(AH183-'ICL3'!$F$2:$F$41),0))</f>
        <v>72</v>
      </c>
      <c r="U183" s="1">
        <f t="array" ref="U183">INDEX('ICL3'!$H$2:$H$41,MATCH(MIN(ABS(AH183-'ICL3'!$F$2:$F$41)),ABS(AH183-'ICL3'!$F$2:$F$41),0))</f>
        <v>24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58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22</v>
      </c>
      <c r="AG183" s="1">
        <f>VLOOKUP(A183,'SegEnds_NonXtal_Prot#'!A:AL,28,FALSE)-VLOOKUP(A183,'SegEnds_NonXtal_Prot#'!A:AL,22,FALSE)</f>
        <v>47</v>
      </c>
      <c r="AH183" s="1">
        <f>VLOOKUP(A183,'SegEnds_NonXtal_Prot#'!A:AL,31,FALSE)-VLOOKUP(A183,'SegEnds_NonXtal_Prot#'!A:AL,28,FALSE)</f>
        <v>54</v>
      </c>
      <c r="AI183" s="1">
        <f>VLOOKUP(A183,'SegEnds_NonXtal_Prot#'!A:AL,34,FALSE)-VLOOKUP(A183,'SegEnds_NonXtal_Prot#'!A:AL,31,FALSE)</f>
        <v>39</v>
      </c>
      <c r="AJ183" s="1">
        <f>VLOOKUP(A183,'SegEnds_NonXtal_Prot#'!A:AL,37,FALSE)-VLOOKUP(A183,'SegEnds_NonXtal_Prot#'!A:AL,34,FALSE)</f>
        <v>10</v>
      </c>
      <c r="AK183" s="1" t="str">
        <f>IF(ISERROR(MATCH(A183,'SegEnds_Xtal_Prot#'!B:B, 0)), "NoXtal", "Xtal")</f>
        <v>NoXtal</v>
      </c>
    </row>
    <row r="184" spans="1:37" x14ac:dyDescent="0.2">
      <c r="A184" s="1" t="s">
        <v>312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68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8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v>35</v>
      </c>
      <c r="T184" s="1">
        <f t="array" ref="T184">INDEX('ICL3'!$G$2:$G$41,MATCH(MIN(ABS(AH184-'ICL3'!$F$2:$F$41)),ABS(AH184-'ICL3'!$F$2:$F$41),0))</f>
        <v>72</v>
      </c>
      <c r="U184" s="1">
        <f t="array" ref="U184">INDEX('ICL3'!$H$2:$H$41,MATCH(MIN(ABS(AH184-'ICL3'!$F$2:$F$41)),ABS(AH184-'ICL3'!$F$2:$F$41),0))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20</v>
      </c>
      <c r="AF184" s="1">
        <f>VLOOKUP(A184,'SegEnds_NonXtal_Prot#'!A:AL,28,FALSE)-VLOOKUP(A184,'SegEnds_NonXtal_Prot#'!A:AL,25,FALSE)</f>
        <v>22</v>
      </c>
      <c r="AG184" s="1">
        <f>VLOOKUP(A184,'SegEnds_NonXtal_Prot#'!A:AL,28,FALSE)-VLOOKUP(A184,'SegEnds_NonXtal_Prot#'!A:AL,22,FALSE)</f>
        <v>47</v>
      </c>
      <c r="AH184" s="1">
        <f>VLOOKUP(A184,'SegEnds_NonXtal_Prot#'!A:AL,31,FALSE)-VLOOKUP(A184,'SegEnds_NonXtal_Prot#'!A:AL,28,FALSE)</f>
        <v>54</v>
      </c>
      <c r="AI184" s="1">
        <f>VLOOKUP(A184,'SegEnds_NonXtal_Prot#'!A:AL,34,FALSE)-VLOOKUP(A184,'SegEnds_NonXtal_Prot#'!A:AL,31,FALSE)</f>
        <v>39</v>
      </c>
      <c r="AJ184" s="1">
        <f>VLOOKUP(A184,'SegEnds_NonXtal_Prot#'!A:AL,37,FALSE)-VLOOKUP(A184,'SegEnds_NonXtal_Prot#'!A:AL,34,FALSE)</f>
        <v>10</v>
      </c>
      <c r="AK184" s="1" t="str">
        <f>IF(ISERROR(MATCH(A184,'SegEnds_Xtal_Prot#'!B:B, 0)), "NoXtal", "Xtal")</f>
        <v>NoXtal</v>
      </c>
    </row>
    <row r="185" spans="1:37" x14ac:dyDescent="0.2">
      <c r="A185" s="1" t="s">
        <v>313</v>
      </c>
      <c r="B185" s="1" t="str">
        <f>VLOOKUP(A185,Xtal_Templ!A:B,2,FALSE)</f>
        <v>ox2r_human</v>
      </c>
      <c r="C185" s="5">
        <f>VLOOKUP($B185&amp;"__wt",'SegEnds_Xtal_BW#'!$A:$Z,3,FALSE)</f>
        <v>31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8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INDEX('ICL3'!$G$2:$G$41,MATCH(MIN(ABS(AH185-'ICL3'!$F$2:$F$41)),ABS(AH185-'ICL3'!$F$2:$F$41),0))</f>
        <v>72</v>
      </c>
      <c r="U185" s="1">
        <f t="array" ref="U185">INDEX('ICL3'!$H$2:$H$41,MATCH(MIN(ABS(AH185-'ICL3'!$F$2:$F$41)),ABS(AH185-'ICL3'!$F$2:$F$41),0))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20</v>
      </c>
      <c r="AF185" s="1">
        <f>VLOOKUP(A185,'SegEnds_NonXtal_Prot#'!A:AL,28,FALSE)-VLOOKUP(A185,'SegEnds_NonXtal_Prot#'!A:AL,25,FALSE)</f>
        <v>22</v>
      </c>
      <c r="AG185" s="1">
        <f>VLOOKUP(A185,'SegEnds_NonXtal_Prot#'!A:AL,28,FALSE)-VLOOKUP(A185,'SegEnds_NonXtal_Prot#'!A:AL,22,FALSE)</f>
        <v>47</v>
      </c>
      <c r="AH185" s="1">
        <f>VLOOKUP(A185,'SegEnds_NonXtal_Prot#'!A:AL,31,FALSE)-VLOOKUP(A185,'SegEnds_NonXtal_Prot#'!A:AL,28,FALSE)</f>
        <v>52</v>
      </c>
      <c r="AI185" s="1">
        <f>VLOOKUP(A185,'SegEnds_NonXtal_Prot#'!A:AL,34,FALSE)-VLOOKUP(A185,'SegEnds_NonXtal_Prot#'!A:AL,31,FALSE)</f>
        <v>39</v>
      </c>
      <c r="AJ185" s="1">
        <f>VLOOKUP(A185,'SegEnds_NonXtal_Prot#'!A:AL,37,FALSE)-VLOOKUP(A185,'SegEnds_NonXtal_Prot#'!A:AL,34,FALSE)</f>
        <v>10</v>
      </c>
      <c r="AK185" s="1" t="str">
        <f>IF(ISERROR(MATCH(A185,'SegEnds_Xtal_Prot#'!B:B, 0)), "NoXtal", "Xtal")</f>
        <v>NoXtal</v>
      </c>
    </row>
    <row r="186" spans="1:37" x14ac:dyDescent="0.2">
      <c r="A186" s="1" t="s">
        <v>314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56</v>
      </c>
      <c r="O186" s="88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33</v>
      </c>
      <c r="T186" s="1">
        <f t="array" ref="T186">INDEX('ICL3'!$G$2:$G$41,MATCH(MIN(ABS(AH186-'ICL3'!$F$2:$F$41)),ABS(AH186-'ICL3'!$F$2:$F$41),0))</f>
        <v>73</v>
      </c>
      <c r="U186" s="1">
        <f t="array" ref="U186">INDEX('ICL3'!$H$2:$H$41,MATCH(MIN(ABS(AH186-'ICL3'!$F$2:$F$41)),ABS(AH186-'ICL3'!$F$2:$F$41),0))</f>
        <v>22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58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 t="e">
        <f>VLOOKUP(A186,'SegEnds_NonXtal_Prot#'!A:AL,22,FALSE)-VLOOKUP(A186,'SegEnds_NonXtal_Prot#'!A:AL,19,FALSE)</f>
        <v>#VALUE!</v>
      </c>
      <c r="AF186" s="1">
        <f>VLOOKUP(A186,'SegEnds_NonXtal_Prot#'!A:AL,28,FALSE)-VLOOKUP(A186,'SegEnds_NonXtal_Prot#'!A:AL,25,FALSE)</f>
        <v>28</v>
      </c>
      <c r="AG186" s="1">
        <f>VLOOKUP(A186,'SegEnds_NonXtal_Prot#'!A:AL,28,FALSE)-VLOOKUP(A186,'SegEnds_NonXtal_Prot#'!A:AL,22,FALSE)</f>
        <v>53</v>
      </c>
      <c r="AH186" s="1">
        <f>VLOOKUP(A186,'SegEnds_NonXtal_Prot#'!A:AL,31,FALSE)-VLOOKUP(A186,'SegEnds_NonXtal_Prot#'!A:AL,28,FALSE)</f>
        <v>55</v>
      </c>
      <c r="AI186" s="1">
        <f>VLOOKUP(A186,'SegEnds_NonXtal_Prot#'!A:AL,34,FALSE)-VLOOKUP(A186,'SegEnds_NonXtal_Prot#'!A:AL,31,FALSE)</f>
        <v>39</v>
      </c>
      <c r="AJ186" s="1">
        <f>VLOOKUP(A186,'SegEnds_NonXtal_Prot#'!A:AL,37,FALSE)-VLOOKUP(A186,'SegEnds_NonXtal_Prot#'!A:AL,34,FALSE)</f>
        <v>10</v>
      </c>
      <c r="AK186" s="1" t="str">
        <f>IF(ISERROR(MATCH(A186,'SegEnds_Xtal_Prot#'!B:B, 0)), "NoXtal", "Xtal")</f>
        <v>NoXtal</v>
      </c>
    </row>
    <row r="187" spans="1:37" x14ac:dyDescent="0.2">
      <c r="A187" s="1" t="s">
        <v>315</v>
      </c>
      <c r="B187" s="1" t="str">
        <f>VLOOKUP(A187,Xtal_Templ!A:B,2,FALSE)</f>
        <v>ox1r_human</v>
      </c>
      <c r="C187" s="5">
        <f>VLOOKUP($B187&amp;"__wt",'SegEnds_Xtal_BW#'!$A:$Z,3,FALSE)</f>
        <v>32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56</v>
      </c>
      <c r="O187" s="88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INDEX('ICL3'!$G$2:$G$41,MATCH(MIN(ABS(AH187-'ICL3'!$F$2:$F$41)),ABS(AH187-'ICL3'!$F$2:$F$41),0))</f>
        <v>73</v>
      </c>
      <c r="U187" s="1">
        <f t="array" ref="U187">INDEX('ICL3'!$H$2:$H$41,MATCH(MIN(ABS(AH187-'ICL3'!$F$2:$F$41)),ABS(AH187-'ICL3'!$F$2:$F$41),0))</f>
        <v>22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 t="e">
        <f>VLOOKUP(A187,'SegEnds_NonXtal_Prot#'!A:AL,22,FALSE)-VLOOKUP(A187,'SegEnds_NonXtal_Prot#'!A:AL,19,FALSE)</f>
        <v>#VALUE!</v>
      </c>
      <c r="AF187" s="1">
        <f>VLOOKUP(A187,'SegEnds_NonXtal_Prot#'!A:AL,28,FALSE)-VLOOKUP(A187,'SegEnds_NonXtal_Prot#'!A:AL,25,FALSE)</f>
        <v>28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56</v>
      </c>
      <c r="AI187" s="1">
        <f>VLOOKUP(A187,'SegEnds_NonXtal_Prot#'!A:AL,34,FALSE)-VLOOKUP(A187,'SegEnds_NonXtal_Prot#'!A:AL,31,FALSE)</f>
        <v>39</v>
      </c>
      <c r="AJ187" s="1">
        <f>VLOOKUP(A187,'SegEnds_NonXtal_Prot#'!A:AL,37,FALSE)-VLOOKUP(A187,'SegEnds_NonXtal_Prot#'!A:AL,34,FALSE)</f>
        <v>10</v>
      </c>
      <c r="AK187" s="1" t="str">
        <f>IF(ISERROR(MATCH(A187,'SegEnds_Xtal_Prot#'!B:B, 0)), "NoXtal", "Xtal")</f>
        <v>NoXtal</v>
      </c>
    </row>
    <row r="188" spans="1:37" x14ac:dyDescent="0.2">
      <c r="A188" s="1" t="s">
        <v>316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56</v>
      </c>
      <c r="O188" s="88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33</v>
      </c>
      <c r="T188" s="1">
        <f t="array" ref="T188">INDEX('ICL3'!$G$2:$G$41,MATCH(MIN(ABS(AH188-'ICL3'!$F$2:$F$41)),ABS(AH188-'ICL3'!$F$2:$F$41),0))</f>
        <v>73</v>
      </c>
      <c r="U188" s="1">
        <f t="array" ref="U188">INDEX('ICL3'!$H$2:$H$41,MATCH(MIN(ABS(AH188-'ICL3'!$F$2:$F$41)),ABS(AH188-'ICL3'!$F$2:$F$41),0))</f>
        <v>22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 t="e">
        <f>VLOOKUP(A188,'SegEnds_NonXtal_Prot#'!A:AL,22,FALSE)-VLOOKUP(A188,'SegEnds_NonXtal_Prot#'!A:AL,19,FALSE)</f>
        <v>#VALUE!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51</v>
      </c>
      <c r="AH188" s="1">
        <f>VLOOKUP(A188,'SegEnds_NonXtal_Prot#'!A:AL,31,FALSE)-VLOOKUP(A188,'SegEnds_NonXtal_Prot#'!A:AL,28,FALSE)</f>
        <v>55</v>
      </c>
      <c r="AI188" s="1">
        <f>VLOOKUP(A188,'SegEnds_NonXtal_Prot#'!A:AL,34,FALSE)-VLOOKUP(A188,'SegEnds_NonXtal_Prot#'!A:AL,31,FALSE)</f>
        <v>39</v>
      </c>
      <c r="AJ188" s="1">
        <f>VLOOKUP(A188,'SegEnds_NonXtal_Prot#'!A:AL,37,FALSE)-VLOOKUP(A188,'SegEnds_NonXtal_Prot#'!A:AL,34,FALSE)</f>
        <v>10</v>
      </c>
      <c r="AK188" s="1" t="str">
        <f>IF(ISERROR(MATCH(A188,'SegEnds_Xtal_Prot#'!B:B, 0)), "NoXtal", "Xtal")</f>
        <v>NoXtal</v>
      </c>
    </row>
    <row r="189" spans="1:37" x14ac:dyDescent="0.2">
      <c r="A189" s="1" t="s">
        <v>317</v>
      </c>
      <c r="B189" s="1" t="str">
        <f>VLOOKUP(A189,Xtal_Templ!A:B,2,FALSE)</f>
        <v>ednrb_human</v>
      </c>
      <c r="C189" s="5">
        <f>VLOOKUP($B189&amp;"__wt",'SegEnds_Xtal_BW#'!$A:$Z,3,FALSE)</f>
        <v>22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52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8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28</v>
      </c>
      <c r="T189" s="1">
        <f t="array" ref="T189">INDEX('ICL3'!$G$2:$G$41,MATCH(MIN(ABS(AH189-'ICL3'!$F$2:$F$41)),ABS(AH189-'ICL3'!$F$2:$F$41),0))</f>
        <v>72</v>
      </c>
      <c r="U189" s="1">
        <f t="array" ref="U189">INDEX('ICL3'!$H$2:$H$41,MATCH(MIN(ABS(AH189-'ICL3'!$F$2:$F$41)),ABS(AH189-'ICL3'!$F$2:$F$41),0))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56</v>
      </c>
      <c r="AH189" s="1">
        <f>VLOOKUP(A189,'SegEnds_NonXtal_Prot#'!A:AL,31,FALSE)-VLOOKUP(A189,'SegEnds_NonXtal_Prot#'!A:AL,28,FALSE)</f>
        <v>57</v>
      </c>
      <c r="AI189" s="1">
        <f>VLOOKUP(A189,'SegEnds_NonXtal_Prot#'!A:AL,34,FALSE)-VLOOKUP(A189,'SegEnds_NonXtal_Prot#'!A:AL,31,FALSE)</f>
        <v>40</v>
      </c>
      <c r="AJ189" s="1">
        <f>VLOOKUP(A189,'SegEnds_NonXtal_Prot#'!A:AL,37,FALSE)-VLOOKUP(A189,'SegEnds_NonXtal_Prot#'!A:AL,34,FALSE)</f>
        <v>10</v>
      </c>
      <c r="AK189" s="1" t="str">
        <f>IF(ISERROR(MATCH(A189,'SegEnds_Xtal_Prot#'!B:B, 0)), "NoXtal", "Xtal")</f>
        <v>NoXtal</v>
      </c>
    </row>
    <row r="190" spans="1:37" x14ac:dyDescent="0.2">
      <c r="A190" s="1" t="s">
        <v>322</v>
      </c>
      <c r="B190" s="1" t="str">
        <f>VLOOKUP(A190,Xtal_Templ!A:B,2,FALSE)</f>
        <v>ox1r_human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56</v>
      </c>
      <c r="O190" s="88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INDEX('ICL3'!$G$2:$G$41,MATCH(MIN(ABS(AH190-'ICL3'!$F$2:$F$41)),ABS(AH190-'ICL3'!$F$2:$F$41),0))</f>
        <v>72</v>
      </c>
      <c r="U190" s="1">
        <f t="array" ref="U190">INDEX('ICL3'!$H$2:$H$41,MATCH(MIN(ABS(AH190-'ICL3'!$F$2:$F$41)),ABS(AH190-'ICL3'!$F$2:$F$41),0))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 t="e">
        <f>VLOOKUP(A190,'SegEnds_NonXtal_Prot#'!A:AL,22,FALSE)-VLOOKUP(A190,'SegEnds_NonXtal_Prot#'!A:AL,19,FALSE)</f>
        <v>#VALUE!</v>
      </c>
      <c r="AF190" s="1">
        <f>VLOOKUP(A190,'SegEnds_NonXtal_Prot#'!A:AL,28,FALSE)-VLOOKUP(A190,'SegEnds_NonXtal_Prot#'!A:AL,25,FALSE)</f>
        <v>25</v>
      </c>
      <c r="AG190" s="1">
        <f>VLOOKUP(A190,'SegEnds_NonXtal_Prot#'!A:AL,28,FALSE)-VLOOKUP(A190,'SegEnds_NonXtal_Prot#'!A:AL,22,FALSE)</f>
        <v>62</v>
      </c>
      <c r="AH190" s="1">
        <f>VLOOKUP(A190,'SegEnds_NonXtal_Prot#'!A:AL,31,FALSE)-VLOOKUP(A190,'SegEnds_NonXtal_Prot#'!A:AL,28,FALSE)</f>
        <v>57</v>
      </c>
      <c r="AI190" s="1">
        <f>VLOOKUP(A190,'SegEnds_NonXtal_Prot#'!A:AL,34,FALSE)-VLOOKUP(A190,'SegEnds_NonXtal_Prot#'!A:AL,31,FALSE)</f>
        <v>41</v>
      </c>
      <c r="AJ190" s="1">
        <f>VLOOKUP(A190,'SegEnds_NonXtal_Prot#'!A:AL,37,FALSE)-VLOOKUP(A190,'SegEnds_NonXtal_Prot#'!A:AL,34,FALSE)</f>
        <v>10</v>
      </c>
      <c r="AK190" s="1" t="str">
        <f>IF(ISERROR(MATCH(A190,'SegEnds_Xtal_Prot#'!B:B, 0)), "NoXtal", "Xtal")</f>
        <v>NoXtal</v>
      </c>
    </row>
    <row r="191" spans="1:37" x14ac:dyDescent="0.2">
      <c r="A191" s="1" t="s">
        <v>323</v>
      </c>
      <c r="B191" s="1" t="str">
        <f>VLOOKUP(A191,Xtal_Templ!A:B,2,FALSE)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56</v>
      </c>
      <c r="O191" s="88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INDEX('ICL3'!$G$2:$G$41,MATCH(MIN(ABS(AH191-'ICL3'!$F$2:$F$41)),ABS(AH191-'ICL3'!$F$2:$F$41),0))</f>
        <v>73</v>
      </c>
      <c r="U191" s="1">
        <f t="array" ref="U191">INDEX('ICL3'!$H$2:$H$41,MATCH(MIN(ABS(AH191-'ICL3'!$F$2:$F$41)),ABS(AH191-'ICL3'!$F$2:$F$41),0))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 t="e">
        <f>VLOOKUP(A191,'SegEnds_NonXtal_Prot#'!A:AL,22,FALSE)-VLOOKUP(A191,'SegEnds_NonXtal_Prot#'!A:AL,19,FALSE)</f>
        <v>#VALUE!</v>
      </c>
      <c r="AF191" s="1">
        <f>VLOOKUP(A191,'SegEnds_NonXtal_Prot#'!A:AL,28,FALSE)-VLOOKUP(A191,'SegEnds_NonXtal_Prot#'!A:AL,25,FALSE)</f>
        <v>25</v>
      </c>
      <c r="AG191" s="1">
        <f>VLOOKUP(A191,'SegEnds_NonXtal_Prot#'!A:AL,28,FALSE)-VLOOKUP(A191,'SegEnds_NonXtal_Prot#'!A:AL,22,FALSE)</f>
        <v>63</v>
      </c>
      <c r="AH191" s="1">
        <f>VLOOKUP(A191,'SegEnds_NonXtal_Prot#'!A:AL,31,FALSE)-VLOOKUP(A191,'SegEnds_NonXtal_Prot#'!A:AL,28,FALSE)</f>
        <v>58</v>
      </c>
      <c r="AI191" s="1">
        <f>VLOOKUP(A191,'SegEnds_NonXtal_Prot#'!A:AL,34,FALSE)-VLOOKUP(A191,'SegEnds_NonXtal_Prot#'!A:AL,31,FALSE)</f>
        <v>41</v>
      </c>
      <c r="AJ191" s="1">
        <f>VLOOKUP(A191,'SegEnds_NonXtal_Prot#'!A:AL,37,FALSE)-VLOOKUP(A191,'SegEnds_NonXtal_Prot#'!A:AL,34,FALSE)</f>
        <v>10</v>
      </c>
      <c r="AK191" s="1" t="str">
        <f>IF(ISERROR(MATCH(A191,'SegEnds_Xtal_Prot#'!B:B, 0)), "NoXtal", "Xtal")</f>
        <v>NoXtal</v>
      </c>
    </row>
    <row r="192" spans="1:37" x14ac:dyDescent="0.2">
      <c r="A192" s="1" t="s">
        <v>324</v>
      </c>
      <c r="B192" s="1" t="str">
        <f>VLOOKUP(A192,Xtal_Templ!A:B,2,FALSE)</f>
        <v>5ht2c_human</v>
      </c>
      <c r="C192" s="5">
        <f>VLOOKUP($B192&amp;"__wt",'SegEnds_Xtal_BW#'!$A:$Z,3,FALSE)</f>
        <v>33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53</v>
      </c>
      <c r="O192" s="88">
        <v>38</v>
      </c>
      <c r="P192" s="1">
        <f>VLOOKUP($B192&amp;"__wt",'SegEnds_Xtal_BW#'!$A:$Z,16,FALSE)</f>
        <v>67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35</v>
      </c>
      <c r="T192" s="1">
        <f t="array" ref="T192">INDEX('ICL3'!$G$2:$G$41,MATCH(MIN(ABS(AH192-'ICL3'!$F$2:$F$41)),ABS(AH192-'ICL3'!$F$2:$F$41),0))</f>
        <v>76</v>
      </c>
      <c r="U192" s="1">
        <f t="array" ref="U192">INDEX('ICL3'!$H$2:$H$41,MATCH(MIN(ABS(AH192-'ICL3'!$F$2:$F$41)),ABS(AH192-'ICL3'!$F$2:$F$41),0))</f>
        <v>24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18</v>
      </c>
      <c r="AF192" s="1">
        <f>VLOOKUP(A192,'SegEnds_NonXtal_Prot#'!A:AL,28,FALSE)-VLOOKUP(A192,'SegEnds_NonXtal_Prot#'!A:AL,25,FALSE)</f>
        <v>25</v>
      </c>
      <c r="AG192" s="1">
        <f>VLOOKUP(A192,'SegEnds_NonXtal_Prot#'!A:AL,28,FALSE)-VLOOKUP(A192,'SegEnds_NonXtal_Prot#'!A:AL,22,FALSE)</f>
        <v>51</v>
      </c>
      <c r="AH192" s="1">
        <f>VLOOKUP(A192,'SegEnds_NonXtal_Prot#'!A:AL,31,FALSE)-VLOOKUP(A192,'SegEnds_NonXtal_Prot#'!A:AL,28,FALSE)</f>
        <v>67</v>
      </c>
      <c r="AI192" s="1">
        <f>VLOOKUP(A192,'SegEnds_NonXtal_Prot#'!A:AL,34,FALSE)-VLOOKUP(A192,'SegEnds_NonXtal_Prot#'!A:AL,31,FALSE)</f>
        <v>38</v>
      </c>
      <c r="AJ192" s="1">
        <f>VLOOKUP(A192,'SegEnds_NonXtal_Prot#'!A:AL,37,FALSE)-VLOOKUP(A192,'SegEnds_NonXtal_Prot#'!A:AL,34,FALSE)</f>
        <v>10</v>
      </c>
      <c r="AK192" s="1" t="str">
        <f>IF(ISERROR(MATCH(A192,'SegEnds_Xtal_Prot#'!B:B, 0)), "NoXtal", "Xtal")</f>
        <v>NoXtal</v>
      </c>
    </row>
    <row r="193" spans="1:37" x14ac:dyDescent="0.2">
      <c r="A193" s="1" t="s">
        <v>325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8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INDEX('ICL3'!$G$2:$G$41,MATCH(MIN(ABS(AH193-'ICL3'!$F$2:$F$41)),ABS(AH193-'ICL3'!$F$2:$F$41),0))</f>
        <v>73</v>
      </c>
      <c r="U193" s="1">
        <f t="array" ref="U193">INDEX('ICL3'!$H$2:$H$41,MATCH(MIN(ABS(AH193-'ICL3'!$F$2:$F$41)),ABS(AH193-'ICL3'!$F$2:$F$41),0))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25</v>
      </c>
      <c r="AG193" s="1">
        <f>VLOOKUP(A193,'SegEnds_NonXtal_Prot#'!A:AL,28,FALSE)-VLOOKUP(A193,'SegEnds_NonXtal_Prot#'!A:AL,22,FALSE)</f>
        <v>60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39</v>
      </c>
      <c r="AJ193" s="1">
        <f>VLOOKUP(A193,'SegEnds_NonXtal_Prot#'!A:AL,37,FALSE)-VLOOKUP(A193,'SegEnds_NonXtal_Prot#'!A:AL,34,FALSE)</f>
        <v>10</v>
      </c>
      <c r="AK193" s="1" t="str">
        <f>IF(ISERROR(MATCH(A193,'SegEnds_Xtal_Prot#'!B:B, 0)), "NoXtal", "Xtal")</f>
        <v>NoXtal</v>
      </c>
    </row>
    <row r="194" spans="1:37" x14ac:dyDescent="0.2">
      <c r="A194" s="1" t="s">
        <v>326</v>
      </c>
      <c r="B194" s="1" t="str">
        <f>VLOOKUP(A194,Xtal_Templ!A:B,2,FALSE)</f>
        <v>ox2r_human</v>
      </c>
      <c r="C194" s="5">
        <f>VLOOKUP($B194&amp;"__wt",'SegEnds_Xtal_BW#'!$A:$Z,3,FALSE)</f>
        <v>31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8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33</v>
      </c>
      <c r="T194" s="1">
        <f t="array" ref="T194">INDEX('ICL3'!$G$2:$G$41,MATCH(MIN(ABS(AH194-'ICL3'!$F$2:$F$41)),ABS(AH194-'ICL3'!$F$2:$F$41),0))</f>
        <v>72</v>
      </c>
      <c r="U194" s="1">
        <f t="array" ref="U194">INDEX('ICL3'!$H$2:$H$41,MATCH(MIN(ABS(AH194-'ICL3'!$F$2:$F$41)),ABS(AH194-'ICL3'!$F$2:$F$41),0))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28</v>
      </c>
      <c r="AG194" s="1">
        <f>VLOOKUP(A194,'SegEnds_NonXtal_Prot#'!A:AL,28,FALSE)-VLOOKUP(A194,'SegEnds_NonXtal_Prot#'!A:AL,22,FALSE)</f>
        <v>58</v>
      </c>
      <c r="AH194" s="1">
        <f>VLOOKUP(A194,'SegEnds_NonXtal_Prot#'!A:AL,31,FALSE)-VLOOKUP(A194,'SegEnds_NonXtal_Prot#'!A:AL,28,FALSE)</f>
        <v>52</v>
      </c>
      <c r="AI194" s="1">
        <f>VLOOKUP(A194,'SegEnds_NonXtal_Prot#'!A:AL,34,FALSE)-VLOOKUP(A194,'SegEnds_NonXtal_Prot#'!A:AL,31,FALSE)</f>
        <v>39</v>
      </c>
      <c r="AJ194" s="1">
        <f>VLOOKUP(A194,'SegEnds_NonXtal_Prot#'!A:AL,37,FALSE)-VLOOKUP(A194,'SegEnds_NonXtal_Prot#'!A:AL,34,FALSE)</f>
        <v>10</v>
      </c>
      <c r="AK194" s="1" t="str">
        <f>IF(ISERROR(MATCH(A194,'SegEnds_Xtal_Prot#'!B:B, 0)), "NoXtal", "Xtal")</f>
        <v>NoXtal</v>
      </c>
    </row>
    <row r="195" spans="1:37" x14ac:dyDescent="0.2">
      <c r="A195" s="1" t="s">
        <v>327</v>
      </c>
      <c r="B195" s="1" t="str">
        <f>VLOOKUP(A195,Xtal_Templ!A:B,2,FALSE)</f>
        <v>ox2r_human</v>
      </c>
      <c r="C195" s="5">
        <f>VLOOKUP($B195&amp;"__wt",'SegEnds_Xtal_BW#'!$A:$Z,3,FALSE)</f>
        <v>31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56</v>
      </c>
      <c r="O195" s="88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INDEX('ICL3'!$G$2:$G$41,MATCH(MIN(ABS(AH195-'ICL3'!$F$2:$F$41)),ABS(AH195-'ICL3'!$F$2:$F$41),0))</f>
        <v>72</v>
      </c>
      <c r="U195" s="1">
        <f t="array" ref="U195">INDEX('ICL3'!$H$2:$H$41,MATCH(MIN(ABS(AH195-'ICL3'!$F$2:$F$41)),ABS(AH195-'ICL3'!$F$2:$F$41),0))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 t="e">
        <f>VLOOKUP(A195,'SegEnds_NonXtal_Prot#'!A:AL,22,FALSE)-VLOOKUP(A195,'SegEnds_NonXtal_Prot#'!A:AL,19,FALSE)</f>
        <v>#VALUE!</v>
      </c>
      <c r="AF195" s="1">
        <f>VLOOKUP(A195,'SegEnds_NonXtal_Prot#'!A:AL,28,FALSE)-VLOOKUP(A195,'SegEnds_NonXtal_Prot#'!A:AL,25,FALSE)</f>
        <v>25</v>
      </c>
      <c r="AG195" s="1">
        <f>VLOOKUP(A195,'SegEnds_NonXtal_Prot#'!A:AL,28,FALSE)-VLOOKUP(A195,'SegEnds_NonXtal_Prot#'!A:AL,22,FALSE)</f>
        <v>62</v>
      </c>
      <c r="AH195" s="1">
        <f>VLOOKUP(A195,'SegEnds_NonXtal_Prot#'!A:AL,31,FALSE)-VLOOKUP(A195,'SegEnds_NonXtal_Prot#'!A:AL,28,FALSE)</f>
        <v>54</v>
      </c>
      <c r="AI195" s="1">
        <f>VLOOKUP(A195,'SegEnds_NonXtal_Prot#'!A:AL,34,FALSE)-VLOOKUP(A195,'SegEnds_NonXtal_Prot#'!A:AL,31,FALSE)</f>
        <v>39</v>
      </c>
      <c r="AJ195" s="1">
        <f>VLOOKUP(A195,'SegEnds_NonXtal_Prot#'!A:AL,37,FALSE)-VLOOKUP(A195,'SegEnds_NonXtal_Prot#'!A:AL,34,FALSE)</f>
        <v>10</v>
      </c>
      <c r="AK195" s="1" t="str">
        <f>IF(ISERROR(MATCH(A195,'SegEnds_Xtal_Prot#'!B:B, 0)), "NoXtal", "Xtal")</f>
        <v>NoXtal</v>
      </c>
    </row>
    <row r="196" spans="1:37" x14ac:dyDescent="0.2">
      <c r="A196" s="1" t="s">
        <v>328</v>
      </c>
      <c r="B196" s="1" t="str">
        <f>VLOOKUP(A196,Xtal_Templ!A:B,2,FALSE)</f>
        <v>ox2r_human</v>
      </c>
      <c r="C196" s="5">
        <f>VLOOKUP($B196&amp;"__wt",'SegEnds_Xtal_BW#'!$A:$Z,3,FALSE)</f>
        <v>31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8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33</v>
      </c>
      <c r="T196" s="1">
        <f t="array" ref="T196">INDEX('ICL3'!$G$2:$G$41,MATCH(MIN(ABS(AH196-'ICL3'!$F$2:$F$41)),ABS(AH196-'ICL3'!$F$2:$F$41),0))</f>
        <v>76</v>
      </c>
      <c r="U196" s="1">
        <f t="array" ref="U196">INDEX('ICL3'!$H$2:$H$41,MATCH(MIN(ABS(AH196-'ICL3'!$F$2:$F$41)),ABS(AH196-'ICL3'!$F$2:$F$41),0))</f>
        <v>24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59</v>
      </c>
      <c r="AH196" s="1">
        <f>VLOOKUP(A196,'SegEnds_NonXtal_Prot#'!A:AL,31,FALSE)-VLOOKUP(A196,'SegEnds_NonXtal_Prot#'!A:AL,28,FALSE)</f>
        <v>160</v>
      </c>
      <c r="AI196" s="1">
        <f>VLOOKUP(A196,'SegEnds_NonXtal_Prot#'!A:AL,34,FALSE)-VLOOKUP(A196,'SegEnds_NonXtal_Prot#'!A:AL,31,FALSE)</f>
        <v>39</v>
      </c>
      <c r="AJ196" s="1">
        <f>VLOOKUP(A196,'SegEnds_NonXtal_Prot#'!A:AL,37,FALSE)-VLOOKUP(A196,'SegEnds_NonXtal_Prot#'!A:AL,34,FALSE)</f>
        <v>10</v>
      </c>
      <c r="AK196" s="1" t="str">
        <f>IF(ISERROR(MATCH(A196,'SegEnds_Xtal_Prot#'!B:B, 0)), "NoXtal", "Xtal")</f>
        <v>NoXtal</v>
      </c>
    </row>
    <row r="197" spans="1:37" x14ac:dyDescent="0.2">
      <c r="A197" s="1" t="s">
        <v>329</v>
      </c>
      <c r="B197" s="1" t="str">
        <f>VLOOKUP(A197,Xtal_Templ!A:B,2,FALSE)</f>
        <v>ox2r_human</v>
      </c>
      <c r="C197" s="5">
        <f>VLOOKUP($B197&amp;"__wt",'SegEnds_Xtal_BW#'!$A:$Z,3,FALSE)</f>
        <v>31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53</v>
      </c>
      <c r="O197" s="88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33</v>
      </c>
      <c r="T197" s="1">
        <f t="array" ref="T197">INDEX('ICL3'!$G$2:$G$41,MATCH(MIN(ABS(AH197-'ICL3'!$F$2:$F$41)),ABS(AH197-'ICL3'!$F$2:$F$41),0))</f>
        <v>73</v>
      </c>
      <c r="U197" s="1">
        <f t="array" ref="U197">INDEX('ICL3'!$H$2:$H$41,MATCH(MIN(ABS(AH197-'ICL3'!$F$2:$F$41)),ABS(AH197-'ICL3'!$F$2:$F$41),0))</f>
        <v>22</v>
      </c>
      <c r="V197" s="1">
        <v>61</v>
      </c>
      <c r="W197" s="1">
        <v>24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 t="e">
        <f>VLOOKUP(A197,'SegEnds_NonXtal_Prot#'!A:AL,22,FALSE)-VLOOKUP(A197,'SegEnds_NonXtal_Prot#'!A:AL,19,FALSE)</f>
        <v>#VALUE!</v>
      </c>
      <c r="AF197" s="1" t="e">
        <f>VLOOKUP(A197,'SegEnds_NonXtal_Prot#'!A:AL,28,FALSE)-VLOOKUP(A197,'SegEnds_NonXtal_Prot#'!A:AL,25,FALSE)</f>
        <v>#VALUE!</v>
      </c>
      <c r="AG197" s="1">
        <f>VLOOKUP(A197,'SegEnds_NonXtal_Prot#'!A:AL,28,FALSE)-VLOOKUP(A197,'SegEnds_NonXtal_Prot#'!A:AL,22,FALSE)</f>
        <v>62</v>
      </c>
      <c r="AH197" s="1">
        <f>VLOOKUP(A197,'SegEnds_NonXtal_Prot#'!A:AL,31,FALSE)-VLOOKUP(A197,'SegEnds_NonXtal_Prot#'!A:AL,28,FALSE)</f>
        <v>55</v>
      </c>
      <c r="AI197" s="1" t="e">
        <f>VLOOKUP(A197,'SegEnds_NonXtal_Prot#'!A:AL,34,FALSE)-VLOOKUP(A197,'SegEnds_NonXtal_Prot#'!A:AL,31,FALSE)</f>
        <v>#VALUE!</v>
      </c>
      <c r="AJ197" s="1" t="e">
        <f>VLOOKUP(A197,'SegEnds_NonXtal_Prot#'!A:AL,37,FALSE)-VLOOKUP(A197,'SegEnds_NonXtal_Prot#'!A:AL,34,FALSE)</f>
        <v>#VALUE!</v>
      </c>
      <c r="AK197" s="1" t="str">
        <f>IF(ISERROR(MATCH(A197,'SegEnds_Xtal_Prot#'!B:B, 0)), "NoXtal", "Xtal")</f>
        <v>NoXtal</v>
      </c>
    </row>
    <row r="198" spans="1:37" x14ac:dyDescent="0.2">
      <c r="A198" s="1" t="s">
        <v>331</v>
      </c>
      <c r="B198" s="1" t="str">
        <f>VLOOKUP(A198,Xtal_Templ!A:B,2,FALSE)</f>
        <v>agtr1_human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09">
        <v>48</v>
      </c>
      <c r="F198" s="109">
        <v>51</v>
      </c>
      <c r="G198" s="1">
        <v>37</v>
      </c>
      <c r="H198" s="12">
        <f>VLOOKUP($B198&amp;"__wt",'SegEnds_Xtal_BW#'!$A:$Z,8,FALSE)</f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8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INDEX('ICL3'!$G$2:$G$41,MATCH(MIN(ABS(AH198-'ICL3'!$F$2:$F$41)),ABS(AH198-'ICL3'!$F$2:$F$41),0))</f>
        <v>67</v>
      </c>
      <c r="U198" s="1">
        <f t="array" ref="U198">INDEX('ICL3'!$H$2:$H$41,MATCH(MIN(ABS(AH198-'ICL3'!$F$2:$F$41)),ABS(AH198-'ICL3'!$F$2:$F$41),0))</f>
        <v>26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61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25</v>
      </c>
      <c r="AG198" s="1">
        <f>VLOOKUP(A198,'SegEnds_NonXtal_Prot#'!A:AL,28,FALSE)-VLOOKUP(A198,'SegEnds_NonXtal_Prot#'!A:AL,22,FALSE)</f>
        <v>51</v>
      </c>
      <c r="AH198" s="1">
        <f>VLOOKUP(A198,'SegEnds_NonXtal_Prot#'!A:AL,31,FALSE)-VLOOKUP(A198,'SegEnds_NonXtal_Prot#'!A:AL,28,FALSE)</f>
        <v>46</v>
      </c>
      <c r="AI198" s="1">
        <f>VLOOKUP(A198,'SegEnds_NonXtal_Prot#'!A:AL,34,FALSE)-VLOOKUP(A198,'SegEnds_NonXtal_Prot#'!A:AL,31,FALSE)</f>
        <v>40</v>
      </c>
      <c r="AJ198" s="1">
        <f>VLOOKUP(A198,'SegEnds_NonXtal_Prot#'!A:AL,37,FALSE)-VLOOKUP(A198,'SegEnds_NonXtal_Prot#'!A:AL,34,FALSE)</f>
        <v>10</v>
      </c>
      <c r="AK198" s="1" t="str">
        <f>IF(ISERROR(MATCH(A198,'SegEnds_Xtal_Prot#'!B:B, 0)), "NoXtal", "Xtal")</f>
        <v>NoXtal</v>
      </c>
    </row>
    <row r="199" spans="1:37" x14ac:dyDescent="0.2">
      <c r="A199" s="1" t="s">
        <v>332</v>
      </c>
      <c r="B199" s="1" t="str">
        <f>VLOOKUP(A199,Xtal_Templ!A:B,2,FALSE)</f>
        <v>opsd_bovin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56</v>
      </c>
      <c r="O199" s="88">
        <f>VLOOKUP($B199&amp;"__wt",'SegEnds_Xtal_BW#'!$A:$Z,15,FALSE)</f>
        <v>38</v>
      </c>
      <c r="P199" s="1">
        <f>VLOOKUP($B199&amp;"__wt",'SegEnds_Xtal_BW#'!$A:$Z,16,FALSE)</f>
        <v>62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34</v>
      </c>
      <c r="T199" s="1">
        <f t="array" ref="T199">INDEX('ICL3'!$G$2:$G$41,MATCH(MIN(ABS(AH199-'ICL3'!$F$2:$F$41)),ABS(AH199-'ICL3'!$F$2:$F$41),0))</f>
        <v>73</v>
      </c>
      <c r="U199" s="1">
        <f t="array" ref="U199">INDEX('ICL3'!$H$2:$H$41,MATCH(MIN(ABS(AH199-'ICL3'!$F$2:$F$41)),ABS(AH199-'ICL3'!$F$2:$F$41),0))</f>
        <v>22</v>
      </c>
      <c r="V199" s="1">
        <v>61</v>
      </c>
      <c r="W199" s="1">
        <v>31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 t="e">
        <f>VLOOKUP(A199,'SegEnds_NonXtal_Prot#'!A:AL,22,FALSE)-VLOOKUP(A199,'SegEnds_NonXtal_Prot#'!A:AL,19,FALSE)</f>
        <v>#VALUE!</v>
      </c>
      <c r="AF199" s="1">
        <f>VLOOKUP(A199,'SegEnds_NonXtal_Prot#'!A:AL,28,FALSE)-VLOOKUP(A199,'SegEnds_NonXtal_Prot#'!A:AL,25,FALSE)</f>
        <v>26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56</v>
      </c>
      <c r="AI199" s="1">
        <f>VLOOKUP(A199,'SegEnds_NonXtal_Prot#'!A:AL,34,FALSE)-VLOOKUP(A199,'SegEnds_NonXtal_Prot#'!A:AL,31,FALSE)</f>
        <v>36</v>
      </c>
      <c r="AJ199" s="1">
        <f>VLOOKUP(A199,'SegEnds_NonXtal_Prot#'!A:AL,37,FALSE)-VLOOKUP(A199,'SegEnds_NonXtal_Prot#'!A:AL,34,FALSE)</f>
        <v>10</v>
      </c>
      <c r="AK199" s="1" t="str">
        <f>IF(ISERROR(MATCH(A199,'SegEnds_Xtal_Prot#'!B:B, 0)), "NoXtal", "Xtal")</f>
        <v>NoXtal</v>
      </c>
    </row>
    <row r="200" spans="1:37" x14ac:dyDescent="0.2">
      <c r="A200" s="1" t="s">
        <v>333</v>
      </c>
      <c r="B200" s="1" t="str">
        <f>VLOOKUP(A200,Xtal_Templ!A:B,2,FALSE)</f>
        <v>opsd_human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8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34</v>
      </c>
      <c r="T200" s="1">
        <f t="array" ref="T200">INDEX('ICL3'!$G$2:$G$41,MATCH(MIN(ABS(AH200-'ICL3'!$F$2:$F$41)),ABS(AH200-'ICL3'!$F$2:$F$41),0))</f>
        <v>74</v>
      </c>
      <c r="U200" s="1">
        <f t="array" ref="U200">INDEX('ICL3'!$H$2:$H$41,MATCH(MIN(ABS(AH200-'ICL3'!$F$2:$F$41)),ABS(AH200-'ICL3'!$F$2:$F$41),0))</f>
        <v>21</v>
      </c>
      <c r="V200" s="1">
        <v>61</v>
      </c>
      <c r="W200" s="1">
        <v>31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26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64</v>
      </c>
      <c r="AI200" s="1">
        <f>VLOOKUP(A200,'SegEnds_NonXtal_Prot#'!A:AL,34,FALSE)-VLOOKUP(A200,'SegEnds_NonXtal_Prot#'!A:AL,31,FALSE)</f>
        <v>36</v>
      </c>
      <c r="AJ200" s="1">
        <f>VLOOKUP(A200,'SegEnds_NonXtal_Prot#'!A:AL,37,FALSE)-VLOOKUP(A200,'SegEnds_NonXtal_Prot#'!A:AL,34,FALSE)</f>
        <v>10</v>
      </c>
      <c r="AK200" s="1" t="str">
        <f>IF(ISERROR(MATCH(A200,'SegEnds_Xtal_Prot#'!B:B, 0)), "NoXtal", "Xtal")</f>
        <v>NoXtal</v>
      </c>
    </row>
    <row r="201" spans="1:37" x14ac:dyDescent="0.2">
      <c r="A201" s="1" t="s">
        <v>334</v>
      </c>
      <c r="B201" s="1" t="str">
        <f>VLOOKUP(A201,Xtal_Templ!A:B,2,FALSE)</f>
        <v>opsd_bovin</v>
      </c>
      <c r="C201" s="5">
        <f>VLOOKUP($B201&amp;"__wt",'SegEnds_Xtal_BW#'!$A:$Z,3,FALSE)</f>
        <v>28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09">
        <v>56</v>
      </c>
      <c r="O201" s="88">
        <f>VLOOKUP($B201&amp;"__wt",'SegEnds_Xtal_BW#'!$A:$Z,15,FALSE)</f>
        <v>38</v>
      </c>
      <c r="P201" s="1">
        <f>VLOOKUP($B201&amp;"__wt",'SegEnds_Xtal_BW#'!$A:$Z,16,FALSE)</f>
        <v>62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34</v>
      </c>
      <c r="T201" s="1">
        <f t="array" ref="T201">INDEX('ICL3'!$G$2:$G$41,MATCH(MIN(ABS(AH201-'ICL3'!$F$2:$F$41)),ABS(AH201-'ICL3'!$F$2:$F$41),0))</f>
        <v>73</v>
      </c>
      <c r="U201" s="1">
        <f t="array" ref="U201">INDEX('ICL3'!$H$2:$H$41,MATCH(MIN(ABS(AH201-'ICL3'!$F$2:$F$41)),ABS(AH201-'ICL3'!$F$2:$F$41),0))</f>
        <v>22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14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19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54</v>
      </c>
      <c r="AH201" s="1">
        <f>VLOOKUP(A201,'SegEnds_NonXtal_Prot#'!A:AL,31,FALSE)-VLOOKUP(A201,'SegEnds_NonXtal_Prot#'!A:AL,28,FALSE)</f>
        <v>56</v>
      </c>
      <c r="AI201" s="1">
        <f>VLOOKUP(A201,'SegEnds_NonXtal_Prot#'!A:AL,34,FALSE)-VLOOKUP(A201,'SegEnds_NonXtal_Prot#'!A:AL,31,FALSE)</f>
        <v>36</v>
      </c>
      <c r="AJ201" s="1">
        <f>VLOOKUP(A201,'SegEnds_NonXtal_Prot#'!A:AL,37,FALSE)-VLOOKUP(A201,'SegEnds_NonXtal_Prot#'!A:AL,34,FALSE)</f>
        <v>10</v>
      </c>
      <c r="AK201" s="1" t="str">
        <f>IF(ISERROR(MATCH(A201,'SegEnds_Xtal_Prot#'!B:B, 0)), "NoXtal", "Xtal")</f>
        <v>NoXtal</v>
      </c>
    </row>
    <row r="202" spans="1:37" x14ac:dyDescent="0.2">
      <c r="A202" s="1" t="s">
        <v>338</v>
      </c>
      <c r="B202" s="1" t="str">
        <f>VLOOKUP(A202,Xtal_Templ!A:B,2,FALSE)</f>
        <v>opsd_human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9">
        <v>56</v>
      </c>
      <c r="O202" s="88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INDEX('ICL3'!$G$2:$G$41,MATCH(MIN(ABS(AH202-'ICL3'!$F$2:$F$41)),ABS(AH202-'ICL3'!$F$2:$F$41),0))</f>
        <v>72</v>
      </c>
      <c r="U202" s="1">
        <f t="array" ref="U202">INDEX('ICL3'!$H$2:$H$41,MATCH(MIN(ABS(AH202-'ICL3'!$F$2:$F$41)),ABS(AH202-'ICL3'!$F$2:$F$41),0))</f>
        <v>24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19</v>
      </c>
      <c r="AF202" s="1">
        <f>VLOOKUP(A202,'SegEnds_NonXtal_Prot#'!A:AL,28,FALSE)-VLOOKUP(A202,'SegEnds_NonXtal_Prot#'!A:AL,25,FALSE)</f>
        <v>28</v>
      </c>
      <c r="AG202" s="1">
        <f>VLOOKUP(A202,'SegEnds_NonXtal_Prot#'!A:AL,28,FALSE)-VLOOKUP(A202,'SegEnds_NonXtal_Prot#'!A:AL,22,FALSE)</f>
        <v>54</v>
      </c>
      <c r="AH202" s="1">
        <f>VLOOKUP(A202,'SegEnds_NonXtal_Prot#'!A:AL,31,FALSE)-VLOOKUP(A202,'SegEnds_NonXtal_Prot#'!A:AL,28,FALSE)</f>
        <v>52</v>
      </c>
      <c r="AI202" s="1">
        <f>VLOOKUP(A202,'SegEnds_NonXtal_Prot#'!A:AL,34,FALSE)-VLOOKUP(A202,'SegEnds_NonXtal_Prot#'!A:AL,31,FALSE)</f>
        <v>36</v>
      </c>
      <c r="AJ202" s="1">
        <f>VLOOKUP(A202,'SegEnds_NonXtal_Prot#'!A:AL,37,FALSE)-VLOOKUP(A202,'SegEnds_NonXtal_Prot#'!A:AL,34,FALSE)</f>
        <v>10</v>
      </c>
      <c r="AK202" s="1" t="str">
        <f>IF(ISERROR(MATCH(A202,'SegEnds_Xtal_Prot#'!B:B, 0)), "NoXtal", "Xtal")</f>
        <v>NoXtal</v>
      </c>
    </row>
    <row r="203" spans="1:37" x14ac:dyDescent="0.2">
      <c r="A203" s="1" t="s">
        <v>920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9">
        <f>VLOOKUP($B203&amp;"__wt",'SegEnds_Xtal_BW#'!$A:$Z,14,FALSE)</f>
        <v>56</v>
      </c>
      <c r="O203" s="88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INDEX('ICL3'!$G$2:$G$41,MATCH(MIN(ABS(AH203-'ICL3'!$F$2:$F$41)),ABS(AH203-'ICL3'!$F$2:$F$41),0))</f>
        <v>72</v>
      </c>
      <c r="U203" s="1">
        <f t="array" ref="U203">INDEX('ICL3'!$H$2:$H$41,MATCH(MIN(ABS(AH203-'ICL3'!$F$2:$F$41)),ABS(AH203-'ICL3'!$F$2:$F$41),0))</f>
        <v>24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>
        <f>VLOOKUP(A203,'SegEnds_NonXtal_Prot#'!A:AL,22,FALSE)-VLOOKUP(A203,'SegEnds_NonXtal_Prot#'!A:AL,19,FALSE)</f>
        <v>19</v>
      </c>
      <c r="AF203" s="1">
        <f>VLOOKUP(A203,'SegEnds_NonXtal_Prot#'!A:AL,28,FALSE)-VLOOKUP(A203,'SegEnds_NonXtal_Prot#'!A:AL,25,FALSE)</f>
        <v>28</v>
      </c>
      <c r="AG203" s="1">
        <f>VLOOKUP(A203,'SegEnds_NonXtal_Prot#'!A:AL,28,FALSE)-VLOOKUP(A203,'SegEnds_NonXtal_Prot#'!A:AL,22,FALSE)</f>
        <v>54</v>
      </c>
      <c r="AH203" s="1">
        <f>VLOOKUP(A203,'SegEnds_NonXtal_Prot#'!A:AL,31,FALSE)-VLOOKUP(A203,'SegEnds_NonXtal_Prot#'!A:AL,28,FALSE)</f>
        <v>52</v>
      </c>
      <c r="AI203" s="1">
        <f>VLOOKUP(A203,'SegEnds_NonXtal_Prot#'!A:AL,34,FALSE)-VLOOKUP(A203,'SegEnds_NonXtal_Prot#'!A:AL,31,FALSE)</f>
        <v>36</v>
      </c>
      <c r="AJ203" s="1">
        <f>VLOOKUP(A203,'SegEnds_NonXtal_Prot#'!A:AL,37,FALSE)-VLOOKUP(A203,'SegEnds_NonXtal_Prot#'!A:AL,34,FALSE)</f>
        <v>10</v>
      </c>
      <c r="AK203" s="1" t="str">
        <f>IF(ISERROR(MATCH(A203,'SegEnds_Xtal_Prot#'!B:B, 0)), "NoXtal", "Xtal")</f>
        <v>Xtal</v>
      </c>
    </row>
    <row r="204" spans="1:37" x14ac:dyDescent="0.2">
      <c r="A204" s="1" t="s">
        <v>339</v>
      </c>
      <c r="B204" s="1" t="str">
        <f>VLOOKUP(A204,Xtal_Templ!A:B,2,FALSE)</f>
        <v>opsd_human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9">
        <f>VLOOKUP($B204&amp;"__wt",'SegEnds_Xtal_BW#'!$A:$Z,14,FALSE)</f>
        <v>56</v>
      </c>
      <c r="O204" s="88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INDEX('ICL3'!$G$2:$G$41,MATCH(MIN(ABS(AH204-'ICL3'!$F$2:$F$41)),ABS(AH204-'ICL3'!$F$2:$F$41),0))</f>
        <v>72</v>
      </c>
      <c r="U204" s="1">
        <f t="array" ref="U204">INDEX('ICL3'!$H$2:$H$41,MATCH(MIN(ABS(AH204-'ICL3'!$F$2:$F$41)),ABS(AH204-'ICL3'!$F$2:$F$41),0))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19</v>
      </c>
      <c r="AF204" s="1">
        <f>VLOOKUP(A204,'SegEnds_NonXtal_Prot#'!A:AL,28,FALSE)-VLOOKUP(A204,'SegEnds_NonXtal_Prot#'!A:AL,25,FALSE)</f>
        <v>28</v>
      </c>
      <c r="AG204" s="1">
        <f>VLOOKUP(A204,'SegEnds_NonXtal_Prot#'!A:AL,28,FALSE)-VLOOKUP(A204,'SegEnds_NonXtal_Prot#'!A:AL,22,FALSE)</f>
        <v>54</v>
      </c>
      <c r="AH204" s="1">
        <f>VLOOKUP(A204,'SegEnds_NonXtal_Prot#'!A:AL,31,FALSE)-VLOOKUP(A204,'SegEnds_NonXtal_Prot#'!A:AL,28,FALSE)</f>
        <v>52</v>
      </c>
      <c r="AI204" s="1">
        <f>VLOOKUP(A204,'SegEnds_NonXtal_Prot#'!A:AL,34,FALSE)-VLOOKUP(A204,'SegEnds_NonXtal_Prot#'!A:AL,31,FALSE)</f>
        <v>36</v>
      </c>
      <c r="AJ204" s="1">
        <f>VLOOKUP(A204,'SegEnds_NonXtal_Prot#'!A:AL,37,FALSE)-VLOOKUP(A204,'SegEnds_NonXtal_Prot#'!A:AL,34,FALSE)</f>
        <v>10</v>
      </c>
      <c r="AK204" s="1" t="str">
        <f>IF(ISERROR(MATCH(A204,'SegEnds_Xtal_Prot#'!B:B, 0)), "NoXtal", "Xtal")</f>
        <v>Xtal</v>
      </c>
    </row>
    <row r="205" spans="1:37" x14ac:dyDescent="0.2">
      <c r="A205" s="1" t="s">
        <v>340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56</v>
      </c>
      <c r="O205" s="88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INDEX('ICL3'!$G$2:$G$41,MATCH(MIN(ABS(AH205-'ICL3'!$F$2:$F$41)),ABS(AH205-'ICL3'!$F$2:$F$41),0))</f>
        <v>72</v>
      </c>
      <c r="U205" s="1">
        <f t="array" ref="U205">INDEX('ICL3'!$H$2:$H$41,MATCH(MIN(ABS(AH205-'ICL3'!$F$2:$F$41)),ABS(AH205-'ICL3'!$F$2:$F$41),0))</f>
        <v>24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20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19</v>
      </c>
      <c r="AF205" s="1">
        <f>VLOOKUP(A205,'SegEnds_NonXtal_Prot#'!A:AL,28,FALSE)-VLOOKUP(A205,'SegEnds_NonXtal_Prot#'!A:AL,25,FALSE)</f>
        <v>28</v>
      </c>
      <c r="AG205" s="1">
        <f>VLOOKUP(A205,'SegEnds_NonXtal_Prot#'!A:AL,28,FALSE)-VLOOKUP(A205,'SegEnds_NonXtal_Prot#'!A:AL,22,FALSE)</f>
        <v>54</v>
      </c>
      <c r="AH205" s="1">
        <f>VLOOKUP(A205,'SegEnds_NonXtal_Prot#'!A:AL,31,FALSE)-VLOOKUP(A205,'SegEnds_NonXtal_Prot#'!A:AL,28,FALSE)</f>
        <v>52</v>
      </c>
      <c r="AI205" s="1">
        <f>VLOOKUP(A205,'SegEnds_NonXtal_Prot#'!A:AL,34,FALSE)-VLOOKUP(A205,'SegEnds_NonXtal_Prot#'!A:AL,31,FALSE)</f>
        <v>36</v>
      </c>
      <c r="AJ205" s="1">
        <f>VLOOKUP(A205,'SegEnds_NonXtal_Prot#'!A:AL,37,FALSE)-VLOOKUP(A205,'SegEnds_NonXtal_Prot#'!A:AL,34,FALSE)</f>
        <v>10</v>
      </c>
      <c r="AK205" s="1" t="str">
        <f>IF(ISERROR(MATCH(A205,'SegEnds_Xtal_Prot#'!B:B, 0)), "NoXtal", "Xtal")</f>
        <v>NoXtal</v>
      </c>
    </row>
    <row r="206" spans="1:37" x14ac:dyDescent="0.2">
      <c r="A206" s="1" t="s">
        <v>341</v>
      </c>
      <c r="B206" s="1" t="str">
        <f>VLOOKUP(A206,Xtal_Templ!A:B,2,FALSE)</f>
        <v>opsd_human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f>VLOOKUP($B206&amp;"__wt",'SegEnds_Xtal_BW#'!$A:$Z,14,FALSE)</f>
        <v>56</v>
      </c>
      <c r="O206" s="88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INDEX('ICL3'!$G$2:$G$41,MATCH(MIN(ABS(AH206-'ICL3'!$F$2:$F$41)),ABS(AH206-'ICL3'!$F$2:$F$41),0))</f>
        <v>72</v>
      </c>
      <c r="U206" s="1">
        <f t="array" ref="U206">INDEX('ICL3'!$H$2:$H$41,MATCH(MIN(ABS(AH206-'ICL3'!$F$2:$F$41)),ABS(AH206-'ICL3'!$F$2:$F$41),0))</f>
        <v>24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19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54</v>
      </c>
      <c r="AH206" s="1">
        <f>VLOOKUP(A206,'SegEnds_NonXtal_Prot#'!A:AL,31,FALSE)-VLOOKUP(A206,'SegEnds_NonXtal_Prot#'!A:AL,28,FALSE)</f>
        <v>52</v>
      </c>
      <c r="AI206" s="1">
        <f>VLOOKUP(A206,'SegEnds_NonXtal_Prot#'!A:AL,34,FALSE)-VLOOKUP(A206,'SegEnds_NonXtal_Prot#'!A:AL,31,FALSE)</f>
        <v>36</v>
      </c>
      <c r="AJ206" s="1">
        <f>VLOOKUP(A206,'SegEnds_NonXtal_Prot#'!A:AL,37,FALSE)-VLOOKUP(A206,'SegEnds_NonXtal_Prot#'!A:AL,34,FALSE)</f>
        <v>10</v>
      </c>
      <c r="AK206" s="1" t="str">
        <f>IF(ISERROR(MATCH(A206,'SegEnds_Xtal_Prot#'!B:B, 0)), "NoXtal", "Xtal")</f>
        <v>NoXtal</v>
      </c>
    </row>
    <row r="207" spans="1:37" x14ac:dyDescent="0.2">
      <c r="A207" s="1" t="s">
        <v>1175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53</v>
      </c>
      <c r="O207" s="88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INDEX('ICL3'!$G$2:$G$41,MATCH(MIN(ABS(AH207-'ICL3'!$F$2:$F$41)),ABS(AH207-'ICL3'!$F$2:$F$41),0))</f>
        <v>76</v>
      </c>
      <c r="U207" s="1">
        <v>20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18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58</v>
      </c>
      <c r="AH207" s="12">
        <f>VLOOKUP(A207,'SegEnds_NonXtal_Prot#'!A:AL,31,FALSE)-VLOOKUP(A207,'SegEnds_NonXtal_Prot#'!A:AL,28,FALSE)</f>
        <v>86</v>
      </c>
      <c r="AI207" s="1">
        <f>VLOOKUP(A207,'SegEnds_NonXtal_Prot#'!A:AL,34,FALSE)-VLOOKUP(A207,'SegEnds_NonXtal_Prot#'!A:AL,31,FALSE)</f>
        <v>42</v>
      </c>
      <c r="AJ207" s="1">
        <f>VLOOKUP(A207,'SegEnds_NonXtal_Prot#'!A:AL,37,FALSE)-VLOOKUP(A207,'SegEnds_NonXtal_Prot#'!A:AL,34,FALSE)</f>
        <v>10</v>
      </c>
      <c r="AK207" s="12" t="str">
        <f>IF(ISERROR(MATCH(A207,'SegEnds_Xtal_Prot#'!B:B, 0)), "NoXtal", "Xtal")</f>
        <v>Xtal</v>
      </c>
    </row>
    <row r="208" spans="1:37" x14ac:dyDescent="0.2">
      <c r="A208" s="1" t="s">
        <v>1176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53</v>
      </c>
      <c r="O208" s="88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INDEX('ICL3'!$G$2:$G$41,MATCH(MIN(ABS(AH208-'ICL3'!$F$2:$F$41)),ABS(AH208-'ICL3'!$F$2:$F$41),0))</f>
        <v>76</v>
      </c>
      <c r="U208" s="1">
        <v>20</v>
      </c>
      <c r="V208" s="1">
        <v>61</v>
      </c>
      <c r="W208" s="109">
        <v>27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18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58</v>
      </c>
      <c r="AH208" s="12">
        <f>VLOOKUP(A208,'SegEnds_NonXtal_Prot#'!A:AL,31,FALSE)-VLOOKUP(A208,'SegEnds_NonXtal_Prot#'!A:AL,28,FALSE)</f>
        <v>84</v>
      </c>
      <c r="AI208" s="1">
        <f>VLOOKUP(A208,'SegEnds_NonXtal_Prot#'!A:AL,34,FALSE)-VLOOKUP(A208,'SegEnds_NonXtal_Prot#'!A:AL,31,FALSE)</f>
        <v>42</v>
      </c>
      <c r="AJ208" s="1">
        <f>VLOOKUP(A208,'SegEnds_NonXtal_Prot#'!A:AL,37,FALSE)-VLOOKUP(A208,'SegEnds_NonXtal_Prot#'!A:AL,34,FALSE)</f>
        <v>10</v>
      </c>
      <c r="AK208" s="12" t="str">
        <f>IF(ISERROR(MATCH(A208,'SegEnds_Xtal_Prot#'!B:B, 0)), "NoXtal", "Xtal")</f>
        <v>Xtal</v>
      </c>
    </row>
    <row r="209" spans="1:37" x14ac:dyDescent="0.2">
      <c r="A209" s="1" t="s">
        <v>342</v>
      </c>
      <c r="B209" s="1" t="str">
        <f>VLOOKUP(A209,Xtal_Templ!A:B,2,FALSE)</f>
        <v>oprk_human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8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30</v>
      </c>
      <c r="T209" s="1">
        <f t="array" ref="T209">INDEX('ICL3'!$G$2:$G$41,MATCH(MIN(ABS(AH209-'ICL3'!$F$2:$F$41)),ABS(AH209-'ICL3'!$F$2:$F$41),0))</f>
        <v>67</v>
      </c>
      <c r="U209" s="1">
        <f t="array" ref="U209">INDEX('ICL3'!$H$2:$H$41,MATCH(MIN(ABS(AH209-'ICL3'!$F$2:$F$41)),ABS(AH209-'ICL3'!$F$2:$F$41),0))</f>
        <v>26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47</v>
      </c>
      <c r="AH209" s="1">
        <f>VLOOKUP(A209,'SegEnds_NonXtal_Prot#'!A:AL,31,FALSE)-VLOOKUP(A209,'SegEnds_NonXtal_Prot#'!A:AL,28,FALSE)</f>
        <v>46</v>
      </c>
      <c r="AI209" s="1">
        <f>VLOOKUP(A209,'SegEnds_NonXtal_Prot#'!A:AL,34,FALSE)-VLOOKUP(A209,'SegEnds_NonXtal_Prot#'!A:AL,31,FALSE)</f>
        <v>42</v>
      </c>
      <c r="AJ209" s="1">
        <f>VLOOKUP(A209,'SegEnds_NonXtal_Prot#'!A:AL,37,FALSE)-VLOOKUP(A209,'SegEnds_NonXtal_Prot#'!A:AL,34,FALSE)</f>
        <v>10</v>
      </c>
      <c r="AK209" s="1" t="str">
        <f>IF(ISERROR(MATCH(A209,'SegEnds_Xtal_Prot#'!B:B, 0)), "NoXtal", "Xtal")</f>
        <v>NoXtal</v>
      </c>
    </row>
    <row r="210" spans="1:37" x14ac:dyDescent="0.2">
      <c r="A210" s="1" t="s">
        <v>343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8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INDEX('ICL3'!$G$2:$G$41,MATCH(MIN(ABS(AH210-'ICL3'!$F$2:$F$41)),ABS(AH210-'ICL3'!$F$2:$F$41),0))</f>
        <v>67</v>
      </c>
      <c r="U210" s="1">
        <f t="array" ref="U210">INDEX('ICL3'!$H$2:$H$41,MATCH(MIN(ABS(AH210-'ICL3'!$F$2:$F$41)),ABS(AH210-'ICL3'!$F$2:$F$41),0))</f>
        <v>26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46</v>
      </c>
      <c r="AI210" s="1">
        <f>VLOOKUP(A210,'SegEnds_NonXtal_Prot#'!A:AL,34,FALSE)-VLOOKUP(A210,'SegEnds_NonXtal_Prot#'!A:AL,31,FALSE)</f>
        <v>43</v>
      </c>
      <c r="AJ210" s="1">
        <f>VLOOKUP(A210,'SegEnds_NonXtal_Prot#'!A:AL,37,FALSE)-VLOOKUP(A210,'SegEnds_NonXtal_Prot#'!A:AL,34,FALSE)</f>
        <v>10</v>
      </c>
      <c r="AK210" s="1" t="str">
        <f>IF(ISERROR(MATCH(A210,'SegEnds_Xtal_Prot#'!B:B, 0)), "NoXtal", "Xtal")</f>
        <v>NoXtal</v>
      </c>
    </row>
    <row r="211" spans="1:37" x14ac:dyDescent="0.2">
      <c r="A211" s="4" t="s">
        <v>344</v>
      </c>
      <c r="B211" s="4" t="str">
        <f>VLOOKUP(A211,Xtal_Templ!A:B,2,FALSE)</f>
        <v>ox2r_human</v>
      </c>
      <c r="C211" s="5">
        <f>VLOOKUP($B211&amp;"__wt",'SegEnds_Xtal_BW#'!$A:$Z,3,FALSE)</f>
        <v>31</v>
      </c>
      <c r="D211" s="4">
        <f>VLOOKUP($B211&amp;"__wt",'SegEnds_Xtal_BW#'!$A:$Z,4,FALSE)</f>
        <v>60</v>
      </c>
      <c r="E211" s="4">
        <f>VLOOKUP($B211&amp;"__wt",'SegEnds_Xtal_BW#'!$A:$Z,5,FALSE)</f>
        <v>48</v>
      </c>
      <c r="F211" s="4">
        <f>VLOOKUP($B211&amp;"__wt",'SegEnds_Xtal_BW#'!$A:$Z,6,FALSE)</f>
        <v>51</v>
      </c>
      <c r="G211" s="4">
        <v>37</v>
      </c>
      <c r="H211" s="11">
        <v>66</v>
      </c>
      <c r="I211" s="4">
        <f>VLOOKUP($B211&amp;"__wt",'SegEnds_Xtal_BW#'!$A:$Z,9,FALSE)</f>
        <v>49</v>
      </c>
      <c r="J211" s="4">
        <f>VLOOKUP($B211&amp;"__wt",'SegEnds_Xtal_BW#'!$A:$Z,10,FALSE)</f>
        <v>52</v>
      </c>
      <c r="K211" s="11">
        <v>18</v>
      </c>
      <c r="L211" s="4">
        <f>VLOOKUP($B211&amp;"__wt",'SegEnds_Xtal_BW#'!$A:$Z,12,FALSE)</f>
        <v>56</v>
      </c>
      <c r="M211" s="4">
        <f>VLOOKUP($B211&amp;"__wt",'SegEnds_Xtal_BW#'!$A:$Z,13,FALSE)</f>
        <v>50</v>
      </c>
      <c r="N211" s="11">
        <v>55</v>
      </c>
      <c r="O211" s="89">
        <v>38</v>
      </c>
      <c r="P211" s="4">
        <f>VLOOKUP($B211&amp;"__wt",'SegEnds_Xtal_BW#'!$A:$Z,16,FALSE)</f>
        <v>64</v>
      </c>
      <c r="Q211" s="4">
        <f>VLOOKUP($B211&amp;"__wt",'SegEnds_Xtal_BW#'!$A:$Z,17,FALSE)</f>
        <v>50</v>
      </c>
      <c r="R211" s="4">
        <f>VLOOKUP($B211&amp;"__wt",'SegEnds_Xtal_BW#'!$A:$Z,18,FALSE)</f>
        <v>52</v>
      </c>
      <c r="S211" s="4">
        <f>VLOOKUP($B211&amp;"__wt",'SegEnds_Xtal_BW#'!$A:$Z,19,FALSE)</f>
        <v>33</v>
      </c>
      <c r="T211" s="4">
        <f t="array" ref="T211">INDEX('ICL3'!$G$2:$G$41,MATCH(MIN(ABS(AH211-'ICL3'!$F$2:$F$41)),ABS(AH211-'ICL3'!$F$2:$F$41),0))</f>
        <v>76</v>
      </c>
      <c r="U211" s="4">
        <f t="array" ref="U211">INDEX('ICL3'!$H$2:$H$41,MATCH(MIN(ABS(AH211-'ICL3'!$F$2:$F$41)),ABS(AH211-'ICL3'!$F$2:$F$41),0))</f>
        <v>24</v>
      </c>
      <c r="V211" s="4">
        <v>61</v>
      </c>
      <c r="W211" s="4">
        <v>31</v>
      </c>
      <c r="X211" s="4">
        <f>VLOOKUP($B211&amp;"__wt",'SegEnds_Xtal_BW#'!$A:$Z,24,FALSE)</f>
        <v>56</v>
      </c>
      <c r="Y211" s="4">
        <f>VLOOKUP($B211&amp;"__wt",'SegEnds_Xtal_BW#'!$A:$Z,25,FALSE)</f>
        <v>47</v>
      </c>
      <c r="Z211" s="4">
        <f>VLOOKUP($B211&amp;"__wt",'SegEnds_Xtal_BW#'!$A:$Z,26,FALSE)</f>
        <v>58</v>
      </c>
      <c r="AA211" s="27" t="str">
        <f>VLOOKUP(A211,Classification!A:B,2,FALSE)</f>
        <v>A</v>
      </c>
      <c r="AB211" s="4">
        <f>VLOOKUP(A211,'SegEnds_NonXtal_Prot#'!A:AL,10,FALSE)-VLOOKUP(A211,'SegEnds_NonXtal_Prot#'!A:AL,7,FALSE)</f>
        <v>15</v>
      </c>
      <c r="AC211" s="4">
        <f>VLOOKUP(A211,'SegEnds_NonXtal_Prot#'!A:AL,13,FALSE)-VLOOKUP(A211,'SegEnds_NonXtal_Prot#'!A:AL,10,FALSE)</f>
        <v>18</v>
      </c>
      <c r="AD211" s="4">
        <f>VLOOKUP(A211,'SegEnds_NonXtal_Prot#'!A:AL,16,FALSE)-VLOOKUP(A211,'SegEnds_NonXtal_Prot#'!A:AL,10,FALSE)</f>
        <v>52</v>
      </c>
      <c r="AE211" s="1" t="e">
        <f>VLOOKUP(A211,'SegEnds_NonXtal_Prot#'!A:AL,22,FALSE)-VLOOKUP(A211,'SegEnds_NonXtal_Prot#'!A:AL,19,FALSE)</f>
        <v>#VALUE!</v>
      </c>
      <c r="AF211" s="4">
        <f>VLOOKUP(A211,'SegEnds_NonXtal_Prot#'!A:AL,28,FALSE)-VLOOKUP(A211,'SegEnds_NonXtal_Prot#'!A:AL,25,FALSE)</f>
        <v>25</v>
      </c>
      <c r="AG211" s="1">
        <f>VLOOKUP(A211,'SegEnds_NonXtal_Prot#'!A:AL,28,FALSE)-VLOOKUP(A211,'SegEnds_NonXtal_Prot#'!A:AL,22,FALSE)</f>
        <v>51</v>
      </c>
      <c r="AH211" s="4">
        <f>VLOOKUP(A211,'SegEnds_NonXtal_Prot#'!A:AL,31,FALSE)-VLOOKUP(A211,'SegEnds_NonXtal_Prot#'!A:AL,28,FALSE)</f>
        <v>78</v>
      </c>
      <c r="AI211" s="4">
        <f>VLOOKUP(A211,'SegEnds_NonXtal_Prot#'!A:AL,34,FALSE)-VLOOKUP(A211,'SegEnds_NonXtal_Prot#'!A:AL,31,FALSE)</f>
        <v>36</v>
      </c>
      <c r="AJ211" s="1">
        <f>VLOOKUP(A211,'SegEnds_NonXtal_Prot#'!A:AL,37,FALSE)-VLOOKUP(A211,'SegEnds_NonXtal_Prot#'!A:AL,34,FALSE)</f>
        <v>10</v>
      </c>
      <c r="AK211" s="1" t="str">
        <f>IF(ISERROR(MATCH(A211,'SegEnds_Xtal_Prot#'!B:B, 0)), "NoXtal", "Xtal")</f>
        <v>NoXtal</v>
      </c>
    </row>
    <row r="212" spans="1:37" x14ac:dyDescent="0.2">
      <c r="A212" s="1" t="s">
        <v>345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57</v>
      </c>
      <c r="O212" s="88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v>68</v>
      </c>
      <c r="U212" s="1">
        <v>28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46</v>
      </c>
      <c r="AJ212" s="1">
        <f>VLOOKUP(A212,'SegEnds_NonXtal_Prot#'!A:AL,37,FALSE)-VLOOKUP(A212,'SegEnds_NonXtal_Prot#'!A:AL,34,FALSE)</f>
        <v>10</v>
      </c>
      <c r="AK212" s="1" t="str">
        <f>IF(ISERROR(MATCH(A212,'SegEnds_Xtal_Prot#'!B:B, 0)), "NoXtal", "Xtal")</f>
        <v>Xtal</v>
      </c>
    </row>
    <row r="213" spans="1:37" x14ac:dyDescent="0.2">
      <c r="A213" s="1" t="s">
        <v>346</v>
      </c>
      <c r="B213" s="1" t="str">
        <f>VLOOKUP(A213,Xtal_Templ!A:B,2,FALSE)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8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INDEX('ICL3'!$G$2:$G$41,MATCH(MIN(ABS(AH213-'ICL3'!$F$2:$F$41)),ABS(AH213-'ICL3'!$F$2:$F$41),0))</f>
        <v>72</v>
      </c>
      <c r="U213" s="1">
        <f t="array" ref="U213">INDEX('ICL3'!$H$2:$H$41,MATCH(MIN(ABS(AH213-'ICL3'!$F$2:$F$41)),ABS(AH213-'ICL3'!$F$2:$F$41),0))</f>
        <v>29</v>
      </c>
      <c r="V213" s="1">
        <v>61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27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43</v>
      </c>
      <c r="AJ213" s="1">
        <f>VLOOKUP(A213,'SegEnds_NonXtal_Prot#'!A:AL,37,FALSE)-VLOOKUP(A213,'SegEnds_NonXtal_Prot#'!A:AL,34,FALSE)</f>
        <v>10</v>
      </c>
      <c r="AK213" s="1" t="str">
        <f>IF(ISERROR(MATCH(A213,'SegEnds_Xtal_Prot#'!B:B, 0)), "NoXtal", "Xtal")</f>
        <v>NoXtal</v>
      </c>
    </row>
    <row r="214" spans="1:37" x14ac:dyDescent="0.2">
      <c r="A214" s="1" t="s">
        <v>347</v>
      </c>
      <c r="B214" s="1" t="str">
        <f>VLOOKUP(A214,Xtal_Templ!A:B,2,FALSE)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8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INDEX('ICL3'!$G$2:$G$41,MATCH(MIN(ABS(AH214-'ICL3'!$F$2:$F$41)),ABS(AH214-'ICL3'!$F$2:$F$41),0))</f>
        <v>68</v>
      </c>
      <c r="U214" s="1">
        <f t="array" ref="U214">INDEX('ICL3'!$H$2:$H$41,MATCH(MIN(ABS(AH214-'ICL3'!$F$2:$F$41)),ABS(AH214-'ICL3'!$F$2:$F$41),0))</f>
        <v>24</v>
      </c>
      <c r="V214" s="1">
        <v>61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27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48</v>
      </c>
      <c r="AI214" s="1">
        <f>VLOOKUP(A214,'SegEnds_NonXtal_Prot#'!A:AL,34,FALSE)-VLOOKUP(A214,'SegEnds_NonXtal_Prot#'!A:AL,31,FALSE)</f>
        <v>43</v>
      </c>
      <c r="AJ214" s="1">
        <f>VLOOKUP(A214,'SegEnds_NonXtal_Prot#'!A:AL,37,FALSE)-VLOOKUP(A214,'SegEnds_NonXtal_Prot#'!A:AL,34,FALSE)</f>
        <v>10</v>
      </c>
      <c r="AK214" s="1" t="str">
        <f>IF(ISERROR(MATCH(A214,'SegEnds_Xtal_Prot#'!B:B, 0)), "NoXtal", "Xtal")</f>
        <v>NoXtal</v>
      </c>
    </row>
    <row r="215" spans="1:37" x14ac:dyDescent="0.2">
      <c r="A215" s="1" t="s">
        <v>348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58</v>
      </c>
      <c r="O215" s="88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INDEX('ICL3'!$G$2:$G$41,MATCH(MIN(ABS(AH215-'ICL3'!$F$2:$F$41)),ABS(AH215-'ICL3'!$F$2:$F$41),0))</f>
        <v>72</v>
      </c>
      <c r="U215" s="1">
        <f t="array" ref="U215">INDEX('ICL3'!$H$2:$H$41,MATCH(MIN(ABS(AH215-'ICL3'!$F$2:$F$41)),ABS(AH215-'ICL3'!$F$2:$F$41),0))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21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>
        <f>VLOOKUP(A215,'SegEnds_NonXtal_Prot#'!A:AL,37,FALSE)-VLOOKUP(A215,'SegEnds_NonXtal_Prot#'!A:AL,34,FALSE)</f>
        <v>10</v>
      </c>
      <c r="AK215" s="1" t="str">
        <f>IF(ISERROR(MATCH(A215,'SegEnds_Xtal_Prot#'!B:B, 0)), "NoXtal", "Xtal")</f>
        <v>NoXtal</v>
      </c>
    </row>
    <row r="216" spans="1:37" x14ac:dyDescent="0.2">
      <c r="A216" s="1" t="s">
        <v>349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8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INDEX('ICL3'!$G$2:$G$41,MATCH(MIN(ABS(AH216-'ICL3'!$F$2:$F$41)),ABS(AH216-'ICL3'!$F$2:$F$41),0))</f>
        <v>67</v>
      </c>
      <c r="U216" s="1">
        <f t="array" ref="U216">INDEX('ICL3'!$H$2:$H$41,MATCH(MIN(ABS(AH216-'ICL3'!$F$2:$F$41)),ABS(AH216-'ICL3'!$F$2:$F$41),0))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30</v>
      </c>
      <c r="AG216" s="1">
        <f>VLOOKUP(A216,'SegEnds_NonXtal_Prot#'!A:AL,28,FALSE)-VLOOKUP(A216,'SegEnds_NonXtal_Prot#'!A:AL,22,FALSE)</f>
        <v>57</v>
      </c>
      <c r="AH216" s="1">
        <f>VLOOKUP(A216,'SegEnds_NonXtal_Prot#'!A:AL,31,FALSE)-VLOOKUP(A216,'SegEnds_NonXtal_Prot#'!A:AL,28,FALSE)</f>
        <v>47</v>
      </c>
      <c r="AI216" s="1">
        <f>VLOOKUP(A216,'SegEnds_NonXtal_Prot#'!A:AL,34,FALSE)-VLOOKUP(A216,'SegEnds_NonXtal_Prot#'!A:AL,31,FALSE)</f>
        <v>38</v>
      </c>
      <c r="AJ216" s="1">
        <f>VLOOKUP(A216,'SegEnds_NonXtal_Prot#'!A:AL,37,FALSE)-VLOOKUP(A216,'SegEnds_NonXtal_Prot#'!A:AL,34,FALSE)</f>
        <v>10</v>
      </c>
      <c r="AK216" s="1" t="str">
        <f>IF(ISERROR(MATCH(A216,'SegEnds_Xtal_Prot#'!B:B, 0)), "NoXtal", "Xtal")</f>
        <v>NoXtal</v>
      </c>
    </row>
    <row r="217" spans="1:37" x14ac:dyDescent="0.2">
      <c r="A217" s="1" t="s">
        <v>351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8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INDEX('ICL3'!$G$2:$G$41,MATCH(MIN(ABS(AH217-'ICL3'!$F$2:$F$41)),ABS(AH217-'ICL3'!$F$2:$F$41),0))</f>
        <v>67</v>
      </c>
      <c r="U217" s="1">
        <f t="array" ref="U217">INDEX('ICL3'!$H$2:$H$41,MATCH(MIN(ABS(AH217-'ICL3'!$F$2:$F$41)),ABS(AH217-'ICL3'!$F$2:$F$41),0))</f>
        <v>26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26</v>
      </c>
      <c r="AG217" s="1">
        <f>VLOOKUP(A217,'SegEnds_NonXtal_Prot#'!A:AL,28,FALSE)-VLOOKUP(A217,'SegEnds_NonXtal_Prot#'!A:AL,22,FALSE)</f>
        <v>63</v>
      </c>
      <c r="AH217" s="1">
        <f>VLOOKUP(A217,'SegEnds_NonXtal_Prot#'!A:AL,31,FALSE)-VLOOKUP(A217,'SegEnds_NonXtal_Prot#'!A:AL,28,FALSE)</f>
        <v>46</v>
      </c>
      <c r="AI217" s="1">
        <f>VLOOKUP(A217,'SegEnds_NonXtal_Prot#'!A:AL,34,FALSE)-VLOOKUP(A217,'SegEnds_NonXtal_Prot#'!A:AL,31,FALSE)</f>
        <v>55</v>
      </c>
      <c r="AJ217" s="1">
        <f>VLOOKUP(A217,'SegEnds_NonXtal_Prot#'!A:AL,37,FALSE)-VLOOKUP(A217,'SegEnds_NonXtal_Prot#'!A:AL,34,FALSE)</f>
        <v>10</v>
      </c>
      <c r="AK217" s="1" t="str">
        <f>IF(ISERROR(MATCH(A217,'SegEnds_Xtal_Prot#'!B:B, 0)), "NoXtal", "Xtal")</f>
        <v>NoXtal</v>
      </c>
    </row>
    <row r="218" spans="1:37" x14ac:dyDescent="0.2">
      <c r="A218" s="1" t="s">
        <v>352</v>
      </c>
      <c r="B218" s="1" t="str">
        <f>VLOOKUP(A218,Xtal_Templ!A:B,2,FALSE)</f>
        <v>p2y12_human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 t="str">
        <f>VLOOKUP($B218&amp;"__wt",'SegEnds_Xtal_BW#'!$A:$Z,9,FALSE)</f>
        <v>-</v>
      </c>
      <c r="J218" s="1" t="str">
        <f>VLOOKUP($B218&amp;"__wt",'SegEnds_Xtal_BW#'!$A:$Z,10,FALSE)</f>
        <v>-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8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INDEX('ICL3'!$G$2:$G$41,MATCH(MIN(ABS(AH218-'ICL3'!$F$2:$F$41)),ABS(AH218-'ICL3'!$F$2:$F$41),0))</f>
        <v>72</v>
      </c>
      <c r="U218" s="1">
        <f t="array" ref="U218">INDEX('ICL3'!$H$2:$H$41,MATCH(MIN(ABS(AH218-'ICL3'!$F$2:$F$41)),ABS(AH218-'ICL3'!$F$2:$F$41),0))</f>
        <v>29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57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 t="e">
        <f>VLOOKUP(A218,'SegEnds_NonXtal_Prot#'!A:AL,13,FALSE)-VLOOKUP(A218,'SegEnds_NonXtal_Prot#'!A:AL,10,FALSE)</f>
        <v>#VALUE!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26</v>
      </c>
      <c r="AG218" s="1">
        <f>VLOOKUP(A218,'SegEnds_NonXtal_Prot#'!A:AL,28,FALSE)-VLOOKUP(A218,'SegEnds_NonXtal_Prot#'!A:AL,22,FALSE)</f>
        <v>52</v>
      </c>
      <c r="AH218" s="1">
        <f>VLOOKUP(A218,'SegEnds_NonXtal_Prot#'!A:AL,31,FALSE)-VLOOKUP(A218,'SegEnds_NonXtal_Prot#'!A:AL,28,FALSE)</f>
        <v>50</v>
      </c>
      <c r="AI218" s="1">
        <f>VLOOKUP(A218,'SegEnds_NonXtal_Prot#'!A:AL,34,FALSE)-VLOOKUP(A218,'SegEnds_NonXtal_Prot#'!A:AL,31,FALSE)</f>
        <v>44</v>
      </c>
      <c r="AJ218" s="1">
        <f>VLOOKUP(A218,'SegEnds_NonXtal_Prot#'!A:AL,37,FALSE)-VLOOKUP(A218,'SegEnds_NonXtal_Prot#'!A:AL,34,FALSE)</f>
        <v>10</v>
      </c>
      <c r="AK218" s="1" t="str">
        <f>IF(ISERROR(MATCH(A218,'SegEnds_Xtal_Prot#'!B:B, 0)), "NoXtal", "Xtal")</f>
        <v>Xtal</v>
      </c>
    </row>
    <row r="219" spans="1:37" x14ac:dyDescent="0.2">
      <c r="A219" s="1" t="s">
        <v>353</v>
      </c>
      <c r="B219" s="1" t="str">
        <f>VLOOKUP(A219,Xtal_Templ!A:B,2,FALSE)</f>
        <v>p2y12_human</v>
      </c>
      <c r="C219" s="5">
        <f>VLOOKUP($B219&amp;"__wt",'SegEnds_Xtal_BW#'!$A:$Z,3,FALSE)</f>
        <v>28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 t="str">
        <f>VLOOKUP($B219&amp;"__wt",'SegEnds_Xtal_BW#'!$A:$Z,9,FALSE)</f>
        <v>-</v>
      </c>
      <c r="J219" s="1" t="str">
        <f>VLOOKUP($B219&amp;"__wt",'SegEnds_Xtal_BW#'!$A:$Z,10,FALSE)</f>
        <v>-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8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INDEX('ICL3'!$G$2:$G$41,MATCH(MIN(ABS(AH219-'ICL3'!$F$2:$F$41)),ABS(AH219-'ICL3'!$F$2:$F$41),0))</f>
        <v>72</v>
      </c>
      <c r="U219" s="1">
        <f t="array" ref="U219">INDEX('ICL3'!$H$2:$H$41,MATCH(MIN(ABS(AH219-'ICL3'!$F$2:$F$41)),ABS(AH219-'ICL3'!$F$2:$F$41),0))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57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26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44</v>
      </c>
      <c r="AJ219" s="1">
        <f>VLOOKUP(A219,'SegEnds_NonXtal_Prot#'!A:AL,37,FALSE)-VLOOKUP(A219,'SegEnds_NonXtal_Prot#'!A:AL,34,FALSE)</f>
        <v>10</v>
      </c>
      <c r="AK219" s="1" t="str">
        <f>IF(ISERROR(MATCH(A219,'SegEnds_Xtal_Prot#'!B:B, 0)), "NoXtal", "Xtal")</f>
        <v>NoXtal</v>
      </c>
    </row>
    <row r="220" spans="1:37" x14ac:dyDescent="0.2">
      <c r="A220" s="1" t="s">
        <v>354</v>
      </c>
      <c r="B220" s="1" t="str">
        <f>VLOOKUP(A220,Xtal_Templ!A:B,2,FALSE)</f>
        <v>p2y12_human</v>
      </c>
      <c r="C220" s="5">
        <f>VLOOKUP($B220&amp;"__wt",'SegEnds_Xtal_BW#'!$A:$Z,3,FALSE)</f>
        <v>28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 t="str">
        <f>VLOOKUP($B220&amp;"__wt",'SegEnds_Xtal_BW#'!$A:$Z,9,FALSE)</f>
        <v>-</v>
      </c>
      <c r="J220" s="1" t="str">
        <f>VLOOKUP($B220&amp;"__wt",'SegEnds_Xtal_BW#'!$A:$Z,10,FALSE)</f>
        <v>-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8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INDEX('ICL3'!$G$2:$G$41,MATCH(MIN(ABS(AH220-'ICL3'!$F$2:$F$41)),ABS(AH220-'ICL3'!$F$2:$F$41),0))</f>
        <v>72</v>
      </c>
      <c r="U220" s="1">
        <f t="array" ref="U220">INDEX('ICL3'!$H$2:$H$41,MATCH(MIN(ABS(AH220-'ICL3'!$F$2:$F$41)),ABS(AH220-'ICL3'!$F$2:$F$41),0))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57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 t="e">
        <f>VLOOKUP(A220,'SegEnds_NonXtal_Prot#'!A:AL,13,FALSE)-VLOOKUP(A220,'SegEnds_NonXtal_Prot#'!A:AL,10,FALSE)</f>
        <v>#VALUE!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26</v>
      </c>
      <c r="AG220" s="1">
        <f>VLOOKUP(A220,'SegEnds_NonXtal_Prot#'!A:AL,28,FALSE)-VLOOKUP(A220,'SegEnds_NonXtal_Prot#'!A:AL,22,FALSE)</f>
        <v>52</v>
      </c>
      <c r="AH220" s="1">
        <f>VLOOKUP(A220,'SegEnds_NonXtal_Prot#'!A:AL,31,FALSE)-VLOOKUP(A220,'SegEnds_NonXtal_Prot#'!A:AL,28,FALSE)</f>
        <v>50</v>
      </c>
      <c r="AI220" s="1">
        <f>VLOOKUP(A220,'SegEnds_NonXtal_Prot#'!A:AL,34,FALSE)-VLOOKUP(A220,'SegEnds_NonXtal_Prot#'!A:AL,31,FALSE)</f>
        <v>44</v>
      </c>
      <c r="AJ220" s="1">
        <f>VLOOKUP(A220,'SegEnds_NonXtal_Prot#'!A:AL,37,FALSE)-VLOOKUP(A220,'SegEnds_NonXtal_Prot#'!A:AL,34,FALSE)</f>
        <v>10</v>
      </c>
      <c r="AK220" s="1" t="str">
        <f>IF(ISERROR(MATCH(A220,'SegEnds_Xtal_Prot#'!B:B, 0)), "NoXtal", "Xtal")</f>
        <v>NoXtal</v>
      </c>
    </row>
    <row r="221" spans="1:37" x14ac:dyDescent="0.2">
      <c r="A221" s="1" t="s">
        <v>355</v>
      </c>
      <c r="B221" s="1" t="str">
        <f>VLOOKUP(A221,Xtal_Templ!A:B,2,FALSE)</f>
        <v>par1_human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8">
        <f>VLOOKUP($B221&amp;"__wt",'SegEnds_Xtal_BW#'!$A:$Z,15,FALSE)</f>
        <v>38</v>
      </c>
      <c r="P221" s="1">
        <f>VLOOKUP($B221&amp;"__wt",'SegEnds_Xtal_BW#'!$A:$Z,16,FALSE)</f>
        <v>63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INDEX('ICL3'!$G$2:$G$41,MATCH(MIN(ABS(AH221-'ICL3'!$F$2:$F$41)),ABS(AH221-'ICL3'!$F$2:$F$41),0))</f>
        <v>67</v>
      </c>
      <c r="U221" s="1">
        <f t="array" ref="U221">INDEX('ICL3'!$H$2:$H$41,MATCH(MIN(ABS(AH221-'ICL3'!$F$2:$F$41)),ABS(AH221-'ICL3'!$F$2:$F$41),0))</f>
        <v>26</v>
      </c>
      <c r="V221" s="1">
        <v>62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15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55</v>
      </c>
      <c r="AH221" s="1">
        <f>VLOOKUP(A221,'SegEnds_NonXtal_Prot#'!A:AL,31,FALSE)-VLOOKUP(A221,'SegEnds_NonXtal_Prot#'!A:AL,28,FALSE)</f>
        <v>46</v>
      </c>
      <c r="AI221" s="1">
        <f>VLOOKUP(A221,'SegEnds_NonXtal_Prot#'!A:AL,34,FALSE)-VLOOKUP(A221,'SegEnds_NonXtal_Prot#'!A:AL,31,FALSE)</f>
        <v>40</v>
      </c>
      <c r="AJ221" s="1">
        <f>VLOOKUP(A221,'SegEnds_NonXtal_Prot#'!A:AL,37,FALSE)-VLOOKUP(A221,'SegEnds_NonXtal_Prot#'!A:AL,34,FALSE)</f>
        <v>10</v>
      </c>
      <c r="AK221" s="1" t="str">
        <f>IF(ISERROR(MATCH(A221,'SegEnds_Xtal_Prot#'!B:B, 0)), "NoXtal", "Xtal")</f>
        <v>Xtal</v>
      </c>
    </row>
    <row r="222" spans="1:37" x14ac:dyDescent="0.2">
      <c r="A222" s="1" t="s">
        <v>356</v>
      </c>
      <c r="B222" s="1" t="str">
        <f>VLOOKUP(A222,Xtal_Templ!A:B,2,FALSE)</f>
        <v>par2_human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47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56</v>
      </c>
      <c r="O222" s="88">
        <f>VLOOKUP($B222&amp;"__wt",'SegEnds_Xtal_BW#'!$A:$Z,15,FALSE)</f>
        <v>38</v>
      </c>
      <c r="P222" s="1">
        <f>VLOOKUP($B222&amp;"__wt",'SegEnds_Xtal_BW#'!$A:$Z,16,FALSE)</f>
        <v>62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31</v>
      </c>
      <c r="T222" s="1">
        <f t="array" ref="T222">INDEX('ICL3'!$G$2:$G$41,MATCH(MIN(ABS(AH222-'ICL3'!$F$2:$F$41)),ABS(AH222-'ICL3'!$F$2:$F$41),0))</f>
        <v>68</v>
      </c>
      <c r="U222" s="1">
        <f t="array" ref="U222">INDEX('ICL3'!$H$2:$H$41,MATCH(MIN(ABS(AH222-'ICL3'!$F$2:$F$41)),ABS(AH222-'ICL3'!$F$2:$F$41),0))</f>
        <v>24</v>
      </c>
      <c r="V222" s="1">
        <v>62</v>
      </c>
      <c r="W222" s="1">
        <v>28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19</v>
      </c>
      <c r="AF222" s="1">
        <f>VLOOKUP(A222,'SegEnds_NonXtal_Prot#'!A:AL,28,FALSE)-VLOOKUP(A222,'SegEnds_NonXtal_Prot#'!A:AL,25,FALSE)</f>
        <v>28</v>
      </c>
      <c r="AG222" s="1">
        <f>VLOOKUP(A222,'SegEnds_NonXtal_Prot#'!A:AL,28,FALSE)-VLOOKUP(A222,'SegEnds_NonXtal_Prot#'!A:AL,22,FALSE)</f>
        <v>55</v>
      </c>
      <c r="AH222" s="1">
        <f>VLOOKUP(A222,'SegEnds_NonXtal_Prot#'!A:AL,31,FALSE)-VLOOKUP(A222,'SegEnds_NonXtal_Prot#'!A:AL,28,FALSE)</f>
        <v>48</v>
      </c>
      <c r="AI222" s="1">
        <f>VLOOKUP(A222,'SegEnds_NonXtal_Prot#'!A:AL,34,FALSE)-VLOOKUP(A222,'SegEnds_NonXtal_Prot#'!A:AL,31,FALSE)</f>
        <v>39</v>
      </c>
      <c r="AJ222" s="1">
        <f>VLOOKUP(A222,'SegEnds_NonXtal_Prot#'!A:AL,37,FALSE)-VLOOKUP(A222,'SegEnds_NonXtal_Prot#'!A:AL,34,FALSE)</f>
        <v>10</v>
      </c>
      <c r="AK222" s="1" t="str">
        <f>IF(ISERROR(MATCH(A222,'SegEnds_Xtal_Prot#'!B:B, 0)), "NoXtal", "Xtal")</f>
        <v>Xtal</v>
      </c>
    </row>
    <row r="223" spans="1:37" x14ac:dyDescent="0.2">
      <c r="A223" s="1" t="s">
        <v>357</v>
      </c>
      <c r="B223" s="1" t="str">
        <f>VLOOKUP(A223,Xtal_Templ!A:B,2,FALSE)</f>
        <v>par2_human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47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8">
        <f>VLOOKUP($B223&amp;"__wt",'SegEnds_Xtal_BW#'!$A:$Z,15,FALSE)</f>
        <v>38</v>
      </c>
      <c r="P223" s="1">
        <f>VLOOKUP($B223&amp;"__wt",'SegEnds_Xtal_BW#'!$A:$Z,16,FALSE)</f>
        <v>62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INDEX('ICL3'!$G$2:$G$41,MATCH(MIN(ABS(AH223-'ICL3'!$F$2:$F$41)),ABS(AH223-'ICL3'!$F$2:$F$41),0))</f>
        <v>68</v>
      </c>
      <c r="U223" s="1">
        <f t="array" ref="U223">INDEX('ICL3'!$H$2:$H$41,MATCH(MIN(ABS(AH223-'ICL3'!$F$2:$F$41)),ABS(AH223-'ICL3'!$F$2:$F$41),0))</f>
        <v>30</v>
      </c>
      <c r="V223" s="1">
        <v>62</v>
      </c>
      <c r="W223" s="1">
        <v>28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22</v>
      </c>
      <c r="AG223" s="1">
        <f>VLOOKUP(A223,'SegEnds_NonXtal_Prot#'!A:AL,28,FALSE)-VLOOKUP(A223,'SegEnds_NonXtal_Prot#'!A:AL,22,FALSE)</f>
        <v>56</v>
      </c>
      <c r="AH223" s="1">
        <f>VLOOKUP(A223,'SegEnds_NonXtal_Prot#'!A:AL,31,FALSE)-VLOOKUP(A223,'SegEnds_NonXtal_Prot#'!A:AL,28,FALSE)</f>
        <v>42</v>
      </c>
      <c r="AI223" s="1">
        <f>VLOOKUP(A223,'SegEnds_NonXtal_Prot#'!A:AL,34,FALSE)-VLOOKUP(A223,'SegEnds_NonXtal_Prot#'!A:AL,31,FALSE)</f>
        <v>39</v>
      </c>
      <c r="AJ223" s="1" t="e">
        <f>VLOOKUP(A223,'SegEnds_NonXtal_Prot#'!A:AL,37,FALSE)-VLOOKUP(A223,'SegEnds_NonXtal_Prot#'!A:AL,34,FALSE)</f>
        <v>#VALUE!</v>
      </c>
      <c r="AK223" s="1" t="str">
        <f>IF(ISERROR(MATCH(A223,'SegEnds_Xtal_Prot#'!B:B, 0)), "NoXtal", "Xtal")</f>
        <v>NoXtal</v>
      </c>
    </row>
    <row r="224" spans="1:37" x14ac:dyDescent="0.2">
      <c r="A224" s="1" t="s">
        <v>358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8">
        <f>VLOOKUP($B224&amp;"__wt",'SegEnds_Xtal_BW#'!$A:$Z,15,FALSE)</f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INDEX('ICL3'!$G$2:$G$41,MATCH(MIN(ABS(AH224-'ICL3'!$F$2:$F$41)),ABS(AH224-'ICL3'!$F$2:$F$41),0))</f>
        <v>68</v>
      </c>
      <c r="U224" s="1">
        <f t="array" ref="U224">INDEX('ICL3'!$H$2:$H$41,MATCH(MIN(ABS(AH224-'ICL3'!$F$2:$F$41)),ABS(AH224-'ICL3'!$F$2:$F$41),0))</f>
        <v>30</v>
      </c>
      <c r="V224" s="1">
        <v>62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28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42</v>
      </c>
      <c r="AI224" s="1">
        <f>VLOOKUP(A224,'SegEnds_NonXtal_Prot#'!A:AL,34,FALSE)-VLOOKUP(A224,'SegEnds_NonXtal_Prot#'!A:AL,31,FALSE)</f>
        <v>39</v>
      </c>
      <c r="AJ224" s="1">
        <f>VLOOKUP(A224,'SegEnds_NonXtal_Prot#'!A:AL,37,FALSE)-VLOOKUP(A224,'SegEnds_NonXtal_Prot#'!A:AL,34,FALSE)</f>
        <v>10</v>
      </c>
      <c r="AK224" s="1" t="str">
        <f>IF(ISERROR(MATCH(A224,'SegEnds_Xtal_Prot#'!B:B, 0)), "NoXtal", "Xtal")</f>
        <v>NoXtal</v>
      </c>
    </row>
    <row r="225" spans="1:37" x14ac:dyDescent="0.2">
      <c r="A225" s="1" t="s">
        <v>360</v>
      </c>
      <c r="B225" s="1" t="str">
        <f>VLOOKUP(A225,Xtal_Templ!A:B,2,FALSE)</f>
        <v>c5ar1_human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8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INDEX('ICL3'!$G$2:$G$41,MATCH(MIN(ABS(AH225-'ICL3'!$F$2:$F$41)),ABS(AH225-'ICL3'!$F$2:$F$41),0))</f>
        <v>68</v>
      </c>
      <c r="U225" s="1">
        <f t="array" ref="U225">INDEX('ICL3'!$H$2:$H$41,MATCH(MIN(ABS(AH225-'ICL3'!$F$2:$F$41)),ABS(AH225-'ICL3'!$F$2:$F$41),0))</f>
        <v>30</v>
      </c>
      <c r="V225" s="1">
        <v>61</v>
      </c>
      <c r="W225" s="1">
        <v>28</v>
      </c>
      <c r="X225" s="109">
        <v>56</v>
      </c>
      <c r="Y225" s="1">
        <f>VLOOKUP($B225&amp;"__wt",'SegEnds_Xtal_BW#'!$A:$Z,25,FALSE)</f>
        <v>47</v>
      </c>
      <c r="Z225" s="1">
        <f>VLOOKUP($B225&amp;"__wt",'SegEnds_Xtal_BW#'!$A:$Z,26,FALSE)</f>
        <v>56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>
        <f>VLOOKUP(A225,'SegEnds_NonXtal_Prot#'!A:AL,13,FALSE)-VLOOKUP(A225,'SegEnds_NonXtal_Prot#'!A:AL,10,FALSE)</f>
        <v>20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36</v>
      </c>
      <c r="AG225" s="1">
        <f>VLOOKUP(A225,'SegEnds_NonXtal_Prot#'!A:AL,28,FALSE)-VLOOKUP(A225,'SegEnds_NonXtal_Prot#'!A:AL,22,FALSE)</f>
        <v>62</v>
      </c>
      <c r="AH225" s="1">
        <f>VLOOKUP(A225,'SegEnds_NonXtal_Prot#'!A:AL,31,FALSE)-VLOOKUP(A225,'SegEnds_NonXtal_Prot#'!A:AL,28,FALSE)</f>
        <v>43</v>
      </c>
      <c r="AI225" s="1">
        <f>VLOOKUP(A225,'SegEnds_NonXtal_Prot#'!A:AL,34,FALSE)-VLOOKUP(A225,'SegEnds_NonXtal_Prot#'!A:AL,31,FALSE)</f>
        <v>40</v>
      </c>
      <c r="AJ225" s="1">
        <f>VLOOKUP(A225,'SegEnds_NonXtal_Prot#'!A:AL,37,FALSE)-VLOOKUP(A225,'SegEnds_NonXtal_Prot#'!A:AL,34,FALSE)</f>
        <v>10</v>
      </c>
      <c r="AK225" s="1" t="str">
        <f>IF(ISERROR(MATCH(A225,'SegEnds_Xtal_Prot#'!B:B, 0)), "NoXtal", "Xtal")</f>
        <v>NoXtal</v>
      </c>
    </row>
    <row r="226" spans="1:37" x14ac:dyDescent="0.2">
      <c r="A226" s="1" t="s">
        <v>364</v>
      </c>
      <c r="B226" s="1" t="str">
        <f>VLOOKUP(A226,Xtal_Templ!A:B,2,FALSE)</f>
        <v>5ht2c_human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8">
        <v>38</v>
      </c>
      <c r="P226" s="1">
        <f>VLOOKUP($B226&amp;"__wt",'SegEnds_Xtal_BW#'!$A:$Z,16,FALSE)</f>
        <v>67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35</v>
      </c>
      <c r="T226" s="1">
        <f t="array" ref="T226">INDEX('ICL3'!$G$2:$G$41,MATCH(MIN(ABS(AH226-'ICL3'!$F$2:$F$41)),ABS(AH226-'ICL3'!$F$2:$F$41),0))</f>
        <v>76</v>
      </c>
      <c r="U226" s="1">
        <f t="array" ref="U226">INDEX('ICL3'!$H$2:$H$41,MATCH(MIN(ABS(AH226-'ICL3'!$F$2:$F$41)),ABS(AH226-'ICL3'!$F$2:$F$41),0))</f>
        <v>24</v>
      </c>
      <c r="V226" s="1">
        <v>61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60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90</v>
      </c>
      <c r="AI226" s="1">
        <f>VLOOKUP(A226,'SegEnds_NonXtal_Prot#'!A:AL,34,FALSE)-VLOOKUP(A226,'SegEnds_NonXtal_Prot#'!A:AL,31,FALSE)</f>
        <v>39</v>
      </c>
      <c r="AJ226" s="1">
        <f>VLOOKUP(A226,'SegEnds_NonXtal_Prot#'!A:AL,37,FALSE)-VLOOKUP(A226,'SegEnds_NonXtal_Prot#'!A:AL,34,FALSE)</f>
        <v>10</v>
      </c>
      <c r="AK226" s="1" t="str">
        <f>IF(ISERROR(MATCH(A226,'SegEnds_Xtal_Prot#'!B:B, 0)), "NoXtal", "Xtal")</f>
        <v>NoXtal</v>
      </c>
    </row>
    <row r="227" spans="1:37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8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INDEX('ICL3'!$G$2:$G$41,MATCH(MIN(ABS(AH227-'ICL3'!$F$2:$F$41)),ABS(AH227-'ICL3'!$F$2:$F$41),0))</f>
        <v>67</v>
      </c>
      <c r="U227" s="1">
        <f t="array" ref="U227">INDEX('ICL3'!$H$2:$H$41,MATCH(MIN(ABS(AH227-'ICL3'!$F$2:$F$41)),ABS(AH227-'ICL3'!$F$2:$F$41),0))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>
        <f>VLOOKUP(A227,'SegEnds_NonXtal_Prot#'!A:AL,37,FALSE)-VLOOKUP(A227,'SegEnds_NonXtal_Prot#'!A:AL,34,FALSE)</f>
        <v>10</v>
      </c>
      <c r="AK227" s="1" t="str">
        <f>IF(ISERROR(MATCH(A227,'SegEnds_Xtal_Prot#'!B:B, 0)), "NoXtal", "Xtal")</f>
        <v>NoXtal</v>
      </c>
    </row>
    <row r="228" spans="1:37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8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INDEX('ICL3'!$G$2:$G$41,MATCH(MIN(ABS(AH228-'ICL3'!$F$2:$F$41)),ABS(AH228-'ICL3'!$F$2:$F$41),0))</f>
        <v>68</v>
      </c>
      <c r="U228" s="1">
        <f t="array" ref="U228">INDEX('ICL3'!$H$2:$H$41,MATCH(MIN(ABS(AH228-'ICL3'!$F$2:$F$41)),ABS(AH228-'ICL3'!$F$2:$F$41),0))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>
        <f>VLOOKUP(A228,'SegEnds_NonXtal_Prot#'!A:AL,37,FALSE)-VLOOKUP(A228,'SegEnds_NonXtal_Prot#'!A:AL,34,FALSE)</f>
        <v>10</v>
      </c>
      <c r="AK228" s="1" t="str">
        <f>IF(ISERROR(MATCH(A228,'SegEnds_Xtal_Prot#'!B:B, 0)), "NoXtal", "Xtal")</f>
        <v>NoXtal</v>
      </c>
    </row>
    <row r="229" spans="1:37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8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33</v>
      </c>
      <c r="T229" s="1">
        <f t="array" ref="T229">INDEX('ICL3'!$G$2:$G$41,MATCH(MIN(ABS(AH229-'ICL3'!$F$2:$F$41)),ABS(AH229-'ICL3'!$F$2:$F$41),0))</f>
        <v>74</v>
      </c>
      <c r="U229" s="1">
        <f t="array" ref="U229">INDEX('ICL3'!$H$2:$H$41,MATCH(MIN(ABS(AH229-'ICL3'!$F$2:$F$41)),ABS(AH229-'ICL3'!$F$2:$F$41),0))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>
        <f>VLOOKUP(A229,'SegEnds_NonXtal_Prot#'!A:AL,37,FALSE)-VLOOKUP(A229,'SegEnds_NonXtal_Prot#'!A:AL,34,FALSE)</f>
        <v>10</v>
      </c>
      <c r="AK229" s="1" t="str">
        <f>IF(ISERROR(MATCH(A229,'SegEnds_Xtal_Prot#'!B:B, 0)), "NoXtal", "Xtal")</f>
        <v>NoXtal</v>
      </c>
    </row>
    <row r="230" spans="1:37" x14ac:dyDescent="0.2">
      <c r="A230" s="1" t="s">
        <v>373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58</v>
      </c>
      <c r="O230" s="88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INDEX('ICL3'!$G$2:$G$41,MATCH(MIN(ABS(AH230-'ICL3'!$F$2:$F$41)),ABS(AH230-'ICL3'!$F$2:$F$41),0))</f>
        <v>74</v>
      </c>
      <c r="U230" s="1">
        <f t="array" ref="U230">INDEX('ICL3'!$H$2:$H$41,MATCH(MIN(ABS(AH230-'ICL3'!$F$2:$F$41)),ABS(AH230-'ICL3'!$F$2:$F$41),0))</f>
        <v>21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 t="e">
        <f>VLOOKUP(A230,'SegEnds_NonXtal_Prot#'!A:AL,22,FALSE)-VLOOKUP(A230,'SegEnds_NonXtal_Prot#'!A:AL,19,FALSE)</f>
        <v>#VALUE!</v>
      </c>
      <c r="AF230" s="1">
        <f>VLOOKUP(A230,'SegEnds_NonXtal_Prot#'!A:AL,28,FALSE)-VLOOKUP(A230,'SegEnds_NonXtal_Prot#'!A:AL,25,FALSE)</f>
        <v>32</v>
      </c>
      <c r="AG230" s="1">
        <f>VLOOKUP(A230,'SegEnds_NonXtal_Prot#'!A:AL,28,FALSE)-VLOOKUP(A230,'SegEnds_NonXtal_Prot#'!A:AL,22,FALSE)</f>
        <v>57</v>
      </c>
      <c r="AH230" s="1">
        <f>VLOOKUP(A230,'SegEnds_NonXtal_Prot#'!A:AL,31,FALSE)-VLOOKUP(A230,'SegEnds_NonXtal_Prot#'!A:AL,28,FALSE)</f>
        <v>62</v>
      </c>
      <c r="AI230" s="1">
        <f>VLOOKUP(A230,'SegEnds_NonXtal_Prot#'!A:AL,34,FALSE)-VLOOKUP(A230,'SegEnds_NonXtal_Prot#'!A:AL,31,FALSE)</f>
        <v>45</v>
      </c>
      <c r="AJ230" s="1">
        <f>VLOOKUP(A230,'SegEnds_NonXtal_Prot#'!A:AL,37,FALSE)-VLOOKUP(A230,'SegEnds_NonXtal_Prot#'!A:AL,34,FALSE)</f>
        <v>10</v>
      </c>
      <c r="AK230" s="1" t="str">
        <f>IF(ISERROR(MATCH(A230,'SegEnds_Xtal_Prot#'!B:B, 0)), "NoXtal", "Xtal")</f>
        <v>NoXtal</v>
      </c>
    </row>
    <row r="231" spans="1:37" x14ac:dyDescent="0.2">
      <c r="A231" s="1" t="s">
        <v>374</v>
      </c>
      <c r="B231" s="1" t="str">
        <f>VLOOKUP(A231,Xtal_Templ!A:B,2,FALSE)</f>
        <v>agtr1_human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8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34</v>
      </c>
      <c r="T231" s="1">
        <f t="array" ref="T231">INDEX('ICL3'!$G$2:$G$41,MATCH(MIN(ABS(AH231-'ICL3'!$F$2:$F$41)),ABS(AH231-'ICL3'!$F$2:$F$41),0))</f>
        <v>67</v>
      </c>
      <c r="U231" s="1">
        <f t="array" ref="U231">INDEX('ICL3'!$H$2:$H$41,MATCH(MIN(ABS(AH231-'ICL3'!$F$2:$F$41)),ABS(AH231-'ICL3'!$F$2:$F$41),0))</f>
        <v>28</v>
      </c>
      <c r="V231" s="1">
        <v>64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16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50</v>
      </c>
      <c r="AH231" s="1">
        <f>VLOOKUP(A231,'SegEnds_NonXtal_Prot#'!A:AL,31,FALSE)-VLOOKUP(A231,'SegEnds_NonXtal_Prot#'!A:AL,28,FALSE)</f>
        <v>45</v>
      </c>
      <c r="AI231" s="1">
        <f>VLOOKUP(A231,'SegEnds_NonXtal_Prot#'!A:AL,34,FALSE)-VLOOKUP(A231,'SegEnds_NonXtal_Prot#'!A:AL,31,FALSE)</f>
        <v>45</v>
      </c>
      <c r="AJ231" s="1">
        <f>VLOOKUP(A231,'SegEnds_NonXtal_Prot#'!A:AL,37,FALSE)-VLOOKUP(A231,'SegEnds_NonXtal_Prot#'!A:AL,34,FALSE)</f>
        <v>10</v>
      </c>
      <c r="AK231" s="1" t="str">
        <f>IF(ISERROR(MATCH(A231,'SegEnds_Xtal_Prot#'!B:B, 0)), "NoXtal", "Xtal")</f>
        <v>NoXtal</v>
      </c>
    </row>
    <row r="232" spans="1:37" x14ac:dyDescent="0.2">
      <c r="A232" s="1" t="s">
        <v>387</v>
      </c>
      <c r="B232" s="1" t="str">
        <f>VLOOKUP(A232,Xtal_Templ!A:B,2,FALSE)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8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INDEX('ICL3'!$G$2:$G$41,MATCH(MIN(ABS(AH232-'ICL3'!$F$2:$F$41)),ABS(AH232-'ICL3'!$F$2:$F$41),0))</f>
        <v>74</v>
      </c>
      <c r="U232" s="1">
        <f t="array" ref="U232">INDEX('ICL3'!$H$2:$H$41,MATCH(MIN(ABS(AH232-'ICL3'!$F$2:$F$41)),ABS(AH232-'ICL3'!$F$2:$F$41),0))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20</v>
      </c>
      <c r="AG232" s="1">
        <f>VLOOKUP(A232,'SegEnds_NonXtal_Prot#'!A:AL,28,FALSE)-VLOOKUP(A232,'SegEnds_NonXtal_Prot#'!A:AL,22,FALSE)</f>
        <v>54</v>
      </c>
      <c r="AH232" s="1">
        <f>VLOOKUP(A232,'SegEnds_NonXtal_Prot#'!A:AL,31,FALSE)-VLOOKUP(A232,'SegEnds_NonXtal_Prot#'!A:AL,28,FALSE)</f>
        <v>64</v>
      </c>
      <c r="AI232" s="1">
        <f>VLOOKUP(A232,'SegEnds_NonXtal_Prot#'!A:AL,34,FALSE)-VLOOKUP(A232,'SegEnds_NonXtal_Prot#'!A:AL,31,FALSE)</f>
        <v>35</v>
      </c>
      <c r="AJ232" s="1">
        <f>VLOOKUP(A232,'SegEnds_NonXtal_Prot#'!A:AL,37,FALSE)-VLOOKUP(A232,'SegEnds_NonXtal_Prot#'!A:AL,34,FALSE)</f>
        <v>10</v>
      </c>
      <c r="AK232" s="1" t="str">
        <f>IF(ISERROR(MATCH(A232,'SegEnds_Xtal_Prot#'!B:B, 0)), "NoXtal", "Xtal")</f>
        <v>NoXtal</v>
      </c>
    </row>
    <row r="233" spans="1:37" x14ac:dyDescent="0.2">
      <c r="A233" s="1" t="s">
        <v>388</v>
      </c>
      <c r="B233" s="1" t="str">
        <f>VLOOKUP(A233,Xtal_Templ!A:B,2,FALSE)</f>
        <v>drd2_human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68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8">
        <f>VLOOKUP($B233&amp;"__wt",'SegEnds_Xtal_BW#'!$A:$Z,15,FALSE)</f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INDEX('ICL3'!$G$2:$G$41,MATCH(MIN(ABS(AH233-'ICL3'!$F$2:$F$41)),ABS(AH233-'ICL3'!$F$2:$F$41),0))</f>
        <v>73</v>
      </c>
      <c r="U233" s="1">
        <f t="array" ref="U233">INDEX('ICL3'!$H$2:$H$41,MATCH(MIN(ABS(AH233-'ICL3'!$F$2:$F$41)),ABS(AH233-'ICL3'!$F$2:$F$41),0))</f>
        <v>22</v>
      </c>
      <c r="V233" s="1">
        <v>61</v>
      </c>
      <c r="W233" s="1">
        <v>31</v>
      </c>
      <c r="X233" s="109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20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56</v>
      </c>
      <c r="AI233" s="1">
        <f>VLOOKUP(A233,'SegEnds_NonXtal_Prot#'!A:AL,34,FALSE)-VLOOKUP(A233,'SegEnds_NonXtal_Prot#'!A:AL,31,FALSE)</f>
        <v>35</v>
      </c>
      <c r="AJ233" s="1">
        <f>VLOOKUP(A233,'SegEnds_NonXtal_Prot#'!A:AL,37,FALSE)-VLOOKUP(A233,'SegEnds_NonXtal_Prot#'!A:AL,34,FALSE)</f>
        <v>10</v>
      </c>
      <c r="AK233" s="1" t="str">
        <f>IF(ISERROR(MATCH(A233,'SegEnds_Xtal_Prot#'!B:B, 0)), "NoXtal", "Xtal")</f>
        <v>NoXtal</v>
      </c>
    </row>
    <row r="234" spans="1:37" x14ac:dyDescent="0.2">
      <c r="A234" s="1" t="s">
        <v>389</v>
      </c>
      <c r="B234" s="1" t="str">
        <f>VLOOKUP(A234,Xtal_Templ!A:B,2,FALSE)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8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INDEX('ICL3'!$G$2:$G$41,MATCH(MIN(ABS(AH234-'ICL3'!$F$2:$F$41)),ABS(AH234-'ICL3'!$F$2:$F$41),0))</f>
        <v>74</v>
      </c>
      <c r="U234" s="1">
        <f t="array" ref="U234">INDEX('ICL3'!$H$2:$H$41,MATCH(MIN(ABS(AH234-'ICL3'!$F$2:$F$41)),ABS(AH234-'ICL3'!$F$2:$F$41),0))</f>
        <v>21</v>
      </c>
      <c r="V234" s="1">
        <v>61</v>
      </c>
      <c r="W234" s="1">
        <v>31</v>
      </c>
      <c r="X234" s="109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20</v>
      </c>
      <c r="AG234" s="1">
        <f>VLOOKUP(A234,'SegEnds_NonXtal_Prot#'!A:AL,28,FALSE)-VLOOKUP(A234,'SegEnds_NonXtal_Prot#'!A:AL,22,FALSE)</f>
        <v>53</v>
      </c>
      <c r="AH234" s="1">
        <f>VLOOKUP(A234,'SegEnds_NonXtal_Prot#'!A:AL,31,FALSE)-VLOOKUP(A234,'SegEnds_NonXtal_Prot#'!A:AL,28,FALSE)</f>
        <v>62</v>
      </c>
      <c r="AI234" s="1">
        <f>VLOOKUP(A234,'SegEnds_NonXtal_Prot#'!A:AL,34,FALSE)-VLOOKUP(A234,'SegEnds_NonXtal_Prot#'!A:AL,31,FALSE)</f>
        <v>35</v>
      </c>
      <c r="AJ234" s="1">
        <f>VLOOKUP(A234,'SegEnds_NonXtal_Prot#'!A:AL,37,FALSE)-VLOOKUP(A234,'SegEnds_NonXtal_Prot#'!A:AL,34,FALSE)</f>
        <v>10</v>
      </c>
      <c r="AK234" s="1" t="str">
        <f>IF(ISERROR(MATCH(A234,'SegEnds_Xtal_Prot#'!B:B, 0)), "NoXtal", "Xtal")</f>
        <v>NoXtal</v>
      </c>
    </row>
    <row r="235" spans="1:37" x14ac:dyDescent="0.2">
      <c r="A235" s="1" t="s">
        <v>390</v>
      </c>
      <c r="B235" s="1" t="str">
        <f>VLOOKUP(A235,Xtal_Templ!A:B,2,FALSE)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8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INDEX('ICL3'!$G$2:$G$41,MATCH(MIN(ABS(AH235-'ICL3'!$F$2:$F$41)),ABS(AH235-'ICL3'!$F$2:$F$41),0))</f>
        <v>73</v>
      </c>
      <c r="U235" s="1">
        <f t="array" ref="U235">INDEX('ICL3'!$H$2:$H$41,MATCH(MIN(ABS(AH235-'ICL3'!$F$2:$F$41)),ABS(AH235-'ICL3'!$F$2:$F$41),0))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19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56</v>
      </c>
      <c r="AI235" s="1">
        <f>VLOOKUP(A235,'SegEnds_NonXtal_Prot#'!A:AL,34,FALSE)-VLOOKUP(A235,'SegEnds_NonXtal_Prot#'!A:AL,31,FALSE)</f>
        <v>35</v>
      </c>
      <c r="AJ235" s="1">
        <f>VLOOKUP(A235,'SegEnds_NonXtal_Prot#'!A:AL,37,FALSE)-VLOOKUP(A235,'SegEnds_NonXtal_Prot#'!A:AL,34,FALSE)</f>
        <v>10</v>
      </c>
      <c r="AK235" s="1" t="str">
        <f>IF(ISERROR(MATCH(A235,'SegEnds_Xtal_Prot#'!B:B, 0)), "NoXtal", "Xtal")</f>
        <v>NoXtal</v>
      </c>
    </row>
    <row r="236" spans="1:37" x14ac:dyDescent="0.2">
      <c r="A236" s="1" t="s">
        <v>391</v>
      </c>
      <c r="B236" s="1" t="str">
        <f>VLOOKUP(A236,Xtal_Templ!A:B,2,FALSE)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8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INDEX('ICL3'!$G$2:$G$41,MATCH(MIN(ABS(AH236-'ICL3'!$F$2:$F$41)),ABS(AH236-'ICL3'!$F$2:$F$41),0))</f>
        <v>74</v>
      </c>
      <c r="U236" s="1">
        <f t="array" ref="U236">INDEX('ICL3'!$H$2:$H$41,MATCH(MIN(ABS(AH236-'ICL3'!$F$2:$F$41)),ABS(AH236-'ICL3'!$F$2:$F$41),0))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19</v>
      </c>
      <c r="AG236" s="1">
        <f>VLOOKUP(A236,'SegEnds_NonXtal_Prot#'!A:AL,28,FALSE)-VLOOKUP(A236,'SegEnds_NonXtal_Prot#'!A:AL,22,FALSE)</f>
        <v>52</v>
      </c>
      <c r="AH236" s="1">
        <f>VLOOKUP(A236,'SegEnds_NonXtal_Prot#'!A:AL,31,FALSE)-VLOOKUP(A236,'SegEnds_NonXtal_Prot#'!A:AL,28,FALSE)</f>
        <v>64</v>
      </c>
      <c r="AI236" s="1">
        <f>VLOOKUP(A236,'SegEnds_NonXtal_Prot#'!A:AL,34,FALSE)-VLOOKUP(A236,'SegEnds_NonXtal_Prot#'!A:AL,31,FALSE)</f>
        <v>35</v>
      </c>
      <c r="AJ236" s="1">
        <f>VLOOKUP(A236,'SegEnds_NonXtal_Prot#'!A:AL,37,FALSE)-VLOOKUP(A236,'SegEnds_NonXtal_Prot#'!A:AL,34,FALSE)</f>
        <v>10</v>
      </c>
      <c r="AK236" s="1" t="str">
        <f>IF(ISERROR(MATCH(A236,'SegEnds_Xtal_Prot#'!B:B, 0)), "NoXtal", "Xtal")</f>
        <v>NoXtal</v>
      </c>
    </row>
    <row r="237" spans="1:37" x14ac:dyDescent="0.2">
      <c r="A237" s="1" t="s">
        <v>392</v>
      </c>
      <c r="B237" s="1" t="str">
        <f>VLOOKUP(A237,Xtal_Templ!A:B,2,FALSE)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8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INDEX('ICL3'!$G$2:$G$41,MATCH(MIN(ABS(AH237-'ICL3'!$F$2:$F$41)),ABS(AH237-'ICL3'!$F$2:$F$41),0))</f>
        <v>74</v>
      </c>
      <c r="U237" s="1">
        <f t="array" ref="U237">INDEX('ICL3'!$H$2:$H$41,MATCH(MIN(ABS(AH237-'ICL3'!$F$2:$F$41)),ABS(AH237-'ICL3'!$F$2:$F$41),0))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19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64</v>
      </c>
      <c r="AI237" s="1">
        <f>VLOOKUP(A237,'SegEnds_NonXtal_Prot#'!A:AL,34,FALSE)-VLOOKUP(A237,'SegEnds_NonXtal_Prot#'!A:AL,31,FALSE)</f>
        <v>35</v>
      </c>
      <c r="AJ237" s="1">
        <f>VLOOKUP(A237,'SegEnds_NonXtal_Prot#'!A:AL,37,FALSE)-VLOOKUP(A237,'SegEnds_NonXtal_Prot#'!A:AL,34,FALSE)</f>
        <v>10</v>
      </c>
      <c r="AK237" s="1" t="str">
        <f>IF(ISERROR(MATCH(A237,'SegEnds_Xtal_Prot#'!B:B, 0)), "NoXtal", "Xtal")</f>
        <v>NoXtal</v>
      </c>
    </row>
    <row r="238" spans="1:37" x14ac:dyDescent="0.2">
      <c r="A238" s="1" t="s">
        <v>393</v>
      </c>
      <c r="B238" s="1" t="str">
        <f>VLOOKUP(A238,Xtal_Templ!A:B,2,FALSE)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8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INDEX('ICL3'!$G$2:$G$41,MATCH(MIN(ABS(AH238-'ICL3'!$F$2:$F$41)),ABS(AH238-'ICL3'!$F$2:$F$41),0))</f>
        <v>74</v>
      </c>
      <c r="U238" s="1">
        <f t="array" ref="U238">INDEX('ICL3'!$H$2:$H$41,MATCH(MIN(ABS(AH238-'ICL3'!$F$2:$F$41)),ABS(AH238-'ICL3'!$F$2:$F$41),0))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19</v>
      </c>
      <c r="AG238" s="1">
        <f>VLOOKUP(A238,'SegEnds_NonXtal_Prot#'!A:AL,28,FALSE)-VLOOKUP(A238,'SegEnds_NonXtal_Prot#'!A:AL,22,FALSE)</f>
        <v>52</v>
      </c>
      <c r="AH238" s="1">
        <f>VLOOKUP(A238,'SegEnds_NonXtal_Prot#'!A:AL,31,FALSE)-VLOOKUP(A238,'SegEnds_NonXtal_Prot#'!A:AL,28,FALSE)</f>
        <v>64</v>
      </c>
      <c r="AI238" s="1">
        <f>VLOOKUP(A238,'SegEnds_NonXtal_Prot#'!A:AL,34,FALSE)-VLOOKUP(A238,'SegEnds_NonXtal_Prot#'!A:AL,31,FALSE)</f>
        <v>35</v>
      </c>
      <c r="AJ238" s="1">
        <f>VLOOKUP(A238,'SegEnds_NonXtal_Prot#'!A:AL,37,FALSE)-VLOOKUP(A238,'SegEnds_NonXtal_Prot#'!A:AL,34,FALSE)</f>
        <v>10</v>
      </c>
      <c r="AK238" s="1" t="str">
        <f>IF(ISERROR(MATCH(A238,'SegEnds_Xtal_Prot#'!B:B, 0)), "NoXtal", "Xtal")</f>
        <v>NoXtal</v>
      </c>
    </row>
    <row r="239" spans="1:37" x14ac:dyDescent="0.2">
      <c r="A239" s="1" t="s">
        <v>394</v>
      </c>
      <c r="B239" s="1" t="str">
        <f>VLOOKUP(A239,Xtal_Templ!A:B,2,FALSE)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8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INDEX('ICL3'!$G$2:$G$41,MATCH(MIN(ABS(AH239-'ICL3'!$F$2:$F$41)),ABS(AH239-'ICL3'!$F$2:$F$41),0))</f>
        <v>76</v>
      </c>
      <c r="U239" s="1">
        <f t="array" ref="U239">INDEX('ICL3'!$H$2:$H$41,MATCH(MIN(ABS(AH239-'ICL3'!$F$2:$F$41)),ABS(AH239-'ICL3'!$F$2:$F$41),0))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24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78</v>
      </c>
      <c r="AI239" s="1">
        <f>VLOOKUP(A239,'SegEnds_NonXtal_Prot#'!A:AL,34,FALSE)-VLOOKUP(A239,'SegEnds_NonXtal_Prot#'!A:AL,31,FALSE)</f>
        <v>36</v>
      </c>
      <c r="AJ239" s="1">
        <f>VLOOKUP(A239,'SegEnds_NonXtal_Prot#'!A:AL,37,FALSE)-VLOOKUP(A239,'SegEnds_NonXtal_Prot#'!A:AL,34,FALSE)</f>
        <v>10</v>
      </c>
      <c r="AK239" s="1" t="str">
        <f>IF(ISERROR(MATCH(A239,'SegEnds_Xtal_Prot#'!B:B, 0)), "NoXtal", "Xtal")</f>
        <v>NoXtal</v>
      </c>
    </row>
    <row r="240" spans="1:37" x14ac:dyDescent="0.2">
      <c r="A240" s="1" t="s">
        <v>397</v>
      </c>
      <c r="B240" s="1" t="str">
        <f>VLOOKUP(A240,Xtal_Templ!A:B,2,FALSE)</f>
        <v>ox2r_human</v>
      </c>
      <c r="C240" s="5">
        <f>VLOOKUP($B240&amp;"__wt",'SegEnds_Xtal_BW#'!$A:$Z,3,FALSE)</f>
        <v>31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09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09">
        <v>56</v>
      </c>
      <c r="O240" s="88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INDEX('ICL3'!$G$2:$G$41,MATCH(MIN(ABS(AH240-'ICL3'!$F$2:$F$41)),ABS(AH240-'ICL3'!$F$2:$F$41),0))</f>
        <v>76</v>
      </c>
      <c r="U240" s="1">
        <f t="array" ref="U240">INDEX('ICL3'!$H$2:$H$41,MATCH(MIN(ABS(AH240-'ICL3'!$F$2:$F$41)),ABS(AH240-'ICL3'!$F$2:$F$41),0))</f>
        <v>24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19</v>
      </c>
      <c r="AF240" s="1">
        <f>VLOOKUP(A240,'SegEnds_NonXtal_Prot#'!A:AL,28,FALSE)-VLOOKUP(A240,'SegEnds_NonXtal_Prot#'!A:AL,25,FALSE)</f>
        <v>25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78</v>
      </c>
      <c r="AI240" s="1">
        <f>VLOOKUP(A240,'SegEnds_NonXtal_Prot#'!A:AL,34,FALSE)-VLOOKUP(A240,'SegEnds_NonXtal_Prot#'!A:AL,31,FALSE)</f>
        <v>39</v>
      </c>
      <c r="AJ240" s="1">
        <f>VLOOKUP(A240,'SegEnds_NonXtal_Prot#'!A:AL,37,FALSE)-VLOOKUP(A240,'SegEnds_NonXtal_Prot#'!A:AL,34,FALSE)</f>
        <v>10</v>
      </c>
      <c r="AK240" s="1" t="str">
        <f>IF(ISERROR(MATCH(A240,'SegEnds_Xtal_Prot#'!B:B, 0)), "NoXtal", "Xtal")</f>
        <v>NoXtal</v>
      </c>
    </row>
    <row r="241" spans="1:37" x14ac:dyDescent="0.2">
      <c r="A241" s="1" t="s">
        <v>398</v>
      </c>
      <c r="B241" s="1" t="str">
        <f>VLOOKUP(A241,Xtal_Templ!A:B,2,FALSE)</f>
        <v>ntr1_rat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09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9">
        <v>56</v>
      </c>
      <c r="O241" s="88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32</v>
      </c>
      <c r="T241" s="1">
        <f t="array" ref="T241">INDEX('ICL3'!$G$2:$G$41,MATCH(MIN(ABS(AH241-'ICL3'!$F$2:$F$41)),ABS(AH241-'ICL3'!$F$2:$F$41),0))</f>
        <v>76</v>
      </c>
      <c r="U241" s="1">
        <f t="array" ref="U241">INDEX('ICL3'!$H$2:$H$41,MATCH(MIN(ABS(AH241-'ICL3'!$F$2:$F$41)),ABS(AH241-'ICL3'!$F$2:$F$41),0))</f>
        <v>24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19</v>
      </c>
      <c r="AF241" s="1">
        <f>VLOOKUP(A241,'SegEnds_NonXtal_Prot#'!A:AL,28,FALSE)-VLOOKUP(A241,'SegEnds_NonXtal_Prot#'!A:AL,25,FALSE)</f>
        <v>25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85</v>
      </c>
      <c r="AI241" s="1">
        <f>VLOOKUP(A241,'SegEnds_NonXtal_Prot#'!A:AL,34,FALSE)-VLOOKUP(A241,'SegEnds_NonXtal_Prot#'!A:AL,31,FALSE)</f>
        <v>39</v>
      </c>
      <c r="AJ241" s="1">
        <f>VLOOKUP(A241,'SegEnds_NonXtal_Prot#'!A:AL,37,FALSE)-VLOOKUP(A241,'SegEnds_NonXtal_Prot#'!A:AL,34,FALSE)</f>
        <v>10</v>
      </c>
      <c r="AK241" s="1" t="str">
        <f>IF(ISERROR(MATCH(A241,'SegEnds_Xtal_Prot#'!B:B, 0)), "NoXtal", "Xtal")</f>
        <v>NoXtal</v>
      </c>
    </row>
    <row r="242" spans="1:37" x14ac:dyDescent="0.2">
      <c r="A242" s="1" t="s">
        <v>399</v>
      </c>
      <c r="B242" s="1" t="str">
        <f>VLOOKUP(A242,Xtal_Templ!A:B,2,FALSE)</f>
        <v>ntr1_rat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09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8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INDEX('ICL3'!$G$2:$G$41,MATCH(MIN(ABS(AH242-'ICL3'!$F$2:$F$41)),ABS(AH242-'ICL3'!$F$2:$F$41),0))</f>
        <v>76</v>
      </c>
      <c r="U242" s="1">
        <f t="array" ref="U242">INDEX('ICL3'!$H$2:$H$41,MATCH(MIN(ABS(AH242-'ICL3'!$F$2:$F$41)),ABS(AH242-'ICL3'!$F$2:$F$41),0))</f>
        <v>24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16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25</v>
      </c>
      <c r="AG242" s="1">
        <f>VLOOKUP(A242,'SegEnds_NonXtal_Prot#'!A:AL,28,FALSE)-VLOOKUP(A242,'SegEnds_NonXtal_Prot#'!A:AL,22,FALSE)</f>
        <v>53</v>
      </c>
      <c r="AH242" s="1">
        <f>VLOOKUP(A242,'SegEnds_NonXtal_Prot#'!A:AL,31,FALSE)-VLOOKUP(A242,'SegEnds_NonXtal_Prot#'!A:AL,28,FALSE)</f>
        <v>69</v>
      </c>
      <c r="AI242" s="1">
        <f>VLOOKUP(A242,'SegEnds_NonXtal_Prot#'!A:AL,34,FALSE)-VLOOKUP(A242,'SegEnds_NonXtal_Prot#'!A:AL,31,FALSE)</f>
        <v>36</v>
      </c>
      <c r="AJ242" s="1">
        <f>VLOOKUP(A242,'SegEnds_NonXtal_Prot#'!A:AL,37,FALSE)-VLOOKUP(A242,'SegEnds_NonXtal_Prot#'!A:AL,34,FALSE)</f>
        <v>10</v>
      </c>
      <c r="AK242" s="1" t="str">
        <f>IF(ISERROR(MATCH(A242,'SegEnds_Xtal_Prot#'!B:B, 0)), "NoXtal", "Xtal")</f>
        <v>NoXtal</v>
      </c>
    </row>
    <row r="243" spans="1:37" x14ac:dyDescent="0.2">
      <c r="A243" s="1" t="s">
        <v>132</v>
      </c>
      <c r="B243" s="1" t="str">
        <f>VLOOKUP(A243,Xtal_Templ!A:B,2,FALSE)</f>
        <v>5ht2c_human</v>
      </c>
      <c r="C243" s="5">
        <f>VLOOKUP($B243&amp;"__wt",'SegEnds_Xtal_BW#'!$A:$Z,3,FALSE)</f>
        <v>33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8">
        <f>VLOOKUP($B243&amp;"__wt",'SegEnds_Xtal_BW#'!$A:$Z,15,FALSE)</f>
        <v>38</v>
      </c>
      <c r="P243" s="1">
        <f>VLOOKUP($B243&amp;"__wt",'SegEnds_Xtal_BW#'!$A:$Z,16,FALSE)</f>
        <v>67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INDEX('ICL3'!$G$2:$G$41,MATCH(MIN(ABS(AH243-'ICL3'!$F$2:$F$41)),ABS(AH243-'ICL3'!$F$2:$F$41),0))</f>
        <v>76</v>
      </c>
      <c r="U243" s="1">
        <f t="array" ref="U243">INDEX('ICL3'!$H$2:$H$41,MATCH(MIN(ABS(AH243-'ICL3'!$F$2:$F$41)),ABS(AH243-'ICL3'!$F$2:$F$41),0))</f>
        <v>24</v>
      </c>
      <c r="V243" s="1">
        <v>61</v>
      </c>
      <c r="W243" s="109">
        <v>27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21</v>
      </c>
      <c r="AD243" s="1">
        <f>VLOOKUP(A243,'SegEnds_NonXtal_Prot#'!A:AL,16,FALSE)-VLOOKUP(A243,'SegEnds_NonXtal_Prot#'!A:AL,10,FALSE)</f>
        <v>53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46</v>
      </c>
      <c r="AH243" s="1">
        <f>VLOOKUP(A243,'SegEnds_NonXtal_Prot#'!A:AL,31,FALSE)-VLOOKUP(A243,'SegEnds_NonXtal_Prot#'!A:AL,28,FALSE)</f>
        <v>92</v>
      </c>
      <c r="AI243" s="1">
        <f>VLOOKUP(A243,'SegEnds_NonXtal_Prot#'!A:AL,34,FALSE)-VLOOKUP(A243,'SegEnds_NonXtal_Prot#'!A:AL,31,FALSE)</f>
        <v>39</v>
      </c>
      <c r="AJ243" s="1">
        <f>VLOOKUP(A243,'SegEnds_NonXtal_Prot#'!A:AL,37,FALSE)-VLOOKUP(A243,'SegEnds_NonXtal_Prot#'!A:AL,34,FALSE)</f>
        <v>10</v>
      </c>
      <c r="AK243" s="1" t="str">
        <f>IF(ISERROR(MATCH(A243,'SegEnds_Xtal_Prot#'!B:B, 0)), "NoXtal", "Xtal")</f>
        <v>NoXtal</v>
      </c>
    </row>
    <row r="244" spans="1:37" x14ac:dyDescent="0.2">
      <c r="A244" s="1" t="s">
        <v>35</v>
      </c>
      <c r="B244" s="1" t="str">
        <f>VLOOKUP(A244,Xtal_Templ!A:B,2,FALSE)</f>
        <v>5ht2b_human</v>
      </c>
      <c r="C244" s="5">
        <f>VLOOKUP($B244&amp;"__wt",'SegEnds_Xtal_BW#'!$A:$Z,3,FALSE)</f>
        <v>32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8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INDEX('ICL3'!$G$2:$G$41,MATCH(MIN(ABS(AH244-'ICL3'!$F$2:$F$41)),ABS(AH244-'ICL3'!$F$2:$F$41),0))</f>
        <v>76</v>
      </c>
      <c r="U244" s="1">
        <f t="array" ref="U244">INDEX('ICL3'!$H$2:$H$41,MATCH(MIN(ABS(AH244-'ICL3'!$F$2:$F$41)),ABS(AH244-'ICL3'!$F$2:$F$41),0))</f>
        <v>24</v>
      </c>
      <c r="V244" s="1">
        <v>61</v>
      </c>
      <c r="W244" s="109">
        <v>27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21</v>
      </c>
      <c r="AD244" s="1">
        <f>VLOOKUP(A244,'SegEnds_NonXtal_Prot#'!A:AL,16,FALSE)-VLOOKUP(A244,'SegEnds_NonXtal_Prot#'!A:AL,10,FALSE)</f>
        <v>53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22</v>
      </c>
      <c r="AG244" s="1">
        <f>VLOOKUP(A244,'SegEnds_NonXtal_Prot#'!A:AL,28,FALSE)-VLOOKUP(A244,'SegEnds_NonXtal_Prot#'!A:AL,22,FALSE)</f>
        <v>49</v>
      </c>
      <c r="AH244" s="1">
        <f>VLOOKUP(A244,'SegEnds_NonXtal_Prot#'!A:AL,31,FALSE)-VLOOKUP(A244,'SegEnds_NonXtal_Prot#'!A:AL,28,FALSE)</f>
        <v>110</v>
      </c>
      <c r="AI244" s="1">
        <f>VLOOKUP(A244,'SegEnds_NonXtal_Prot#'!A:AL,34,FALSE)-VLOOKUP(A244,'SegEnds_NonXtal_Prot#'!A:AL,31,FALSE)</f>
        <v>38</v>
      </c>
      <c r="AJ244" s="1">
        <f>VLOOKUP(A244,'SegEnds_NonXtal_Prot#'!A:AL,37,FALSE)-VLOOKUP(A244,'SegEnds_NonXtal_Prot#'!A:AL,34,FALSE)</f>
        <v>10</v>
      </c>
      <c r="AK244" s="1" t="str">
        <f>IF(ISERROR(MATCH(A244,'SegEnds_Xtal_Prot#'!B:B, 0)), "NoXtal", "Xtal")</f>
        <v>Xtal</v>
      </c>
    </row>
    <row r="245" spans="1:37" x14ac:dyDescent="0.2">
      <c r="A245" s="1" t="s">
        <v>133</v>
      </c>
      <c r="B245" s="1" t="str">
        <f>VLOOKUP(A245,Xtal_Templ!A:B,2,FALSE)</f>
        <v>5ht2c_human</v>
      </c>
      <c r="C245" s="5">
        <f>VLOOKUP($B245&amp;"__wt",'SegEnds_Xtal_BW#'!$A:$Z,3,FALSE)</f>
        <v>33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68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8">
        <f>VLOOKUP($B245&amp;"__wt",'SegEnds_Xtal_BW#'!$A:$Z,15,FALSE)</f>
        <v>38</v>
      </c>
      <c r="P245" s="1">
        <f>VLOOKUP($B245&amp;"__wt",'SegEnds_Xtal_BW#'!$A:$Z,16,FALSE)</f>
        <v>67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35</v>
      </c>
      <c r="T245" s="1">
        <f t="array" ref="T245">INDEX('ICL3'!$G$2:$G$41,MATCH(MIN(ABS(AH245-'ICL3'!$F$2:$F$41)),ABS(AH245-'ICL3'!$F$2:$F$41),0))</f>
        <v>74</v>
      </c>
      <c r="U245" s="1">
        <f t="array" ref="U245">INDEX('ICL3'!$H$2:$H$41,MATCH(MIN(ABS(AH245-'ICL3'!$F$2:$F$41)),ABS(AH245-'ICL3'!$F$2:$F$41),0))</f>
        <v>24</v>
      </c>
      <c r="V245" s="1">
        <v>61</v>
      </c>
      <c r="W245" s="109"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60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21</v>
      </c>
      <c r="AD245" s="1">
        <f>VLOOKUP(A245,'SegEnds_NonXtal_Prot#'!A:AL,16,FALSE)-VLOOKUP(A245,'SegEnds_NonXtal_Prot#'!A:AL,10,FALSE)</f>
        <v>53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47</v>
      </c>
      <c r="AH245" s="1">
        <f>VLOOKUP(A245,'SegEnds_NonXtal_Prot#'!A:AL,31,FALSE)-VLOOKUP(A245,'SegEnds_NonXtal_Prot#'!A:AL,28,FALSE)</f>
        <v>100</v>
      </c>
      <c r="AI245" s="1">
        <f>VLOOKUP(A245,'SegEnds_NonXtal_Prot#'!A:AL,34,FALSE)-VLOOKUP(A245,'SegEnds_NonXtal_Prot#'!A:AL,31,FALSE)</f>
        <v>39</v>
      </c>
      <c r="AJ245" s="1">
        <f>VLOOKUP(A245,'SegEnds_NonXtal_Prot#'!A:AL,37,FALSE)-VLOOKUP(A245,'SegEnds_NonXtal_Prot#'!A:AL,34,FALSE)</f>
        <v>10</v>
      </c>
      <c r="AK245" s="1" t="str">
        <f>IF(ISERROR(MATCH(A245,'SegEnds_Xtal_Prot#'!B:B, 0)), "NoXtal", "Xtal")</f>
        <v>Xtal</v>
      </c>
    </row>
    <row r="246" spans="1:37" x14ac:dyDescent="0.2">
      <c r="A246" s="1" t="s">
        <v>135</v>
      </c>
      <c r="B246" s="1" t="str">
        <f>VLOOKUP(A246,Xtal_Templ!A:B,2,FALSE)</f>
        <v>5ht1b_human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68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8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INDEX('ICL3'!$G$2:$G$41,MATCH(MIN(ABS(AH246-'ICL3'!$F$2:$F$41)),ABS(AH246-'ICL3'!$F$2:$F$41),0))</f>
        <v>76</v>
      </c>
      <c r="U246" s="1">
        <f t="array" ref="U246">INDEX('ICL3'!$H$2:$H$41,MATCH(MIN(ABS(AH246-'ICL3'!$F$2:$F$41)),ABS(AH246-'ICL3'!$F$2:$F$41),0))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21</v>
      </c>
      <c r="AD246" s="1">
        <f>VLOOKUP(A246,'SegEnds_NonXtal_Prot#'!A:AL,16,FALSE)-VLOOKUP(A246,'SegEnds_NonXtal_Prot#'!A:AL,10,FALSE)</f>
        <v>53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20</v>
      </c>
      <c r="AG246" s="1">
        <f>VLOOKUP(A246,'SegEnds_NonXtal_Prot#'!A:AL,28,FALSE)-VLOOKUP(A246,'SegEnds_NonXtal_Prot#'!A:AL,22,FALSE)</f>
        <v>46</v>
      </c>
      <c r="AH246" s="1">
        <f>VLOOKUP(A246,'SegEnds_NonXtal_Prot#'!A:AL,31,FALSE)-VLOOKUP(A246,'SegEnds_NonXtal_Prot#'!A:AL,28,FALSE)</f>
        <v>88</v>
      </c>
      <c r="AI246" s="1">
        <f>VLOOKUP(A246,'SegEnds_NonXtal_Prot#'!A:AL,34,FALSE)-VLOOKUP(A246,'SegEnds_NonXtal_Prot#'!A:AL,31,FALSE)</f>
        <v>35</v>
      </c>
      <c r="AJ246" s="1">
        <f>VLOOKUP(A246,'SegEnds_NonXtal_Prot#'!A:AL,37,FALSE)-VLOOKUP(A246,'SegEnds_NonXtal_Prot#'!A:AL,34,FALSE)</f>
        <v>10</v>
      </c>
      <c r="AK246" s="1" t="str">
        <f>IF(ISERROR(MATCH(A246,'SegEnds_Xtal_Prot#'!B:B, 0)), "NoXtal", "Xtal")</f>
        <v>NoXtal</v>
      </c>
    </row>
    <row r="247" spans="1:37" x14ac:dyDescent="0.2">
      <c r="A247" s="1" t="s">
        <v>137</v>
      </c>
      <c r="B247" s="1" t="str">
        <f>VLOOKUP(A247,Xtal_Templ!A:B,2,FALSE)</f>
        <v>5ht1b_human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8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INDEX('ICL3'!$G$2:$G$41,MATCH(MIN(ABS(AH247-'ICL3'!$F$2:$F$41)),ABS(AH247-'ICL3'!$F$2:$F$41),0))</f>
        <v>76</v>
      </c>
      <c r="U247" s="1">
        <f t="array" ref="U247">INDEX('ICL3'!$H$2:$H$41,MATCH(MIN(ABS(AH247-'ICL3'!$F$2:$F$41)),ABS(AH247-'ICL3'!$F$2:$F$41),0))</f>
        <v>24</v>
      </c>
      <c r="V247" s="1">
        <v>61</v>
      </c>
      <c r="W247" s="109">
        <v>27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21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20</v>
      </c>
      <c r="AG247" s="1">
        <f>VLOOKUP(A247,'SegEnds_NonXtal_Prot#'!A:AL,28,FALSE)-VLOOKUP(A247,'SegEnds_NonXtal_Prot#'!A:AL,22,FALSE)</f>
        <v>44</v>
      </c>
      <c r="AH247" s="1">
        <f>VLOOKUP(A247,'SegEnds_NonXtal_Prot#'!A:AL,31,FALSE)-VLOOKUP(A247,'SegEnds_NonXtal_Prot#'!A:AL,28,FALSE)</f>
        <v>91</v>
      </c>
      <c r="AI247" s="1">
        <f>VLOOKUP(A247,'SegEnds_NonXtal_Prot#'!A:AL,34,FALSE)-VLOOKUP(A247,'SegEnds_NonXtal_Prot#'!A:AL,31,FALSE)</f>
        <v>39</v>
      </c>
      <c r="AJ247" s="1">
        <f>VLOOKUP(A247,'SegEnds_NonXtal_Prot#'!A:AL,37,FALSE)-VLOOKUP(A247,'SegEnds_NonXtal_Prot#'!A:AL,34,FALSE)</f>
        <v>10</v>
      </c>
      <c r="AK247" s="1" t="str">
        <f>IF(ISERROR(MATCH(A247,'SegEnds_Xtal_Prot#'!B:B, 0)), "NoXtal", "Xtal")</f>
        <v>NoXtal</v>
      </c>
    </row>
    <row r="248" spans="1:37" x14ac:dyDescent="0.2">
      <c r="A248" s="1" t="s">
        <v>192</v>
      </c>
      <c r="B248" s="1" t="str">
        <f>VLOOKUP(A248,Xtal_Templ!A:B,2,FALSE)</f>
        <v>drd3_human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58</v>
      </c>
      <c r="O248" s="88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INDEX('ICL3'!$G$2:$G$41,MATCH(MIN(ABS(AH248-'ICL3'!$F$2:$F$41)),ABS(AH248-'ICL3'!$F$2:$F$41),0))</f>
        <v>76</v>
      </c>
      <c r="U248" s="1">
        <f t="array" ref="U248">INDEX('ICL3'!$H$2:$H$41,MATCH(MIN(ABS(AH248-'ICL3'!$F$2:$F$41)),ABS(AH248-'ICL3'!$F$2:$F$41),0))</f>
        <v>24</v>
      </c>
      <c r="V248" s="1">
        <f>VLOOKUP($B248&amp;"__wt",'SegEnds_Xtal_BW#'!$A:$Z,22,FALSE)</f>
        <v>60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15</v>
      </c>
      <c r="AC248" s="1">
        <f>VLOOKUP(A248,'SegEnds_NonXtal_Prot#'!A:AL,13,FALSE)-VLOOKUP(A248,'SegEnds_NonXtal_Prot#'!A:AL,10,FALSE)</f>
        <v>21</v>
      </c>
      <c r="AD248" s="1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23</v>
      </c>
      <c r="AF248" s="1">
        <f>VLOOKUP(A248,'SegEnds_NonXtal_Prot#'!A:AL,28,FALSE)-VLOOKUP(A248,'SegEnds_NonXtal_Prot#'!A:AL,25,FALSE)</f>
        <v>19</v>
      </c>
      <c r="AG248" s="1">
        <f>VLOOKUP(A248,'SegEnds_NonXtal_Prot#'!A:AL,28,FALSE)-VLOOKUP(A248,'SegEnds_NonXtal_Prot#'!A:AL,22,FALSE)</f>
        <v>42</v>
      </c>
      <c r="AH248" s="1">
        <f>VLOOKUP(A248,'SegEnds_NonXtal_Prot#'!A:AL,31,FALSE)-VLOOKUP(A248,'SegEnds_NonXtal_Prot#'!A:AL,28,FALSE)</f>
        <v>144</v>
      </c>
      <c r="AI248" s="1">
        <f>VLOOKUP(A248,'SegEnds_NonXtal_Prot#'!A:AL,34,FALSE)-VLOOKUP(A248,'SegEnds_NonXtal_Prot#'!A:AL,31,FALSE)</f>
        <v>36</v>
      </c>
      <c r="AJ248" s="1">
        <f>VLOOKUP(A248,'SegEnds_NonXtal_Prot#'!A:AL,37,FALSE)-VLOOKUP(A248,'SegEnds_NonXtal_Prot#'!A:AL,34,FALSE)</f>
        <v>10</v>
      </c>
      <c r="AK248" s="1" t="str">
        <f>IF(ISERROR(MATCH(A248,'SegEnds_Xtal_Prot#'!B:B, 0)), "NoXtal", "Xtal")</f>
        <v>Xtal</v>
      </c>
    </row>
    <row r="249" spans="1:37" x14ac:dyDescent="0.2">
      <c r="A249" s="1" t="s">
        <v>193</v>
      </c>
      <c r="B249" s="1" t="str">
        <f>VLOOKUP(A249,Xtal_Templ!A:B,2,FALSE)</f>
        <v>drd4_human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38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19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8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INDEX('ICL3'!$G$2:$G$41,MATCH(MIN(ABS(AH249-'ICL3'!$F$2:$F$41)),ABS(AH249-'ICL3'!$F$2:$F$41),0))</f>
        <v>75</v>
      </c>
      <c r="U249" s="1">
        <f t="array" ref="U249">INDEX('ICL3'!$H$2:$H$41,MATCH(MIN(ABS(AH249-'ICL3'!$F$2:$F$41)),ABS(AH249-'ICL3'!$F$2:$F$41),0))</f>
        <v>24</v>
      </c>
      <c r="V249" s="1">
        <f>VLOOKUP($B249&amp;"__wt",'SegEnds_Xtal_BW#'!$A:$Z,22,FALSE)</f>
        <v>61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53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19</v>
      </c>
      <c r="AG249" s="1">
        <f>VLOOKUP(A249,'SegEnds_NonXtal_Prot#'!A:AL,28,FALSE)-VLOOKUP(A249,'SegEnds_NonXtal_Prot#'!A:AL,22,FALSE)</f>
        <v>44</v>
      </c>
      <c r="AH249" s="1">
        <f>VLOOKUP(A249,'SegEnds_NonXtal_Prot#'!A:AL,31,FALSE)-VLOOKUP(A249,'SegEnds_NonXtal_Prot#'!A:AL,28,FALSE)</f>
        <v>205</v>
      </c>
      <c r="AI249" s="1">
        <f>VLOOKUP(A249,'SegEnds_NonXtal_Prot#'!A:AL,34,FALSE)-VLOOKUP(A249,'SegEnds_NonXtal_Prot#'!A:AL,31,FALSE)</f>
        <v>36</v>
      </c>
      <c r="AJ249" s="1">
        <f>VLOOKUP(A249,'SegEnds_NonXtal_Prot#'!A:AL,37,FALSE)-VLOOKUP(A249,'SegEnds_NonXtal_Prot#'!A:AL,34,FALSE)</f>
        <v>10</v>
      </c>
      <c r="AK249" s="1" t="str">
        <f>IF(ISERROR(MATCH(A249,'SegEnds_Xtal_Prot#'!B:B, 0)), "NoXtal", "Xtal")</f>
        <v>Xtal</v>
      </c>
    </row>
    <row r="250" spans="1:37" x14ac:dyDescent="0.2">
      <c r="A250" s="1" t="s">
        <v>216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"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09">
        <v>56</v>
      </c>
      <c r="O250" s="88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INDEX('ICL3'!$G$2:$G$41,MATCH(MIN(ABS(AH250-'ICL3'!$F$2:$F$41)),ABS(AH250-'ICL3'!$F$2:$F$41),0))</f>
        <v>68</v>
      </c>
      <c r="U250" s="1">
        <f t="array" ref="U250">INDEX('ICL3'!$H$2:$H$41,MATCH(MIN(ABS(AH250-'ICL3'!$F$2:$F$41)),ABS(AH250-'ICL3'!$F$2:$F$41),0))</f>
        <v>24</v>
      </c>
      <c r="V250" s="1">
        <v>61</v>
      </c>
      <c r="W250" s="1">
        <v>28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53</v>
      </c>
      <c r="AE250" s="1">
        <f>VLOOKUP(A250,'SegEnds_NonXtal_Prot#'!A:AL,22,FALSE)-VLOOKUP(A250,'SegEnds_NonXtal_Prot#'!A:AL,19,FALSE)</f>
        <v>19</v>
      </c>
      <c r="AF250" s="1" t="e">
        <f>VLOOKUP(A250,'SegEnds_NonXtal_Prot#'!A:AL,28,FALSE)-VLOOKUP(A250,'SegEnds_NonXtal_Prot#'!A:AL,25,FALSE)</f>
        <v>#VALUE!</v>
      </c>
      <c r="AG250" s="1">
        <f>VLOOKUP(A250,'SegEnds_NonXtal_Prot#'!A:AL,28,FALSE)-VLOOKUP(A250,'SegEnds_NonXtal_Prot#'!A:AL,22,FALSE)</f>
        <v>43</v>
      </c>
      <c r="AH250" s="1">
        <f>VLOOKUP(A250,'SegEnds_NonXtal_Prot#'!A:AL,31,FALSE)-VLOOKUP(A250,'SegEnds_NonXtal_Prot#'!A:AL,28,FALSE)</f>
        <v>48</v>
      </c>
      <c r="AI250" s="1">
        <f>VLOOKUP(A250,'SegEnds_NonXtal_Prot#'!A:AL,34,FALSE)-VLOOKUP(A250,'SegEnds_NonXtal_Prot#'!A:AL,31,FALSE)</f>
        <v>39</v>
      </c>
      <c r="AJ250" s="1">
        <f>VLOOKUP(A250,'SegEnds_NonXtal_Prot#'!A:AL,37,FALSE)-VLOOKUP(A250,'SegEnds_NonXtal_Prot#'!A:AL,34,FALSE)</f>
        <v>10</v>
      </c>
      <c r="AK250" s="1" t="str">
        <f>IF(ISERROR(MATCH(A250,'SegEnds_Xtal_Prot#'!B:B, 0)), "NoXtal", "Xtal")</f>
        <v>NoXtal</v>
      </c>
    </row>
    <row r="251" spans="1:37" x14ac:dyDescent="0.2">
      <c r="A251" s="1" t="s">
        <v>218</v>
      </c>
      <c r="B251" s="1" t="str">
        <f>VLOOKUP(A251,Xtal_Templ!A:B,2,FALSE)</f>
        <v>drd2_human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09">
        <v>56</v>
      </c>
      <c r="O251" s="88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INDEX('ICL3'!$G$2:$G$41,MATCH(MIN(ABS(AH251-'ICL3'!$F$2:$F$41)),ABS(AH251-'ICL3'!$F$2:$F$41),0))</f>
        <v>67</v>
      </c>
      <c r="U251" s="1">
        <f t="array" ref="U251">INDEX('ICL3'!$H$2:$H$41,MATCH(MIN(ABS(AH251-'ICL3'!$F$2:$F$41)),ABS(AH251-'ICL3'!$F$2:$F$41),0))</f>
        <v>26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53</v>
      </c>
      <c r="AE251" s="1">
        <f>VLOOKUP(A251,'SegEnds_NonXtal_Prot#'!A:AL,22,FALSE)-VLOOKUP(A251,'SegEnds_NonXtal_Prot#'!A:AL,19,FALSE)</f>
        <v>19</v>
      </c>
      <c r="AF251" s="1" t="e">
        <f>VLOOKUP(A251,'SegEnds_NonXtal_Prot#'!A:AL,28,FALSE)-VLOOKUP(A251,'SegEnds_NonXtal_Prot#'!A:AL,25,FALSE)</f>
        <v>#VALUE!</v>
      </c>
      <c r="AG251" s="1">
        <f>VLOOKUP(A251,'SegEnds_NonXtal_Prot#'!A:AL,28,FALSE)-VLOOKUP(A251,'SegEnds_NonXtal_Prot#'!A:AL,22,FALSE)</f>
        <v>43</v>
      </c>
      <c r="AH251" s="1">
        <f>VLOOKUP(A251,'SegEnds_NonXtal_Prot#'!A:AL,31,FALSE)-VLOOKUP(A251,'SegEnds_NonXtal_Prot#'!A:AL,28,FALSE)</f>
        <v>47</v>
      </c>
      <c r="AI251" s="1">
        <f>VLOOKUP(A251,'SegEnds_NonXtal_Prot#'!A:AL,34,FALSE)-VLOOKUP(A251,'SegEnds_NonXtal_Prot#'!A:AL,31,FALSE)</f>
        <v>39</v>
      </c>
      <c r="AJ251" s="1">
        <f>VLOOKUP(A251,'SegEnds_NonXtal_Prot#'!A:AL,37,FALSE)-VLOOKUP(A251,'SegEnds_NonXtal_Prot#'!A:AL,34,FALSE)</f>
        <v>10</v>
      </c>
      <c r="AK251" s="1" t="str">
        <f>IF(ISERROR(MATCH(A251,'SegEnds_Xtal_Prot#'!B:B, 0)), "NoXtal", "Xtal")</f>
        <v>NoXtal</v>
      </c>
    </row>
    <row r="252" spans="1:37" x14ac:dyDescent="0.2">
      <c r="A252" s="1" t="s">
        <v>230</v>
      </c>
      <c r="B252" s="1" t="str">
        <f>VLOOKUP(A252,Xtal_Templ!A:B,2,FALSE)</f>
        <v>ox1r_human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8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INDEX('ICL3'!$G$2:$G$41,MATCH(MIN(ABS(AH252-'ICL3'!$F$2:$F$41)),ABS(AH252-'ICL3'!$F$2:$F$41),0))</f>
        <v>74</v>
      </c>
      <c r="U252" s="1">
        <f t="array" ref="U252">INDEX('ICL3'!$H$2:$H$41,MATCH(MIN(ABS(AH252-'ICL3'!$F$2:$F$41)),ABS(AH252-'ICL3'!$F$2:$F$41),0))</f>
        <v>21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21</v>
      </c>
      <c r="AD252" s="1">
        <f>VLOOKUP(A252,'SegEnds_NonXtal_Prot#'!A:AL,16,FALSE)-VLOOKUP(A252,'SegEnds_NonXtal_Prot#'!A:AL,10,FALSE)</f>
        <v>53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61</v>
      </c>
      <c r="AG252" s="1">
        <f>VLOOKUP(A252,'SegEnds_NonXtal_Prot#'!A:AL,28,FALSE)-VLOOKUP(A252,'SegEnds_NonXtal_Prot#'!A:AL,22,FALSE)</f>
        <v>87</v>
      </c>
      <c r="AH252" s="1">
        <f>VLOOKUP(A252,'SegEnds_NonXtal_Prot#'!A:AL,31,FALSE)-VLOOKUP(A252,'SegEnds_NonXtal_Prot#'!A:AL,28,FALSE)</f>
        <v>66</v>
      </c>
      <c r="AI252" s="1">
        <f>VLOOKUP(A252,'SegEnds_NonXtal_Prot#'!A:AL,34,FALSE)-VLOOKUP(A252,'SegEnds_NonXtal_Prot#'!A:AL,31,FALSE)</f>
        <v>36</v>
      </c>
      <c r="AJ252" s="1">
        <f>VLOOKUP(A252,'SegEnds_NonXtal_Prot#'!A:AL,37,FALSE)-VLOOKUP(A252,'SegEnds_NonXtal_Prot#'!A:AL,34,FALSE)</f>
        <v>10</v>
      </c>
      <c r="AK252" s="1" t="str">
        <f>IF(ISERROR(MATCH(A252,'SegEnds_Xtal_Prot#'!B:B, 0)), "NoXtal", "Xtal")</f>
        <v>NoXtal</v>
      </c>
    </row>
    <row r="253" spans="1:37" x14ac:dyDescent="0.2">
      <c r="A253" s="1" t="s">
        <v>266</v>
      </c>
      <c r="B253" s="1" t="str">
        <f>VLOOKUP(A253,Xtal_Templ!A:B,2,FALSE)</f>
        <v>drd2_human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8">
        <f>VLOOKUP($B253&amp;"__wt",'SegEnds_Xtal_BW#'!$A:$Z,15,FALSE)</f>
        <v>38</v>
      </c>
      <c r="P253" s="1">
        <f>VLOOKUP($B253&amp;"__wt",'SegEnds_Xtal_BW#'!$A:$Z,16,FALSE)</f>
        <v>62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35</v>
      </c>
      <c r="T253" s="1">
        <f t="array" ref="T253">INDEX('ICL3'!$G$2:$G$41,MATCH(MIN(ABS(AH253-'ICL3'!$F$2:$F$41)),ABS(AH253-'ICL3'!$F$2:$F$41),0))</f>
        <v>76</v>
      </c>
      <c r="U253" s="1">
        <f t="array" ref="U253">INDEX('ICL3'!$H$2:$H$41,MATCH(MIN(ABS(AH253-'ICL3'!$F$2:$F$41)),ABS(AH253-'ICL3'!$F$2:$F$41),0))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 t="e">
        <f>VLOOKUP(A253,'SegEnds_NonXtal_Prot#'!A:AL,13,FALSE)-VLOOKUP(A253,'SegEnds_NonXtal_Prot#'!A:AL,10,FALSE)</f>
        <v>#VALUE!</v>
      </c>
      <c r="AD253" s="1">
        <f>VLOOKUP(A253,'SegEnds_NonXtal_Prot#'!A:AL,16,FALSE)-VLOOKUP(A253,'SegEnds_NonXtal_Prot#'!A:AL,10,FALSE)</f>
        <v>53</v>
      </c>
      <c r="AE253" s="1" t="e">
        <f>VLOOKUP(A253,'SegEnds_NonXtal_Prot#'!A:AL,22,FALSE)-VLOOKUP(A253,'SegEnds_NonXtal_Prot#'!A:AL,19,FALSE)</f>
        <v>#VALUE!</v>
      </c>
      <c r="AF253" s="1">
        <f>VLOOKUP(A253,'SegEnds_NonXtal_Prot#'!A:AL,28,FALSE)-VLOOKUP(A253,'SegEnds_NonXtal_Prot#'!A:AL,25,FALSE)</f>
        <v>25</v>
      </c>
      <c r="AG253" s="1">
        <f>VLOOKUP(A253,'SegEnds_NonXtal_Prot#'!A:AL,28,FALSE)-VLOOKUP(A253,'SegEnds_NonXtal_Prot#'!A:AL,22,FALSE)</f>
        <v>45</v>
      </c>
      <c r="AH253" s="1">
        <f>VLOOKUP(A253,'SegEnds_NonXtal_Prot#'!A:AL,31,FALSE)-VLOOKUP(A253,'SegEnds_NonXtal_Prot#'!A:AL,28,FALSE)</f>
        <v>122</v>
      </c>
      <c r="AI253" s="1">
        <f>VLOOKUP(A253,'SegEnds_NonXtal_Prot#'!A:AL,34,FALSE)-VLOOKUP(A253,'SegEnds_NonXtal_Prot#'!A:AL,31,FALSE)</f>
        <v>37</v>
      </c>
      <c r="AJ253" s="1">
        <f>VLOOKUP(A253,'SegEnds_NonXtal_Prot#'!A:AL,37,FALSE)-VLOOKUP(A253,'SegEnds_NonXtal_Prot#'!A:AL,34,FALSE)</f>
        <v>10</v>
      </c>
      <c r="AK253" s="1" t="str">
        <f>IF(ISERROR(MATCH(A253,'SegEnds_Xtal_Prot#'!B:B, 0)), "NoXtal", "Xtal")</f>
        <v>NoXtal</v>
      </c>
    </row>
    <row r="254" spans="1:37" x14ac:dyDescent="0.2">
      <c r="A254" s="1" t="s">
        <v>271</v>
      </c>
      <c r="B254" s="1" t="str">
        <f>VLOOKUP(A254,Xtal_Templ!A:B,2,FALSE)</f>
        <v>5ht2c_human</v>
      </c>
      <c r="C254" s="5">
        <f>VLOOKUP($B254&amp;"__wt",'SegEnds_Xtal_BW#'!$A:$Z,3,FALSE)</f>
        <v>33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8">
        <f>VLOOKUP($B254&amp;"__wt",'SegEnds_Xtal_BW#'!$A:$Z,15,FALSE)</f>
        <v>38</v>
      </c>
      <c r="P254" s="1">
        <f>VLOOKUP($B254&amp;"__wt",'SegEnds_Xtal_BW#'!$A:$Z,16,FALSE)</f>
        <v>67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INDEX('ICL3'!$G$2:$G$41,MATCH(MIN(ABS(AH254-'ICL3'!$F$2:$F$41)),ABS(AH254-'ICL3'!$F$2:$F$41),0))</f>
        <v>76</v>
      </c>
      <c r="U254" s="1">
        <f t="array" ref="U254">INDEX('ICL3'!$H$2:$H$41,MATCH(MIN(ABS(AH254-'ICL3'!$F$2:$F$41)),ABS(AH254-'ICL3'!$F$2:$F$41),0))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60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21</v>
      </c>
      <c r="AD254" s="1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61</v>
      </c>
      <c r="AG254" s="1">
        <f>VLOOKUP(A254,'SegEnds_NonXtal_Prot#'!A:AL,28,FALSE)-VLOOKUP(A254,'SegEnds_NonXtal_Prot#'!A:AL,22,FALSE)</f>
        <v>87</v>
      </c>
      <c r="AH254" s="1">
        <f>VLOOKUP(A254,'SegEnds_NonXtal_Prot#'!A:AL,31,FALSE)-VLOOKUP(A254,'SegEnds_NonXtal_Prot#'!A:AL,28,FALSE)</f>
        <v>67</v>
      </c>
      <c r="AI254" s="1">
        <f>VLOOKUP(A254,'SegEnds_NonXtal_Prot#'!A:AL,34,FALSE)-VLOOKUP(A254,'SegEnds_NonXtal_Prot#'!A:AL,31,FALSE)</f>
        <v>36</v>
      </c>
      <c r="AJ254" s="1">
        <f>VLOOKUP(A254,'SegEnds_NonXtal_Prot#'!A:AL,37,FALSE)-VLOOKUP(A254,'SegEnds_NonXtal_Prot#'!A:AL,34,FALSE)</f>
        <v>10</v>
      </c>
      <c r="AK254" s="1" t="str">
        <f>IF(ISERROR(MATCH(A254,'SegEnds_Xtal_Prot#'!B:B, 0)), "NoXtal", "Xtal")</f>
        <v>NoXtal</v>
      </c>
    </row>
    <row r="255" spans="1:37" x14ac:dyDescent="0.2">
      <c r="A255" s="1" t="s">
        <v>294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8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INDEX('ICL3'!$G$2:$G$41,MATCH(MIN(ABS(AH255-'ICL3'!$F$2:$F$41)),ABS(AH255-'ICL3'!$F$2:$F$41),0))</f>
        <v>68</v>
      </c>
      <c r="U255" s="1">
        <f t="array" ref="U255">INDEX('ICL3'!$H$2:$H$41,MATCH(MIN(ABS(AH255-'ICL3'!$F$2:$F$41)),ABS(AH255-'ICL3'!$F$2:$F$41),0))</f>
        <v>30</v>
      </c>
      <c r="V255" s="1">
        <v>61</v>
      </c>
      <c r="W255" s="1">
        <v>32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 t="e">
        <f>VLOOKUP(A255,'SegEnds_NonXtal_Prot#'!A:AL,13,FALSE)-VLOOKUP(A255,'SegEnds_NonXtal_Prot#'!A:AL,10,FALSE)</f>
        <v>#VALUE!</v>
      </c>
      <c r="AD255" s="1">
        <f>VLOOKUP(A255,'SegEnds_NonXtal_Prot#'!A:AL,16,FALSE)-VLOOKUP(A255,'SegEnds_NonXtal_Prot#'!A:AL,10,FALSE)</f>
        <v>53</v>
      </c>
      <c r="AE255" s="1">
        <f>VLOOKUP(A255,'SegEnds_NonXtal_Prot#'!A:AL,22,FALSE)-VLOOKUP(A255,'SegEnds_NonXtal_Prot#'!A:AL,19,FALSE)</f>
        <v>20</v>
      </c>
      <c r="AF255" s="1" t="e">
        <f>VLOOKUP(A255,'SegEnds_NonXtal_Prot#'!A:AL,28,FALSE)-VLOOKUP(A255,'SegEnds_NonXtal_Prot#'!A:AL,25,FALSE)</f>
        <v>#VALUE!</v>
      </c>
      <c r="AG255" s="1">
        <f>VLOOKUP(A255,'SegEnds_NonXtal_Prot#'!A:AL,28,FALSE)-VLOOKUP(A255,'SegEnds_NonXtal_Prot#'!A:AL,22,FALSE)</f>
        <v>44</v>
      </c>
      <c r="AH255" s="1">
        <f>VLOOKUP(A255,'SegEnds_NonXtal_Prot#'!A:AL,31,FALSE)-VLOOKUP(A255,'SegEnds_NonXtal_Prot#'!A:AL,28,FALSE)</f>
        <v>42</v>
      </c>
      <c r="AI255" s="1">
        <f>VLOOKUP(A255,'SegEnds_NonXtal_Prot#'!A:AL,34,FALSE)-VLOOKUP(A255,'SegEnds_NonXtal_Prot#'!A:AL,31,FALSE)</f>
        <v>34</v>
      </c>
      <c r="AJ255" s="1">
        <f>VLOOKUP(A255,'SegEnds_NonXtal_Prot#'!A:AL,37,FALSE)-VLOOKUP(A255,'SegEnds_NonXtal_Prot#'!A:AL,34,FALSE)</f>
        <v>10</v>
      </c>
      <c r="AK255" s="1" t="str">
        <f>IF(ISERROR(MATCH(A255,'SegEnds_Xtal_Prot#'!B:B, 0)), "NoXtal", "Xtal")</f>
        <v>NoXtal</v>
      </c>
    </row>
    <row r="256" spans="1:37" x14ac:dyDescent="0.2">
      <c r="A256" s="4" t="s">
        <v>318</v>
      </c>
      <c r="B256" s="4" t="str">
        <f>VLOOKUP(A256,Xtal_Templ!A:B,2,FALSE)</f>
        <v>ntr1_rat</v>
      </c>
      <c r="C256" s="5">
        <f>VLOOKUP($B256&amp;"__wt",'SegEnds_Xtal_BW#'!$A:$Z,3,FALSE)</f>
        <v>29</v>
      </c>
      <c r="D256" s="4">
        <f>VLOOKUP($B256&amp;"__wt",'SegEnds_Xtal_BW#'!$A:$Z,4,FALSE)</f>
        <v>60</v>
      </c>
      <c r="E256" s="4">
        <f>VLOOKUP($B256&amp;"__wt",'SegEnds_Xtal_BW#'!$A:$Z,5,FALSE)</f>
        <v>48</v>
      </c>
      <c r="F256" s="4">
        <f>VLOOKUP($B256&amp;"__wt",'SegEnds_Xtal_BW#'!$A:$Z,6,FALSE)</f>
        <v>51</v>
      </c>
      <c r="G256" s="4">
        <v>37</v>
      </c>
      <c r="H256" s="11">
        <v>66</v>
      </c>
      <c r="I256" s="4">
        <f>VLOOKUP($B256&amp;"__wt",'SegEnds_Xtal_BW#'!$A:$Z,9,FALSE)</f>
        <v>49</v>
      </c>
      <c r="J256" s="4">
        <f>VLOOKUP($B256&amp;"__wt",'SegEnds_Xtal_BW#'!$A:$Z,10,FALSE)</f>
        <v>52</v>
      </c>
      <c r="K256" s="11">
        <v>18</v>
      </c>
      <c r="L256" s="4">
        <f>VLOOKUP($B256&amp;"__wt",'SegEnds_Xtal_BW#'!$A:$Z,12,FALSE)</f>
        <v>56</v>
      </c>
      <c r="M256" s="4">
        <f>VLOOKUP($B256&amp;"__wt",'SegEnds_Xtal_BW#'!$A:$Z,13,FALSE)</f>
        <v>50</v>
      </c>
      <c r="N256" s="11">
        <v>57</v>
      </c>
      <c r="O256" s="88">
        <f>VLOOKUP($B256&amp;"__wt",'SegEnds_Xtal_BW#'!$A:$Z,15,FALSE)</f>
        <v>38</v>
      </c>
      <c r="P256" s="4">
        <f>VLOOKUP($B256&amp;"__wt",'SegEnds_Xtal_BW#'!$A:$Z,16,FALSE)</f>
        <v>64</v>
      </c>
      <c r="Q256" s="4">
        <f>VLOOKUP($B256&amp;"__wt",'SegEnds_Xtal_BW#'!$A:$Z,17,FALSE)</f>
        <v>50</v>
      </c>
      <c r="R256" s="4">
        <f>VLOOKUP($B256&amp;"__wt",'SegEnds_Xtal_BW#'!$A:$Z,18,FALSE)</f>
        <v>52</v>
      </c>
      <c r="S256" s="4">
        <f>VLOOKUP($B256&amp;"__wt",'SegEnds_Xtal_BW#'!$A:$Z,19,FALSE)</f>
        <v>32</v>
      </c>
      <c r="T256" s="4">
        <f t="array" ref="T256">INDEX('ICL3'!$G$2:$G$41,MATCH(MIN(ABS(AH256-'ICL3'!$F$2:$F$41)),ABS(AH256-'ICL3'!$F$2:$F$41),0))</f>
        <v>76</v>
      </c>
      <c r="U256" s="4">
        <f t="array" ref="U256">INDEX('ICL3'!$H$2:$H$41,MATCH(MIN(ABS(AH256-'ICL3'!$F$2:$F$41)),ABS(AH256-'ICL3'!$F$2:$F$41),0))</f>
        <v>24</v>
      </c>
      <c r="V256" s="4">
        <v>61</v>
      </c>
      <c r="W256" s="4">
        <v>28</v>
      </c>
      <c r="X256" s="4">
        <f>VLOOKUP($B256&amp;"__wt",'SegEnds_Xtal_BW#'!$A:$Z,24,FALSE)</f>
        <v>56</v>
      </c>
      <c r="Y256" s="4">
        <f>VLOOKUP($B256&amp;"__wt",'SegEnds_Xtal_BW#'!$A:$Z,25,FALSE)</f>
        <v>47</v>
      </c>
      <c r="Z256" s="4">
        <f>VLOOKUP($B256&amp;"__wt",'SegEnds_Xtal_BW#'!$A:$Z,26,FALSE)</f>
        <v>58</v>
      </c>
      <c r="AA256" s="27" t="str">
        <f>VLOOKUP(A256,Classification!A:B,2,FALSE)</f>
        <v>A</v>
      </c>
      <c r="AB256" s="4">
        <f>VLOOKUP(A256,'SegEnds_NonXtal_Prot#'!A:AL,10,FALSE)-VLOOKUP(A256,'SegEnds_NonXtal_Prot#'!A:AL,7,FALSE)</f>
        <v>15</v>
      </c>
      <c r="AC256" s="4">
        <f>VLOOKUP(A256,'SegEnds_NonXtal_Prot#'!A:AL,13,FALSE)-VLOOKUP(A256,'SegEnds_NonXtal_Prot#'!A:AL,10,FALSE)</f>
        <v>19</v>
      </c>
      <c r="AD256" s="4">
        <f>VLOOKUP(A256,'SegEnds_NonXtal_Prot#'!A:AL,16,FALSE)-VLOOKUP(A256,'SegEnds_NonXtal_Prot#'!A:AL,10,FALSE)</f>
        <v>53</v>
      </c>
      <c r="AE256" s="1">
        <f>VLOOKUP(A256,'SegEnds_NonXtal_Prot#'!A:AL,22,FALSE)-VLOOKUP(A256,'SegEnds_NonXtal_Prot#'!A:AL,19,FALSE)</f>
        <v>20</v>
      </c>
      <c r="AF256" s="4">
        <f>VLOOKUP(A256,'SegEnds_NonXtal_Prot#'!A:AL,28,FALSE)-VLOOKUP(A256,'SegEnds_NonXtal_Prot#'!A:AL,25,FALSE)</f>
        <v>24</v>
      </c>
      <c r="AG256" s="1">
        <f>VLOOKUP(A256,'SegEnds_NonXtal_Prot#'!A:AL,28,FALSE)-VLOOKUP(A256,'SegEnds_NonXtal_Prot#'!A:AL,22,FALSE)</f>
        <v>57</v>
      </c>
      <c r="AH256" s="4">
        <f>VLOOKUP(A256,'SegEnds_NonXtal_Prot#'!A:AL,31,FALSE)-VLOOKUP(A256,'SegEnds_NonXtal_Prot#'!A:AL,28,FALSE)</f>
        <v>69</v>
      </c>
      <c r="AI256" s="4">
        <f>VLOOKUP(A256,'SegEnds_NonXtal_Prot#'!A:AL,34,FALSE)-VLOOKUP(A256,'SegEnds_NonXtal_Prot#'!A:AL,31,FALSE)</f>
        <v>41</v>
      </c>
      <c r="AJ256" s="1">
        <f>VLOOKUP(A256,'SegEnds_NonXtal_Prot#'!A:AL,37,FALSE)-VLOOKUP(A256,'SegEnds_NonXtal_Prot#'!A:AL,34,FALSE)</f>
        <v>10</v>
      </c>
      <c r="AK256" s="1" t="str">
        <f>IF(ISERROR(MATCH(A256,'SegEnds_Xtal_Prot#'!B:B, 0)), "NoXtal", "Xtal")</f>
        <v>NoXtal</v>
      </c>
    </row>
    <row r="257" spans="1:37" x14ac:dyDescent="0.2">
      <c r="A257" s="1" t="s">
        <v>319</v>
      </c>
      <c r="B257" s="1" t="str">
        <f>VLOOKUP(A257,Xtal_Templ!A:B,2,FALSE)</f>
        <v>ntr1_rat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8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INDEX('ICL3'!$G$2:$G$41,MATCH(MIN(ABS(AH257-'ICL3'!$F$2:$F$41)),ABS(AH257-'ICL3'!$F$2:$F$41),0))</f>
        <v>73</v>
      </c>
      <c r="U257" s="1">
        <f t="array" ref="U257">INDEX('ICL3'!$H$2:$H$41,MATCH(MIN(ABS(AH257-'ICL3'!$F$2:$F$41)),ABS(AH257-'ICL3'!$F$2:$F$41),0))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VLOOKUP(A257,'SegEnds_NonXtal_Prot#'!A:AL,10,FALSE)-VLOOKUP(A257,'SegEnds_NonXtal_Prot#'!A:AL,7,FALSE)</f>
        <v>15</v>
      </c>
      <c r="AC257" s="1">
        <f>VLOOKUP(A257,'SegEnds_NonXtal_Prot#'!A:AL,13,FALSE)-VLOOKUP(A257,'SegEnds_NonXtal_Prot#'!A:AL,10,FALSE)</f>
        <v>19</v>
      </c>
      <c r="AD257" s="1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24</v>
      </c>
      <c r="AG257" s="1">
        <f>VLOOKUP(A257,'SegEnds_NonXtal_Prot#'!A:AL,28,FALSE)-VLOOKUP(A257,'SegEnds_NonXtal_Prot#'!A:AL,22,FALSE)</f>
        <v>57</v>
      </c>
      <c r="AH257" s="1">
        <f>VLOOKUP(A257,'SegEnds_NonXtal_Prot#'!A:AL,31,FALSE)-VLOOKUP(A257,'SegEnds_NonXtal_Prot#'!A:AL,28,FALSE)</f>
        <v>55</v>
      </c>
      <c r="AI257" s="1">
        <f>VLOOKUP(A257,'SegEnds_NonXtal_Prot#'!A:AL,34,FALSE)-VLOOKUP(A257,'SegEnds_NonXtal_Prot#'!A:AL,31,FALSE)</f>
        <v>41</v>
      </c>
      <c r="AJ257" s="1">
        <f>VLOOKUP(A257,'SegEnds_NonXtal_Prot#'!A:AL,37,FALSE)-VLOOKUP(A257,'SegEnds_NonXtal_Prot#'!A:AL,34,FALSE)</f>
        <v>10</v>
      </c>
      <c r="AK257" s="1" t="str">
        <f>IF(ISERROR(MATCH(A257,'SegEnds_Xtal_Prot#'!B:B, 0)), "NoXtal", "Xtal")</f>
        <v>NoXtal</v>
      </c>
    </row>
    <row r="258" spans="1:37" x14ac:dyDescent="0.2">
      <c r="A258" s="1" t="s">
        <v>922</v>
      </c>
      <c r="B258" s="1" t="str">
        <f>VLOOKUP(A258,Xtal_Templ!A:B,2,FALSE)</f>
        <v>opsd_todpa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69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8">
        <f>VLOOKUP($B258&amp;"__wt",'SegEnds_Xtal_BW#'!$A:$Z,15,FALSE)</f>
        <v>38</v>
      </c>
      <c r="P258" s="1">
        <f>VLOOKUP($B258&amp;"__wt",'SegEnds_Xtal_BW#'!$A:$Z,16,FALSE)</f>
        <v>62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INDEX('ICL3'!$G$2:$G$41,MATCH(MIN(ABS(AH258-'ICL3'!$F$2:$F$41)),ABS(AH258-'ICL3'!$F$2:$F$41),0))</f>
        <v>74</v>
      </c>
      <c r="U258" s="1">
        <f t="array" ref="U258">INDEX('ICL3'!$H$2:$H$41,MATCH(MIN(ABS(AH258-'ICL3'!$F$2:$F$41)),ABS(AH258-'ICL3'!$F$2:$F$41),0))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VLOOKUP(A258,'SegEnds_NonXtal_Prot#'!A:AL,10,FALSE)-VLOOKUP(A258,'SegEnds_NonXtal_Prot#'!A:AL,7,FALSE)</f>
        <v>15</v>
      </c>
      <c r="AC258" s="1">
        <f>VLOOKUP(A258,'SegEnds_NonXtal_Prot#'!A:AL,13,FALSE)-VLOOKUP(A258,'SegEnds_NonXtal_Prot#'!A:AL,10,FALSE)</f>
        <v>21</v>
      </c>
      <c r="AD258" s="1">
        <f>VLOOKUP(A258,'SegEnds_NonXtal_Prot#'!A:AL,16,FALSE)-VLOOKUP(A258,'SegEnds_NonXtal_Prot#'!A:AL,10,FALSE)</f>
        <v>53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64</v>
      </c>
      <c r="AI258" s="1">
        <f>VLOOKUP(A258,'SegEnds_NonXtal_Prot#'!A:AL,34,FALSE)-VLOOKUP(A258,'SegEnds_NonXtal_Prot#'!A:AL,31,FALSE)</f>
        <v>36</v>
      </c>
      <c r="AJ258" s="1">
        <f>VLOOKUP(A258,'SegEnds_NonXtal_Prot#'!A:AL,37,FALSE)-VLOOKUP(A258,'SegEnds_NonXtal_Prot#'!A:AL,34,FALSE)</f>
        <v>10</v>
      </c>
      <c r="AK258" s="1" t="str">
        <f>IF(ISERROR(MATCH(A258,'SegEnds_Xtal_Prot#'!B:B, 0)), "NoXtal", "Xtal")</f>
        <v>Xtal</v>
      </c>
    </row>
    <row r="259" spans="1:37" x14ac:dyDescent="0.2">
      <c r="A259" s="4" t="s">
        <v>369</v>
      </c>
      <c r="B259" s="4" t="str">
        <f>VLOOKUP(A259,Xtal_Templ!A:B,2,FALSE)</f>
        <v>ox2r_human</v>
      </c>
      <c r="C259" s="5">
        <f>VLOOKUP($B259&amp;"__wt",'SegEnds_Xtal_BW#'!$A:$Z,3,FALSE)</f>
        <v>31</v>
      </c>
      <c r="D259" s="4">
        <f>VLOOKUP($B259&amp;"__wt",'SegEnds_Xtal_BW#'!$A:$Z,4,FALSE)</f>
        <v>60</v>
      </c>
      <c r="E259" s="4">
        <f>VLOOKUP($B259&amp;"__wt",'SegEnds_Xtal_BW#'!$A:$Z,5,FALSE)</f>
        <v>48</v>
      </c>
      <c r="F259" s="4">
        <f>VLOOKUP($B259&amp;"__wt",'SegEnds_Xtal_BW#'!$A:$Z,6,FALSE)</f>
        <v>51</v>
      </c>
      <c r="G259" s="4">
        <v>37</v>
      </c>
      <c r="H259" s="11">
        <f>VLOOKUP($B259&amp;"__wt",'SegEnds_Xtal_BW#'!$A:$Z,8,FALSE)</f>
        <v>68</v>
      </c>
      <c r="I259" s="4">
        <f>VLOOKUP($B259&amp;"__wt",'SegEnds_Xtal_BW#'!$A:$Z,9,FALSE)</f>
        <v>49</v>
      </c>
      <c r="J259" s="4">
        <f>VLOOKUP($B259&amp;"__wt",'SegEnds_Xtal_BW#'!$A:$Z,10,FALSE)</f>
        <v>52</v>
      </c>
      <c r="K259" s="11">
        <v>18</v>
      </c>
      <c r="L259" s="4">
        <f>VLOOKUP($B259&amp;"__wt",'SegEnds_Xtal_BW#'!$A:$Z,12,FALSE)</f>
        <v>56</v>
      </c>
      <c r="M259" s="4">
        <f>VLOOKUP($B259&amp;"__wt",'SegEnds_Xtal_BW#'!$A:$Z,13,FALSE)</f>
        <v>50</v>
      </c>
      <c r="N259" s="11">
        <v>53</v>
      </c>
      <c r="O259" s="88">
        <f>VLOOKUP($B259&amp;"__wt",'SegEnds_Xtal_BW#'!$A:$Z,15,FALSE)</f>
        <v>38</v>
      </c>
      <c r="P259" s="4">
        <f>VLOOKUP($B259&amp;"__wt",'SegEnds_Xtal_BW#'!$A:$Z,16,FALSE)</f>
        <v>64</v>
      </c>
      <c r="Q259" s="4">
        <f>VLOOKUP($B259&amp;"__wt",'SegEnds_Xtal_BW#'!$A:$Z,17,FALSE)</f>
        <v>50</v>
      </c>
      <c r="R259" s="4">
        <f>VLOOKUP($B259&amp;"__wt",'SegEnds_Xtal_BW#'!$A:$Z,18,FALSE)</f>
        <v>52</v>
      </c>
      <c r="S259" s="4">
        <f>VLOOKUP($B259&amp;"__wt",'SegEnds_Xtal_BW#'!$A:$Z,19,FALSE)</f>
        <v>33</v>
      </c>
      <c r="T259" s="4">
        <f t="array" ref="T259">INDEX('ICL3'!$G$2:$G$41,MATCH(MIN(ABS(AH259-'ICL3'!$F$2:$F$41)),ABS(AH259-'ICL3'!$F$2:$F$41),0))</f>
        <v>73</v>
      </c>
      <c r="U259" s="4">
        <f t="array" ref="U259">INDEX('ICL3'!$H$2:$H$41,MATCH(MIN(ABS(AH259-'ICL3'!$F$2:$F$41)),ABS(AH259-'ICL3'!$F$2:$F$41),0))</f>
        <v>22</v>
      </c>
      <c r="V259" s="4">
        <v>61</v>
      </c>
      <c r="W259" s="4">
        <v>28</v>
      </c>
      <c r="X259" s="4">
        <f>VLOOKUP($B259&amp;"__wt",'SegEnds_Xtal_BW#'!$A:$Z,24,FALSE)</f>
        <v>56</v>
      </c>
      <c r="Y259" s="4">
        <f>VLOOKUP($B259&amp;"__wt",'SegEnds_Xtal_BW#'!$A:$Z,25,FALSE)</f>
        <v>47</v>
      </c>
      <c r="Z259" s="4">
        <f>VLOOKUP($B259&amp;"__wt",'SegEnds_Xtal_BW#'!$A:$Z,26,FALSE)</f>
        <v>58</v>
      </c>
      <c r="AA259" s="27" t="str">
        <f>VLOOKUP(A259,Classification!A:B,2,FALSE)</f>
        <v>A</v>
      </c>
      <c r="AB259" s="4">
        <f>VLOOKUP(A259,'SegEnds_NonXtal_Prot#'!A:AL,10,FALSE)-VLOOKUP(A259,'SegEnds_NonXtal_Prot#'!A:AL,7,FALSE)</f>
        <v>15</v>
      </c>
      <c r="AC259" s="4">
        <f>VLOOKUP(A259,'SegEnds_NonXtal_Prot#'!A:AL,13,FALSE)-VLOOKUP(A259,'SegEnds_NonXtal_Prot#'!A:AL,10,FALSE)</f>
        <v>21</v>
      </c>
      <c r="AD259" s="4">
        <f>VLOOKUP(A259,'SegEnds_NonXtal_Prot#'!A:AL,16,FALSE)-VLOOKUP(A259,'SegEnds_NonXtal_Prot#'!A:AL,10,FALSE)</f>
        <v>53</v>
      </c>
      <c r="AE259" s="1">
        <f>VLOOKUP(A259,'SegEnds_NonXtal_Prot#'!A:AL,22,FALSE)-VLOOKUP(A259,'SegEnds_NonXtal_Prot#'!A:AL,19,FALSE)</f>
        <v>18</v>
      </c>
      <c r="AF259" s="4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53</v>
      </c>
      <c r="AH259" s="4">
        <f>VLOOKUP(A259,'SegEnds_NonXtal_Prot#'!A:AL,31,FALSE)-VLOOKUP(A259,'SegEnds_NonXtal_Prot#'!A:AL,28,FALSE)</f>
        <v>56</v>
      </c>
      <c r="AI259" s="4">
        <f>VLOOKUP(A259,'SegEnds_NonXtal_Prot#'!A:AL,34,FALSE)-VLOOKUP(A259,'SegEnds_NonXtal_Prot#'!A:AL,31,FALSE)</f>
        <v>39</v>
      </c>
      <c r="AJ259" s="1">
        <f>VLOOKUP(A259,'SegEnds_NonXtal_Prot#'!A:AL,37,FALSE)-VLOOKUP(A259,'SegEnds_NonXtal_Prot#'!A:AL,34,FALSE)</f>
        <v>10</v>
      </c>
      <c r="AK259" s="1" t="str">
        <f>IF(ISERROR(MATCH(A259,'SegEnds_Xtal_Prot#'!B:B, 0)), "NoXtal", "Xtal")</f>
        <v>NoXtal</v>
      </c>
    </row>
    <row r="260" spans="1:37" x14ac:dyDescent="0.2">
      <c r="A260" s="1" t="s">
        <v>222</v>
      </c>
      <c r="B260" s="1" t="str">
        <f>VLOOKUP(A260,Xtal_Templ!A:B,2,FALSE)</f>
        <v>ox2r_human</v>
      </c>
      <c r="C260" s="5">
        <f>VLOOKUP($B260&amp;"__wt",'SegEnds_Xtal_BW#'!$A:$Z,3,FALSE)</f>
        <v>31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53</v>
      </c>
      <c r="O260" s="88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33</v>
      </c>
      <c r="T260" s="1">
        <f t="array" ref="T260">INDEX('ICL3'!$G$2:$G$41,MATCH(MIN(ABS(AH260-'ICL3'!$F$2:$F$41)),ABS(AH260-'ICL3'!$F$2:$F$41),0))</f>
        <v>74</v>
      </c>
      <c r="U260" s="1">
        <f t="array" ref="U260">INDEX('ICL3'!$H$2:$H$41,MATCH(MIN(ABS(AH260-'ICL3'!$F$2:$F$41)),ABS(AH260-'ICL3'!$F$2:$F$41),0))</f>
        <v>21</v>
      </c>
      <c r="V260" s="1">
        <v>61</v>
      </c>
      <c r="W260" s="1">
        <v>28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54</v>
      </c>
      <c r="AE260" s="1" t="e">
        <f>VLOOKUP(A260,'SegEnds_NonXtal_Prot#'!A:AL,22,FALSE)-VLOOKUP(A260,'SegEnds_NonXtal_Prot#'!A:AL,19,FALSE)</f>
        <v>#VALUE!</v>
      </c>
      <c r="AF260" s="1">
        <f>VLOOKUP(A260,'SegEnds_NonXtal_Prot#'!A:AL,28,FALSE)-VLOOKUP(A260,'SegEnds_NonXtal_Prot#'!A:AL,25,FALSE)</f>
        <v>27</v>
      </c>
      <c r="AG260" s="1">
        <f>VLOOKUP(A260,'SegEnds_NonXtal_Prot#'!A:AL,28,FALSE)-VLOOKUP(A260,'SegEnds_NonXtal_Prot#'!A:AL,22,FALSE)</f>
        <v>75</v>
      </c>
      <c r="AH260" s="1">
        <f>VLOOKUP(A260,'SegEnds_NonXtal_Prot#'!A:AL,31,FALSE)-VLOOKUP(A260,'SegEnds_NonXtal_Prot#'!A:AL,28,FALSE)</f>
        <v>66</v>
      </c>
      <c r="AI260" s="1">
        <f>VLOOKUP(A260,'SegEnds_NonXtal_Prot#'!A:AL,34,FALSE)-VLOOKUP(A260,'SegEnds_NonXtal_Prot#'!A:AL,31,FALSE)</f>
        <v>39</v>
      </c>
      <c r="AJ260" s="1">
        <f>VLOOKUP(A260,'SegEnds_NonXtal_Prot#'!A:AL,37,FALSE)-VLOOKUP(A260,'SegEnds_NonXtal_Prot#'!A:AL,34,FALSE)</f>
        <v>10</v>
      </c>
      <c r="AK260" s="1" t="str">
        <f>IF(ISERROR(MATCH(A260,'SegEnds_Xtal_Prot#'!B:B, 0)), "NoXtal", "Xtal")</f>
        <v>NoXtal</v>
      </c>
    </row>
    <row r="261" spans="1:37" x14ac:dyDescent="0.2">
      <c r="A261" s="1" t="s">
        <v>226</v>
      </c>
      <c r="B261" s="1" t="str">
        <f>VLOOKUP(A261,Xtal_Templ!A:B,2,FALSE)</f>
        <v>par1_human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8">
        <f>VLOOKUP($B261&amp;"__wt",'SegEnds_Xtal_BW#'!$A:$Z,15,FALSE)</f>
        <v>38</v>
      </c>
      <c r="P261" s="1"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INDEX('ICL3'!$G$2:$G$41,MATCH(MIN(ABS(AH261-'ICL3'!$F$2:$F$41)),ABS(AH261-'ICL3'!$F$2:$F$41),0))</f>
        <v>73</v>
      </c>
      <c r="U261" s="1">
        <f t="array" ref="U261">INDEX('ICL3'!$H$2:$H$41,MATCH(MIN(ABS(AH261-'ICL3'!$F$2:$F$41)),ABS(AH261-'ICL3'!$F$2:$F$41),0))</f>
        <v>24</v>
      </c>
      <c r="V261" s="1">
        <v>61</v>
      </c>
      <c r="W261" s="1">
        <v>31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61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54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49</v>
      </c>
      <c r="AH261" s="1">
        <f>VLOOKUP(A261,'SegEnds_NonXtal_Prot#'!A:AL,31,FALSE)-VLOOKUP(A261,'SegEnds_NonXtal_Prot#'!A:AL,28,FALSE)</f>
        <v>58</v>
      </c>
      <c r="AI261" s="1">
        <f>VLOOKUP(A261,'SegEnds_NonXtal_Prot#'!A:AL,34,FALSE)-VLOOKUP(A261,'SegEnds_NonXtal_Prot#'!A:AL,31,FALSE)</f>
        <v>35</v>
      </c>
      <c r="AJ261" s="1">
        <f>VLOOKUP(A261,'SegEnds_NonXtal_Prot#'!A:AL,37,FALSE)-VLOOKUP(A261,'SegEnds_NonXtal_Prot#'!A:AL,34,FALSE)</f>
        <v>10</v>
      </c>
      <c r="AK261" s="1" t="str">
        <f>IF(ISERROR(MATCH(A261,'SegEnds_Xtal_Prot#'!B:B, 0)), "NoXtal", "Xtal")</f>
        <v>NoXtal</v>
      </c>
    </row>
    <row r="262" spans="1:37" x14ac:dyDescent="0.2">
      <c r="A262" s="1" t="s">
        <v>256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8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INDEX('ICL3'!$G$2:$G$41,MATCH(MIN(ABS(AH262-'ICL3'!$F$2:$F$41)),ABS(AH262-'ICL3'!$F$2:$F$41),0))</f>
        <v>76</v>
      </c>
      <c r="U262" s="1">
        <f t="array" ref="U262">INDEX('ICL3'!$H$2:$H$41,MATCH(MIN(ABS(AH262-'ICL3'!$F$2:$F$41)),ABS(AH262-'ICL3'!$F$2:$F$41),0))</f>
        <v>24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54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21</v>
      </c>
      <c r="AG262" s="1">
        <f>VLOOKUP(A262,'SegEnds_NonXtal_Prot#'!A:AL,28,FALSE)-VLOOKUP(A262,'SegEnds_NonXtal_Prot#'!A:AL,22,FALSE)</f>
        <v>71</v>
      </c>
      <c r="AH262" s="1">
        <f>VLOOKUP(A262,'SegEnds_NonXtal_Prot#'!A:AL,31,FALSE)-VLOOKUP(A262,'SegEnds_NonXtal_Prot#'!A:AL,28,FALSE)</f>
        <v>67</v>
      </c>
      <c r="AI262" s="1">
        <f>VLOOKUP(A262,'SegEnds_NonXtal_Prot#'!A:AL,34,FALSE)-VLOOKUP(A262,'SegEnds_NonXtal_Prot#'!A:AL,31,FALSE)</f>
        <v>43</v>
      </c>
      <c r="AJ262" s="1">
        <f>VLOOKUP(A262,'SegEnds_NonXtal_Prot#'!A:AL,37,FALSE)-VLOOKUP(A262,'SegEnds_NonXtal_Prot#'!A:AL,34,FALSE)</f>
        <v>10</v>
      </c>
      <c r="AK262" s="1" t="str">
        <f>IF(ISERROR(MATCH(A262,'SegEnds_Xtal_Prot#'!B:B, 0)), "NoXtal", "Xtal")</f>
        <v>NoXtal</v>
      </c>
    </row>
    <row r="263" spans="1:37" x14ac:dyDescent="0.2">
      <c r="A263" s="1" t="s">
        <v>263</v>
      </c>
      <c r="B263" s="1" t="str">
        <f>VLOOKUP(A263,Xtal_Templ!A:B,2,FALSE)</f>
        <v>ox2r_human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8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INDEX('ICL3'!$G$2:$G$41,MATCH(MIN(ABS(AH263-'ICL3'!$F$2:$F$41)),ABS(AH263-'ICL3'!$F$2:$F$41),0))</f>
        <v>76</v>
      </c>
      <c r="U263" s="1">
        <f t="array" ref="U263">INDEX('ICL3'!$H$2:$H$41,MATCH(MIN(ABS(AH263-'ICL3'!$F$2:$F$41)),ABS(AH263-'ICL3'!$F$2:$F$41),0))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 t="e">
        <f>VLOOKUP(A263,'SegEnds_NonXtal_Prot#'!A:AL,10,FALSE)-VLOOKUP(A263,'SegEnds_NonXtal_Prot#'!A:AL,7,FALSE)</f>
        <v>#VALUE!</v>
      </c>
      <c r="AC263" s="1">
        <f>VLOOKUP(A263,'SegEnds_NonXtal_Prot#'!A:AL,13,FALSE)-VLOOKUP(A263,'SegEnds_NonXtal_Prot#'!A:AL,10,FALSE)</f>
        <v>21</v>
      </c>
      <c r="AD263" s="1">
        <f>VLOOKUP(A263,'SegEnds_NonXtal_Prot#'!A:AL,16,FALSE)-VLOOKUP(A263,'SegEnds_NonXtal_Prot#'!A:AL,10,FALSE)</f>
        <v>54</v>
      </c>
      <c r="AE263" s="1">
        <f>VLOOKUP(A263,'SegEnds_NonXtal_Prot#'!A:AL,22,FALSE)-VLOOKUP(A263,'SegEnds_NonXtal_Prot#'!A:AL,19,FALSE)</f>
        <v>20</v>
      </c>
      <c r="AF263" s="1">
        <f>VLOOKUP(A263,'SegEnds_NonXtal_Prot#'!A:AL,28,FALSE)-VLOOKUP(A263,'SegEnds_NonXtal_Prot#'!A:AL,25,FALSE)</f>
        <v>25</v>
      </c>
      <c r="AG263" s="1">
        <f>VLOOKUP(A263,'SegEnds_NonXtal_Prot#'!A:AL,28,FALSE)-VLOOKUP(A263,'SegEnds_NonXtal_Prot#'!A:AL,22,FALSE)</f>
        <v>53</v>
      </c>
      <c r="AH263" s="1">
        <f>VLOOKUP(A263,'SegEnds_NonXtal_Prot#'!A:AL,31,FALSE)-VLOOKUP(A263,'SegEnds_NonXtal_Prot#'!A:AL,28,FALSE)</f>
        <v>82</v>
      </c>
      <c r="AI263" s="1">
        <f>VLOOKUP(A263,'SegEnds_NonXtal_Prot#'!A:AL,34,FALSE)-VLOOKUP(A263,'SegEnds_NonXtal_Prot#'!A:AL,31,FALSE)</f>
        <v>36</v>
      </c>
      <c r="AJ263" s="1">
        <f>VLOOKUP(A263,'SegEnds_NonXtal_Prot#'!A:AL,37,FALSE)-VLOOKUP(A263,'SegEnds_NonXtal_Prot#'!A:AL,34,FALSE)</f>
        <v>10</v>
      </c>
      <c r="AK263" s="1" t="str">
        <f>IF(ISERROR(MATCH(A263,'SegEnds_Xtal_Prot#'!B:B, 0)), "NoXtal", "Xtal")</f>
        <v>NoXtal</v>
      </c>
    </row>
    <row r="264" spans="1:37" x14ac:dyDescent="0.2">
      <c r="A264" s="1" t="s">
        <v>127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8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INDEX('ICL3'!$G$2:$G$41,MATCH(MIN(ABS(AH264-'ICL3'!$F$2:$F$41)),ABS(AH264-'ICL3'!$F$2:$F$41),0))</f>
        <v>76</v>
      </c>
      <c r="U264" s="1">
        <f t="array" ref="U264">INDEX('ICL3'!$H$2:$H$41,MATCH(MIN(ABS(AH264-'ICL3'!$F$2:$F$41)),ABS(AH264-'ICL3'!$F$2:$F$41),0))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18</v>
      </c>
      <c r="AC264" s="1">
        <f>VLOOKUP(A264,'SegEnds_NonXtal_Prot#'!A:AL,13,FALSE)-VLOOKUP(A264,'SegEnds_NonXtal_Prot#'!A:AL,10,FALSE)</f>
        <v>22</v>
      </c>
      <c r="AD264" s="1">
        <f>VLOOKUP(A264,'SegEnds_NonXtal_Prot#'!A:AL,16,FALSE)-VLOOKUP(A264,'SegEnds_NonXtal_Prot#'!A:AL,10,FALSE)</f>
        <v>54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24</v>
      </c>
      <c r="AG264" s="1">
        <f>VLOOKUP(A264,'SegEnds_NonXtal_Prot#'!A:AL,28,FALSE)-VLOOKUP(A264,'SegEnds_NonXtal_Prot#'!A:AL,22,FALSE)</f>
        <v>55</v>
      </c>
      <c r="AH264" s="1">
        <f>VLOOKUP(A264,'SegEnds_NonXtal_Prot#'!A:AL,31,FALSE)-VLOOKUP(A264,'SegEnds_NonXtal_Prot#'!A:AL,28,FALSE)</f>
        <v>70</v>
      </c>
      <c r="AI264" s="1">
        <f>VLOOKUP(A264,'SegEnds_NonXtal_Prot#'!A:AL,34,FALSE)-VLOOKUP(A264,'SegEnds_NonXtal_Prot#'!A:AL,31,FALSE)</f>
        <v>43</v>
      </c>
      <c r="AJ264" s="1">
        <f>VLOOKUP(A264,'SegEnds_NonXtal_Prot#'!A:AL,37,FALSE)-VLOOKUP(A264,'SegEnds_NonXtal_Prot#'!A:AL,34,FALSE)</f>
        <v>10</v>
      </c>
      <c r="AK264" s="1" t="str">
        <f>IF(ISERROR(MATCH(A264,'SegEnds_Xtal_Prot#'!B:B, 0)), "NoXtal", "Xtal")</f>
        <v>NoXtal</v>
      </c>
    </row>
    <row r="265" spans="1:37" x14ac:dyDescent="0.2">
      <c r="A265" s="1" t="s">
        <v>914</v>
      </c>
      <c r="B265" s="1" t="str">
        <f>VLOOKUP(A265,Xtal_Templ!A:B,2,FALSE)</f>
        <v>ntr1_rat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8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INDEX('ICL3'!$G$2:$G$41,MATCH(MIN(ABS(AH265-'ICL3'!$F$2:$F$41)),ABS(AH265-'ICL3'!$F$2:$F$41),0))</f>
        <v>76</v>
      </c>
      <c r="U265" s="1">
        <f t="array" ref="U265">INDEX('ICL3'!$H$2:$H$41,MATCH(MIN(ABS(AH265-'ICL3'!$F$2:$F$41)),ABS(AH265-'ICL3'!$F$2:$F$41),0))</f>
        <v>24</v>
      </c>
      <c r="V265" s="1">
        <v>61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18</v>
      </c>
      <c r="AC265" s="1">
        <f>VLOOKUP(A265,'SegEnds_NonXtal_Prot#'!A:AL,13,FALSE)-VLOOKUP(A265,'SegEnds_NonXtal_Prot#'!A:AL,10,FALSE)</f>
        <v>22</v>
      </c>
      <c r="AD265" s="1">
        <f>VLOOKUP(A265,'SegEnds_NonXtal_Prot#'!A:AL,16,FALSE)-VLOOKUP(A265,'SegEnds_NonXtal_Prot#'!A:AL,10,FALSE)</f>
        <v>54</v>
      </c>
      <c r="AE265" s="1">
        <f>VLOOKUP(A265,'SegEnds_NonXtal_Prot#'!A:AL,22,FALSE)-VLOOKUP(A265,'SegEnds_NonXtal_Prot#'!A:AL,19,FALSE)</f>
        <v>20</v>
      </c>
      <c r="AF265" s="1">
        <f>VLOOKUP(A265,'SegEnds_NonXtal_Prot#'!A:AL,28,FALSE)-VLOOKUP(A265,'SegEnds_NonXtal_Prot#'!A:AL,25,FALSE)</f>
        <v>24</v>
      </c>
      <c r="AG265" s="1">
        <f>VLOOKUP(A265,'SegEnds_NonXtal_Prot#'!A:AL,28,FALSE)-VLOOKUP(A265,'SegEnds_NonXtal_Prot#'!A:AL,22,FALSE)</f>
        <v>55</v>
      </c>
      <c r="AH265" s="1">
        <f>VLOOKUP(A265,'SegEnds_NonXtal_Prot#'!A:AL,31,FALSE)-VLOOKUP(A265,'SegEnds_NonXtal_Prot#'!A:AL,28,FALSE)</f>
        <v>74</v>
      </c>
      <c r="AI265" s="1">
        <f>VLOOKUP(A265,'SegEnds_NonXtal_Prot#'!A:AL,34,FALSE)-VLOOKUP(A265,'SegEnds_NonXtal_Prot#'!A:AL,31,FALSE)</f>
        <v>43</v>
      </c>
      <c r="AJ265" s="1">
        <f>VLOOKUP(A265,'SegEnds_NonXtal_Prot#'!A:AL,37,FALSE)-VLOOKUP(A265,'SegEnds_NonXtal_Prot#'!A:AL,34,FALSE)</f>
        <v>10</v>
      </c>
      <c r="AK265" s="1" t="str">
        <f>IF(ISERROR(MATCH(A265,'SegEnds_Xtal_Prot#'!B:B, 0)), "NoXtal", "Xtal")</f>
        <v>Xtal</v>
      </c>
    </row>
    <row r="266" spans="1:37" x14ac:dyDescent="0.2">
      <c r="A266" s="1" t="s">
        <v>330</v>
      </c>
      <c r="B266" s="1" t="str">
        <f>VLOOKUP(A266,Xtal_Templ!A:B,2,FALSE)</f>
        <v>ntr1_rat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57</v>
      </c>
      <c r="O266" s="88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INDEX('ICL3'!$G$2:$G$41,MATCH(MIN(ABS(AH266-'ICL3'!$F$2:$F$41)),ABS(AH266-'ICL3'!$F$2:$F$41),0))</f>
        <v>74</v>
      </c>
      <c r="U266" s="1">
        <f t="array" ref="U266">INDEX('ICL3'!$H$2:$H$41,MATCH(MIN(ABS(AH266-'ICL3'!$F$2:$F$41)),ABS(AH266-'ICL3'!$F$2:$F$41),0))</f>
        <v>24</v>
      </c>
      <c r="V266" s="1">
        <v>61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>
        <f>VLOOKUP(A266,'SegEnds_NonXtal_Prot#'!A:AL,13,FALSE)-VLOOKUP(A266,'SegEnds_NonXtal_Prot#'!A:AL,10,FALSE)</f>
        <v>22</v>
      </c>
      <c r="AD266" s="1">
        <f>VLOOKUP(A266,'SegEnds_NonXtal_Prot#'!A:AL,16,FALSE)-VLOOKUP(A266,'SegEnds_NonXtal_Prot#'!A:AL,10,FALSE)</f>
        <v>54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24</v>
      </c>
      <c r="AG266" s="1">
        <f>VLOOKUP(A266,'SegEnds_NonXtal_Prot#'!A:AL,28,FALSE)-VLOOKUP(A266,'SegEnds_NonXtal_Prot#'!A:AL,22,FALSE)</f>
        <v>58</v>
      </c>
      <c r="AH266" s="1">
        <f>VLOOKUP(A266,'SegEnds_NonXtal_Prot#'!A:AL,31,FALSE)-VLOOKUP(A266,'SegEnds_NonXtal_Prot#'!A:AL,28,FALSE)</f>
        <v>94</v>
      </c>
      <c r="AI266" s="1">
        <f>VLOOKUP(A266,'SegEnds_NonXtal_Prot#'!A:AL,34,FALSE)-VLOOKUP(A266,'SegEnds_NonXtal_Prot#'!A:AL,31,FALSE)</f>
        <v>43</v>
      </c>
      <c r="AJ266" s="1">
        <f>VLOOKUP(A266,'SegEnds_NonXtal_Prot#'!A:AL,37,FALSE)-VLOOKUP(A266,'SegEnds_NonXtal_Prot#'!A:AL,34,FALSE)</f>
        <v>10</v>
      </c>
      <c r="AK266" s="1" t="str">
        <f>IF(ISERROR(MATCH(A266,'SegEnds_Xtal_Prot#'!B:B, 0)), "NoXtal", "Xtal")</f>
        <v>NoXtal</v>
      </c>
    </row>
    <row r="267" spans="1:37" x14ac:dyDescent="0.2">
      <c r="A267" s="1" t="s">
        <v>367</v>
      </c>
      <c r="B267" s="1" t="str">
        <f>VLOOKUP(A267,Xtal_Templ!A:B,2,FALSE)</f>
        <v>ox1r_human</v>
      </c>
      <c r="C267" s="5">
        <f>VLOOKUP($B267&amp;"__wt",'SegEnds_Xtal_BW#'!$A:$Z,3,FALSE)</f>
        <v>32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8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32</v>
      </c>
      <c r="T267" s="1">
        <f t="array" ref="T267">INDEX('ICL3'!$G$2:$G$41,MATCH(MIN(ABS(AH267-'ICL3'!$F$2:$F$41)),ABS(AH267-'ICL3'!$F$2:$F$41),0))</f>
        <v>73</v>
      </c>
      <c r="U267" s="1">
        <f t="array" ref="U267">INDEX('ICL3'!$H$2:$H$41,MATCH(MIN(ABS(AH267-'ICL3'!$F$2:$F$41)),ABS(AH267-'ICL3'!$F$2:$F$41),0))</f>
        <v>22</v>
      </c>
      <c r="V267" s="1">
        <v>61</v>
      </c>
      <c r="W267" s="1">
        <v>28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22</v>
      </c>
      <c r="AD267" s="1">
        <f>VLOOKUP(A267,'SegEnds_NonXtal_Prot#'!A:AL,16,FALSE)-VLOOKUP(A267,'SegEnds_NonXtal_Prot#'!A:AL,10,FALSE)</f>
        <v>54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57</v>
      </c>
      <c r="AH267" s="1">
        <f>VLOOKUP(A267,'SegEnds_NonXtal_Prot#'!A:AL,31,FALSE)-VLOOKUP(A267,'SegEnds_NonXtal_Prot#'!A:AL,28,FALSE)</f>
        <v>55</v>
      </c>
      <c r="AI267" s="1">
        <f>VLOOKUP(A267,'SegEnds_NonXtal_Prot#'!A:AL,34,FALSE)-VLOOKUP(A267,'SegEnds_NonXtal_Prot#'!A:AL,31,FALSE)</f>
        <v>40</v>
      </c>
      <c r="AJ267" s="1">
        <f>VLOOKUP(A267,'SegEnds_NonXtal_Prot#'!A:AL,37,FALSE)-VLOOKUP(A267,'SegEnds_NonXtal_Prot#'!A:AL,34,FALSE)</f>
        <v>11</v>
      </c>
      <c r="AK267" s="1" t="str">
        <f>IF(ISERROR(MATCH(A267,'SegEnds_Xtal_Prot#'!B:B, 0)), "NoXtal", "Xtal")</f>
        <v>NoXtal</v>
      </c>
    </row>
    <row r="268" spans="1:37" x14ac:dyDescent="0.2">
      <c r="A268" s="1" t="s">
        <v>368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8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INDEX('ICL3'!$G$2:$G$41,MATCH(MIN(ABS(AH268-'ICL3'!$F$2:$F$41)),ABS(AH268-'ICL3'!$F$2:$F$41),0))</f>
        <v>73</v>
      </c>
      <c r="U268" s="1">
        <f t="array" ref="U268">INDEX('ICL3'!$H$2:$H$41,MATCH(MIN(ABS(AH268-'ICL3'!$F$2:$F$41)),ABS(AH268-'ICL3'!$F$2:$F$41),0))</f>
        <v>22</v>
      </c>
      <c r="V268" s="1">
        <v>61</v>
      </c>
      <c r="W268" s="1">
        <v>28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22</v>
      </c>
      <c r="AD268" s="1">
        <f>VLOOKUP(A268,'SegEnds_NonXtal_Prot#'!A:AL,16,FALSE)-VLOOKUP(A268,'SegEnds_NonXtal_Prot#'!A:AL,10,FALSE)</f>
        <v>54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57</v>
      </c>
      <c r="AH268" s="1">
        <f>VLOOKUP(A268,'SegEnds_NonXtal_Prot#'!A:AL,31,FALSE)-VLOOKUP(A268,'SegEnds_NonXtal_Prot#'!A:AL,28,FALSE)</f>
        <v>55</v>
      </c>
      <c r="AI268" s="1">
        <f>VLOOKUP(A268,'SegEnds_NonXtal_Prot#'!A:AL,34,FALSE)-VLOOKUP(A268,'SegEnds_NonXtal_Prot#'!A:AL,31,FALSE)</f>
        <v>40</v>
      </c>
      <c r="AJ268" s="1">
        <f>VLOOKUP(A268,'SegEnds_NonXtal_Prot#'!A:AL,37,FALSE)-VLOOKUP(A268,'SegEnds_NonXtal_Prot#'!A:AL,34,FALSE)</f>
        <v>11</v>
      </c>
      <c r="AK268" s="1" t="str">
        <f>IF(ISERROR(MATCH(A268,'SegEnds_Xtal_Prot#'!B:B, 0)), "NoXtal", "Xtal")</f>
        <v>NoXtal</v>
      </c>
    </row>
    <row r="269" spans="1:37" x14ac:dyDescent="0.2">
      <c r="A269" s="1" t="s">
        <v>232</v>
      </c>
      <c r="B269" s="1" t="str">
        <f>VLOOKUP(A269,Xtal_Templ!A:B,2,FALSE)</f>
        <v>ox1r_human</v>
      </c>
      <c r="C269" s="5">
        <f>VLOOKUP($B269&amp;"__wt",'SegEnds_Xtal_BW#'!$A:$Z,3,FALSE)</f>
        <v>32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56</v>
      </c>
      <c r="O269" s="88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INDEX('ICL3'!$G$2:$G$41,MATCH(MIN(ABS(AH269-'ICL3'!$F$2:$F$41)),ABS(AH269-'ICL3'!$F$2:$F$41),0))</f>
        <v>74</v>
      </c>
      <c r="U269" s="1">
        <f t="array" ref="U269">INDEX('ICL3'!$H$2:$H$41,MATCH(MIN(ABS(AH269-'ICL3'!$F$2:$F$41)),ABS(AH269-'ICL3'!$F$2:$F$41),0))</f>
        <v>21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22</v>
      </c>
      <c r="AD269" s="1">
        <f>VLOOKUP(A269,'SegEnds_NonXtal_Prot#'!A:AL,16,FALSE)-VLOOKUP(A269,'SegEnds_NonXtal_Prot#'!A:AL,10,FALSE)</f>
        <v>55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25</v>
      </c>
      <c r="AG269" s="1">
        <f>VLOOKUP(A269,'SegEnds_NonXtal_Prot#'!A:AL,28,FALSE)-VLOOKUP(A269,'SegEnds_NonXtal_Prot#'!A:AL,22,FALSE)</f>
        <v>50</v>
      </c>
      <c r="AH269" s="1">
        <f>VLOOKUP(A269,'SegEnds_NonXtal_Prot#'!A:AL,31,FALSE)-VLOOKUP(A269,'SegEnds_NonXtal_Prot#'!A:AL,28,FALSE)</f>
        <v>64</v>
      </c>
      <c r="AI269" s="1">
        <f>VLOOKUP(A269,'SegEnds_NonXtal_Prot#'!A:AL,34,FALSE)-VLOOKUP(A269,'SegEnds_NonXtal_Prot#'!A:AL,31,FALSE)</f>
        <v>36</v>
      </c>
      <c r="AJ269" s="1">
        <f>VLOOKUP(A269,'SegEnds_NonXtal_Prot#'!A:AL,37,FALSE)-VLOOKUP(A269,'SegEnds_NonXtal_Prot#'!A:AL,34,FALSE)</f>
        <v>10</v>
      </c>
      <c r="AK269" s="1" t="str">
        <f>IF(ISERROR(MATCH(A269,'SegEnds_Xtal_Prot#'!B:B, 0)), "NoXtal", "Xtal")</f>
        <v>NoXtal</v>
      </c>
    </row>
    <row r="270" spans="1:37" x14ac:dyDescent="0.2">
      <c r="A270" s="1" t="s">
        <v>264</v>
      </c>
      <c r="B270" s="1" t="str">
        <f>VLOOKUP(A270,Xtal_Templ!A:B,2,FALSE)</f>
        <v>drd3_human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67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58</v>
      </c>
      <c r="O270" s="88">
        <f>VLOOKUP($B270&amp;"__wt",'SegEnds_Xtal_BW#'!$A:$Z,15,FALSE)</f>
        <v>38</v>
      </c>
      <c r="P270" s="1">
        <f>VLOOKUP($B270&amp;"__wt",'SegEnds_Xtal_BW#'!$A:$Z,16,FALSE)</f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INDEX('ICL3'!$G$2:$G$41,MATCH(MIN(ABS(AH270-'ICL3'!$F$2:$F$41)),ABS(AH270-'ICL3'!$F$2:$F$41),0))</f>
        <v>76</v>
      </c>
      <c r="U270" s="1">
        <f t="array" ref="U270">INDEX('ICL3'!$H$2:$H$41,MATCH(MIN(ABS(AH270-'ICL3'!$F$2:$F$41)),ABS(AH270-'ICL3'!$F$2:$F$41),0))</f>
        <v>24</v>
      </c>
      <c r="V270" s="1">
        <v>58</v>
      </c>
      <c r="W270" s="1">
        <v>35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55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47</v>
      </c>
      <c r="AH270" s="1">
        <f>VLOOKUP(A270,'SegEnds_NonXtal_Prot#'!A:AL,31,FALSE)-VLOOKUP(A270,'SegEnds_NonXtal_Prot#'!A:AL,28,FALSE)</f>
        <v>72</v>
      </c>
      <c r="AI270" s="1">
        <f>VLOOKUP(A270,'SegEnds_NonXtal_Prot#'!A:AL,34,FALSE)-VLOOKUP(A270,'SegEnds_NonXtal_Prot#'!A:AL,31,FALSE)</f>
        <v>31</v>
      </c>
      <c r="AJ270" s="1">
        <f>VLOOKUP(A270,'SegEnds_NonXtal_Prot#'!A:AL,37,FALSE)-VLOOKUP(A270,'SegEnds_NonXtal_Prot#'!A:AL,34,FALSE)</f>
        <v>10</v>
      </c>
      <c r="AK270" s="1" t="str">
        <f>IF(ISERROR(MATCH(A270,'SegEnds_Xtal_Prot#'!B:B, 0)), "NoXtal", "Xtal")</f>
        <v>NoXtal</v>
      </c>
    </row>
    <row r="271" spans="1:37" x14ac:dyDescent="0.2">
      <c r="A271" s="1" t="s">
        <v>225</v>
      </c>
      <c r="B271" s="1" t="str">
        <f>VLOOKUP(A271,Xtal_Templ!A:B,2,FALSE)</f>
        <v>ox2r_human</v>
      </c>
      <c r="C271" s="5">
        <f>VLOOKUP($B271&amp;"__wt",'SegEnds_Xtal_BW#'!$A:$Z,3,FALSE)</f>
        <v>31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8">
        <f>VLOOKUP($B271&amp;"__wt",'SegEnds_Xtal_BW#'!$A:$Z,15,FALSE)</f>
        <v>38</v>
      </c>
      <c r="P271" s="1"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INDEX('ICL3'!$G$2:$G$41,MATCH(MIN(ABS(AH271-'ICL3'!$F$2:$F$41)),ABS(AH271-'ICL3'!$F$2:$F$41),0))</f>
        <v>76</v>
      </c>
      <c r="U271" s="1">
        <f t="array" ref="U271">INDEX('ICL3'!$H$2:$H$41,MATCH(MIN(ABS(AH271-'ICL3'!$F$2:$F$41)),ABS(AH271-'ICL3'!$F$2:$F$41),0))</f>
        <v>24</v>
      </c>
      <c r="V271" s="1">
        <v>61</v>
      </c>
      <c r="W271" s="1">
        <v>32</v>
      </c>
      <c r="X271" s="109">
        <v>55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14</v>
      </c>
      <c r="AC271" s="1">
        <f>VLOOKUP(A271,'SegEnds_NonXtal_Prot#'!A:AL,13,FALSE)-VLOOKUP(A271,'SegEnds_NonXtal_Prot#'!A:AL,10,FALSE)</f>
        <v>24</v>
      </c>
      <c r="AD271" s="1">
        <f>VLOOKUP(A271,'SegEnds_NonXtal_Prot#'!A:AL,16,FALSE)-VLOOKUP(A271,'SegEnds_NonXtal_Prot#'!A:AL,10,FALSE)</f>
        <v>56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23</v>
      </c>
      <c r="AG271" s="1">
        <f>VLOOKUP(A271,'SegEnds_NonXtal_Prot#'!A:AL,28,FALSE)-VLOOKUP(A271,'SegEnds_NonXtal_Prot#'!A:AL,22,FALSE)</f>
        <v>49</v>
      </c>
      <c r="AH271" s="1">
        <f>VLOOKUP(A271,'SegEnds_NonXtal_Prot#'!A:AL,31,FALSE)-VLOOKUP(A271,'SegEnds_NonXtal_Prot#'!A:AL,28,FALSE)</f>
        <v>76</v>
      </c>
      <c r="AI271" s="1">
        <f>VLOOKUP(A271,'SegEnds_NonXtal_Prot#'!A:AL,34,FALSE)-VLOOKUP(A271,'SegEnds_NonXtal_Prot#'!A:AL,31,FALSE)</f>
        <v>34</v>
      </c>
      <c r="AJ271" s="1">
        <f>VLOOKUP(A271,'SegEnds_NonXtal_Prot#'!A:AL,37,FALSE)-VLOOKUP(A271,'SegEnds_NonXtal_Prot#'!A:AL,34,FALSE)</f>
        <v>9</v>
      </c>
      <c r="AK271" s="1" t="str">
        <f>IF(ISERROR(MATCH(A271,'SegEnds_Xtal_Prot#'!B:B, 0)), "NoXtal", "Xtal")</f>
        <v>NoXtal</v>
      </c>
    </row>
    <row r="272" spans="1:37" x14ac:dyDescent="0.2">
      <c r="A272" s="1" t="s">
        <v>248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67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8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INDEX('ICL3'!$G$2:$G$41,MATCH(MIN(ABS(AH272-'ICL3'!$F$2:$F$41)),ABS(AH272-'ICL3'!$F$2:$F$41),0))</f>
        <v>76</v>
      </c>
      <c r="U272" s="1">
        <f t="array" ref="U272">INDEX('ICL3'!$H$2:$H$41,MATCH(MIN(ABS(AH272-'ICL3'!$F$2:$F$41)),ABS(AH272-'ICL3'!$F$2:$F$41),0))</f>
        <v>24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15</v>
      </c>
      <c r="AC272" s="1" t="e">
        <f>VLOOKUP(A272,'SegEnds_NonXtal_Prot#'!A:AL,13,FALSE)-VLOOKUP(A272,'SegEnds_NonXtal_Prot#'!A:AL,10,FALSE)</f>
        <v>#VALUE!</v>
      </c>
      <c r="AD272" s="1">
        <f>VLOOKUP(A272,'SegEnds_NonXtal_Prot#'!A:AL,16,FALSE)-VLOOKUP(A272,'SegEnds_NonXtal_Prot#'!A:AL,10,FALSE)</f>
        <v>56</v>
      </c>
      <c r="AE272" s="1">
        <f>VLOOKUP(A272,'SegEnds_NonXtal_Prot#'!A:AL,22,FALSE)-VLOOKUP(A272,'SegEnds_NonXtal_Prot#'!A:AL,19,FALSE)</f>
        <v>21</v>
      </c>
      <c r="AF272" s="1">
        <f>VLOOKUP(A272,'SegEnds_NonXtal_Prot#'!A:AL,28,FALSE)-VLOOKUP(A272,'SegEnds_NonXtal_Prot#'!A:AL,25,FALSE)</f>
        <v>18</v>
      </c>
      <c r="AG272" s="1">
        <f>VLOOKUP(A272,'SegEnds_NonXtal_Prot#'!A:AL,28,FALSE)-VLOOKUP(A272,'SegEnds_NonXtal_Prot#'!A:AL,22,FALSE)</f>
        <v>41</v>
      </c>
      <c r="AH272" s="1">
        <f>VLOOKUP(A272,'SegEnds_NonXtal_Prot#'!A:AL,31,FALSE)-VLOOKUP(A272,'SegEnds_NonXtal_Prot#'!A:AL,28,FALSE)</f>
        <v>110</v>
      </c>
      <c r="AI272" s="1">
        <f>VLOOKUP(A272,'SegEnds_NonXtal_Prot#'!A:AL,34,FALSE)-VLOOKUP(A272,'SegEnds_NonXtal_Prot#'!A:AL,31,FALSE)</f>
        <v>36</v>
      </c>
      <c r="AJ272" s="1">
        <f>VLOOKUP(A272,'SegEnds_NonXtal_Prot#'!A:AL,37,FALSE)-VLOOKUP(A272,'SegEnds_NonXtal_Prot#'!A:AL,34,FALSE)</f>
        <v>10</v>
      </c>
      <c r="AK272" s="1" t="str">
        <f>IF(ISERROR(MATCH(A272,'SegEnds_Xtal_Prot#'!B:B, 0)), "NoXtal", "Xtal")</f>
        <v>NoXtal</v>
      </c>
    </row>
    <row r="273" spans="1:37" x14ac:dyDescent="0.2">
      <c r="A273" s="1" t="s">
        <v>268</v>
      </c>
      <c r="B273" s="1" t="str">
        <f>VLOOKUP(A273,Xtal_Templ!A:B,2,FALSE)</f>
        <v>oprm_mouse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8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INDEX('ICL3'!$G$2:$G$41,MATCH(MIN(ABS(AH273-'ICL3'!$F$2:$F$41)),ABS(AH273-'ICL3'!$F$2:$F$41),0))</f>
        <v>68</v>
      </c>
      <c r="U273" s="1">
        <f t="array" ref="U273">INDEX('ICL3'!$H$2:$H$41,MATCH(MIN(ABS(AH273-'ICL3'!$F$2:$F$41)),ABS(AH273-'ICL3'!$F$2:$F$41),0))</f>
        <v>23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 t="e">
        <f>VLOOKUP(A273,'SegEnds_NonXtal_Prot#'!A:AL,10,FALSE)-VLOOKUP(A273,'SegEnds_NonXtal_Prot#'!A:AL,7,FALSE)</f>
        <v>#VALUE!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 t="e">
        <f>VLOOKUP(A273,'SegEnds_NonXtal_Prot#'!A:AL,28,FALSE)-VLOOKUP(A273,'SegEnds_NonXtal_Prot#'!A:AL,25,FALSE)</f>
        <v>#VALUE!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51</v>
      </c>
      <c r="AI273" s="1">
        <f>VLOOKUP(A273,'SegEnds_NonXtal_Prot#'!A:AL,34,FALSE)-VLOOKUP(A273,'SegEnds_NonXtal_Prot#'!A:AL,31,FALSE)</f>
        <v>42</v>
      </c>
      <c r="AJ273" s="1">
        <f>VLOOKUP(A273,'SegEnds_NonXtal_Prot#'!A:AL,37,FALSE)-VLOOKUP(A273,'SegEnds_NonXtal_Prot#'!A:AL,34,FALSE)</f>
        <v>10</v>
      </c>
      <c r="AK273" s="1" t="str">
        <f>IF(ISERROR(MATCH(A273,'SegEnds_Xtal_Prot#'!B:B, 0)), "NoXtal", "Xtal")</f>
        <v>NoXtal</v>
      </c>
    </row>
    <row r="274" spans="1:37" s="12" customFormat="1" x14ac:dyDescent="0.2">
      <c r="A274" s="1" t="s">
        <v>362</v>
      </c>
      <c r="B274" s="1" t="str">
        <f>VLOOKUP(A274,Xtal_Templ!A:B,2,FALSE)</f>
        <v>ntr1_rat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8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INDEX('ICL3'!$G$2:$G$41,MATCH(MIN(ABS(AH274-'ICL3'!$F$2:$F$41)),ABS(AH274-'ICL3'!$F$2:$F$41),0))</f>
        <v>76</v>
      </c>
      <c r="U274" s="1">
        <f t="array" ref="U274">INDEX('ICL3'!$H$2:$H$41,MATCH(MIN(ABS(AH274-'ICL3'!$F$2:$F$41)),ABS(AH274-'ICL3'!$F$2:$F$41),0))</f>
        <v>24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20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56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48</v>
      </c>
      <c r="AH274" s="1">
        <f>VLOOKUP(A274,'SegEnds_NonXtal_Prot#'!A:AL,31,FALSE)-VLOOKUP(A274,'SegEnds_NonXtal_Prot#'!A:AL,28,FALSE)</f>
        <v>70</v>
      </c>
      <c r="AI274" s="1">
        <f>VLOOKUP(A274,'SegEnds_NonXtal_Prot#'!A:AL,34,FALSE)-VLOOKUP(A274,'SegEnds_NonXtal_Prot#'!A:AL,31,FALSE)</f>
        <v>33</v>
      </c>
      <c r="AJ274" s="1">
        <f>VLOOKUP(A274,'SegEnds_NonXtal_Prot#'!A:AL,37,FALSE)-VLOOKUP(A274,'SegEnds_NonXtal_Prot#'!A:AL,34,FALSE)</f>
        <v>10</v>
      </c>
      <c r="AK274" s="1" t="str">
        <f>IF(ISERROR(MATCH(A274,'SegEnds_Xtal_Prot#'!B:B, 0)), "NoXtal", "Xtal")</f>
        <v>NoXtal</v>
      </c>
    </row>
    <row r="275" spans="1:37" s="12" customFormat="1" x14ac:dyDescent="0.2">
      <c r="A275" s="1" t="s">
        <v>363</v>
      </c>
      <c r="B275" s="1" t="str">
        <f>VLOOKUP(A275,Xtal_Templ!A:B,2,FALSE)</f>
        <v>s1pr1_human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63</v>
      </c>
      <c r="I275" s="1">
        <v>49</v>
      </c>
      <c r="J275" s="1">
        <f>VLOOKUP($B275&amp;"__wt",'SegEnds_Xtal_BW#'!$A:$Z,10,FALSE)</f>
        <v>53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8">
        <f>VLOOKUP($B275&amp;"__wt",'SegEnds_Xtal_BW#'!$A:$Z,15,FALSE)</f>
        <v>38</v>
      </c>
      <c r="P275" s="1">
        <f>VLOOKUP($B275&amp;"__wt",'SegEnds_Xtal_BW#'!$A:$Z,16,FALSE)</f>
        <v>63</v>
      </c>
      <c r="Q275" s="1" t="str">
        <f>VLOOKUP($B275&amp;"__wt",'SegEnds_Xtal_BW#'!$A:$Z,17,FALSE)</f>
        <v>-</v>
      </c>
      <c r="R275" s="1" t="str">
        <f>VLOOKUP($B275&amp;"__wt",'SegEnds_Xtal_BW#'!$A:$Z,18,FALSE)</f>
        <v>-</v>
      </c>
      <c r="S275" s="1">
        <f>VLOOKUP($B275&amp;"__wt",'SegEnds_Xtal_BW#'!$A:$Z,19,FALSE)</f>
        <v>36</v>
      </c>
      <c r="T275" s="1">
        <f t="array" ref="T275">INDEX('ICL3'!$G$2:$G$41,MATCH(MIN(ABS(AH275-'ICL3'!$F$2:$F$41)),ABS(AH275-'ICL3'!$F$2:$F$41),0))</f>
        <v>72</v>
      </c>
      <c r="U275" s="1">
        <f t="array" ref="U275">INDEX('ICL3'!$H$2:$H$41,MATCH(MIN(ABS(AH275-'ICL3'!$F$2:$F$41)),ABS(AH275-'ICL3'!$F$2:$F$41),0))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21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35</v>
      </c>
      <c r="AG275" s="1">
        <f>VLOOKUP(A275,'SegEnds_NonXtal_Prot#'!A:AL,28,FALSE)-VLOOKUP(A275,'SegEnds_NonXtal_Prot#'!A:AL,22,FALSE)</f>
        <v>61</v>
      </c>
      <c r="AH275" s="1">
        <f>VLOOKUP(A275,'SegEnds_NonXtal_Prot#'!A:AL,31,FALSE)-VLOOKUP(A275,'SegEnds_NonXtal_Prot#'!A:AL,28,FALSE)</f>
        <v>54</v>
      </c>
      <c r="AI275" s="1">
        <f>VLOOKUP(A275,'SegEnds_NonXtal_Prot#'!A:AL,34,FALSE)-VLOOKUP(A275,'SegEnds_NonXtal_Prot#'!A:AL,31,FALSE)</f>
        <v>46</v>
      </c>
      <c r="AJ275" s="1">
        <f>VLOOKUP(A275,'SegEnds_NonXtal_Prot#'!A:AL,37,FALSE)-VLOOKUP(A275,'SegEnds_NonXtal_Prot#'!A:AL,34,FALSE)</f>
        <v>10</v>
      </c>
      <c r="AK275" s="1" t="str">
        <f>IF(ISERROR(MATCH(A275,'SegEnds_Xtal_Prot#'!B:B, 0)), "NoXtal", "Xtal")</f>
        <v>NoXtal</v>
      </c>
    </row>
    <row r="276" spans="1:37" s="12" customFormat="1" x14ac:dyDescent="0.2">
      <c r="A276" s="1" t="s">
        <v>365</v>
      </c>
      <c r="B276" s="1" t="str">
        <f>VLOOKUP(A276,Xtal_Templ!A:B,2,FALSE)</f>
        <v>c5ar1_human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8">
        <f>VLOOKUP($B276&amp;"__wt",'SegEnds_Xtal_BW#'!$A:$Z,15,FALSE)</f>
        <v>38</v>
      </c>
      <c r="P276" s="1">
        <f>VLOOKUP($B276&amp;"__wt",'SegEnds_Xtal_BW#'!$A:$Z,16,FALSE)</f>
        <v>64</v>
      </c>
      <c r="Q276" s="109">
        <v>50</v>
      </c>
      <c r="R276" s="109">
        <v>52</v>
      </c>
      <c r="S276" s="1">
        <v>35</v>
      </c>
      <c r="T276" s="1">
        <f t="array" ref="T276">INDEX('ICL3'!$G$2:$G$41,MATCH(MIN(ABS(AH276-'ICL3'!$F$2:$F$41)),ABS(AH276-'ICL3'!$F$2:$F$41),0))</f>
        <v>72</v>
      </c>
      <c r="U276" s="1">
        <f t="array" ref="U276">INDEX('ICL3'!$H$2:$H$41,MATCH(MIN(ABS(AH276-'ICL3'!$F$2:$F$41)),ABS(AH276-'ICL3'!$F$2:$F$41),0))</f>
        <v>29</v>
      </c>
      <c r="V276" s="1">
        <v>61</v>
      </c>
      <c r="W276" s="1">
        <v>31</v>
      </c>
      <c r="X276" s="109">
        <v>56</v>
      </c>
      <c r="Y276" s="1">
        <f>VLOOKUP($B276&amp;"__wt",'SegEnds_Xtal_BW#'!$A:$Z,25,FALSE)</f>
        <v>47</v>
      </c>
      <c r="Z276" s="1">
        <f>VLOOKUP($B276&amp;"__wt",'SegEnds_Xtal_BW#'!$A:$Z,26,FALSE)</f>
        <v>56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19</v>
      </c>
      <c r="AC276" s="1">
        <f>VLOOKUP(A276,'SegEnds_NonXtal_Prot#'!A:AL,13,FALSE)-VLOOKUP(A276,'SegEnds_NonXtal_Prot#'!A:AL,10,FALSE)</f>
        <v>21</v>
      </c>
      <c r="AD276" s="1">
        <f>VLOOKUP(A276,'SegEnds_NonXtal_Prot#'!A:AL,16,FALSE)-VLOOKUP(A276,'SegEnds_NonXtal_Prot#'!A:AL,10,FALSE)</f>
        <v>56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28</v>
      </c>
      <c r="AG276" s="1">
        <f>VLOOKUP(A276,'SegEnds_NonXtal_Prot#'!A:AL,28,FALSE)-VLOOKUP(A276,'SegEnds_NonXtal_Prot#'!A:AL,22,FALSE)</f>
        <v>54</v>
      </c>
      <c r="AH276" s="1">
        <f>VLOOKUP(A276,'SegEnds_NonXtal_Prot#'!A:AL,31,FALSE)-VLOOKUP(A276,'SegEnds_NonXtal_Prot#'!A:AL,28,FALSE)</f>
        <v>50</v>
      </c>
      <c r="AI276" s="1">
        <f>VLOOKUP(A276,'SegEnds_NonXtal_Prot#'!A:AL,34,FALSE)-VLOOKUP(A276,'SegEnds_NonXtal_Prot#'!A:AL,31,FALSE)</f>
        <v>37</v>
      </c>
      <c r="AJ276" s="1">
        <f>VLOOKUP(A276,'SegEnds_NonXtal_Prot#'!A:AL,37,FALSE)-VLOOKUP(A276,'SegEnds_NonXtal_Prot#'!A:AL,34,FALSE)</f>
        <v>10</v>
      </c>
      <c r="AK276" s="1" t="str">
        <f>IF(ISERROR(MATCH(A276,'SegEnds_Xtal_Prot#'!B:B, 0)), "NoXtal", "Xtal")</f>
        <v>NoXtal</v>
      </c>
    </row>
    <row r="277" spans="1:37" s="12" customFormat="1" x14ac:dyDescent="0.2">
      <c r="A277" s="1" t="s">
        <v>473</v>
      </c>
      <c r="B277" s="1" t="str">
        <f>VLOOKUP(A277,Xtal_Templ!A:B,2,FALSE)</f>
        <v>5ht2c_human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8">
        <f>VLOOKUP($B277&amp;"__wt",'SegEnds_Xtal_BW#'!$A:$Z,15,FALSE)</f>
        <v>38</v>
      </c>
      <c r="P277" s="1">
        <f>VLOOKUP($B277&amp;"__wt",'SegEnds_Xtal_BW#'!$A:$Z,16,FALSE)</f>
        <v>67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35</v>
      </c>
      <c r="T277" s="1">
        <f t="array" ref="T277">INDEX('ICL3'!$G$2:$G$41,MATCH(MIN(ABS(AH277-'ICL3'!$F$2:$F$41)),ABS(AH277-'ICL3'!$F$2:$F$41),0))</f>
        <v>68</v>
      </c>
      <c r="U277" s="1">
        <f t="array" ref="U277">INDEX('ICL3'!$H$2:$H$41,MATCH(MIN(ABS(AH277-'ICL3'!$F$2:$F$41)),ABS(AH277-'ICL3'!$F$2:$F$41),0))</f>
        <v>30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21</v>
      </c>
      <c r="AD277" s="1">
        <f>VLOOKUP(A277,'SegEnds_NonXtal_Prot#'!A:AL,16,FALSE)-VLOOKUP(A277,'SegEnds_NonXtal_Prot#'!A:AL,10,FALSE)</f>
        <v>56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35</v>
      </c>
      <c r="AG277" s="1">
        <f>VLOOKUP(A277,'SegEnds_NonXtal_Prot#'!A:AL,28,FALSE)-VLOOKUP(A277,'SegEnds_NonXtal_Prot#'!A:AL,22,FALSE)</f>
        <v>61</v>
      </c>
      <c r="AH277" s="1">
        <f>VLOOKUP(A277,'SegEnds_NonXtal_Prot#'!A:AL,31,FALSE)-VLOOKUP(A277,'SegEnds_NonXtal_Prot#'!A:AL,28,FALSE)</f>
        <v>42</v>
      </c>
      <c r="AI277" s="1">
        <f>VLOOKUP(A277,'SegEnds_NonXtal_Prot#'!A:AL,34,FALSE)-VLOOKUP(A277,'SegEnds_NonXtal_Prot#'!A:AL,31,FALSE)</f>
        <v>45</v>
      </c>
      <c r="AJ277" s="1">
        <f>VLOOKUP(A277,'SegEnds_NonXtal_Prot#'!A:AL,37,FALSE)-VLOOKUP(A277,'SegEnds_NonXtal_Prot#'!A:AL,34,FALSE)</f>
        <v>10</v>
      </c>
      <c r="AK277" s="1" t="str">
        <f>IF(ISERROR(MATCH(A277,'SegEnds_Xtal_Prot#'!B:B, 0)), "NoXtal", "Xtal")</f>
        <v>NoXtal</v>
      </c>
    </row>
    <row r="278" spans="1:37" x14ac:dyDescent="0.2">
      <c r="A278" s="1" t="s">
        <v>195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9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8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28</v>
      </c>
      <c r="T278" s="1">
        <f t="array" ref="T278">INDEX('ICL3'!$G$2:$G$41,MATCH(MIN(ABS(AH278-'ICL3'!$F$2:$F$41)),ABS(AH278-'ICL3'!$F$2:$F$41),0))</f>
        <v>72</v>
      </c>
      <c r="U278" s="1">
        <f t="array" ref="U278">INDEX('ICL3'!$H$2:$H$41,MATCH(MIN(ABS(AH278-'ICL3'!$F$2:$F$41)),ABS(AH278-'ICL3'!$F$2:$F$41),0))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57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57</v>
      </c>
      <c r="AH278" s="1">
        <f>VLOOKUP(A278,'SegEnds_NonXtal_Prot#'!A:AL,31,FALSE)-VLOOKUP(A278,'SegEnds_NonXtal_Prot#'!A:AL,28,FALSE)</f>
        <v>54</v>
      </c>
      <c r="AI278" s="1">
        <f>VLOOKUP(A278,'SegEnds_NonXtal_Prot#'!A:AL,34,FALSE)-VLOOKUP(A278,'SegEnds_NonXtal_Prot#'!A:AL,31,FALSE)</f>
        <v>45</v>
      </c>
      <c r="AJ278" s="1">
        <f>VLOOKUP(A278,'SegEnds_NonXtal_Prot#'!A:AL,37,FALSE)-VLOOKUP(A278,'SegEnds_NonXtal_Prot#'!A:AL,34,FALSE)</f>
        <v>10</v>
      </c>
      <c r="AK278" s="1" t="str">
        <f>IF(ISERROR(MATCH(A278,'SegEnds_Xtal_Prot#'!B:B, 0)), "NoXtal", "Xtal")</f>
        <v>NoXtal</v>
      </c>
    </row>
    <row r="279" spans="1:37" x14ac:dyDescent="0.2">
      <c r="A279" s="1" t="s">
        <v>228</v>
      </c>
      <c r="B279" s="1" t="str">
        <f>VLOOKUP(A279,Xtal_Templ!A:B,2,FALSE)</f>
        <v>drd2_human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8">
        <f>VLOOKUP($B279&amp;"__wt",'SegEnds_Xtal_BW#'!$A:$Z,15,FALSE)</f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INDEX('ICL3'!$G$2:$G$41,MATCH(MIN(ABS(AH279-'ICL3'!$F$2:$F$41)),ABS(AH279-'ICL3'!$F$2:$F$41),0))</f>
        <v>74</v>
      </c>
      <c r="U279" s="1">
        <f t="array" ref="U279">INDEX('ICL3'!$H$2:$H$41,MATCH(MIN(ABS(AH279-'ICL3'!$F$2:$F$41)),ABS(AH279-'ICL3'!$F$2:$F$41),0))</f>
        <v>24</v>
      </c>
      <c r="V279" s="1">
        <v>61</v>
      </c>
      <c r="W279" s="1">
        <v>32</v>
      </c>
      <c r="X279" s="109">
        <v>55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14</v>
      </c>
      <c r="AC279" s="1">
        <f>VLOOKUP(A279,'SegEnds_NonXtal_Prot#'!A:AL,13,FALSE)-VLOOKUP(A279,'SegEnds_NonXtal_Prot#'!A:AL,10,FALSE)</f>
        <v>25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23</v>
      </c>
      <c r="AG279" s="1">
        <f>VLOOKUP(A279,'SegEnds_NonXtal_Prot#'!A:AL,28,FALSE)-VLOOKUP(A279,'SegEnds_NonXtal_Prot#'!A:AL,22,FALSE)</f>
        <v>49</v>
      </c>
      <c r="AH279" s="1">
        <f>VLOOKUP(A279,'SegEnds_NonXtal_Prot#'!A:AL,31,FALSE)-VLOOKUP(A279,'SegEnds_NonXtal_Prot#'!A:AL,28,FALSE)</f>
        <v>96</v>
      </c>
      <c r="AI279" s="1">
        <f>VLOOKUP(A279,'SegEnds_NonXtal_Prot#'!A:AL,34,FALSE)-VLOOKUP(A279,'SegEnds_NonXtal_Prot#'!A:AL,31,FALSE)</f>
        <v>34</v>
      </c>
      <c r="AJ279" s="1">
        <f>VLOOKUP(A279,'SegEnds_NonXtal_Prot#'!A:AL,37,FALSE)-VLOOKUP(A279,'SegEnds_NonXtal_Prot#'!A:AL,34,FALSE)</f>
        <v>9</v>
      </c>
      <c r="AK279" s="1" t="str">
        <f>IF(ISERROR(MATCH(A279,'SegEnds_Xtal_Prot#'!B:B, 0)), "NoXtal", "Xtal")</f>
        <v>NoXtal</v>
      </c>
    </row>
    <row r="280" spans="1:37" x14ac:dyDescent="0.2">
      <c r="A280" s="1" t="s">
        <v>297</v>
      </c>
      <c r="B280" s="1" t="str">
        <f>VLOOKUP(A280,Xtal_Templ!A:B,2,FALSE)</f>
        <v>s1pr1_human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8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09">
        <v>33</v>
      </c>
      <c r="T280" s="1">
        <f t="array" ref="T280">INDEX('ICL3'!$G$2:$G$41,MATCH(MIN(ABS(AH280-'ICL3'!$F$2:$F$41)),ABS(AH280-'ICL3'!$F$2:$F$41),0))</f>
        <v>67</v>
      </c>
      <c r="U280" s="109">
        <v>27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57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39</v>
      </c>
      <c r="AJ280" s="1">
        <f>VLOOKUP(A280,'SegEnds_NonXtal_Prot#'!A:AL,37,FALSE)-VLOOKUP(A280,'SegEnds_NonXtal_Prot#'!A:AL,34,FALSE)</f>
        <v>10</v>
      </c>
      <c r="AK280" s="1" t="str">
        <f>IF(ISERROR(MATCH(A280,'SegEnds_Xtal_Prot#'!B:B, 0)), "NoXtal", "Xtal")</f>
        <v>NoXtal</v>
      </c>
    </row>
    <row r="281" spans="1:37" x14ac:dyDescent="0.2">
      <c r="A281" s="1" t="s">
        <v>366</v>
      </c>
      <c r="B281" s="1" t="str">
        <f>VLOOKUP(A281,Xtal_Templ!A:B,2,FALSE)</f>
        <v>c5ar1_human</v>
      </c>
      <c r="C281" s="5">
        <f>VLOOKUP($B281&amp;"__wt",'SegEnds_Xtal_BW#'!$A:$Z,3,FALSE)</f>
        <v>29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8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INDEX('ICL3'!$G$2:$G$41,MATCH(MIN(ABS(AH281-'ICL3'!$F$2:$F$41)),ABS(AH281-'ICL3'!$F$2:$F$41),0))</f>
        <v>72</v>
      </c>
      <c r="U281" s="1">
        <f t="array" ref="U281">INDEX('ICL3'!$H$2:$H$41,MATCH(MIN(ABS(AH281-'ICL3'!$F$2:$F$41)),ABS(AH281-'ICL3'!$F$2:$F$41),0))</f>
        <v>24</v>
      </c>
      <c r="V281" s="1">
        <v>61</v>
      </c>
      <c r="W281" s="1">
        <v>31</v>
      </c>
      <c r="X281" s="109">
        <v>56</v>
      </c>
      <c r="Y281" s="1">
        <f>VLOOKUP($B281&amp;"__wt",'SegEnds_Xtal_BW#'!$A:$Z,25,FALSE)</f>
        <v>47</v>
      </c>
      <c r="Z281" s="1">
        <f>VLOOKUP($B281&amp;"__wt",'SegEnds_Xtal_BW#'!$A:$Z,26,FALSE)</f>
        <v>56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57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53</v>
      </c>
      <c r="AH281" s="1">
        <f>VLOOKUP(A281,'SegEnds_NonXtal_Prot#'!A:AL,31,FALSE)-VLOOKUP(A281,'SegEnds_NonXtal_Prot#'!A:AL,28,FALSE)</f>
        <v>57</v>
      </c>
      <c r="AI281" s="1">
        <f>VLOOKUP(A281,'SegEnds_NonXtal_Prot#'!A:AL,34,FALSE)-VLOOKUP(A281,'SegEnds_NonXtal_Prot#'!A:AL,31,FALSE)</f>
        <v>35</v>
      </c>
      <c r="AJ281" s="1">
        <f>VLOOKUP(A281,'SegEnds_NonXtal_Prot#'!A:AL,37,FALSE)-VLOOKUP(A281,'SegEnds_NonXtal_Prot#'!A:AL,34,FALSE)</f>
        <v>10</v>
      </c>
      <c r="AK281" s="1" t="str">
        <f>IF(ISERROR(MATCH(A281,'SegEnds_Xtal_Prot#'!B:B, 0)), "NoXtal", "Xtal")</f>
        <v>NoXtal</v>
      </c>
    </row>
    <row r="282" spans="1:37" x14ac:dyDescent="0.2">
      <c r="A282" s="1" t="s">
        <v>151</v>
      </c>
      <c r="B282" s="1" t="str">
        <f>VLOOKUP(A282,Xtal_Templ!A:B,2,FALSE)</f>
        <v>s1pr1_human</v>
      </c>
      <c r="C282" s="5">
        <f>VLOOKUP($B282&amp;"__wt",'SegEnds_Xtal_BW#'!$A:$Z,3,FALSE)</f>
        <v>29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67</v>
      </c>
      <c r="I282" s="1" t="s">
        <v>23</v>
      </c>
      <c r="J282" s="1" t="s">
        <v>23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8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09">
        <v>33</v>
      </c>
      <c r="T282" s="1">
        <f t="array" ref="T282">INDEX('ICL3'!$G$2:$G$41,MATCH(MIN(ABS(AH282-'ICL3'!$F$2:$F$41)),ABS(AH282-'ICL3'!$F$2:$F$41),0))</f>
        <v>66</v>
      </c>
      <c r="U282" s="1">
        <f t="array" ref="U282">INDEX('ICL3'!$H$2:$H$41,MATCH(MIN(ABS(AH282-'ICL3'!$F$2:$F$41)),ABS(AH282-'ICL3'!$F$2:$F$41),0))</f>
        <v>30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39</v>
      </c>
      <c r="AI282" s="1">
        <f>VLOOKUP(A282,'SegEnds_NonXtal_Prot#'!A:AL,34,FALSE)-VLOOKUP(A282,'SegEnds_NonXtal_Prot#'!A:AL,31,FALSE)</f>
        <v>39</v>
      </c>
      <c r="AJ282" s="1">
        <f>VLOOKUP(A282,'SegEnds_NonXtal_Prot#'!A:AL,37,FALSE)-VLOOKUP(A282,'SegEnds_NonXtal_Prot#'!A:AL,34,FALSE)</f>
        <v>10</v>
      </c>
      <c r="AK282" s="1" t="str">
        <f>IF(ISERROR(MATCH(A282,'SegEnds_Xtal_Prot#'!B:B, 0)), "NoXtal", "Xtal")</f>
        <v>NoXtal</v>
      </c>
    </row>
    <row r="283" spans="1:37" x14ac:dyDescent="0.2">
      <c r="A283" s="1" t="s">
        <v>296</v>
      </c>
      <c r="B283" s="1" t="str">
        <f>VLOOKUP(A283,Xtal_Templ!A:B,2,FALSE)</f>
        <v>lpar1_human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">
        <v>23</v>
      </c>
      <c r="J283" s="1" t="s">
        <v>23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8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09">
        <v>33</v>
      </c>
      <c r="T283" s="1">
        <f t="array" ref="T283">INDEX('ICL3'!$G$2:$G$41,MATCH(MIN(ABS(AH283-'ICL3'!$F$2:$F$41)),ABS(AH283-'ICL3'!$F$2:$F$41),0))</f>
        <v>68</v>
      </c>
      <c r="U283" s="109">
        <v>27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58</v>
      </c>
      <c r="AE283" s="1">
        <f>VLOOKUP(A283,'SegEnds_NonXtal_Prot#'!A:AL,22,FALSE)-VLOOKUP(A283,'SegEnds_NonXtal_Prot#'!A:AL,19,FALSE)</f>
        <v>20</v>
      </c>
      <c r="AF283" s="1" t="e">
        <f>VLOOKUP(A283,'SegEnds_NonXtal_Prot#'!A:AL,28,FALSE)-VLOOKUP(A283,'SegEnds_NonXtal_Prot#'!A:AL,25,FALSE)</f>
        <v>#VALUE!</v>
      </c>
      <c r="AG283" s="1">
        <f>VLOOKUP(A283,'SegEnds_NonXtal_Prot#'!A:AL,28,FALSE)-VLOOKUP(A283,'SegEnds_NonXtal_Prot#'!A:AL,22,FALSE)</f>
        <v>40</v>
      </c>
      <c r="AH283" s="1">
        <f>VLOOKUP(A283,'SegEnds_NonXtal_Prot#'!A:AL,31,FALSE)-VLOOKUP(A283,'SegEnds_NonXtal_Prot#'!A:AL,28,FALSE)</f>
        <v>48</v>
      </c>
      <c r="AI283" s="1">
        <f>VLOOKUP(A283,'SegEnds_NonXtal_Prot#'!A:AL,34,FALSE)-VLOOKUP(A283,'SegEnds_NonXtal_Prot#'!A:AL,31,FALSE)</f>
        <v>39</v>
      </c>
      <c r="AJ283" s="1">
        <f>VLOOKUP(A283,'SegEnds_NonXtal_Prot#'!A:AL,37,FALSE)-VLOOKUP(A283,'SegEnds_NonXtal_Prot#'!A:AL,34,FALSE)</f>
        <v>10</v>
      </c>
      <c r="AK283" s="1" t="str">
        <f>IF(ISERROR(MATCH(A283,'SegEnds_Xtal_Prot#'!B:B, 0)), "NoXtal", "Xtal")</f>
        <v>NoXtal</v>
      </c>
    </row>
    <row r="284" spans="1:37" x14ac:dyDescent="0.2">
      <c r="A284" s="1" t="s">
        <v>298</v>
      </c>
      <c r="B284" s="1" t="str">
        <f>VLOOKUP(A284,Xtal_Templ!A:B,2,FALSE)</f>
        <v>lpar1_human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63</v>
      </c>
      <c r="I284" s="1">
        <v>49</v>
      </c>
      <c r="J284" s="1">
        <f>VLOOKUP($B284&amp;"__wt",'SegEnds_Xtal_BW#'!$A:$Z,10,FALSE)</f>
        <v>53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8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09">
        <v>33</v>
      </c>
      <c r="T284" s="1">
        <f t="array" ref="T284">INDEX('ICL3'!$G$2:$G$41,MATCH(MIN(ABS(AH284-'ICL3'!$F$2:$F$41)),ABS(AH284-'ICL3'!$F$2:$F$41),0))</f>
        <v>67</v>
      </c>
      <c r="U284" s="109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58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40</v>
      </c>
      <c r="AH284" s="1">
        <f>VLOOKUP(A284,'SegEnds_NonXtal_Prot#'!A:AL,31,FALSE)-VLOOKUP(A284,'SegEnds_NonXtal_Prot#'!A:AL,28,FALSE)</f>
        <v>46</v>
      </c>
      <c r="AI284" s="1">
        <f>VLOOKUP(A284,'SegEnds_NonXtal_Prot#'!A:AL,34,FALSE)-VLOOKUP(A284,'SegEnds_NonXtal_Prot#'!A:AL,31,FALSE)</f>
        <v>39</v>
      </c>
      <c r="AJ284" s="1">
        <f>VLOOKUP(A284,'SegEnds_NonXtal_Prot#'!A:AL,37,FALSE)-VLOOKUP(A284,'SegEnds_NonXtal_Prot#'!A:AL,34,FALSE)</f>
        <v>10</v>
      </c>
      <c r="AK284" s="1" t="str">
        <f>IF(ISERROR(MATCH(A284,'SegEnds_Xtal_Prot#'!B:B, 0)), "NoXtal", "Xtal")</f>
        <v>NoXtal</v>
      </c>
    </row>
    <row r="285" spans="1:37" x14ac:dyDescent="0.2">
      <c r="A285" s="1" t="s">
        <v>309</v>
      </c>
      <c r="B285" s="1" t="str">
        <f>VLOOKUP(A285,Xtal_Templ!A:B,2,FALSE)</f>
        <v>s1pr1_human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">
        <v>23</v>
      </c>
      <c r="J285" s="1" t="s">
        <v>23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8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09">
        <v>33</v>
      </c>
      <c r="T285" s="1">
        <f t="array" ref="T285">INDEX('ICL3'!$G$2:$G$41,MATCH(MIN(ABS(AH285-'ICL3'!$F$2:$F$41)),ABS(AH285-'ICL3'!$F$2:$F$41),0))</f>
        <v>67</v>
      </c>
      <c r="U285" s="109">
        <v>27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58</v>
      </c>
      <c r="AE285" s="1">
        <f>VLOOKUP(A285,'SegEnds_NonXtal_Prot#'!A:AL,22,FALSE)-VLOOKUP(A285,'SegEnds_NonXtal_Prot#'!A:AL,19,FALSE)</f>
        <v>20</v>
      </c>
      <c r="AF285" s="1" t="e">
        <f>VLOOKUP(A285,'SegEnds_NonXtal_Prot#'!A:AL,28,FALSE)-VLOOKUP(A285,'SegEnds_NonXtal_Prot#'!A:AL,25,FALSE)</f>
        <v>#VALUE!</v>
      </c>
      <c r="AG285" s="1">
        <f>VLOOKUP(A285,'SegEnds_NonXtal_Prot#'!A:AL,28,FALSE)-VLOOKUP(A285,'SegEnds_NonXtal_Prot#'!A:AL,22,FALSE)</f>
        <v>40</v>
      </c>
      <c r="AH285" s="1">
        <f>VLOOKUP(A285,'SegEnds_NonXtal_Prot#'!A:AL,31,FALSE)-VLOOKUP(A285,'SegEnds_NonXtal_Prot#'!A:AL,28,FALSE)</f>
        <v>47</v>
      </c>
      <c r="AI285" s="1">
        <f>VLOOKUP(A285,'SegEnds_NonXtal_Prot#'!A:AL,34,FALSE)-VLOOKUP(A285,'SegEnds_NonXtal_Prot#'!A:AL,31,FALSE)</f>
        <v>39</v>
      </c>
      <c r="AJ285" s="1">
        <f>VLOOKUP(A285,'SegEnds_NonXtal_Prot#'!A:AL,37,FALSE)-VLOOKUP(A285,'SegEnds_NonXtal_Prot#'!A:AL,34,FALSE)</f>
        <v>10</v>
      </c>
      <c r="AK285" s="1" t="str">
        <f>IF(ISERROR(MATCH(A285,'SegEnds_Xtal_Prot#'!B:B, 0)), "NoXtal", "Xtal")</f>
        <v>NoXtal</v>
      </c>
    </row>
    <row r="286" spans="1:37" x14ac:dyDescent="0.2">
      <c r="A286" s="1" t="s">
        <v>359</v>
      </c>
      <c r="B286" s="1" t="str">
        <f>VLOOKUP(A286,Xtal_Templ!A:B,2,FALSE)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8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INDEX('ICL3'!$G$2:$G$41,MATCH(MIN(ABS(AH286-'ICL3'!$F$2:$F$41)),ABS(AH286-'ICL3'!$F$2:$F$41),0))</f>
        <v>76</v>
      </c>
      <c r="U286" s="1">
        <f t="array" ref="U286">INDEX('ICL3'!$H$2:$H$41,MATCH(MIN(ABS(AH286-'ICL3'!$F$2:$F$41)),ABS(AH286-'ICL3'!$F$2:$F$41),0))</f>
        <v>24</v>
      </c>
      <c r="V286" s="1">
        <v>61</v>
      </c>
      <c r="W286" s="1">
        <v>28</v>
      </c>
      <c r="X286" s="130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58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29</v>
      </c>
      <c r="AG286" s="1">
        <f>VLOOKUP(A286,'SegEnds_NonXtal_Prot#'!A:AL,28,FALSE)-VLOOKUP(A286,'SegEnds_NonXtal_Prot#'!A:AL,22,FALSE)</f>
        <v>55</v>
      </c>
      <c r="AH286" s="1">
        <f>VLOOKUP(A286,'SegEnds_NonXtal_Prot#'!A:AL,31,FALSE)-VLOOKUP(A286,'SegEnds_NonXtal_Prot#'!A:AL,28,FALSE)</f>
        <v>68</v>
      </c>
      <c r="AI286" s="1">
        <f>VLOOKUP(A286,'SegEnds_NonXtal_Prot#'!A:AL,34,FALSE)-VLOOKUP(A286,'SegEnds_NonXtal_Prot#'!A:AL,31,FALSE)</f>
        <v>40</v>
      </c>
      <c r="AJ286" s="1">
        <f>VLOOKUP(A286,'SegEnds_NonXtal_Prot#'!A:AL,37,FALSE)-VLOOKUP(A286,'SegEnds_NonXtal_Prot#'!A:AL,34,FALSE)</f>
        <v>10</v>
      </c>
      <c r="AK286" s="1" t="str">
        <f>IF(ISERROR(MATCH(A286,'SegEnds_Xtal_Prot#'!B:B, 0)), "NoXtal", "Xtal")</f>
        <v>NoXtal</v>
      </c>
    </row>
    <row r="287" spans="1:37" x14ac:dyDescent="0.2">
      <c r="A287" s="1" t="s">
        <v>204</v>
      </c>
      <c r="B287" s="1" t="str">
        <f>VLOOKUP(A287,Xtal_Templ!A:B,2,FALSE)</f>
        <v>aa2ar_human</v>
      </c>
      <c r="C287" s="5">
        <f>VLOOKUP($B287&amp;"__wt",'SegEnds_Xtal_BW#'!$A:$Z,3,FALSE)</f>
        <v>27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8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INDEX('ICL3'!$G$2:$G$41,MATCH(MIN(ABS(AH287-'ICL3'!$F$2:$F$41)),ABS(AH287-'ICL3'!$F$2:$F$41),0))</f>
        <v>67</v>
      </c>
      <c r="U287" s="1">
        <f t="array" ref="U287">INDEX('ICL3'!$H$2:$H$41,MATCH(MIN(ABS(AH287-'ICL3'!$F$2:$F$41)),ABS(AH287-'ICL3'!$F$2:$F$41),0))</f>
        <v>26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14</v>
      </c>
      <c r="AC287" s="1">
        <f>VLOOKUP(A287,'SegEnds_NonXtal_Prot#'!A:AL,13,FALSE)-VLOOKUP(A287,'SegEnds_NonXtal_Prot#'!A:AL,10,FALSE)</f>
        <v>28</v>
      </c>
      <c r="AD287" s="1">
        <f>VLOOKUP(A287,'SegEnds_NonXtal_Prot#'!A:AL,16,FALSE)-VLOOKUP(A287,'SegEnds_NonXtal_Prot#'!A:AL,10,FALSE)</f>
        <v>59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24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36</v>
      </c>
      <c r="AJ287" s="1">
        <f>VLOOKUP(A287,'SegEnds_NonXtal_Prot#'!A:AL,37,FALSE)-VLOOKUP(A287,'SegEnds_NonXtal_Prot#'!A:AL,34,FALSE)</f>
        <v>10</v>
      </c>
      <c r="AK287" s="1" t="str">
        <f>IF(ISERROR(MATCH(A287,'SegEnds_Xtal_Prot#'!B:B, 0)), "NoXtal", "Xtal")</f>
        <v>NoXtal</v>
      </c>
    </row>
    <row r="288" spans="1:37" x14ac:dyDescent="0.2">
      <c r="A288" s="1" t="s">
        <v>283</v>
      </c>
      <c r="B288" s="1" t="str">
        <f>VLOOKUP(A288,Xtal_Templ!A:B,2,FALSE)</f>
        <v>agtr1_human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8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INDEX('ICL3'!$G$2:$G$41,MATCH(MIN(ABS(AH288-'ICL3'!$F$2:$F$41)),ABS(AH288-'ICL3'!$F$2:$F$41),0))</f>
        <v>67</v>
      </c>
      <c r="U288" s="1">
        <f t="array" ref="U288">INDEX('ICL3'!$H$2:$H$41,MATCH(MIN(ABS(AH288-'ICL3'!$F$2:$F$41)),ABS(AH288-'ICL3'!$F$2:$F$41),0))</f>
        <v>28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 t="e">
        <f>VLOOKUP(A288,'SegEnds_NonXtal_Prot#'!A:AL,10,FALSE)-VLOOKUP(A288,'SegEnds_NonXtal_Prot#'!A:AL,7,FALSE)</f>
        <v>#VALUE!</v>
      </c>
      <c r="AC288" s="1" t="e">
        <f>VLOOKUP(A288,'SegEnds_NonXtal_Prot#'!A:AL,13,FALSE)-VLOOKUP(A288,'SegEnds_NonXtal_Prot#'!A:AL,10,FALSE)</f>
        <v>#VALUE!</v>
      </c>
      <c r="AD288" s="1">
        <f>VLOOKUP(A288,'SegEnds_NonXtal_Prot#'!A:AL,16,FALSE)-VLOOKUP(A288,'SegEnds_NonXtal_Prot#'!A:AL,10,FALSE)</f>
        <v>59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24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45</v>
      </c>
      <c r="AI288" s="1">
        <f>VLOOKUP(A288,'SegEnds_NonXtal_Prot#'!A:AL,34,FALSE)-VLOOKUP(A288,'SegEnds_NonXtal_Prot#'!A:AL,31,FALSE)</f>
        <v>36</v>
      </c>
      <c r="AJ288" s="1">
        <f>VLOOKUP(A288,'SegEnds_NonXtal_Prot#'!A:AL,37,FALSE)-VLOOKUP(A288,'SegEnds_NonXtal_Prot#'!A:AL,34,FALSE)</f>
        <v>10</v>
      </c>
      <c r="AK288" s="1" t="str">
        <f>IF(ISERROR(MATCH(A288,'SegEnds_Xtal_Prot#'!B:B, 0)), "NoXtal", "Xtal")</f>
        <v>NoXtal</v>
      </c>
    </row>
    <row r="289" spans="1:37" x14ac:dyDescent="0.2">
      <c r="A289" s="1" t="s">
        <v>284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8">
        <f>VLOOKUP($B289&amp;"__wt",'SegEnds_Xtal_BW#'!$A:$Z,15,FALSE)</f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INDEX('ICL3'!$G$2:$G$41,MATCH(MIN(ABS(AH289-'ICL3'!$F$2:$F$41)),ABS(AH289-'ICL3'!$F$2:$F$41),0))</f>
        <v>67</v>
      </c>
      <c r="U289" s="1">
        <f t="array" ref="U289">INDEX('ICL3'!$H$2:$H$41,MATCH(MIN(ABS(AH289-'ICL3'!$F$2:$F$41)),ABS(AH289-'ICL3'!$F$2:$F$41),0))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59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24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45</v>
      </c>
      <c r="AI289" s="1">
        <f>VLOOKUP(A289,'SegEnds_NonXtal_Prot#'!A:AL,34,FALSE)-VLOOKUP(A289,'SegEnds_NonXtal_Prot#'!A:AL,31,FALSE)</f>
        <v>36</v>
      </c>
      <c r="AJ289" s="1">
        <f>VLOOKUP(A289,'SegEnds_NonXtal_Prot#'!A:AL,37,FALSE)-VLOOKUP(A289,'SegEnds_NonXtal_Prot#'!A:AL,34,FALSE)</f>
        <v>10</v>
      </c>
      <c r="AK289" s="1" t="str">
        <f>IF(ISERROR(MATCH(A289,'SegEnds_Xtal_Prot#'!B:B, 0)), "NoXtal", "Xtal")</f>
        <v>NoXtal</v>
      </c>
    </row>
    <row r="290" spans="1:37" x14ac:dyDescent="0.2">
      <c r="A290" s="1" t="s">
        <v>285</v>
      </c>
      <c r="B290" s="1" t="str">
        <f>VLOOKUP(A290,Xtal_Templ!A:B,2,FALSE)</f>
        <v>adrb2_human</v>
      </c>
      <c r="C290" s="5">
        <f>VLOOKUP($B290&amp;"__wt",'SegEnds_Xtal_BW#'!$A:$Z,3,FALSE)</f>
        <v>25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8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INDEX('ICL3'!$G$2:$G$41,MATCH(MIN(ABS(AH290-'ICL3'!$F$2:$F$41)),ABS(AH290-'ICL3'!$F$2:$F$41),0))</f>
        <v>67</v>
      </c>
      <c r="U290" s="1">
        <f t="array" ref="U290">INDEX('ICL3'!$H$2:$H$41,MATCH(MIN(ABS(AH290-'ICL3'!$F$2:$F$41)),ABS(AH290-'ICL3'!$F$2:$F$41),0))</f>
        <v>28</v>
      </c>
      <c r="V290" s="1">
        <v>61</v>
      </c>
      <c r="W290" s="1">
        <v>31</v>
      </c>
      <c r="X290" s="109"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59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49</v>
      </c>
      <c r="AH290" s="1">
        <f>VLOOKUP(A290,'SegEnds_NonXtal_Prot#'!A:AL,31,FALSE)-VLOOKUP(A290,'SegEnds_NonXtal_Prot#'!A:AL,28,FALSE)</f>
        <v>45</v>
      </c>
      <c r="AI290" s="1">
        <f>VLOOKUP(A290,'SegEnds_NonXtal_Prot#'!A:AL,34,FALSE)-VLOOKUP(A290,'SegEnds_NonXtal_Prot#'!A:AL,31,FALSE)</f>
        <v>36</v>
      </c>
      <c r="AJ290" s="1">
        <f>VLOOKUP(A290,'SegEnds_NonXtal_Prot#'!A:AL,37,FALSE)-VLOOKUP(A290,'SegEnds_NonXtal_Prot#'!A:AL,34,FALSE)</f>
        <v>10</v>
      </c>
      <c r="AK290" s="1" t="str">
        <f>IF(ISERROR(MATCH(A290,'SegEnds_Xtal_Prot#'!B:B, 0)), "NoXtal", "Xtal")</f>
        <v>NoXtal</v>
      </c>
    </row>
    <row r="291" spans="1:37" x14ac:dyDescent="0.2">
      <c r="A291" s="1" t="s">
        <v>291</v>
      </c>
      <c r="B291" s="1" t="str">
        <f>VLOOKUP(A291,Xtal_Templ!A:B,2,FALSE)</f>
        <v>hrh1_human</v>
      </c>
      <c r="C291" s="5">
        <f>VLOOKUP($B291&amp;"__wt",'SegEnds_Xtal_BW#'!$A:$Z,3,FALSE)</f>
        <v>34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67</v>
      </c>
      <c r="I291" s="1"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8">
        <f>VLOOKUP($B291&amp;"__wt",'SegEnds_Xtal_BW#'!$A:$Z,15,FALSE)</f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35</v>
      </c>
      <c r="T291" s="1">
        <f t="array" ref="T291">INDEX('ICL3'!$G$2:$G$41,MATCH(MIN(ABS(AH291-'ICL3'!$F$2:$F$41)),ABS(AH291-'ICL3'!$F$2:$F$41),0))</f>
        <v>67</v>
      </c>
      <c r="U291" s="1">
        <f t="array" ref="U291">INDEX('ICL3'!$H$2:$H$41,MATCH(MIN(ABS(AH291-'ICL3'!$F$2:$F$41)),ABS(AH291-'ICL3'!$F$2:$F$41),0))</f>
        <v>26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VLOOKUP(A291,'SegEnds_NonXtal_Prot#'!A:AL,10,FALSE)-VLOOKUP(A291,'SegEnds_NonXtal_Prot#'!A:AL,7,FALSE)</f>
        <v>14</v>
      </c>
      <c r="AC291" s="1">
        <f>VLOOKUP(A291,'SegEnds_NonXtal_Prot#'!A:AL,13,FALSE)-VLOOKUP(A291,'SegEnds_NonXtal_Prot#'!A:AL,10,FALSE)</f>
        <v>28</v>
      </c>
      <c r="AD291" s="1">
        <f>VLOOKUP(A291,'SegEnds_NonXtal_Prot#'!A:AL,16,FALSE)-VLOOKUP(A291,'SegEnds_NonXtal_Prot#'!A:AL,10,FALSE)</f>
        <v>59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24</v>
      </c>
      <c r="AG291" s="1">
        <f>VLOOKUP(A291,'SegEnds_NonXtal_Prot#'!A:AL,28,FALSE)-VLOOKUP(A291,'SegEnds_NonXtal_Prot#'!A:AL,22,FALSE)</f>
        <v>47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36</v>
      </c>
      <c r="AJ291" s="1">
        <f>VLOOKUP(A291,'SegEnds_NonXtal_Prot#'!A:AL,37,FALSE)-VLOOKUP(A291,'SegEnds_NonXtal_Prot#'!A:AL,34,FALSE)</f>
        <v>10</v>
      </c>
      <c r="AK291" s="1" t="str">
        <f>IF(ISERROR(MATCH(A291,'SegEnds_Xtal_Prot#'!B:B, 0)), "NoXtal", "Xtal")</f>
        <v>NoXtal</v>
      </c>
    </row>
    <row r="292" spans="1:37" x14ac:dyDescent="0.2">
      <c r="A292" s="1" t="s">
        <v>375</v>
      </c>
      <c r="B292" s="1" t="str">
        <f>VLOOKUP(A292,Xtal_Templ!A:B,2,FALSE)</f>
        <v>aa1r_human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50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09">
        <v>56</v>
      </c>
      <c r="O292" s="88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INDEX('ICL3'!$G$2:$G$41,MATCH(MIN(ABS(AH292-'ICL3'!$F$2:$F$41)),ABS(AH292-'ICL3'!$F$2:$F$41),0))</f>
        <v>72</v>
      </c>
      <c r="U292" s="1">
        <f t="array" ref="U292">INDEX('ICL3'!$H$2:$H$41,MATCH(MIN(ABS(AH292-'ICL3'!$F$2:$F$41)),ABS(AH292-'ICL3'!$F$2:$F$41),0))</f>
        <v>24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 t="e">
        <f>VLOOKUP(A292,'SegEnds_NonXtal_Prot#'!A:AL,13,FALSE)-VLOOKUP(A292,'SegEnds_NonXtal_Prot#'!A:AL,10,FALSE)</f>
        <v>#VALUE!</v>
      </c>
      <c r="AD292" s="1">
        <f>VLOOKUP(A292,'SegEnds_NonXtal_Prot#'!A:AL,16,FALSE)-VLOOKUP(A292,'SegEnds_NonXtal_Prot#'!A:AL,10,FALSE)</f>
        <v>59</v>
      </c>
      <c r="AE292" s="1">
        <f>VLOOKUP(A292,'SegEnds_NonXtal_Prot#'!A:AL,22,FALSE)-VLOOKUP(A292,'SegEnds_NonXtal_Prot#'!A:AL,19,FALSE)</f>
        <v>19</v>
      </c>
      <c r="AF292" s="1">
        <f>VLOOKUP(A292,'SegEnds_NonXtal_Prot#'!A:AL,28,FALSE)-VLOOKUP(A292,'SegEnds_NonXtal_Prot#'!A:AL,25,FALSE)</f>
        <v>28</v>
      </c>
      <c r="AG292" s="1">
        <f>VLOOKUP(A292,'SegEnds_NonXtal_Prot#'!A:AL,28,FALSE)-VLOOKUP(A292,'SegEnds_NonXtal_Prot#'!A:AL,22,FALSE)</f>
        <v>55</v>
      </c>
      <c r="AH292" s="1">
        <f>VLOOKUP(A292,'SegEnds_NonXtal_Prot#'!A:AL,31,FALSE)-VLOOKUP(A292,'SegEnds_NonXtal_Prot#'!A:AL,28,FALSE)</f>
        <v>52</v>
      </c>
      <c r="AI292" s="1">
        <f>VLOOKUP(A292,'SegEnds_NonXtal_Prot#'!A:AL,34,FALSE)-VLOOKUP(A292,'SegEnds_NonXtal_Prot#'!A:AL,31,FALSE)</f>
        <v>35</v>
      </c>
      <c r="AJ292" s="1">
        <f>VLOOKUP(A292,'SegEnds_NonXtal_Prot#'!A:AL,37,FALSE)-VLOOKUP(A292,'SegEnds_NonXtal_Prot#'!A:AL,34,FALSE)</f>
        <v>10</v>
      </c>
      <c r="AK292" s="1" t="str">
        <f>IF(ISERROR(MATCH(A292,'SegEnds_Xtal_Prot#'!B:B, 0)), "NoXtal", "Xtal")</f>
        <v>NoXtal</v>
      </c>
    </row>
    <row r="293" spans="1:37" x14ac:dyDescent="0.2">
      <c r="A293" s="1" t="s">
        <v>376</v>
      </c>
      <c r="B293" s="1" t="str">
        <f>VLOOKUP(A293,Xtal_Templ!A:B,2,FALSE)</f>
        <v>aa1r_human</v>
      </c>
      <c r="C293" s="5">
        <f>VLOOKUP($B293&amp;"__wt",'SegEnds_Xtal_BW#'!$A:$Z,3,FALSE)</f>
        <v>29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50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09">
        <v>56</v>
      </c>
      <c r="O293" s="88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v>35</v>
      </c>
      <c r="T293" s="1">
        <f t="array" ref="T293">INDEX('ICL3'!$G$2:$G$41,MATCH(MIN(ABS(AH293-'ICL3'!$F$2:$F$41)),ABS(AH293-'ICL3'!$F$2:$F$41),0))</f>
        <v>72</v>
      </c>
      <c r="U293" s="1">
        <f t="array" ref="U293">INDEX('ICL3'!$H$2:$H$41,MATCH(MIN(ABS(AH293-'ICL3'!$F$2:$F$41)),ABS(AH293-'ICL3'!$F$2:$F$41),0))</f>
        <v>24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24</v>
      </c>
      <c r="AD293" s="1">
        <f>VLOOKUP(A293,'SegEnds_NonXtal_Prot#'!A:AL,16,FALSE)-VLOOKUP(A293,'SegEnds_NonXtal_Prot#'!A:AL,10,FALSE)</f>
        <v>59</v>
      </c>
      <c r="AE293" s="1">
        <f>VLOOKUP(A293,'SegEnds_NonXtal_Prot#'!A:AL,22,FALSE)-VLOOKUP(A293,'SegEnds_NonXtal_Prot#'!A:AL,19,FALSE)</f>
        <v>19</v>
      </c>
      <c r="AF293" s="1">
        <f>VLOOKUP(A293,'SegEnds_NonXtal_Prot#'!A:AL,28,FALSE)-VLOOKUP(A293,'SegEnds_NonXtal_Prot#'!A:AL,25,FALSE)</f>
        <v>28</v>
      </c>
      <c r="AG293" s="1">
        <f>VLOOKUP(A293,'SegEnds_NonXtal_Prot#'!A:AL,28,FALSE)-VLOOKUP(A293,'SegEnds_NonXtal_Prot#'!A:AL,22,FALSE)</f>
        <v>55</v>
      </c>
      <c r="AH293" s="1">
        <f>VLOOKUP(A293,'SegEnds_NonXtal_Prot#'!A:AL,31,FALSE)-VLOOKUP(A293,'SegEnds_NonXtal_Prot#'!A:AL,28,FALSE)</f>
        <v>52</v>
      </c>
      <c r="AI293" s="1">
        <f>VLOOKUP(A293,'SegEnds_NonXtal_Prot#'!A:AL,34,FALSE)-VLOOKUP(A293,'SegEnds_NonXtal_Prot#'!A:AL,31,FALSE)</f>
        <v>35</v>
      </c>
      <c r="AJ293" s="1">
        <f>VLOOKUP(A293,'SegEnds_NonXtal_Prot#'!A:AL,37,FALSE)-VLOOKUP(A293,'SegEnds_NonXtal_Prot#'!A:AL,34,FALSE)</f>
        <v>10</v>
      </c>
      <c r="AK293" s="1" t="str">
        <f>IF(ISERROR(MATCH(A293,'SegEnds_Xtal_Prot#'!B:B, 0)), "NoXtal", "Xtal")</f>
        <v>NoXtal</v>
      </c>
    </row>
    <row r="294" spans="1:37" x14ac:dyDescent="0.2">
      <c r="A294" s="1" t="s">
        <v>395</v>
      </c>
      <c r="B294" s="1" t="str">
        <f>VLOOKUP(A294,Xtal_Templ!A:B,2,FALSE)</f>
        <v>aa2ar_human</v>
      </c>
      <c r="C294" s="5">
        <f>VLOOKUP($B294&amp;"__wt",'SegEnds_Xtal_BW#'!$A:$Z,3,FALSE)</f>
        <v>27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8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INDEX('ICL3'!$G$2:$G$41,MATCH(MIN(ABS(AH294-'ICL3'!$F$2:$F$41)),ABS(AH294-'ICL3'!$F$2:$F$41),0))</f>
        <v>67</v>
      </c>
      <c r="U294" s="1">
        <f t="array" ref="U294">INDEX('ICL3'!$H$2:$H$41,MATCH(MIN(ABS(AH294-'ICL3'!$F$2:$F$41)),ABS(AH294-'ICL3'!$F$2:$F$41),0))</f>
        <v>26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14</v>
      </c>
      <c r="AC294" s="1">
        <f>VLOOKUP(A294,'SegEnds_NonXtal_Prot#'!A:AL,13,FALSE)-VLOOKUP(A294,'SegEnds_NonXtal_Prot#'!A:AL,10,FALSE)</f>
        <v>28</v>
      </c>
      <c r="AD294" s="1">
        <f>VLOOKUP(A294,'SegEnds_NonXtal_Prot#'!A:AL,16,FALSE)-VLOOKUP(A294,'SegEnds_NonXtal_Prot#'!A:AL,10,FALSE)</f>
        <v>59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24</v>
      </c>
      <c r="AG294" s="1">
        <f>VLOOKUP(A294,'SegEnds_NonXtal_Prot#'!A:AL,28,FALSE)-VLOOKUP(A294,'SegEnds_NonXtal_Prot#'!A:AL,22,FALSE)</f>
        <v>47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36</v>
      </c>
      <c r="AJ294" s="1">
        <f>VLOOKUP(A294,'SegEnds_NonXtal_Prot#'!A:AL,37,FALSE)-VLOOKUP(A294,'SegEnds_NonXtal_Prot#'!A:AL,34,FALSE)</f>
        <v>10</v>
      </c>
      <c r="AK294" s="1" t="str">
        <f>IF(ISERROR(MATCH(A294,'SegEnds_Xtal_Prot#'!B:B, 0)), "NoXtal", "Xtal")</f>
        <v>NoXtal</v>
      </c>
    </row>
    <row r="295" spans="1:37" x14ac:dyDescent="0.2">
      <c r="A295" s="1" t="s">
        <v>215</v>
      </c>
      <c r="B295" s="1" t="str">
        <f>VLOOKUP(A295,Xtal_Templ!A:B,2,FALSE)</f>
        <v>ox1r_human</v>
      </c>
      <c r="C295" s="5">
        <f>VLOOKUP($B295&amp;"__wt",'SegEnds_Xtal_BW#'!$A:$Z,3,FALSE)</f>
        <v>32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56</v>
      </c>
      <c r="O295" s="88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INDEX('ICL3'!$G$2:$G$41,MATCH(MIN(ABS(AH295-'ICL3'!$F$2:$F$41)),ABS(AH295-'ICL3'!$F$2:$F$41),0))</f>
        <v>72</v>
      </c>
      <c r="U295" s="1">
        <f t="array" ref="U295">INDEX('ICL3'!$H$2:$H$41,MATCH(MIN(ABS(AH295-'ICL3'!$F$2:$F$41)),ABS(AH295-'ICL3'!$F$2:$F$41),0))</f>
        <v>24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60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55</v>
      </c>
      <c r="AH295" s="1">
        <f>VLOOKUP(A295,'SegEnds_NonXtal_Prot#'!A:AL,31,FALSE)-VLOOKUP(A295,'SegEnds_NonXtal_Prot#'!A:AL,28,FALSE)</f>
        <v>57</v>
      </c>
      <c r="AI295" s="1">
        <f>VLOOKUP(A295,'SegEnds_NonXtal_Prot#'!A:AL,34,FALSE)-VLOOKUP(A295,'SegEnds_NonXtal_Prot#'!A:AL,31,FALSE)</f>
        <v>38</v>
      </c>
      <c r="AJ295" s="1">
        <f>VLOOKUP(A295,'SegEnds_NonXtal_Prot#'!A:AL,37,FALSE)-VLOOKUP(A295,'SegEnds_NonXtal_Prot#'!A:AL,34,FALSE)</f>
        <v>10</v>
      </c>
      <c r="AK295" s="1" t="str">
        <f>IF(ISERROR(MATCH(A295,'SegEnds_Xtal_Prot#'!B:B, 0)), "NoXtal", "Xtal")</f>
        <v>NoXtal</v>
      </c>
    </row>
    <row r="296" spans="1:37" x14ac:dyDescent="0.2">
      <c r="A296" s="1" t="s">
        <v>273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8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INDEX('ICL3'!$G$2:$G$41,MATCH(MIN(ABS(AH296-'ICL3'!$F$2:$F$41)),ABS(AH296-'ICL3'!$F$2:$F$41),0))</f>
        <v>74</v>
      </c>
      <c r="U296" s="1">
        <f t="array" ref="U296">INDEX('ICL3'!$H$2:$H$41,MATCH(MIN(ABS(AH296-'ICL3'!$F$2:$F$41)),ABS(AH296-'ICL3'!$F$2:$F$41),0))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58</v>
      </c>
      <c r="AA296" s="27" t="str">
        <f>VLOOKUP(A296,Classification!A:B,2,FALSE)</f>
        <v>A</v>
      </c>
      <c r="AB296" s="1">
        <f>VLOOKUP(A296,'SegEnds_NonXtal_Prot#'!A:AL,10,FALSE)-VLOOKUP(A296,'SegEnds_NonXtal_Prot#'!A:AL,7,FALSE)</f>
        <v>15</v>
      </c>
      <c r="AC296" s="1" t="e">
        <f>VLOOKUP(A296,'SegEnds_NonXtal_Prot#'!A:AL,13,FALSE)-VLOOKUP(A296,'SegEnds_NonXtal_Prot#'!A:AL,10,FALSE)</f>
        <v>#VALUE!</v>
      </c>
      <c r="AD296" s="1">
        <f>VLOOKUP(A296,'SegEnds_NonXtal_Prot#'!A:AL,16,FALSE)-VLOOKUP(A296,'SegEnds_NonXtal_Prot#'!A:AL,10,FALSE)</f>
        <v>61</v>
      </c>
      <c r="AE296" s="1">
        <f>VLOOKUP(A296,'SegEnds_NonXtal_Prot#'!A:AL,22,FALSE)-VLOOKUP(A296,'SegEnds_NonXtal_Prot#'!A:AL,19,FALSE)</f>
        <v>20</v>
      </c>
      <c r="AF296" s="1" t="e">
        <f>VLOOKUP(A296,'SegEnds_NonXtal_Prot#'!A:AL,28,FALSE)-VLOOKUP(A296,'SegEnds_NonXtal_Prot#'!A:AL,25,FALSE)</f>
        <v>#VALUE!</v>
      </c>
      <c r="AG296" s="1">
        <f>VLOOKUP(A296,'SegEnds_NonXtal_Prot#'!A:AL,28,FALSE)-VLOOKUP(A296,'SegEnds_NonXtal_Prot#'!A:AL,22,FALSE)</f>
        <v>72</v>
      </c>
      <c r="AH296" s="1">
        <f>VLOOKUP(A296,'SegEnds_NonXtal_Prot#'!A:AL,31,FALSE)-VLOOKUP(A296,'SegEnds_NonXtal_Prot#'!A:AL,28,FALSE)</f>
        <v>61</v>
      </c>
      <c r="AI296" s="1">
        <f>VLOOKUP(A296,'SegEnds_NonXtal_Prot#'!A:AL,34,FALSE)-VLOOKUP(A296,'SegEnds_NonXtal_Prot#'!A:AL,31,FALSE)</f>
        <v>34</v>
      </c>
      <c r="AJ296" s="1">
        <f>VLOOKUP(A296,'SegEnds_NonXtal_Prot#'!A:AL,37,FALSE)-VLOOKUP(A296,'SegEnds_NonXtal_Prot#'!A:AL,34,FALSE)</f>
        <v>10</v>
      </c>
      <c r="AK296" s="1" t="str">
        <f>IF(ISERROR(MATCH(A296,'SegEnds_Xtal_Prot#'!B:B, 0)), "NoXtal", "Xtal")</f>
        <v>NoXtal</v>
      </c>
    </row>
    <row r="297" spans="1:37" x14ac:dyDescent="0.2">
      <c r="A297" s="1" t="s">
        <v>221</v>
      </c>
      <c r="B297" s="1" t="str">
        <f>VLOOKUP(A297,Xtal_Templ!A:B,2,FALSE)</f>
        <v>s1pr1_human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v>67</v>
      </c>
      <c r="I297" s="1">
        <f>VLOOKUP($B297&amp;"__wt",'SegEnds_Xtal_BW#'!$A:$Z,9,FALSE)</f>
        <v>47</v>
      </c>
      <c r="J297" s="1">
        <f>VLOOKUP($B297&amp;"__wt",'SegEnds_Xtal_BW#'!$A:$Z,10,FALSE)</f>
        <v>53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 t="s">
        <v>23</v>
      </c>
      <c r="O297" s="88">
        <f>VLOOKUP($B297&amp;"__wt",'SegEnds_Xtal_BW#'!$A:$Z,15,FALSE)</f>
        <v>38</v>
      </c>
      <c r="P297" s="1">
        <f>VLOOKUP($B297&amp;"__wt",'SegEnds_Xtal_BW#'!$A:$Z,16,FALSE)</f>
        <v>63</v>
      </c>
      <c r="Q297" s="1" t="str">
        <f>VLOOKUP($B297&amp;"__wt",'SegEnds_Xtal_BW#'!$A:$Z,17,FALSE)</f>
        <v>-</v>
      </c>
      <c r="R297" s="1" t="str">
        <f>VLOOKUP($B297&amp;"__wt",'SegEnds_Xtal_BW#'!$A:$Z,18,FALSE)</f>
        <v>-</v>
      </c>
      <c r="S297" s="1">
        <f>VLOOKUP($B297&amp;"__wt",'SegEnds_Xtal_BW#'!$A:$Z,19,FALSE)</f>
        <v>36</v>
      </c>
      <c r="T297" s="1">
        <f t="array" ref="T297">INDEX('ICL3'!$G$2:$G$41,MATCH(MIN(ABS(AH297-'ICL3'!$F$2:$F$41)),ABS(AH297-'ICL3'!$F$2:$F$41),0))</f>
        <v>76</v>
      </c>
      <c r="U297" s="1">
        <f t="array" ref="U297">INDEX('ICL3'!$H$2:$H$41,MATCH(MIN(ABS(AH297-'ICL3'!$F$2:$F$41)),ABS(AH297-'ICL3'!$F$2:$F$41),0))</f>
        <v>24</v>
      </c>
      <c r="V297" s="1">
        <v>61</v>
      </c>
      <c r="W297" s="1">
        <v>32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 t="e">
        <f>VLOOKUP(A297,'SegEnds_NonXtal_Prot#'!A:AL,10,FALSE)-VLOOKUP(A297,'SegEnds_NonXtal_Prot#'!A:AL,7,FALSE)</f>
        <v>#VALUE!</v>
      </c>
      <c r="AC297" s="1">
        <f>VLOOKUP(A297,'SegEnds_NonXtal_Prot#'!A:AL,13,FALSE)-VLOOKUP(A297,'SegEnds_NonXtal_Prot#'!A:AL,10,FALSE)</f>
        <v>26</v>
      </c>
      <c r="AD297" s="1">
        <f>VLOOKUP(A297,'SegEnds_NonXtal_Prot#'!A:AL,16,FALSE)-VLOOKUP(A297,'SegEnds_NonXtal_Prot#'!A:AL,10,FALSE)</f>
        <v>69</v>
      </c>
      <c r="AE297" s="1" t="e">
        <f>VLOOKUP(A297,'SegEnds_NonXtal_Prot#'!A:AL,22,FALSE)-VLOOKUP(A297,'SegEnds_NonXtal_Prot#'!A:AL,19,FALSE)</f>
        <v>#VALUE!</v>
      </c>
      <c r="AF297" s="1" t="e">
        <f>VLOOKUP(A297,'SegEnds_NonXtal_Prot#'!A:AL,28,FALSE)-VLOOKUP(A297,'SegEnds_NonXtal_Prot#'!A:AL,25,FALSE)</f>
        <v>#VALUE!</v>
      </c>
      <c r="AG297" s="1">
        <f>VLOOKUP(A297,'SegEnds_NonXtal_Prot#'!A:AL,28,FALSE)-VLOOKUP(A297,'SegEnds_NonXtal_Prot#'!A:AL,22,FALSE)</f>
        <v>53</v>
      </c>
      <c r="AH297" s="1">
        <f>VLOOKUP(A297,'SegEnds_NonXtal_Prot#'!A:AL,31,FALSE)-VLOOKUP(A297,'SegEnds_NonXtal_Prot#'!A:AL,28,FALSE)</f>
        <v>114</v>
      </c>
      <c r="AI297" s="1">
        <f>VLOOKUP(A297,'SegEnds_NonXtal_Prot#'!A:AL,34,FALSE)-VLOOKUP(A297,'SegEnds_NonXtal_Prot#'!A:AL,31,FALSE)</f>
        <v>34</v>
      </c>
      <c r="AJ297" s="1">
        <f>VLOOKUP(A297,'SegEnds_NonXtal_Prot#'!A:AL,37,FALSE)-VLOOKUP(A297,'SegEnds_NonXtal_Prot#'!A:AL,34,FALSE)</f>
        <v>10</v>
      </c>
      <c r="AK297" s="1" t="str">
        <f>IF(ISERROR(MATCH(A297,'SegEnds_Xtal_Prot#'!B:B, 0)), "NoXtal", "Xtal")</f>
        <v>NoXtal</v>
      </c>
    </row>
    <row r="298" spans="1:37" s="42" customFormat="1" x14ac:dyDescent="0.2">
      <c r="A298" s="42" t="s">
        <v>403</v>
      </c>
      <c r="B298" s="42" t="str">
        <f>VLOOKUP(A298,Xtal_Templ!A:B,2,FALSE)</f>
        <v>crfr1_human</v>
      </c>
      <c r="C298" s="43">
        <f>VLOOKUP($B298&amp;"__wt",'SegEnds_Xtal_BW#'!$A:$Z,3,FALSE)</f>
        <v>19</v>
      </c>
      <c r="D298" s="42">
        <f>VLOOKUP($B298&amp;"__wt",'SegEnds_Xtal_BW#'!$A:$Z,4,FALSE)</f>
        <v>60</v>
      </c>
      <c r="E298" s="42">
        <f>VLOOKUP($B298&amp;"__wt",'SegEnds_Xtal_BW#'!$A:$Z,5,FALSE)</f>
        <v>48</v>
      </c>
      <c r="F298" s="42">
        <f>VLOOKUP($B298&amp;"__wt",'SegEnds_Xtal_BW#'!$A:$Z,6,FALSE)</f>
        <v>51</v>
      </c>
      <c r="G298" s="42">
        <v>37</v>
      </c>
      <c r="H298" s="102">
        <v>63</v>
      </c>
      <c r="I298" s="42" t="str">
        <f>VLOOKUP($B298&amp;"__wt",'SegEnds_Xtal_BW#'!$A:$Z,9,FALSE)</f>
        <v>-</v>
      </c>
      <c r="J298" s="42" t="str">
        <f>VLOOKUP($B298&amp;"__wt",'SegEnds_Xtal_BW#'!$A:$Z,10,FALSE)</f>
        <v>-</v>
      </c>
      <c r="K298" s="117">
        <v>22</v>
      </c>
      <c r="L298" s="42">
        <f>VLOOKUP($B298&amp;"__wt",'SegEnds_Xtal_BW#'!$A:$Z,12,FALSE)</f>
        <v>56</v>
      </c>
      <c r="M298" s="42" t="str">
        <f>VLOOKUP($B298&amp;"__wt",'SegEnds_Xtal_BW#'!$A:$Z,13,FALSE)</f>
        <v>-</v>
      </c>
      <c r="N298" s="102" t="str">
        <f>VLOOKUP($B298&amp;"__wt",'SegEnds_Xtal_BW#'!$A:$Z,14,FALSE)</f>
        <v>-</v>
      </c>
      <c r="O298" s="90">
        <f>VLOOKUP($B298&amp;"__wt",'SegEnds_Xtal_BW#'!$A:$Z,15,FALSE)</f>
        <v>40</v>
      </c>
      <c r="P298" s="42">
        <f>VLOOKUP($B298&amp;"__wt",'SegEnds_Xtal_BW#'!$A:$Z,16,FALSE)</f>
        <v>68</v>
      </c>
      <c r="Q298" s="42">
        <f>VLOOKUP($B298&amp;"__wt",'SegEnds_Xtal_BW#'!$A:$Z,17,FALSE)</f>
        <v>50</v>
      </c>
      <c r="R298" s="42">
        <f>VLOOKUP($B298&amp;"__wt",'SegEnds_Xtal_BW#'!$A:$Z,18,FALSE)</f>
        <v>52</v>
      </c>
      <c r="S298" s="117">
        <v>39</v>
      </c>
      <c r="T298" s="42">
        <f>VLOOKUP($B298&amp;"__wt",'SegEnds_Xtal_BW#'!$A:$Z,20,FALSE)</f>
        <v>69</v>
      </c>
      <c r="U298" s="42">
        <f>VLOOKUP($B298&amp;"__wt",'SegEnds_Xtal_BW#'!$A:$Z,21,FALSE)</f>
        <v>25</v>
      </c>
      <c r="V298" s="4">
        <f>VLOOKUP($B298&amp;"__wt",'SegEnds_Xtal_BW#'!$A:$Z,22,FALSE)</f>
        <v>53</v>
      </c>
      <c r="W298" s="42">
        <v>29</v>
      </c>
      <c r="X298" s="42">
        <f>VLOOKUP($B298&amp;"__wt",'SegEnds_Xtal_BW#'!$A:$Z,24,FALSE)</f>
        <v>56</v>
      </c>
      <c r="Y298" s="42">
        <f>VLOOKUP($B298&amp;"__wt",'SegEnds_Xtal_BW#'!$A:$Z,25,FALSE)</f>
        <v>47</v>
      </c>
      <c r="Z298" s="42">
        <f>VLOOKUP($B298&amp;"__wt",'SegEnds_Xtal_BW#'!$A:$Z,26,FALSE)</f>
        <v>72</v>
      </c>
      <c r="AA298" s="44" t="str">
        <f>VLOOKUP(A298,Classification!A:B,2,FALSE)</f>
        <v>B1</v>
      </c>
      <c r="AB298" s="42">
        <f>VLOOKUP(A298,'SegEnds_NonXtal_Prot#'!A:AL,10,FALSE)-VLOOKUP(A298,'SegEnds_NonXtal_Prot#'!A:AL,7,FALSE)</f>
        <v>15</v>
      </c>
      <c r="AC298" s="42" t="e">
        <f>VLOOKUP(A298,'SegEnds_NonXtal_Prot#'!A:AL,13,FALSE)-VLOOKUP(A298,'SegEnds_NonXtal_Prot#'!A:AL,10,FALSE)</f>
        <v>#VALUE!</v>
      </c>
      <c r="AD298" s="42">
        <f>VLOOKUP(A298,'SegEnds_NonXtal_Prot#'!A:AL,16,FALSE)-VLOOKUP(A298,'SegEnds_NonXtal_Prot#'!A:AL,10,FALSE)</f>
        <v>50</v>
      </c>
      <c r="AE298" s="4" t="e">
        <f>VLOOKUP(A298,'SegEnds_NonXtal_Prot#'!A:AL,22,FALSE)-VLOOKUP(A298,'SegEnds_NonXtal_Prot#'!A:AL,19,FALSE)</f>
        <v>#VALUE!</v>
      </c>
      <c r="AF298" s="42">
        <f>VLOOKUP(A298,'SegEnds_NonXtal_Prot#'!A:AL,28,FALSE)-VLOOKUP(A298,'SegEnds_NonXtal_Prot#'!A:AL,25,FALSE)</f>
        <v>21</v>
      </c>
      <c r="AG298" s="4">
        <f>VLOOKUP(A298,'SegEnds_NonXtal_Prot#'!A:AL,28,FALSE)-VLOOKUP(A298,'SegEnds_NonXtal_Prot#'!A:AL,22,FALSE)</f>
        <v>43</v>
      </c>
      <c r="AH298" s="42">
        <f>VLOOKUP(A298,'SegEnds_NonXtal_Prot#'!A:AL,31,FALSE)-VLOOKUP(A298,'SegEnds_NonXtal_Prot#'!A:AL,28,FALSE)</f>
        <v>50</v>
      </c>
      <c r="AI298" s="42">
        <f>VLOOKUP(A298,'SegEnds_NonXtal_Prot#'!A:AL,34,FALSE)-VLOOKUP(A298,'SegEnds_NonXtal_Prot#'!A:AL,31,FALSE)</f>
        <v>31</v>
      </c>
      <c r="AJ298" s="1">
        <f>VLOOKUP(A298,'SegEnds_NonXtal_Prot#'!A:AL,37,FALSE)-VLOOKUP(A298,'SegEnds_NonXtal_Prot#'!A:AL,34,FALSE)</f>
        <v>10</v>
      </c>
      <c r="AK298" s="4" t="str">
        <f>IF(ISERROR(MATCH(A298,'SegEnds_Xtal_Prot#'!B:B, 0)), "NoXtal", "Xtal")</f>
        <v>NoXtal</v>
      </c>
    </row>
    <row r="299" spans="1:37" x14ac:dyDescent="0.2">
      <c r="A299" s="4" t="s">
        <v>38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6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89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09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51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>
        <f>VLOOKUP(A299,'SegEnds_NonXtal_Prot#'!A:AL,37,FALSE)-VLOOKUP(A299,'SegEnds_NonXtal_Prot#'!A:AL,34,FALSE)</f>
        <v>10</v>
      </c>
      <c r="AK299" s="1" t="str">
        <f>IF(ISERROR(MATCH(A299,'SegEnds_Xtal_Prot#'!B:B, 0)), "NoXtal", "Xtal")</f>
        <v>Xtal</v>
      </c>
    </row>
    <row r="300" spans="1:37" x14ac:dyDescent="0.2">
      <c r="A300" s="4" t="s">
        <v>401</v>
      </c>
      <c r="B300" s="4" t="str">
        <f>VLOOKUP(A300,Xtal_Templ!A:B,2,FALSE)</f>
        <v>calcr_human</v>
      </c>
      <c r="C300" s="5">
        <f>VLOOKUP($B300&amp;"__wt",'SegEnds_Xtal_BW#'!$A:$Z,3,FALSE)</f>
        <v>19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6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6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9">
        <f>VLOOKUP($B300&amp;"__wt",'SegEnds_Xtal_BW#'!$A:$Z,15,FALSE)</f>
        <v>41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6">
        <v>40</v>
      </c>
      <c r="T300" s="4">
        <f>VLOOKUP($B300&amp;"__wt",'SegEnds_Xtal_BW#'!$A:$Z,20,FALSE)</f>
        <v>70</v>
      </c>
      <c r="U300" s="4">
        <f>VLOOKUP($B300&amp;"__wt",'SegEnds_Xtal_BW#'!$A:$Z,21,FALSE)</f>
        <v>30</v>
      </c>
      <c r="V300" s="4">
        <f>VLOOKUP($B300&amp;"__wt",'SegEnds_Xtal_BW#'!$A:$Z,22,FALSE)</f>
        <v>53</v>
      </c>
      <c r="W300" s="116">
        <v>28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53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19</v>
      </c>
      <c r="AG300" s="1">
        <f>VLOOKUP(A300,'SegEnds_NonXtal_Prot#'!A:AL,28,FALSE)-VLOOKUP(A300,'SegEnds_NonXtal_Prot#'!A:AL,22,FALSE)</f>
        <v>41</v>
      </c>
      <c r="AH300" s="4">
        <f>VLOOKUP(A300,'SegEnds_NonXtal_Prot#'!A:AL,31,FALSE)-VLOOKUP(A300,'SegEnds_NonXtal_Prot#'!A:AL,28,FALSE)</f>
        <v>50</v>
      </c>
      <c r="AI300" s="4">
        <f>VLOOKUP(A300,'SegEnds_NonXtal_Prot#'!A:AL,34,FALSE)-VLOOKUP(A300,'SegEnds_NonXtal_Prot#'!A:AL,31,FALSE)</f>
        <v>30</v>
      </c>
      <c r="AJ300" s="1">
        <f>VLOOKUP(A300,'SegEnds_NonXtal_Prot#'!A:AL,37,FALSE)-VLOOKUP(A300,'SegEnds_NonXtal_Prot#'!A:AL,34,FALSE)</f>
        <v>10</v>
      </c>
      <c r="AK300" s="1" t="str">
        <f>IF(ISERROR(MATCH(A300,'SegEnds_Xtal_Prot#'!B:B, 0)), "NoXtal", "Xtal")</f>
        <v>Xtal</v>
      </c>
    </row>
    <row r="301" spans="1:37" x14ac:dyDescent="0.2">
      <c r="A301" s="1" t="s">
        <v>402</v>
      </c>
      <c r="B301" s="1" t="str">
        <f>VLOOKUP(A301,Xtal_Templ!A:B,2,FALSE)</f>
        <v>calcr_human</v>
      </c>
      <c r="C301" s="5">
        <f>VLOOKUP($B301&amp;"__wt",'SegEnds_Xtal_BW#'!$A:$Z,3,FALSE)</f>
        <v>19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6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9">
        <v>21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8">
        <f>VLOOKUP($B301&amp;"__wt",'SegEnds_Xtal_BW#'!$A:$Z,15,FALSE)</f>
        <v>41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9">
        <v>39</v>
      </c>
      <c r="T301" s="1">
        <f>VLOOKUP($B301&amp;"__wt",'SegEnds_Xtal_BW#'!$A:$Z,20,FALSE)</f>
        <v>70</v>
      </c>
      <c r="U301" s="1">
        <f>VLOOKUP($B301&amp;"__wt",'SegEnds_Xtal_BW#'!$A:$Z,21,FALSE)</f>
        <v>30</v>
      </c>
      <c r="V301" s="1">
        <f>VLOOKUP($B301&amp;"__wt",'SegEnds_Xtal_BW#'!$A:$Z,22,FALSE)</f>
        <v>53</v>
      </c>
      <c r="W301" s="109">
        <v>28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VLOOKUP(A301,'SegEnds_NonXtal_Prot#'!A:AL,10,FALSE)-VLOOKUP(A301,'SegEnds_NonXtal_Prot#'!A:AL,7,FALSE)</f>
        <v>15</v>
      </c>
      <c r="AC301" s="1" t="e">
        <f>VLOOKUP(A301,'SegEnds_NonXtal_Prot#'!A:AL,13,FALSE)-VLOOKUP(A301,'SegEnds_NonXtal_Prot#'!A:AL,10,FALSE)</f>
        <v>#VALUE!</v>
      </c>
      <c r="AD301" s="1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1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1">
        <f>VLOOKUP(A301,'SegEnds_NonXtal_Prot#'!A:AL,31,FALSE)-VLOOKUP(A301,'SegEnds_NonXtal_Prot#'!A:AL,28,FALSE)</f>
        <v>50</v>
      </c>
      <c r="AI301" s="1">
        <f>VLOOKUP(A301,'SegEnds_NonXtal_Prot#'!A:AL,34,FALSE)-VLOOKUP(A301,'SegEnds_NonXtal_Prot#'!A:AL,31,FALSE)</f>
        <v>30</v>
      </c>
      <c r="AJ301" s="1">
        <f>VLOOKUP(A301,'SegEnds_NonXtal_Prot#'!A:AL,37,FALSE)-VLOOKUP(A301,'SegEnds_NonXtal_Prot#'!A:AL,34,FALSE)</f>
        <v>10</v>
      </c>
      <c r="AK301" s="1" t="str">
        <f>IF(ISERROR(MATCH(A301,'SegEnds_Xtal_Prot#'!B:B, 0)), "NoXtal", "Xtal")</f>
        <v>NoXtal</v>
      </c>
    </row>
    <row r="302" spans="1:37" x14ac:dyDescent="0.2">
      <c r="A302" s="4" t="s">
        <v>404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6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6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9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9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>
        <f>VLOOKUP(A302,'SegEnds_NonXtal_Prot#'!A:AL,37,FALSE)-VLOOKUP(A302,'SegEnds_NonXtal_Prot#'!A:AL,34,FALSE)</f>
        <v>10</v>
      </c>
      <c r="AK302" s="1" t="str">
        <f>IF(ISERROR(MATCH(A302,'SegEnds_Xtal_Prot#'!B:B, 0)), "NoXtal", "Xtal")</f>
        <v>NoXtal</v>
      </c>
    </row>
    <row r="303" spans="1:37" x14ac:dyDescent="0.2">
      <c r="A303" s="1" t="s">
        <v>408</v>
      </c>
      <c r="B303" s="1" t="str">
        <f>VLOOKUP(A303,Xtal_Templ!A:B,2,FALSE)</f>
        <v>glr_human</v>
      </c>
      <c r="C303" s="5">
        <f>VLOOKUP($B303&amp;"__wt",'SegEnds_Xtal_BW#'!$A:$Z,3,FALSE)</f>
        <v>25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16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09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8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09">
        <v>39</v>
      </c>
      <c r="T303" s="1">
        <v>69</v>
      </c>
      <c r="U303" s="1">
        <v>25</v>
      </c>
      <c r="V303" s="1">
        <f>VLOOKUP($B303&amp;"__wt",'SegEnds_Xtal_BW#'!$A:$Z,22,FALSE)</f>
        <v>53</v>
      </c>
      <c r="W303" s="1">
        <v>31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52</v>
      </c>
      <c r="AI303" s="1">
        <f>VLOOKUP(A303,'SegEnds_NonXtal_Prot#'!A:AL,34,FALSE)-VLOOKUP(A303,'SegEnds_NonXtal_Prot#'!A:AL,31,FALSE)</f>
        <v>29</v>
      </c>
      <c r="AJ303" s="1">
        <f>VLOOKUP(A303,'SegEnds_NonXtal_Prot#'!A:AL,37,FALSE)-VLOOKUP(A303,'SegEnds_NonXtal_Prot#'!A:AL,34,FALSE)</f>
        <v>10</v>
      </c>
      <c r="AK303" s="1" t="str">
        <f>IF(ISERROR(MATCH(A303,'SegEnds_Xtal_Prot#'!B:B, 0)), "NoXtal", "Xtal")</f>
        <v>NoXtal</v>
      </c>
    </row>
    <row r="304" spans="1:37" x14ac:dyDescent="0.2">
      <c r="A304" s="4" t="s">
        <v>411</v>
      </c>
      <c r="B304" s="4" t="str">
        <f>VLOOKUP(A304,Xtal_Templ!A:B,2,FALSE)</f>
        <v>glp1r_human</v>
      </c>
      <c r="C304" s="5">
        <f>VLOOKUP($B304&amp;"__wt",'SegEnds_Xtal_BW#'!$A:$Z,3,FALSE)</f>
        <v>29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6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6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9">
        <f>VLOOKUP($B304&amp;"__wt",'SegEnds_Xtal_BW#'!$A:$Z,15,FALSE)</f>
        <v>38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6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28</v>
      </c>
      <c r="AJ304" s="1">
        <f>VLOOKUP(A304,'SegEnds_NonXtal_Prot#'!A:AL,37,FALSE)-VLOOKUP(A304,'SegEnds_NonXtal_Prot#'!A:AL,34,FALSE)</f>
        <v>10</v>
      </c>
      <c r="AK304" s="1" t="str">
        <f>IF(ISERROR(MATCH(A304,'SegEnds_Xtal_Prot#'!B:B, 0)), "NoXtal", "Xtal")</f>
        <v>NoXtal</v>
      </c>
    </row>
    <row r="305" spans="1:37" x14ac:dyDescent="0.2">
      <c r="A305" s="4" t="s">
        <v>412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6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6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9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9">
        <v>39</v>
      </c>
      <c r="T305" s="4">
        <v>69</v>
      </c>
      <c r="U305" s="4">
        <v>25</v>
      </c>
      <c r="V305" s="1">
        <f>VLOOKUP($B305&amp;"__wt",'SegEnds_Xtal_BW#'!$A:$Z,22,FALSE)</f>
        <v>53</v>
      </c>
      <c r="W305" s="4">
        <v>31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52</v>
      </c>
      <c r="AI305" s="4">
        <f>VLOOKUP(A305,'SegEnds_NonXtal_Prot#'!A:AL,34,FALSE)-VLOOKUP(A305,'SegEnds_NonXtal_Prot#'!A:AL,31,FALSE)</f>
        <v>29</v>
      </c>
      <c r="AJ305" s="1">
        <f>VLOOKUP(A305,'SegEnds_NonXtal_Prot#'!A:AL,37,FALSE)-VLOOKUP(A305,'SegEnds_NonXtal_Prot#'!A:AL,34,FALSE)</f>
        <v>10</v>
      </c>
      <c r="AK305" s="1" t="str">
        <f>IF(ISERROR(MATCH(A305,'SegEnds_Xtal_Prot#'!B:B, 0)), "NoXtal", "Xtal")</f>
        <v>NoXtal</v>
      </c>
    </row>
    <row r="306" spans="1:37" x14ac:dyDescent="0.2">
      <c r="A306" s="4" t="s">
        <v>413</v>
      </c>
      <c r="B306" s="4" t="str">
        <f>VLOOKUP(A306,Xtal_Templ!A:B,2,FALSE)</f>
        <v>glr_human</v>
      </c>
      <c r="C306" s="5">
        <f>VLOOKUP($B306&amp;"__wt",'SegEnds_Xtal_BW#'!$A:$Z,3,FALSE)</f>
        <v>25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6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6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9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6">
        <v>39</v>
      </c>
      <c r="T306" s="4">
        <v>69</v>
      </c>
      <c r="U306" s="4">
        <v>25</v>
      </c>
      <c r="V306" s="4">
        <f>VLOOKUP($B306&amp;"__wt",'SegEnds_Xtal_BW#'!$A:$Z,22,FALSE)</f>
        <v>53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58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52</v>
      </c>
      <c r="AI306" s="4">
        <f>VLOOKUP(A306,'SegEnds_NonXtal_Prot#'!A:AL,34,FALSE)-VLOOKUP(A306,'SegEnds_NonXtal_Prot#'!A:AL,31,FALSE)</f>
        <v>29</v>
      </c>
      <c r="AJ306" s="1">
        <f>VLOOKUP(A306,'SegEnds_NonXtal_Prot#'!A:AL,37,FALSE)-VLOOKUP(A306,'SegEnds_NonXtal_Prot#'!A:AL,34,FALSE)</f>
        <v>10</v>
      </c>
      <c r="AK306" s="4" t="str">
        <f>IF(ISERROR(MATCH(A306,'SegEnds_Xtal_Prot#'!B:B, 0)), "NoXtal", "Xtal")</f>
        <v>NoXtal</v>
      </c>
    </row>
    <row r="307" spans="1:37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6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6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9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9">
        <v>39</v>
      </c>
      <c r="T307" s="4">
        <f>VLOOKUP($B307&amp;"__wt",'SegEnds_Xtal_BW#'!$A:$Z,20,FALSE)</f>
        <v>71</v>
      </c>
      <c r="U307" s="116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>
        <f>VLOOKUP(A307,'SegEnds_NonXtal_Prot#'!A:AL,37,FALSE)-VLOOKUP(A307,'SegEnds_NonXtal_Prot#'!A:AL,34,FALSE)</f>
        <v>10</v>
      </c>
      <c r="AK307" s="1" t="str">
        <f>IF(ISERROR(MATCH(A307,'SegEnds_Xtal_Prot#'!B:B, 0)), "NoXtal", "Xtal")</f>
        <v>NoXtal</v>
      </c>
    </row>
    <row r="308" spans="1:37" x14ac:dyDescent="0.2">
      <c r="A308" s="4" t="s">
        <v>1430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6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6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9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6">
        <v>39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6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64</v>
      </c>
      <c r="AE308" s="4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4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>
        <f>VLOOKUP(A308,'SegEnds_NonXtal_Prot#'!A:AL,37,FALSE)-VLOOKUP(A308,'SegEnds_NonXtal_Prot#'!A:AL,34,FALSE)</f>
        <v>10</v>
      </c>
      <c r="AK308" s="4" t="str">
        <f>IF(ISERROR(MATCH(A308,'SegEnds_Xtal_Prot#'!B:B, 0)), "NoXtal", "Xtal")</f>
        <v>Xtal</v>
      </c>
    </row>
    <row r="309" spans="1:37" x14ac:dyDescent="0.2">
      <c r="A309" s="1" t="s">
        <v>406</v>
      </c>
      <c r="B309" s="1" t="str">
        <f>VLOOKUP(A309,Xtal_Templ!A:B,2,FALSE)</f>
        <v>glp1r_human</v>
      </c>
      <c r="C309" s="5">
        <f>VLOOKUP($B309&amp;"__wt",'SegEnds_Xtal_BW#'!$A:$Z,3,FALSE)</f>
        <v>29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09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9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8">
        <f>VLOOKUP($B309&amp;"__wt",'SegEnds_Xtal_BW#'!$A:$Z,15,FALSE)</f>
        <v>38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9">
        <v>39</v>
      </c>
      <c r="T309" s="1">
        <f>VLOOKUP($B309&amp;"__wt",'SegEnds_Xtal_BW#'!$A:$Z,20,FALSE)</f>
        <v>71</v>
      </c>
      <c r="U309" s="1">
        <f>VLOOKUP($B309&amp;"__wt",'SegEnds_Xtal_BW#'!$A:$Z,21,FALSE)</f>
        <v>28</v>
      </c>
      <c r="V309" s="1">
        <f>VLOOKUP($B309&amp;"__wt",'SegEnds_Xtal_BW#'!$A:$Z,22,FALSE)</f>
        <v>53</v>
      </c>
      <c r="W309" s="1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VLOOKUP(A309,'SegEnds_NonXtal_Prot#'!A:AL,10,FALSE)-VLOOKUP(A309,'SegEnds_NonXtal_Prot#'!A:AL,7,FALSE)</f>
        <v>15</v>
      </c>
      <c r="AC309" s="1" t="e">
        <f>VLOOKUP(A309,'SegEnds_NonXtal_Prot#'!A:AL,13,FALSE)-VLOOKUP(A309,'SegEnds_NonXtal_Prot#'!A:AL,10,FALSE)</f>
        <v>#VALUE!</v>
      </c>
      <c r="AD309" s="1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1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1">
        <f>VLOOKUP(A309,'SegEnds_NonXtal_Prot#'!A:AL,31,FALSE)-VLOOKUP(A309,'SegEnds_NonXtal_Prot#'!A:AL,28,FALSE)</f>
        <v>50</v>
      </c>
      <c r="AI309" s="1">
        <f>VLOOKUP(A309,'SegEnds_NonXtal_Prot#'!A:AL,34,FALSE)-VLOOKUP(A309,'SegEnds_NonXtal_Prot#'!A:AL,31,FALSE)</f>
        <v>33</v>
      </c>
      <c r="AJ309" s="1">
        <f>VLOOKUP(A309,'SegEnds_NonXtal_Prot#'!A:AL,37,FALSE)-VLOOKUP(A309,'SegEnds_NonXtal_Prot#'!A:AL,34,FALSE)</f>
        <v>10</v>
      </c>
      <c r="AK309" s="1" t="str">
        <f>IF(ISERROR(MATCH(A309,'SegEnds_Xtal_Prot#'!B:B, 0)), "NoXtal", "Xtal")</f>
        <v>Xtal</v>
      </c>
    </row>
    <row r="310" spans="1:37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6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6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9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9">
        <v>39</v>
      </c>
      <c r="T310" s="4">
        <f>VLOOKUP($B310&amp;"__wt",'SegEnds_Xtal_BW#'!$A:$Z,20,FALSE)</f>
        <v>71</v>
      </c>
      <c r="U310" s="116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64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>
        <f>VLOOKUP(A310,'SegEnds_NonXtal_Prot#'!A:AL,37,FALSE)-VLOOKUP(A310,'SegEnds_NonXtal_Prot#'!A:AL,34,FALSE)</f>
        <v>10</v>
      </c>
      <c r="AK310" s="1" t="str">
        <f>IF(ISERROR(MATCH(A310,'SegEnds_Xtal_Prot#'!B:B, 0)), "NoXtal", "Xtal")</f>
        <v>NoXtal</v>
      </c>
    </row>
    <row r="311" spans="1:37" x14ac:dyDescent="0.2">
      <c r="A311" s="4" t="s">
        <v>32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6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6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9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v>36</v>
      </c>
      <c r="T311" s="4">
        <f>VLOOKUP($B311&amp;"__wt",'SegEnds_Xtal_BW#'!$A:$Z,20,FALSE)</f>
        <v>71</v>
      </c>
      <c r="U311" s="4">
        <f>VLOOKUP($B311&amp;"__wt",'SegEnds_Xtal_BW#'!$A:$Z,21,FALSE)</f>
        <v>28</v>
      </c>
      <c r="V311" s="4">
        <f>VLOOKUP($B311&amp;"__wt",'SegEnds_Xtal_BW#'!$A:$Z,22,FALSE)</f>
        <v>53</v>
      </c>
      <c r="W311" s="116">
        <v>27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4">
        <f>VLOOKUP(A311,'SegEnds_NonXtal_Prot#'!A:AL,10,FALSE)-VLOOKUP(A311,'SegEnds_NonXtal_Prot#'!A:AL,7,FALSE)</f>
        <v>15</v>
      </c>
      <c r="AC311" s="4" t="e">
        <f>VLOOKUP(A311,'SegEnds_NonXtal_Prot#'!A:AL,13,FALSE)-VLOOKUP(A311,'SegEnds_NonXtal_Prot#'!A:AL,10,FALSE)</f>
        <v>#VALUE!</v>
      </c>
      <c r="AD311" s="4">
        <f>VLOOKUP(A311,'SegEnds_NonXtal_Prot#'!A:AL,16,FALSE)-VLOOKUP(A311,'SegEnds_NonXtal_Prot#'!A:AL,10,FALSE)</f>
        <v>65</v>
      </c>
      <c r="AE311" s="1" t="e">
        <f>VLOOKUP(A311,'SegEnds_NonXtal_Prot#'!A:AL,22,FALSE)-VLOOKUP(A311,'SegEnds_NonXtal_Prot#'!A:AL,19,FALSE)</f>
        <v>#VALUE!</v>
      </c>
      <c r="AF311" s="4">
        <f>VLOOKUP(A311,'SegEnds_NonXtal_Prot#'!A:AL,28,FALSE)-VLOOKUP(A311,'SegEnds_NonXtal_Prot#'!A:AL,25,FALSE)</f>
        <v>20</v>
      </c>
      <c r="AG311" s="1">
        <f>VLOOKUP(A311,'SegEnds_NonXtal_Prot#'!A:AL,28,FALSE)-VLOOKUP(A311,'SegEnds_NonXtal_Prot#'!A:AL,22,FALSE)</f>
        <v>42</v>
      </c>
      <c r="AH311" s="4">
        <f>VLOOKUP(A311,'SegEnds_NonXtal_Prot#'!A:AL,31,FALSE)-VLOOKUP(A311,'SegEnds_NonXtal_Prot#'!A:AL,28,FALSE)</f>
        <v>50</v>
      </c>
      <c r="AI311" s="4">
        <f>VLOOKUP(A311,'SegEnds_NonXtal_Prot#'!A:AL,34,FALSE)-VLOOKUP(A311,'SegEnds_NonXtal_Prot#'!A:AL,31,FALSE)</f>
        <v>33</v>
      </c>
      <c r="AJ311" s="1">
        <f>VLOOKUP(A311,'SegEnds_NonXtal_Prot#'!A:AL,37,FALSE)-VLOOKUP(A311,'SegEnds_NonXtal_Prot#'!A:AL,34,FALSE)</f>
        <v>10</v>
      </c>
      <c r="AK311" s="1" t="str">
        <f>IF(ISERROR(MATCH(A311,'SegEnds_Xtal_Prot#'!B:B, 0)), "NoXtal", "Xtal")</f>
        <v>Xtal</v>
      </c>
    </row>
    <row r="312" spans="1:37" s="4" customFormat="1" x14ac:dyDescent="0.2">
      <c r="A312" s="4" t="s">
        <v>410</v>
      </c>
      <c r="B312" s="4" t="str">
        <f>VLOOKUP(A312,Xtal_Templ!A:B,2,FALSE)</f>
        <v>glp1r_human</v>
      </c>
      <c r="C312" s="4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6">
        <v>69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6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9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6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50" t="str">
        <f>VLOOKUP(A312,Classification!A:B,2,FALSE)</f>
        <v>B1</v>
      </c>
      <c r="AB312" s="4">
        <f>VLOOKUP(A312,'SegEnds_NonXtal_Prot#'!A:AL,10,FALSE)-VLOOKUP(A312,'SegEnds_NonXtal_Prot#'!A:AL,7,FALSE)</f>
        <v>15</v>
      </c>
      <c r="AC312" s="4" t="e">
        <f>VLOOKUP(A312,'SegEnds_NonXtal_Prot#'!A:AL,13,FALSE)-VLOOKUP(A312,'SegEnds_NonXtal_Prot#'!A:AL,10,FALSE)</f>
        <v>#VALUE!</v>
      </c>
      <c r="AD312" s="4">
        <f>VLOOKUP(A312,'SegEnds_NonXtal_Prot#'!A:AL,16,FALSE)-VLOOKUP(A312,'SegEnds_NonXtal_Prot#'!A:AL,10,FALSE)</f>
        <v>74</v>
      </c>
      <c r="AE312" s="4" t="e">
        <f>VLOOKUP(A312,'SegEnds_NonXtal_Prot#'!A:AL,22,FALSE)-VLOOKUP(A312,'SegEnds_NonXtal_Prot#'!A:AL,19,FALSE)</f>
        <v>#VALUE!</v>
      </c>
      <c r="AF312" s="4">
        <f>VLOOKUP(A312,'SegEnds_NonXtal_Prot#'!A:AL,28,FALSE)-VLOOKUP(A312,'SegEnds_NonXtal_Prot#'!A:AL,25,FALSE)</f>
        <v>19</v>
      </c>
      <c r="AG312" s="4">
        <f>VLOOKUP(A312,'SegEnds_NonXtal_Prot#'!A:AL,28,FALSE)-VLOOKUP(A312,'SegEnds_NonXtal_Prot#'!A:AL,22,FALSE)</f>
        <v>41</v>
      </c>
      <c r="AH312" s="4">
        <f>VLOOKUP(A312,'SegEnds_NonXtal_Prot#'!A:AL,31,FALSE)-VLOOKUP(A312,'SegEnds_NonXtal_Prot#'!A:AL,28,FALSE)</f>
        <v>53</v>
      </c>
      <c r="AI312" s="4">
        <f>VLOOKUP(A312,'SegEnds_NonXtal_Prot#'!A:AL,34,FALSE)-VLOOKUP(A312,'SegEnds_NonXtal_Prot#'!A:AL,31,FALSE)</f>
        <v>32</v>
      </c>
      <c r="AJ312" s="1">
        <f>VLOOKUP(A312,'SegEnds_NonXtal_Prot#'!A:AL,37,FALSE)-VLOOKUP(A312,'SegEnds_NonXtal_Prot#'!A:AL,34,FALSE)</f>
        <v>10</v>
      </c>
      <c r="AK312" s="4" t="str">
        <f>IF(ISERROR(MATCH(A312,'SegEnds_Xtal_Prot#'!B:B, 0)), "NoXtal", "Xtal")</f>
        <v>NoXtal</v>
      </c>
    </row>
    <row r="313" spans="1:37" s="45" customFormat="1" x14ac:dyDescent="0.2">
      <c r="A313" s="45" t="s">
        <v>409</v>
      </c>
      <c r="B313" s="45" t="str">
        <f>VLOOKUP(A313,Xtal_Templ!A:B,2,FALSE)</f>
        <v>glp1r_human</v>
      </c>
      <c r="C313" s="46">
        <f>VLOOKUP($B313&amp;"__wt",'SegEnds_Xtal_BW#'!$A:$Z,3,FALSE)</f>
        <v>29</v>
      </c>
      <c r="D313" s="45">
        <f>VLOOKUP($B313&amp;"__wt",'SegEnds_Xtal_BW#'!$A:$Z,4,FALSE)</f>
        <v>60</v>
      </c>
      <c r="E313" s="45">
        <f>VLOOKUP($B313&amp;"__wt",'SegEnds_Xtal_BW#'!$A:$Z,5,FALSE)</f>
        <v>48</v>
      </c>
      <c r="F313" s="45">
        <f>VLOOKUP($B313&amp;"__wt",'SegEnds_Xtal_BW#'!$A:$Z,6,FALSE)</f>
        <v>51</v>
      </c>
      <c r="G313" s="45">
        <v>37</v>
      </c>
      <c r="H313" s="118">
        <v>69</v>
      </c>
      <c r="I313" s="45" t="str">
        <f>VLOOKUP($B313&amp;"__wt",'SegEnds_Xtal_BW#'!$A:$Z,9,FALSE)</f>
        <v>-</v>
      </c>
      <c r="J313" s="45" t="str">
        <f>VLOOKUP($B313&amp;"__wt",'SegEnds_Xtal_BW#'!$A:$Z,10,FALSE)</f>
        <v>-</v>
      </c>
      <c r="K313" s="116">
        <v>21</v>
      </c>
      <c r="L313" s="45">
        <f>VLOOKUP($B313&amp;"__wt",'SegEnds_Xtal_BW#'!$A:$Z,12,FALSE)</f>
        <v>56</v>
      </c>
      <c r="M313" s="45" t="str">
        <f>VLOOKUP($B313&amp;"__wt",'SegEnds_Xtal_BW#'!$A:$Z,13,FALSE)</f>
        <v>-</v>
      </c>
      <c r="N313" s="103" t="str">
        <f>VLOOKUP($B313&amp;"__wt",'SegEnds_Xtal_BW#'!$A:$Z,14,FALSE)</f>
        <v>-</v>
      </c>
      <c r="O313" s="91">
        <f>VLOOKUP($B313&amp;"__wt",'SegEnds_Xtal_BW#'!$A:$Z,15,FALSE)</f>
        <v>38</v>
      </c>
      <c r="P313" s="45">
        <f>VLOOKUP($B313&amp;"__wt",'SegEnds_Xtal_BW#'!$A:$Z,16,FALSE)</f>
        <v>68</v>
      </c>
      <c r="Q313" s="45">
        <f>VLOOKUP($B313&amp;"__wt",'SegEnds_Xtal_BW#'!$A:$Z,17,FALSE)</f>
        <v>50</v>
      </c>
      <c r="R313" s="45">
        <f>VLOOKUP($B313&amp;"__wt",'SegEnds_Xtal_BW#'!$A:$Z,18,FALSE)</f>
        <v>52</v>
      </c>
      <c r="S313" s="118">
        <v>39</v>
      </c>
      <c r="T313" s="45">
        <v>69</v>
      </c>
      <c r="U313" s="45">
        <v>25</v>
      </c>
      <c r="V313" s="45">
        <f>VLOOKUP($B313&amp;"__wt",'SegEnds_Xtal_BW#'!$A:$Z,22,FALSE)</f>
        <v>53</v>
      </c>
      <c r="W313" s="45">
        <v>28</v>
      </c>
      <c r="X313" s="45">
        <f>VLOOKUP($B313&amp;"__wt",'SegEnds_Xtal_BW#'!$A:$Z,24,FALSE)</f>
        <v>56</v>
      </c>
      <c r="Y313" s="45">
        <f>VLOOKUP($B313&amp;"__wt",'SegEnds_Xtal_BW#'!$A:$Z,25,FALSE)</f>
        <v>47</v>
      </c>
      <c r="Z313" s="45">
        <f>VLOOKUP($B313&amp;"__wt",'SegEnds_Xtal_BW#'!$A:$Z,26,FALSE)</f>
        <v>72</v>
      </c>
      <c r="AA313" s="47" t="str">
        <f>VLOOKUP(A313,Classification!A:B,2,FALSE)</f>
        <v>B1</v>
      </c>
      <c r="AB313" s="45">
        <f>VLOOKUP(A313,'SegEnds_NonXtal_Prot#'!A:AL,10,FALSE)-VLOOKUP(A313,'SegEnds_NonXtal_Prot#'!A:AL,7,FALSE)</f>
        <v>15</v>
      </c>
      <c r="AC313" s="45" t="e">
        <f>VLOOKUP(A313,'SegEnds_NonXtal_Prot#'!A:AL,13,FALSE)-VLOOKUP(A313,'SegEnds_NonXtal_Prot#'!A:AL,10,FALSE)</f>
        <v>#VALUE!</v>
      </c>
      <c r="AD313" s="45">
        <f>VLOOKUP(A313,'SegEnds_NonXtal_Prot#'!A:AL,16,FALSE)-VLOOKUP(A313,'SegEnds_NonXtal_Prot#'!A:AL,10,FALSE)</f>
        <v>76</v>
      </c>
      <c r="AE313" s="45" t="e">
        <f>VLOOKUP(A313,'SegEnds_NonXtal_Prot#'!A:AL,22,FALSE)-VLOOKUP(A313,'SegEnds_NonXtal_Prot#'!A:AL,19,FALSE)</f>
        <v>#VALUE!</v>
      </c>
      <c r="AF313" s="45">
        <f>VLOOKUP(A313,'SegEnds_NonXtal_Prot#'!A:AL,28,FALSE)-VLOOKUP(A313,'SegEnds_NonXtal_Prot#'!A:AL,25,FALSE)</f>
        <v>19</v>
      </c>
      <c r="AG313" s="45">
        <f>VLOOKUP(A313,'SegEnds_NonXtal_Prot#'!A:AL,28,FALSE)-VLOOKUP(A313,'SegEnds_NonXtal_Prot#'!A:AL,22,FALSE)</f>
        <v>41</v>
      </c>
      <c r="AH313" s="45">
        <f>VLOOKUP(A313,'SegEnds_NonXtal_Prot#'!A:AL,31,FALSE)-VLOOKUP(A313,'SegEnds_NonXtal_Prot#'!A:AL,28,FALSE)</f>
        <v>53</v>
      </c>
      <c r="AI313" s="45">
        <f>VLOOKUP(A313,'SegEnds_NonXtal_Prot#'!A:AL,34,FALSE)-VLOOKUP(A313,'SegEnds_NonXtal_Prot#'!A:AL,31,FALSE)</f>
        <v>33</v>
      </c>
      <c r="AJ313" s="1">
        <f>VLOOKUP(A313,'SegEnds_NonXtal_Prot#'!A:AL,37,FALSE)-VLOOKUP(A313,'SegEnds_NonXtal_Prot#'!A:AL,34,FALSE)</f>
        <v>10</v>
      </c>
      <c r="AK313" s="45" t="str">
        <f>IF(ISERROR(MATCH(A313,'SegEnds_Xtal_Prot#'!B:B, 0)), "NoXtal", "Xtal")</f>
        <v>NoXtal</v>
      </c>
    </row>
    <row r="314" spans="1:37" x14ac:dyDescent="0.2">
      <c r="A314" s="1" t="s">
        <v>1180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8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44</v>
      </c>
      <c r="AH314" s="1">
        <f>VLOOKUP(A314,'SegEnds_NonXtal_Prot#'!A:AL,31,FALSE)-VLOOKUP(A314,'SegEnds_NonXtal_Prot#'!A:AL,28,FALSE)</f>
        <v>83</v>
      </c>
      <c r="AI314" s="1">
        <f>VLOOKUP(A314,'SegEnds_NonXtal_Prot#'!A:AL,34,FALSE)-VLOOKUP(A314,'SegEnds_NonXtal_Prot#'!A:AL,31,FALSE)</f>
        <v>29</v>
      </c>
      <c r="AJ314" s="1">
        <f>VLOOKUP(A314,'SegEnds_NonXtal_Prot#'!A:AL,37,FALSE)-VLOOKUP(A314,'SegEnds_NonXtal_Prot#'!A:AL,34,FALSE)</f>
        <v>10</v>
      </c>
      <c r="AK314" s="1" t="str">
        <f>IF(ISERROR(MATCH(A314,'SegEnds_Xtal_Prot#'!B:B, 0)), "NoXtal", "Xtal")</f>
        <v>NoXtal</v>
      </c>
    </row>
    <row r="315" spans="1:37" x14ac:dyDescent="0.2">
      <c r="A315" s="1" t="s">
        <v>1181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8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>
        <f>VLOOKUP(A315,'SegEnds_NonXtal_Prot#'!A:AL,37,FALSE)-VLOOKUP(A315,'SegEnds_NonXtal_Prot#'!A:AL,34,FALSE)</f>
        <v>10</v>
      </c>
      <c r="AK315" s="1" t="str">
        <f>IF(ISERROR(MATCH(A315,'SegEnds_Xtal_Prot#'!B:B, 0)), "NoXtal", "Xtal")</f>
        <v>NoXtal</v>
      </c>
    </row>
    <row r="316" spans="1:37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8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18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>
        <f>VLOOKUP(A316,'SegEnds_NonXtal_Prot#'!A:AL,37,FALSE)-VLOOKUP(A316,'SegEnds_NonXtal_Prot#'!A:AL,34,FALSE)</f>
        <v>10</v>
      </c>
      <c r="AK316" s="1" t="str">
        <f>IF(ISERROR(MATCH(A316,'SegEnds_Xtal_Prot#'!B:B, 0)), "NoXtal", "Xtal")</f>
        <v>NoXtal</v>
      </c>
    </row>
    <row r="317" spans="1:37" x14ac:dyDescent="0.2">
      <c r="A317" s="1" t="s">
        <v>1183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8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33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66</v>
      </c>
      <c r="AI317" s="1">
        <f>VLOOKUP(A317,'SegEnds_NonXtal_Prot#'!A:AL,34,FALSE)-VLOOKUP(A317,'SegEnds_NonXtal_Prot#'!A:AL,31,FALSE)</f>
        <v>20</v>
      </c>
      <c r="AJ317" s="1">
        <f>VLOOKUP(A317,'SegEnds_NonXtal_Prot#'!A:AL,37,FALSE)-VLOOKUP(A317,'SegEnds_NonXtal_Prot#'!A:AL,34,FALSE)</f>
        <v>10</v>
      </c>
      <c r="AK317" s="1" t="str">
        <f>IF(ISERROR(MATCH(A317,'SegEnds_Xtal_Prot#'!B:B, 0)), "NoXtal", "Xtal")</f>
        <v>NoXtal</v>
      </c>
    </row>
    <row r="318" spans="1:37" x14ac:dyDescent="0.2">
      <c r="A318" s="4" t="s">
        <v>1184</v>
      </c>
      <c r="B318" s="4" t="str">
        <f>VLOOKUP(A318,Xtal_Templ!A:B,2,FALSE)</f>
        <v>calcr_human</v>
      </c>
      <c r="C318" s="5">
        <v>23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">
        <v>63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">
        <v>23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9">
        <f>VLOOKUP($B318&amp;"__wt",'SegEnds_Xtal_BW#'!$A:$Z,15,FALSE)</f>
        <v>41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4">
        <v>36</v>
      </c>
      <c r="T318" s="4">
        <v>69</v>
      </c>
      <c r="U318" s="4">
        <v>29</v>
      </c>
      <c r="V318" s="4">
        <f>VLOOKUP($B318&amp;"__wt",'SegEnds_Xtal_BW#'!$A:$Z,22,FALSE)</f>
        <v>53</v>
      </c>
      <c r="W318" s="4">
        <v>31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v>63</v>
      </c>
      <c r="AA318" s="27" t="str">
        <f>VLOOKUP(A318,Classification!A:B,2,FALSE)</f>
        <v>B2</v>
      </c>
      <c r="AB318" s="4" t="e">
        <f>VLOOKUP(A318,'SegEnds_NonXtal_Prot#'!A:AL,10,FALSE)-VLOOKUP(A318,'SegEnds_NonXtal_Prot#'!A:AL,7,FALSE)</f>
        <v>#VALUE!</v>
      </c>
      <c r="AC318" s="4" t="e">
        <f>VLOOKUP(A318,'SegEnds_NonXtal_Prot#'!A:AL,13,FALSE)-VLOOKUP(A318,'SegEnds_NonXtal_Prot#'!A:AL,10,FALSE)</f>
        <v>#VALUE!</v>
      </c>
      <c r="AD318" s="4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4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4">
        <f>VLOOKUP(A318,'SegEnds_NonXtal_Prot#'!A:AL,31,FALSE)-VLOOKUP(A318,'SegEnds_NonXtal_Prot#'!A:AL,28,FALSE)</f>
        <v>52</v>
      </c>
      <c r="AI318" s="4">
        <f>VLOOKUP(A318,'SegEnds_NonXtal_Prot#'!A:AL,34,FALSE)-VLOOKUP(A318,'SegEnds_NonXtal_Prot#'!A:AL,31,FALSE)</f>
        <v>28</v>
      </c>
      <c r="AJ318" s="1">
        <f>VLOOKUP(A318,'SegEnds_NonXtal_Prot#'!A:AL,37,FALSE)-VLOOKUP(A318,'SegEnds_NonXtal_Prot#'!A:AL,34,FALSE)</f>
        <v>10</v>
      </c>
      <c r="AK318" s="1" t="str">
        <f>IF(ISERROR(MATCH(A318,'SegEnds_Xtal_Prot#'!B:B, 0)), "NoXtal", "Xtal")</f>
        <v>NoXtal</v>
      </c>
    </row>
    <row r="319" spans="1:37" x14ac:dyDescent="0.2">
      <c r="A319" s="1" t="s">
        <v>1185</v>
      </c>
      <c r="B319" s="1" t="str">
        <f>VLOOKUP(A319,Xtal_Templ!A:B,2,FALSE)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8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15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>
        <f>VLOOKUP(A319,'SegEnds_NonXtal_Prot#'!A:AL,37,FALSE)-VLOOKUP(A319,'SegEnds_NonXtal_Prot#'!A:AL,34,FALSE)</f>
        <v>10</v>
      </c>
      <c r="AK319" s="1" t="str">
        <f>IF(ISERROR(MATCH(A319,'SegEnds_Xtal_Prot#'!B:B, 0)), "NoXtal", "Xtal")</f>
        <v>NoXtal</v>
      </c>
    </row>
    <row r="320" spans="1:37" x14ac:dyDescent="0.2">
      <c r="A320" s="1" t="s">
        <v>1186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8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>
        <f>VLOOKUP(A320,'SegEnds_NonXtal_Prot#'!A:AL,37,FALSE)-VLOOKUP(A320,'SegEnds_NonXtal_Prot#'!A:AL,34,FALSE)</f>
        <v>10</v>
      </c>
      <c r="AK320" s="1" t="str">
        <f>IF(ISERROR(MATCH(A320,'SegEnds_Xtal_Prot#'!B:B, 0)), "NoXtal", "Xtal")</f>
        <v>NoXtal</v>
      </c>
    </row>
    <row r="321" spans="1:37" x14ac:dyDescent="0.2">
      <c r="A321" s="1" t="s">
        <v>1187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8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28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42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32</v>
      </c>
      <c r="AJ321" s="1">
        <f>VLOOKUP(A321,'SegEnds_NonXtal_Prot#'!A:AL,37,FALSE)-VLOOKUP(A321,'SegEnds_NonXtal_Prot#'!A:AL,34,FALSE)</f>
        <v>10</v>
      </c>
      <c r="AK321" s="1" t="str">
        <f>IF(ISERROR(MATCH(A321,'SegEnds_Xtal_Prot#'!B:B, 0)), "NoXtal", "Xtal")</f>
        <v>NoXtal</v>
      </c>
    </row>
    <row r="322" spans="1:37" x14ac:dyDescent="0.2">
      <c r="A322" s="1" t="s">
        <v>1199</v>
      </c>
      <c r="B322" s="1" t="str">
        <f>VLOOKUP(A322,Xtal_Templ!A:B,2,FALSE)</f>
        <v>calcr_human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8">
        <f>VLOOKUP($B322&amp;"__wt",'SegEnds_Xtal_BW#'!$A:$Z,15,FALSE)</f>
        <v>41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>
        <f>VLOOKUP(A322,'SegEnds_NonXtal_Prot#'!A:AL,37,FALSE)-VLOOKUP(A322,'SegEnds_NonXtal_Prot#'!A:AL,34,FALSE)</f>
        <v>10</v>
      </c>
      <c r="AK322" s="1" t="str">
        <f>IF(ISERROR(MATCH(A322,'SegEnds_Xtal_Prot#'!B:B, 0)), "NoXtal", "Xtal")</f>
        <v>NoXtal</v>
      </c>
    </row>
    <row r="323" spans="1:37" x14ac:dyDescent="0.2">
      <c r="A323" s="1" t="s">
        <v>1200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8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>
        <f>VLOOKUP(A323,'SegEnds_NonXtal_Prot#'!A:AL,37,FALSE)-VLOOKUP(A323,'SegEnds_NonXtal_Prot#'!A:AL,34,FALSE)</f>
        <v>10</v>
      </c>
      <c r="AK323" s="1" t="str">
        <f>IF(ISERROR(MATCH(A323,'SegEnds_Xtal_Prot#'!B:B, 0)), "NoXtal", "Xtal")</f>
        <v>NoXtal</v>
      </c>
    </row>
    <row r="324" spans="1:37" x14ac:dyDescent="0.2">
      <c r="A324" s="1" t="s">
        <v>1201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8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>
        <f>VLOOKUP(A324,'SegEnds_NonXtal_Prot#'!A:AL,37,FALSE)-VLOOKUP(A324,'SegEnds_NonXtal_Prot#'!A:AL,34,FALSE)</f>
        <v>10</v>
      </c>
      <c r="AK324" s="1" t="str">
        <f>IF(ISERROR(MATCH(A324,'SegEnds_Xtal_Prot#'!B:B, 0)), "NoXtal", "Xtal")</f>
        <v>NoXtal</v>
      </c>
    </row>
    <row r="325" spans="1:37" x14ac:dyDescent="0.2">
      <c r="A325" s="1" t="s">
        <v>1202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8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>
        <f>VLOOKUP(A325,'SegEnds_NonXtal_Prot#'!A:AL,37,FALSE)-VLOOKUP(A325,'SegEnds_NonXtal_Prot#'!A:AL,34,FALSE)</f>
        <v>10</v>
      </c>
      <c r="AK325" s="1" t="str">
        <f>IF(ISERROR(MATCH(A325,'SegEnds_Xtal_Prot#'!B:B, 0)), "NoXtal", "Xtal")</f>
        <v>NoXtal</v>
      </c>
    </row>
    <row r="326" spans="1:37" x14ac:dyDescent="0.2">
      <c r="A326" s="1" t="s">
        <v>414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8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44</v>
      </c>
      <c r="AH326" s="1">
        <f>VLOOKUP(A326,'SegEnds_NonXtal_Prot#'!A:AL,31,FALSE)-VLOOKUP(A326,'SegEnds_NonXtal_Prot#'!A:AL,28,FALSE)</f>
        <v>50</v>
      </c>
      <c r="AI326" s="1">
        <f>VLOOKUP(A326,'SegEnds_NonXtal_Prot#'!A:AL,34,FALSE)-VLOOKUP(A326,'SegEnds_NonXtal_Prot#'!A:AL,31,FALSE)</f>
        <v>29</v>
      </c>
      <c r="AJ326" s="1">
        <f>VLOOKUP(A326,'SegEnds_NonXtal_Prot#'!A:AL,37,FALSE)-VLOOKUP(A326,'SegEnds_NonXtal_Prot#'!A:AL,34,FALSE)</f>
        <v>10</v>
      </c>
      <c r="AK326" s="1" t="str">
        <f>IF(ISERROR(MATCH(A326,'SegEnds_Xtal_Prot#'!B:B, 0)), "NoXtal", "Xtal")</f>
        <v>NoXtal</v>
      </c>
    </row>
    <row r="327" spans="1:37" x14ac:dyDescent="0.2">
      <c r="A327" s="1" t="s">
        <v>418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8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15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45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1">
        <f>VLOOKUP(A327,'SegEnds_NonXtal_Prot#'!A:AL,31,FALSE)-VLOOKUP(A327,'SegEnds_NonXtal_Prot#'!A:AL,28,FALSE)</f>
        <v>48</v>
      </c>
      <c r="AI327" s="1">
        <f>VLOOKUP(A327,'SegEnds_NonXtal_Prot#'!A:AL,34,FALSE)-VLOOKUP(A327,'SegEnds_NonXtal_Prot#'!A:AL,31,FALSE)</f>
        <v>28</v>
      </c>
      <c r="AJ327" s="1">
        <f>VLOOKUP(A327,'SegEnds_NonXtal_Prot#'!A:AL,37,FALSE)-VLOOKUP(A327,'SegEnds_NonXtal_Prot#'!A:AL,34,FALSE)</f>
        <v>10</v>
      </c>
      <c r="AK327" s="1" t="str">
        <f>IF(ISERROR(MATCH(A327,'SegEnds_Xtal_Prot#'!B:B, 0)), "NoXtal", "Xtal")</f>
        <v>NoXtal</v>
      </c>
    </row>
    <row r="328" spans="1:37" x14ac:dyDescent="0.2">
      <c r="A328" s="4" t="s">
        <v>419</v>
      </c>
      <c r="B328" s="4" t="str">
        <f>VLOOKUP(A328,Xtal_Templ!A:B,2,FALSE)</f>
        <v>calcr_human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89">
        <f>VLOOKUP($B328&amp;"__wt",'SegEnds_Xtal_BW#'!$A:$Z,15,FALSE)</f>
        <v>41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31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15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4">
        <f>VLOOKUP(A328,'SegEnds_NonXtal_Prot#'!A:AL,31,FALSE)-VLOOKUP(A328,'SegEnds_NonXtal_Prot#'!A:AL,28,FALSE)</f>
        <v>48</v>
      </c>
      <c r="AI328" s="4">
        <f>VLOOKUP(A328,'SegEnds_NonXtal_Prot#'!A:AL,34,FALSE)-VLOOKUP(A328,'SegEnds_NonXtal_Prot#'!A:AL,31,FALSE)</f>
        <v>28</v>
      </c>
      <c r="AJ328" s="1">
        <f>VLOOKUP(A328,'SegEnds_NonXtal_Prot#'!A:AL,37,FALSE)-VLOOKUP(A328,'SegEnds_NonXtal_Prot#'!A:AL,34,FALSE)</f>
        <v>10</v>
      </c>
      <c r="AK328" s="1" t="str">
        <f>IF(ISERROR(MATCH(A328,'SegEnds_Xtal_Prot#'!B:B, 0)), "NoXtal", "Xtal")</f>
        <v>NoXtal</v>
      </c>
    </row>
    <row r="329" spans="1:37" x14ac:dyDescent="0.2">
      <c r="A329" s="1" t="s">
        <v>420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8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VLOOKUP(A329,'SegEnds_NonXtal_Prot#'!A:AL,10,FALSE)-VLOOKUP(A329,'SegEnds_NonXtal_Prot#'!A:AL,7,FALSE)</f>
        <v>15</v>
      </c>
      <c r="AC329" s="1" t="e">
        <f>VLOOKUP(A329,'SegEnds_NonXtal_Prot#'!A:AL,13,FALSE)-VLOOKUP(A329,'SegEnds_NonXtal_Prot#'!A:AL,10,FALSE)</f>
        <v>#VALUE!</v>
      </c>
      <c r="AD329" s="1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1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1">
        <f>VLOOKUP(A329,'SegEnds_NonXtal_Prot#'!A:AL,31,FALSE)-VLOOKUP(A329,'SegEnds_NonXtal_Prot#'!A:AL,28,FALSE)</f>
        <v>47</v>
      </c>
      <c r="AI329" s="1">
        <f>VLOOKUP(A329,'SegEnds_NonXtal_Prot#'!A:AL,34,FALSE)-VLOOKUP(A329,'SegEnds_NonXtal_Prot#'!A:AL,31,FALSE)</f>
        <v>28</v>
      </c>
      <c r="AJ329" s="1">
        <f>VLOOKUP(A329,'SegEnds_NonXtal_Prot#'!A:AL,37,FALSE)-VLOOKUP(A329,'SegEnds_NonXtal_Prot#'!A:AL,34,FALSE)</f>
        <v>10</v>
      </c>
      <c r="AK329" s="1" t="str">
        <f>IF(ISERROR(MATCH(A329,'SegEnds_Xtal_Prot#'!B:B, 0)), "NoXtal", "Xtal")</f>
        <v>NoXtal</v>
      </c>
    </row>
    <row r="330" spans="1:37" x14ac:dyDescent="0.2">
      <c r="A330" s="1" t="s">
        <v>1177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8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29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46</v>
      </c>
      <c r="AH330" s="1">
        <f>VLOOKUP(A330,'SegEnds_NonXtal_Prot#'!A:AL,31,FALSE)-VLOOKUP(A330,'SegEnds_NonXtal_Prot#'!A:AL,28,FALSE)</f>
        <v>86</v>
      </c>
      <c r="AI330" s="1">
        <f>VLOOKUP(A330,'SegEnds_NonXtal_Prot#'!A:AL,34,FALSE)-VLOOKUP(A330,'SegEnds_NonXtal_Prot#'!A:AL,31,FALSE)</f>
        <v>31</v>
      </c>
      <c r="AJ330" s="1">
        <f>VLOOKUP(A330,'SegEnds_NonXtal_Prot#'!A:AL,37,FALSE)-VLOOKUP(A330,'SegEnds_NonXtal_Prot#'!A:AL,34,FALSE)</f>
        <v>10</v>
      </c>
      <c r="AK330" s="1" t="str">
        <f>IF(ISERROR(MATCH(A330,'SegEnds_Xtal_Prot#'!B:B, 0)), "NoXtal", "Xtal")</f>
        <v>NoXtal</v>
      </c>
    </row>
    <row r="331" spans="1:37" x14ac:dyDescent="0.2">
      <c r="A331" s="4" t="s">
        <v>1178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9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29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18</v>
      </c>
      <c r="AG331" s="1">
        <f>VLOOKUP(A331,'SegEnds_NonXtal_Prot#'!A:AL,28,FALSE)-VLOOKUP(A331,'SegEnds_NonXtal_Prot#'!A:AL,22,FALSE)</f>
        <v>43</v>
      </c>
      <c r="AH331" s="4">
        <f>VLOOKUP(A331,'SegEnds_NonXtal_Prot#'!A:AL,31,FALSE)-VLOOKUP(A331,'SegEnds_NonXtal_Prot#'!A:AL,28,FALSE)</f>
        <v>100</v>
      </c>
      <c r="AI331" s="4">
        <f>VLOOKUP(A331,'SegEnds_NonXtal_Prot#'!A:AL,34,FALSE)-VLOOKUP(A331,'SegEnds_NonXtal_Prot#'!A:AL,31,FALSE)</f>
        <v>31</v>
      </c>
      <c r="AJ331" s="1">
        <f>VLOOKUP(A331,'SegEnds_NonXtal_Prot#'!A:AL,37,FALSE)-VLOOKUP(A331,'SegEnds_NonXtal_Prot#'!A:AL,34,FALSE)</f>
        <v>10</v>
      </c>
      <c r="AK331" s="1" t="str">
        <f>IF(ISERROR(MATCH(A331,'SegEnds_Xtal_Prot#'!B:B, 0)), "NoXtal", "Xtal")</f>
        <v>NoXtal</v>
      </c>
    </row>
    <row r="332" spans="1:37" x14ac:dyDescent="0.2">
      <c r="A332" s="1" t="s">
        <v>1179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8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29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18</v>
      </c>
      <c r="AG332" s="1">
        <f>VLOOKUP(A332,'SegEnds_NonXtal_Prot#'!A:AL,28,FALSE)-VLOOKUP(A332,'SegEnds_NonXtal_Prot#'!A:AL,22,FALSE)</f>
        <v>45</v>
      </c>
      <c r="AH332" s="1">
        <f>VLOOKUP(A332,'SegEnds_NonXtal_Prot#'!A:AL,31,FALSE)-VLOOKUP(A332,'SegEnds_NonXtal_Prot#'!A:AL,28,FALSE)</f>
        <v>85</v>
      </c>
      <c r="AI332" s="1">
        <f>VLOOKUP(A332,'SegEnds_NonXtal_Prot#'!A:AL,34,FALSE)-VLOOKUP(A332,'SegEnds_NonXtal_Prot#'!A:AL,31,FALSE)</f>
        <v>31</v>
      </c>
      <c r="AJ332" s="1">
        <f>VLOOKUP(A332,'SegEnds_NonXtal_Prot#'!A:AL,37,FALSE)-VLOOKUP(A332,'SegEnds_NonXtal_Prot#'!A:AL,34,FALSE)</f>
        <v>10</v>
      </c>
      <c r="AK332" s="1" t="str">
        <f>IF(ISERROR(MATCH(A332,'SegEnds_Xtal_Prot#'!B:B, 0)), "NoXtal", "Xtal")</f>
        <v>NoXtal</v>
      </c>
    </row>
    <row r="333" spans="1:37" x14ac:dyDescent="0.2">
      <c r="A333" s="4" t="s">
        <v>1193</v>
      </c>
      <c r="B333" s="4" t="str">
        <f>VLOOKUP(A333,Xtal_Templ!A:B,2,FALSE)</f>
        <v>crfr1_human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9">
        <f>VLOOKUP($B333&amp;"__wt",'SegEnds_Xtal_BW#'!$A:$Z,15,FALSE)</f>
        <v>40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116">
        <v>28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4">
        <f>VLOOKUP(A333,'SegEnds_NonXtal_Prot#'!A:AL,10,FALSE)-VLOOKUP(A333,'SegEnds_NonXtal_Prot#'!A:AL,7,FALSE)</f>
        <v>21</v>
      </c>
      <c r="AC333" s="4" t="e">
        <f>VLOOKUP(A333,'SegEnds_NonXtal_Prot#'!A:AL,13,FALSE)-VLOOKUP(A333,'SegEnds_NonXtal_Prot#'!A:AL,10,FALSE)</f>
        <v>#VALUE!</v>
      </c>
      <c r="AD333" s="4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4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57</v>
      </c>
      <c r="AH333" s="4">
        <f>VLOOKUP(A333,'SegEnds_NonXtal_Prot#'!A:AL,31,FALSE)-VLOOKUP(A333,'SegEnds_NonXtal_Prot#'!A:AL,28,FALSE)</f>
        <v>44</v>
      </c>
      <c r="AI333" s="4">
        <f>VLOOKUP(A333,'SegEnds_NonXtal_Prot#'!A:AL,34,FALSE)-VLOOKUP(A333,'SegEnds_NonXtal_Prot#'!A:AL,31,FALSE)</f>
        <v>30</v>
      </c>
      <c r="AJ333" s="1">
        <f>VLOOKUP(A333,'SegEnds_NonXtal_Prot#'!A:AL,37,FALSE)-VLOOKUP(A333,'SegEnds_NonXtal_Prot#'!A:AL,34,FALSE)</f>
        <v>10</v>
      </c>
      <c r="AK333" s="1" t="str">
        <f>IF(ISERROR(MATCH(A333,'SegEnds_Xtal_Prot#'!B:B, 0)), "NoXtal", "Xtal")</f>
        <v>NoXtal</v>
      </c>
    </row>
    <row r="334" spans="1:37" x14ac:dyDescent="0.2">
      <c r="A334" s="4" t="s">
        <v>1194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9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 t="e">
        <f>VLOOKUP(A334,'SegEnds_NonXtal_Prot#'!A:AL,10,FALSE)-VLOOKUP(A334,'SegEnds_NonXtal_Prot#'!A:AL,7,FALSE)</f>
        <v>#VALUE!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54</v>
      </c>
      <c r="AH334" s="4">
        <f>VLOOKUP(A334,'SegEnds_NonXtal_Prot#'!A:AL,31,FALSE)-VLOOKUP(A334,'SegEnds_NonXtal_Prot#'!A:AL,28,FALSE)</f>
        <v>51</v>
      </c>
      <c r="AI334" s="4">
        <f>VLOOKUP(A334,'SegEnds_NonXtal_Prot#'!A:AL,34,FALSE)-VLOOKUP(A334,'SegEnds_NonXtal_Prot#'!A:AL,31,FALSE)</f>
        <v>28</v>
      </c>
      <c r="AJ334" s="1">
        <f>VLOOKUP(A334,'SegEnds_NonXtal_Prot#'!A:AL,37,FALSE)-VLOOKUP(A334,'SegEnds_NonXtal_Prot#'!A:AL,34,FALSE)</f>
        <v>10</v>
      </c>
      <c r="AK334" s="1" t="str">
        <f>IF(ISERROR(MATCH(A334,'SegEnds_Xtal_Prot#'!B:B, 0)), "NoXtal", "Xtal")</f>
        <v>NoXtal</v>
      </c>
    </row>
    <row r="335" spans="1:37" x14ac:dyDescent="0.2">
      <c r="A335" s="1" t="s">
        <v>1195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8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v>50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51</v>
      </c>
      <c r="AH335" s="1">
        <f>VLOOKUP(A335,'SegEnds_NonXtal_Prot#'!A:AL,31,FALSE)-VLOOKUP(A335,'SegEnds_NonXtal_Prot#'!A:AL,28,FALSE)</f>
        <v>54</v>
      </c>
      <c r="AI335" s="1">
        <f>VLOOKUP(A335,'SegEnds_NonXtal_Prot#'!A:AL,34,FALSE)-VLOOKUP(A335,'SegEnds_NonXtal_Prot#'!A:AL,31,FALSE)</f>
        <v>26</v>
      </c>
      <c r="AJ335" s="1">
        <f>VLOOKUP(A335,'SegEnds_NonXtal_Prot#'!A:AL,37,FALSE)-VLOOKUP(A335,'SegEnds_NonXtal_Prot#'!A:AL,34,FALSE)</f>
        <v>10</v>
      </c>
      <c r="AK335" s="1" t="str">
        <f>IF(ISERROR(MATCH(A335,'SegEnds_Xtal_Prot#'!B:B, 0)), "NoXtal", "Xtal")</f>
        <v>NoXtal</v>
      </c>
    </row>
    <row r="336" spans="1:37" x14ac:dyDescent="0.2">
      <c r="A336" s="4" t="s">
        <v>1196</v>
      </c>
      <c r="B336" s="4" t="str">
        <f>VLOOKUP(A336,Xtal_Templ!A:B,2,FALSE)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9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4" t="e">
        <f>VLOOKUP(A336,'SegEnds_NonXtal_Prot#'!A:AL,10,FALSE)-VLOOKUP(A336,'SegEnds_NonXtal_Prot#'!A:AL,7,FALSE)</f>
        <v>#VALUE!</v>
      </c>
      <c r="AC336" s="4" t="e">
        <f>VLOOKUP(A336,'SegEnds_NonXtal_Prot#'!A:AL,13,FALSE)-VLOOKUP(A336,'SegEnds_NonXtal_Prot#'!A:AL,10,FALSE)</f>
        <v>#VALUE!</v>
      </c>
      <c r="AD336" s="4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4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47</v>
      </c>
      <c r="AH336" s="4">
        <f>VLOOKUP(A336,'SegEnds_NonXtal_Prot#'!A:AL,31,FALSE)-VLOOKUP(A336,'SegEnds_NonXtal_Prot#'!A:AL,28,FALSE)</f>
        <v>50</v>
      </c>
      <c r="AI336" s="4">
        <f>VLOOKUP(A336,'SegEnds_NonXtal_Prot#'!A:AL,34,FALSE)-VLOOKUP(A336,'SegEnds_NonXtal_Prot#'!A:AL,31,FALSE)</f>
        <v>28</v>
      </c>
      <c r="AJ336" s="1">
        <f>VLOOKUP(A336,'SegEnds_NonXtal_Prot#'!A:AL,37,FALSE)-VLOOKUP(A336,'SegEnds_NonXtal_Prot#'!A:AL,34,FALSE)</f>
        <v>10</v>
      </c>
      <c r="AK336" s="1" t="str">
        <f>IF(ISERROR(MATCH(A336,'SegEnds_Xtal_Prot#'!B:B, 0)), "NoXtal", "Xtal")</f>
        <v>NoXtal</v>
      </c>
    </row>
    <row r="337" spans="1:37" x14ac:dyDescent="0.2">
      <c r="A337" s="1" t="s">
        <v>1423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8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16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47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53</v>
      </c>
      <c r="AH337" s="1">
        <f>VLOOKUP(A337,'SegEnds_NonXtal_Prot#'!A:AL,31,FALSE)-VLOOKUP(A337,'SegEnds_NonXtal_Prot#'!A:AL,28,FALSE)</f>
        <v>51</v>
      </c>
      <c r="AI337" s="1">
        <f>VLOOKUP(A337,'SegEnds_NonXtal_Prot#'!A:AL,34,FALSE)-VLOOKUP(A337,'SegEnds_NonXtal_Prot#'!A:AL,31,FALSE)</f>
        <v>28</v>
      </c>
      <c r="AJ337" s="1">
        <f>VLOOKUP(A337,'SegEnds_NonXtal_Prot#'!A:AL,37,FALSE)-VLOOKUP(A337,'SegEnds_NonXtal_Prot#'!A:AL,34,FALSE)</f>
        <v>10</v>
      </c>
      <c r="AK337" s="1" t="str">
        <f>IF(ISERROR(MATCH(A337,'SegEnds_Xtal_Prot#'!B:B, 0)), "NoXtal", "Xtal")</f>
        <v>NoXtal</v>
      </c>
    </row>
    <row r="338" spans="1:37" x14ac:dyDescent="0.2">
      <c r="A338" s="4" t="s">
        <v>417</v>
      </c>
      <c r="B338" s="4" t="str">
        <f>VLOOKUP(A338,Xtal_Templ!A:B,2,FALSE)</f>
        <v>glp1r_human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89">
        <f>VLOOKUP($B338&amp;"__wt",'SegEnds_Xtal_BW#'!$A:$Z,15,FALSE)</f>
        <v>38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31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4" t="e">
        <f>VLOOKUP(A338,'SegEnds_NonXtal_Prot#'!A:AL,10,FALSE)-VLOOKUP(A338,'SegEnds_NonXtal_Prot#'!A:AL,7,FALSE)</f>
        <v>#VALUE!</v>
      </c>
      <c r="AC338" s="4" t="e">
        <f>VLOOKUP(A338,'SegEnds_NonXtal_Prot#'!A:AL,13,FALSE)-VLOOKUP(A338,'SegEnds_NonXtal_Prot#'!A:AL,10,FALSE)</f>
        <v>#VALUE!</v>
      </c>
      <c r="AD338" s="4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4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4">
        <f>VLOOKUP(A338,'SegEnds_NonXtal_Prot#'!A:AL,31,FALSE)-VLOOKUP(A338,'SegEnds_NonXtal_Prot#'!A:AL,28,FALSE)</f>
        <v>52</v>
      </c>
      <c r="AI338" s="4">
        <f>VLOOKUP(A338,'SegEnds_NonXtal_Prot#'!A:AL,34,FALSE)-VLOOKUP(A338,'SegEnds_NonXtal_Prot#'!A:AL,31,FALSE)</f>
        <v>28</v>
      </c>
      <c r="AJ338" s="1">
        <f>VLOOKUP(A338,'SegEnds_NonXtal_Prot#'!A:AL,37,FALSE)-VLOOKUP(A338,'SegEnds_NonXtal_Prot#'!A:AL,34,FALSE)</f>
        <v>10</v>
      </c>
      <c r="AK338" s="1" t="str">
        <f>IF(ISERROR(MATCH(A338,'SegEnds_Xtal_Prot#'!B:B, 0)), "NoXtal", "Xtal")</f>
        <v>NoXtal</v>
      </c>
    </row>
    <row r="339" spans="1:37" x14ac:dyDescent="0.2">
      <c r="A339" s="1" t="s">
        <v>442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8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54</v>
      </c>
      <c r="AH339" s="1">
        <f>VLOOKUP(A339,'SegEnds_NonXtal_Prot#'!A:AL,31,FALSE)-VLOOKUP(A339,'SegEnds_NonXtal_Prot#'!A:AL,28,FALSE)</f>
        <v>49</v>
      </c>
      <c r="AI339" s="1">
        <f>VLOOKUP(A339,'SegEnds_NonXtal_Prot#'!A:AL,34,FALSE)-VLOOKUP(A339,'SegEnds_NonXtal_Prot#'!A:AL,31,FALSE)</f>
        <v>28</v>
      </c>
      <c r="AJ339" s="1">
        <f>VLOOKUP(A339,'SegEnds_NonXtal_Prot#'!A:AL,37,FALSE)-VLOOKUP(A339,'SegEnds_NonXtal_Prot#'!A:AL,34,FALSE)</f>
        <v>10</v>
      </c>
      <c r="AK339" s="1" t="str">
        <f>IF(ISERROR(MATCH(A339,'SegEnds_Xtal_Prot#'!B:B, 0)), "NoXtal", "Xtal")</f>
        <v>NoXtal</v>
      </c>
    </row>
    <row r="340" spans="1:37" x14ac:dyDescent="0.2">
      <c r="A340" s="1" t="s">
        <v>1197</v>
      </c>
      <c r="B340" s="1" t="str">
        <f>VLOOKUP(A340,Xtal_Templ!A:B,2,FALSE)</f>
        <v>glr_human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8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48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60</v>
      </c>
      <c r="AH340" s="1">
        <f>VLOOKUP(A340,'SegEnds_NonXtal_Prot#'!A:AL,31,FALSE)-VLOOKUP(A340,'SegEnds_NonXtal_Prot#'!A:AL,28,FALSE)</f>
        <v>49</v>
      </c>
      <c r="AI340" s="1">
        <f>VLOOKUP(A340,'SegEnds_NonXtal_Prot#'!A:AL,34,FALSE)-VLOOKUP(A340,'SegEnds_NonXtal_Prot#'!A:AL,31,FALSE)</f>
        <v>28</v>
      </c>
      <c r="AJ340" s="1">
        <f>VLOOKUP(A340,'SegEnds_NonXtal_Prot#'!A:AL,37,FALSE)-VLOOKUP(A340,'SegEnds_NonXtal_Prot#'!A:AL,34,FALSE)</f>
        <v>10</v>
      </c>
      <c r="AK340" s="1" t="str">
        <f>IF(ISERROR(MATCH(A340,'SegEnds_Xtal_Prot#'!B:B, 0)), "NoXtal", "Xtal")</f>
        <v>NoXtal</v>
      </c>
    </row>
    <row r="341" spans="1:37" x14ac:dyDescent="0.2">
      <c r="A341" s="1" t="s">
        <v>1190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8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50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45</v>
      </c>
      <c r="AH341" s="1">
        <f>VLOOKUP(A341,'SegEnds_NonXtal_Prot#'!A:AL,31,FALSE)-VLOOKUP(A341,'SegEnds_NonXtal_Prot#'!A:AL,28,FALSE)</f>
        <v>52</v>
      </c>
      <c r="AI341" s="1">
        <f>VLOOKUP(A341,'SegEnds_NonXtal_Prot#'!A:AL,34,FALSE)-VLOOKUP(A341,'SegEnds_NonXtal_Prot#'!A:AL,31,FALSE)</f>
        <v>29</v>
      </c>
      <c r="AJ341" s="1">
        <f>VLOOKUP(A341,'SegEnds_NonXtal_Prot#'!A:AL,37,FALSE)-VLOOKUP(A341,'SegEnds_NonXtal_Prot#'!A:AL,34,FALSE)</f>
        <v>10</v>
      </c>
      <c r="AK341" s="1" t="str">
        <f>IF(ISERROR(MATCH(A341,'SegEnds_Xtal_Prot#'!B:B, 0)), "NoXtal", "Xtal")</f>
        <v>NoXtal</v>
      </c>
    </row>
    <row r="342" spans="1:37" x14ac:dyDescent="0.2">
      <c r="A342" s="1" t="s">
        <v>1188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8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51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21</v>
      </c>
      <c r="AG342" s="1">
        <f>VLOOKUP(A342,'SegEnds_NonXtal_Prot#'!A:AL,28,FALSE)-VLOOKUP(A342,'SegEnds_NonXtal_Prot#'!A:AL,22,FALSE)</f>
        <v>47</v>
      </c>
      <c r="AH342" s="1">
        <f>VLOOKUP(A342,'SegEnds_NonXtal_Prot#'!A:AL,31,FALSE)-VLOOKUP(A342,'SegEnds_NonXtal_Prot#'!A:AL,28,FALSE)</f>
        <v>52</v>
      </c>
      <c r="AI342" s="1">
        <f>VLOOKUP(A342,'SegEnds_NonXtal_Prot#'!A:AL,34,FALSE)-VLOOKUP(A342,'SegEnds_NonXtal_Prot#'!A:AL,31,FALSE)</f>
        <v>29</v>
      </c>
      <c r="AJ342" s="1">
        <f>VLOOKUP(A342,'SegEnds_NonXtal_Prot#'!A:AL,37,FALSE)-VLOOKUP(A342,'SegEnds_NonXtal_Prot#'!A:AL,34,FALSE)</f>
        <v>10</v>
      </c>
      <c r="AK342" s="1" t="str">
        <f>IF(ISERROR(MATCH(A342,'SegEnds_Xtal_Prot#'!B:B, 0)), "NoXtal", "Xtal")</f>
        <v>NoXtal</v>
      </c>
    </row>
    <row r="343" spans="1:37" x14ac:dyDescent="0.2">
      <c r="A343" s="1" t="s">
        <v>1189</v>
      </c>
      <c r="B343" s="1" t="str">
        <f>VLOOKUP(A343,Xtal_Templ!A:B,2,FALSE)</f>
        <v>calcr_human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8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09">
        <v>50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51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20</v>
      </c>
      <c r="AG343" s="1">
        <f>VLOOKUP(A343,'SegEnds_NonXtal_Prot#'!A:AL,28,FALSE)-VLOOKUP(A343,'SegEnds_NonXtal_Prot#'!A:AL,22,FALSE)</f>
        <v>46</v>
      </c>
      <c r="AH343" s="1">
        <f>VLOOKUP(A343,'SegEnds_NonXtal_Prot#'!A:AL,31,FALSE)-VLOOKUP(A343,'SegEnds_NonXtal_Prot#'!A:AL,28,FALSE)</f>
        <v>57</v>
      </c>
      <c r="AI343" s="1">
        <f>VLOOKUP(A343,'SegEnds_NonXtal_Prot#'!A:AL,34,FALSE)-VLOOKUP(A343,'SegEnds_NonXtal_Prot#'!A:AL,31,FALSE)</f>
        <v>23</v>
      </c>
      <c r="AJ343" s="1" t="e">
        <f>VLOOKUP(A343,'SegEnds_NonXtal_Prot#'!A:AL,37,FALSE)-VLOOKUP(A343,'SegEnds_NonXtal_Prot#'!A:AL,34,FALSE)</f>
        <v>#VALUE!</v>
      </c>
      <c r="AK343" s="1" t="str">
        <f>IF(ISERROR(MATCH(A343,'SegEnds_Xtal_Prot#'!B:B, 0)), "NoXtal", "Xtal")</f>
        <v>NoXtal</v>
      </c>
    </row>
    <row r="344" spans="1:37" x14ac:dyDescent="0.2">
      <c r="A344" s="1" t="s">
        <v>1191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8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51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46</v>
      </c>
      <c r="AH344" s="1">
        <f>VLOOKUP(A344,'SegEnds_NonXtal_Prot#'!A:AL,31,FALSE)-VLOOKUP(A344,'SegEnds_NonXtal_Prot#'!A:AL,28,FALSE)</f>
        <v>51</v>
      </c>
      <c r="AI344" s="1">
        <f>VLOOKUP(A344,'SegEnds_NonXtal_Prot#'!A:AL,34,FALSE)-VLOOKUP(A344,'SegEnds_NonXtal_Prot#'!A:AL,31,FALSE)</f>
        <v>29</v>
      </c>
      <c r="AJ344" s="1">
        <f>VLOOKUP(A344,'SegEnds_NonXtal_Prot#'!A:AL,37,FALSE)-VLOOKUP(A344,'SegEnds_NonXtal_Prot#'!A:AL,34,FALSE)</f>
        <v>10</v>
      </c>
      <c r="AK344" s="1" t="str">
        <f>IF(ISERROR(MATCH(A344,'SegEnds_Xtal_Prot#'!B:B, 0)), "NoXtal", "Xtal")</f>
        <v>NoXtal</v>
      </c>
    </row>
    <row r="345" spans="1:37" x14ac:dyDescent="0.2">
      <c r="A345" s="1" t="s">
        <v>1192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8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VLOOKUP(A345,'SegEnds_NonXtal_Prot#'!A:AL,10,FALSE)-VLOOKUP(A345,'SegEnds_NonXtal_Prot#'!A:AL,7,FALSE)</f>
        <v>17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53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20</v>
      </c>
      <c r="AG345" s="1">
        <f>VLOOKUP(A345,'SegEnds_NonXtal_Prot#'!A:AL,28,FALSE)-VLOOKUP(A345,'SegEnds_NonXtal_Prot#'!A:AL,22,FALSE)</f>
        <v>46</v>
      </c>
      <c r="AH345" s="1">
        <f>VLOOKUP(A345,'SegEnds_NonXtal_Prot#'!A:AL,31,FALSE)-VLOOKUP(A345,'SegEnds_NonXtal_Prot#'!A:AL,28,FALSE)</f>
        <v>52</v>
      </c>
      <c r="AI345" s="1">
        <f>VLOOKUP(A345,'SegEnds_NonXtal_Prot#'!A:AL,34,FALSE)-VLOOKUP(A345,'SegEnds_NonXtal_Prot#'!A:AL,31,FALSE)</f>
        <v>29</v>
      </c>
      <c r="AJ345" s="1">
        <f>VLOOKUP(A345,'SegEnds_NonXtal_Prot#'!A:AL,37,FALSE)-VLOOKUP(A345,'SegEnds_NonXtal_Prot#'!A:AL,34,FALSE)</f>
        <v>10</v>
      </c>
      <c r="AK345" s="1" t="str">
        <f>IF(ISERROR(MATCH(A345,'SegEnds_Xtal_Prot#'!B:B, 0)), "NoXtal", "Xtal")</f>
        <v>NoXtal</v>
      </c>
    </row>
    <row r="346" spans="1:37" x14ac:dyDescent="0.2">
      <c r="A346" s="1" t="s">
        <v>1198</v>
      </c>
      <c r="B346" s="1" t="str">
        <f>VLOOKUP(A346,Xtal_Templ!A:B,2,FALSE)</f>
        <v>glp1r_human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8">
        <f>VLOOKUP($B346&amp;"__wt",'SegEnds_Xtal_BW#'!$A:$Z,15,FALSE)</f>
        <v>38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 t="e">
        <f>VLOOKUP(A346,'SegEnds_NonXtal_Prot#'!A:AL,10,FALSE)-VLOOKUP(A346,'SegEnds_NonXtal_Prot#'!A:AL,7,FALSE)</f>
        <v>#VALUE!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73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26</v>
      </c>
      <c r="AG346" s="1">
        <f>VLOOKUP(A346,'SegEnds_NonXtal_Prot#'!A:AL,28,FALSE)-VLOOKUP(A346,'SegEnds_NonXtal_Prot#'!A:AL,22,FALSE)</f>
        <v>60</v>
      </c>
      <c r="AH346" s="1">
        <f>VLOOKUP(A346,'SegEnds_NonXtal_Prot#'!A:AL,31,FALSE)-VLOOKUP(A346,'SegEnds_NonXtal_Prot#'!A:AL,28,FALSE)</f>
        <v>51</v>
      </c>
      <c r="AI346" s="1">
        <f>VLOOKUP(A346,'SegEnds_NonXtal_Prot#'!A:AL,34,FALSE)-VLOOKUP(A346,'SegEnds_NonXtal_Prot#'!A:AL,31,FALSE)</f>
        <v>31</v>
      </c>
      <c r="AJ346" s="1">
        <f>VLOOKUP(A346,'SegEnds_NonXtal_Prot#'!A:AL,37,FALSE)-VLOOKUP(A346,'SegEnds_NonXtal_Prot#'!A:AL,34,FALSE)</f>
        <v>10</v>
      </c>
      <c r="AK346" s="1" t="str">
        <f>IF(ISERROR(MATCH(A346,'SegEnds_Xtal_Prot#'!B:B, 0)), "NoXtal", "Xtal")</f>
        <v>NoXtal</v>
      </c>
    </row>
    <row r="347" spans="1:37" s="42" customFormat="1" x14ac:dyDescent="0.2">
      <c r="A347" s="42" t="s">
        <v>105</v>
      </c>
      <c r="B347" s="42" t="str">
        <f>VLOOKUP(A347,Xtal_Templ!A:B,2,FALSE)</f>
        <v>grm5_human</v>
      </c>
      <c r="C347" s="43">
        <f>VLOOKUP($B347&amp;"__wt",'SegEnds_Xtal_BW#'!$A:$Z,3,FALSE)</f>
        <v>34</v>
      </c>
      <c r="D347" s="42">
        <f>VLOOKUP($B347&amp;"__wt",'SegEnds_Xtal_BW#'!$A:$Z,4,FALSE)</f>
        <v>60</v>
      </c>
      <c r="E347" s="42">
        <f>VLOOKUP($B347&amp;"__wt",'SegEnds_Xtal_BW#'!$A:$Z,5,FALSE)</f>
        <v>47</v>
      </c>
      <c r="F347" s="42">
        <f>VLOOKUP($B347&amp;"__wt",'SegEnds_Xtal_BW#'!$A:$Z,6,FALSE)</f>
        <v>53</v>
      </c>
      <c r="G347" s="42">
        <v>39</v>
      </c>
      <c r="H347" s="102">
        <f>VLOOKUP($B347&amp;"__wt",'SegEnds_Xtal_BW#'!$A:$Z,8,FALSE)</f>
        <v>61</v>
      </c>
      <c r="I347" s="42" t="str">
        <f>VLOOKUP($B347&amp;"__wt",'SegEnds_Xtal_BW#'!$A:$Z,9,FALSE)</f>
        <v>-</v>
      </c>
      <c r="J347" s="42" t="str">
        <f>VLOOKUP($B347&amp;"__wt",'SegEnds_Xtal_BW#'!$A:$Z,10,FALSE)</f>
        <v>-</v>
      </c>
      <c r="K347" s="102">
        <f>VLOOKUP($B347&amp;"__wt",'SegEnds_Xtal_BW#'!$A:$Z,11,FALSE)</f>
        <v>22</v>
      </c>
      <c r="L347" s="42">
        <f>VLOOKUP($B347&amp;"__wt",'SegEnds_Xtal_BW#'!$A:$Z,12,FALSE)</f>
        <v>54</v>
      </c>
      <c r="M347" s="42" t="str">
        <f>VLOOKUP($B347&amp;"__wt",'SegEnds_Xtal_BW#'!$A:$Z,13,FALSE)</f>
        <v>-</v>
      </c>
      <c r="N347" s="102" t="str">
        <f>VLOOKUP($B347&amp;"__wt",'SegEnds_Xtal_BW#'!$A:$Z,14,FALSE)</f>
        <v>-</v>
      </c>
      <c r="O347" s="90">
        <f>VLOOKUP($B347&amp;"__wt",'SegEnds_Xtal_BW#'!$A:$Z,15,FALSE)</f>
        <v>38</v>
      </c>
      <c r="P347" s="42">
        <f>VLOOKUP($B347&amp;"__wt",'SegEnds_Xtal_BW#'!$A:$Z,16,FALSE)</f>
        <v>64</v>
      </c>
      <c r="Q347" s="42">
        <f>VLOOKUP($B347&amp;"__wt",'SegEnds_Xtal_BW#'!$A:$Z,17,FALSE)</f>
        <v>50</v>
      </c>
      <c r="R347" s="42">
        <f>VLOOKUP($B347&amp;"__wt",'SegEnds_Xtal_BW#'!$A:$Z,18,FALSE)</f>
        <v>52</v>
      </c>
      <c r="S347" s="42">
        <f>VLOOKUP($B347&amp;"__wt",'SegEnds_Xtal_BW#'!$A:$Z,19,FALSE)</f>
        <v>36</v>
      </c>
      <c r="T347" s="42">
        <f>VLOOKUP($B347&amp;"__wt",'SegEnds_Xtal_BW#'!$A:$Z,20,FALSE)</f>
        <v>61</v>
      </c>
      <c r="U347" s="42">
        <f>VLOOKUP($B347&amp;"__wt",'SegEnds_Xtal_BW#'!$A:$Z,21,FALSE)</f>
        <v>33</v>
      </c>
      <c r="V347" s="42">
        <f>VLOOKUP($B347&amp;"__wt",'SegEnds_Xtal_BW#'!$A:$Z,22,FALSE)</f>
        <v>57</v>
      </c>
      <c r="W347" s="42">
        <f>VLOOKUP($B347&amp;"__wt",'SegEnds_Xtal_BW#'!$A:$Z,23,FALSE)</f>
        <v>33</v>
      </c>
      <c r="X347" s="42">
        <f>VLOOKUP($B347&amp;"__wt",'SegEnds_Xtal_BW#'!$A:$Z,24,FALSE)</f>
        <v>64</v>
      </c>
      <c r="Y347" s="42">
        <f>VLOOKUP($B347&amp;"__wt",'SegEnds_Xtal_BW#'!$A:$Z,25,FALSE)</f>
        <v>46</v>
      </c>
      <c r="Z347" s="42">
        <f>VLOOKUP($B347&amp;"__wt",'SegEnds_Xtal_BW#'!$A:$Z,26,FALSE)</f>
        <v>57</v>
      </c>
      <c r="AA347" s="44" t="str">
        <f>VLOOKUP(A347,Classification!A:B,2,FALSE)</f>
        <v>C</v>
      </c>
      <c r="AB347" s="42">
        <f>VLOOKUP(A347,'SegEnds_NonXtal_Prot#'!A:AL,10,FALSE)-VLOOKUP(A347,'SegEnds_NonXtal_Prot#'!A:AL,7,FALSE)</f>
        <v>15</v>
      </c>
      <c r="AC347" s="42" t="e">
        <f>VLOOKUP(A347,'SegEnds_NonXtal_Prot#'!A:AL,13,FALSE)-VLOOKUP(A347,'SegEnds_NonXtal_Prot#'!A:AL,10,FALSE)</f>
        <v>#VALUE!</v>
      </c>
      <c r="AD347" s="42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2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2">
        <f>VLOOKUP(A347,'SegEnds_NonXtal_Prot#'!A:AL,31,FALSE)-VLOOKUP(A347,'SegEnds_NonXtal_Prot#'!A:AL,28,FALSE)</f>
        <v>37</v>
      </c>
      <c r="AI347" s="42">
        <f>VLOOKUP(A347,'SegEnds_NonXtal_Prot#'!A:AL,34,FALSE)-VLOOKUP(A347,'SegEnds_NonXtal_Prot#'!A:AL,31,FALSE)</f>
        <v>29</v>
      </c>
      <c r="AJ347" s="1">
        <f>VLOOKUP(A347,'SegEnds_NonXtal_Prot#'!A:AL,37,FALSE)-VLOOKUP(A347,'SegEnds_NonXtal_Prot#'!A:AL,34,FALSE)</f>
        <v>19</v>
      </c>
      <c r="AK347" s="1" t="str">
        <f>IF(ISERROR(MATCH(A347,'SegEnds_Xtal_Prot#'!B:B, 0)), "NoXtal", "Xtal")</f>
        <v>NoXtal</v>
      </c>
    </row>
    <row r="348" spans="1:37" x14ac:dyDescent="0.2">
      <c r="A348" s="4" t="s">
        <v>109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9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36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33</v>
      </c>
      <c r="X348" s="4">
        <f>VLOOKUP($B348&amp;"__wt",'SegEnds_Xtal_BW#'!$A:$Z,24,FALSE)</f>
        <v>64</v>
      </c>
      <c r="Y348" s="4">
        <f>VLOOKUP($B348&amp;"__wt",'SegEnds_Xtal_BW#'!$A:$Z,25,FALSE)</f>
        <v>46</v>
      </c>
      <c r="Z348" s="4">
        <f>VLOOKUP($B348&amp;"__wt",'SegEnds_Xtal_BW#'!$A:$Z,26,FALSE)</f>
        <v>57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15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16</v>
      </c>
      <c r="AG348" s="1">
        <f>VLOOKUP(A348,'SegEnds_NonXtal_Prot#'!A:AL,28,FALSE)-VLOOKUP(A348,'SegEnds_NonXtal_Prot#'!A:AL,22,FALSE)</f>
        <v>65</v>
      </c>
      <c r="AH348" s="4">
        <f>VLOOKUP(A348,'SegEnds_NonXtal_Prot#'!A:AL,31,FALSE)-VLOOKUP(A348,'SegEnds_NonXtal_Prot#'!A:AL,28,FALSE)</f>
        <v>37</v>
      </c>
      <c r="AI348" s="4">
        <f>VLOOKUP(A348,'SegEnds_NonXtal_Prot#'!A:AL,34,FALSE)-VLOOKUP(A348,'SegEnds_NonXtal_Prot#'!A:AL,31,FALSE)</f>
        <v>33</v>
      </c>
      <c r="AJ348" s="1">
        <f>VLOOKUP(A348,'SegEnds_NonXtal_Prot#'!A:AL,37,FALSE)-VLOOKUP(A348,'SegEnds_NonXtal_Prot#'!A:AL,34,FALSE)</f>
        <v>19</v>
      </c>
      <c r="AK348" s="1" t="str">
        <f>IF(ISERROR(MATCH(A348,'SegEnds_Xtal_Prot#'!B:B, 0)), "NoXtal", "Xtal")</f>
        <v>NoXtal</v>
      </c>
    </row>
    <row r="349" spans="1:37" x14ac:dyDescent="0.2">
      <c r="A349" s="1" t="s">
        <v>110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8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33</v>
      </c>
      <c r="AJ349" s="1">
        <f>VLOOKUP(A349,'SegEnds_NonXtal_Prot#'!A:AL,37,FALSE)-VLOOKUP(A349,'SegEnds_NonXtal_Prot#'!A:AL,34,FALSE)</f>
        <v>19</v>
      </c>
      <c r="AK349" s="1" t="str">
        <f>IF(ISERROR(MATCH(A349,'SegEnds_Xtal_Prot#'!B:B, 0)), "NoXtal", "Xtal")</f>
        <v>NoXtal</v>
      </c>
    </row>
    <row r="350" spans="1:37" x14ac:dyDescent="0.2">
      <c r="A350" s="4" t="s">
        <v>111</v>
      </c>
      <c r="B350" s="4" t="str">
        <f>VLOOKUP(A350,Xtal_Templ!A:B,2,FALSE)</f>
        <v>grm1_human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9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4">
        <f>VLOOKUP(A350,'SegEnds_NonXtal_Prot#'!A:AL,10,FALSE)-VLOOKUP(A350,'SegEnds_NonXtal_Prot#'!A:AL,7,FALSE)</f>
        <v>19</v>
      </c>
      <c r="AC350" s="4" t="e">
        <f>VLOOKUP(A350,'SegEnds_NonXtal_Prot#'!A:AL,13,FALSE)-VLOOKUP(A350,'SegEnds_NonXtal_Prot#'!A:AL,10,FALSE)</f>
        <v>#VALUE!</v>
      </c>
      <c r="AD350" s="4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4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40</v>
      </c>
      <c r="AH350" s="4">
        <f>VLOOKUP(A350,'SegEnds_NonXtal_Prot#'!A:AL,31,FALSE)-VLOOKUP(A350,'SegEnds_NonXtal_Prot#'!A:AL,28,FALSE)</f>
        <v>39</v>
      </c>
      <c r="AI350" s="4">
        <f>VLOOKUP(A350,'SegEnds_NonXtal_Prot#'!A:AL,34,FALSE)-VLOOKUP(A350,'SegEnds_NonXtal_Prot#'!A:AL,31,FALSE)</f>
        <v>35</v>
      </c>
      <c r="AJ350" s="1">
        <f>VLOOKUP(A350,'SegEnds_NonXtal_Prot#'!A:AL,37,FALSE)-VLOOKUP(A350,'SegEnds_NonXtal_Prot#'!A:AL,34,FALSE)</f>
        <v>20</v>
      </c>
      <c r="AK350" s="1" t="str">
        <f>IF(ISERROR(MATCH(A350,'SegEnds_Xtal_Prot#'!B:B, 0)), "NoXtal", "Xtal")</f>
        <v>NoXtal</v>
      </c>
    </row>
    <row r="351" spans="1:37" x14ac:dyDescent="0.2">
      <c r="A351" s="1" t="s">
        <v>112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8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19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55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34</v>
      </c>
      <c r="AJ351" s="1">
        <f>VLOOKUP(A351,'SegEnds_NonXtal_Prot#'!A:AL,37,FALSE)-VLOOKUP(A351,'SegEnds_NonXtal_Prot#'!A:AL,34,FALSE)</f>
        <v>20</v>
      </c>
      <c r="AK351" s="1" t="str">
        <f>IF(ISERROR(MATCH(A351,'SegEnds_Xtal_Prot#'!B:B, 0)), "NoXtal", "Xtal")</f>
        <v>NoXtal</v>
      </c>
    </row>
    <row r="352" spans="1:37" x14ac:dyDescent="0.2">
      <c r="A352" s="4" t="s">
        <v>113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9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19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>
        <f>VLOOKUP(A352,'SegEnds_NonXtal_Prot#'!A:AL,28,FALSE)-VLOOKUP(A352,'SegEnds_NonXtal_Prot#'!A:AL,25,FALSE)</f>
        <v>16</v>
      </c>
      <c r="AG352" s="1">
        <f>VLOOKUP(A352,'SegEnds_NonXtal_Prot#'!A:AL,28,FALSE)-VLOOKUP(A352,'SegEnds_NonXtal_Prot#'!A:AL,22,FALSE)</f>
        <v>43</v>
      </c>
      <c r="AH352" s="4">
        <f>VLOOKUP(A352,'SegEnds_NonXtal_Prot#'!A:AL,31,FALSE)-VLOOKUP(A352,'SegEnds_NonXtal_Prot#'!A:AL,28,FALSE)</f>
        <v>39</v>
      </c>
      <c r="AI352" s="4">
        <f>VLOOKUP(A352,'SegEnds_NonXtal_Prot#'!A:AL,34,FALSE)-VLOOKUP(A352,'SegEnds_NonXtal_Prot#'!A:AL,31,FALSE)</f>
        <v>35</v>
      </c>
      <c r="AJ352" s="1">
        <f>VLOOKUP(A352,'SegEnds_NonXtal_Prot#'!A:AL,37,FALSE)-VLOOKUP(A352,'SegEnds_NonXtal_Prot#'!A:AL,34,FALSE)</f>
        <v>21</v>
      </c>
      <c r="AK352" s="1" t="str">
        <f>IF(ISERROR(MATCH(A352,'SegEnds_Xtal_Prot#'!B:B, 0)), "NoXtal", "Xtal")</f>
        <v>NoXtal</v>
      </c>
    </row>
    <row r="353" spans="1:37" x14ac:dyDescent="0.2">
      <c r="A353" s="4" t="s">
        <v>114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9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16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18</v>
      </c>
      <c r="AG353" s="1">
        <f>VLOOKUP(A353,'SegEnds_NonXtal_Prot#'!A:AL,28,FALSE)-VLOOKUP(A353,'SegEnds_NonXtal_Prot#'!A:AL,22,FALSE)</f>
        <v>50</v>
      </c>
      <c r="AH353" s="4">
        <f>VLOOKUP(A353,'SegEnds_NonXtal_Prot#'!A:AL,31,FALSE)-VLOOKUP(A353,'SegEnds_NonXtal_Prot#'!A:AL,28,FALSE)</f>
        <v>35</v>
      </c>
      <c r="AI353" s="4">
        <f>VLOOKUP(A353,'SegEnds_NonXtal_Prot#'!A:AL,34,FALSE)-VLOOKUP(A353,'SegEnds_NonXtal_Prot#'!A:AL,31,FALSE)</f>
        <v>29</v>
      </c>
      <c r="AJ353" s="1">
        <f>VLOOKUP(A353,'SegEnds_NonXtal_Prot#'!A:AL,37,FALSE)-VLOOKUP(A353,'SegEnds_NonXtal_Prot#'!A:AL,34,FALSE)</f>
        <v>19</v>
      </c>
      <c r="AK353" s="1" t="str">
        <f>IF(ISERROR(MATCH(A353,'SegEnds_Xtal_Prot#'!B:B, 0)), "NoXtal", "Xtal")</f>
        <v>NoXtal</v>
      </c>
    </row>
    <row r="354" spans="1:37" x14ac:dyDescent="0.2">
      <c r="A354" s="4" t="s">
        <v>40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9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15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49</v>
      </c>
      <c r="AH354" s="4">
        <f>VLOOKUP(A354,'SegEnds_NonXtal_Prot#'!A:AL,31,FALSE)-VLOOKUP(A354,'SegEnds_NonXtal_Prot#'!A:AL,28,FALSE)</f>
        <v>37</v>
      </c>
      <c r="AI354" s="4">
        <f>VLOOKUP(A354,'SegEnds_NonXtal_Prot#'!A:AL,34,FALSE)-VLOOKUP(A354,'SegEnds_NonXtal_Prot#'!A:AL,31,FALSE)</f>
        <v>27</v>
      </c>
      <c r="AJ354" s="1">
        <f>VLOOKUP(A354,'SegEnds_NonXtal_Prot#'!A:AL,37,FALSE)-VLOOKUP(A354,'SegEnds_NonXtal_Prot#'!A:AL,34,FALSE)</f>
        <v>19</v>
      </c>
      <c r="AK354" s="1" t="str">
        <f>IF(ISERROR(MATCH(A354,'SegEnds_Xtal_Prot#'!B:B, 0)), "NoXtal", "Xtal")</f>
        <v>Xtal</v>
      </c>
    </row>
    <row r="355" spans="1:37" x14ac:dyDescent="0.2">
      <c r="A355" s="1" t="s">
        <v>115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8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>
        <f>VLOOKUP(A355,'SegEnds_NonXtal_Prot#'!A:AL,37,FALSE)-VLOOKUP(A355,'SegEnds_NonXtal_Prot#'!A:AL,34,FALSE)</f>
        <v>19</v>
      </c>
      <c r="AK355" s="1" t="str">
        <f>IF(ISERROR(MATCH(A355,'SegEnds_Xtal_Prot#'!B:B, 0)), "NoXtal", "Xtal")</f>
        <v>NoXtal</v>
      </c>
    </row>
    <row r="356" spans="1:37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8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>
        <f>VLOOKUP(A356,'SegEnds_NonXtal_Prot#'!A:AL,37,FALSE)-VLOOKUP(A356,'SegEnds_NonXtal_Prot#'!A:AL,34,FALSE)</f>
        <v>19</v>
      </c>
      <c r="AK356" s="1" t="str">
        <f>IF(ISERROR(MATCH(A356,'SegEnds_Xtal_Prot#'!B:B, 0)), "NoXtal", "Xtal")</f>
        <v>NoXtal</v>
      </c>
    </row>
    <row r="357" spans="1:37" x14ac:dyDescent="0.2">
      <c r="A357" s="1" t="s">
        <v>117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8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56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34</v>
      </c>
      <c r="AJ357" s="1">
        <f>VLOOKUP(A357,'SegEnds_NonXtal_Prot#'!A:AL,37,FALSE)-VLOOKUP(A357,'SegEnds_NonXtal_Prot#'!A:AL,34,FALSE)</f>
        <v>19</v>
      </c>
      <c r="AK357" s="1" t="str">
        <f>IF(ISERROR(MATCH(A357,'SegEnds_Xtal_Prot#'!B:B, 0)), "NoXtal", "Xtal")</f>
        <v>NoXtal</v>
      </c>
    </row>
    <row r="358" spans="1:37" x14ac:dyDescent="0.2">
      <c r="A358" s="1" t="s">
        <v>41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8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49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27</v>
      </c>
      <c r="AJ358" s="1">
        <f>VLOOKUP(A358,'SegEnds_NonXtal_Prot#'!A:AL,37,FALSE)-VLOOKUP(A358,'SegEnds_NonXtal_Prot#'!A:AL,34,FALSE)</f>
        <v>19</v>
      </c>
      <c r="AK358" s="1" t="str">
        <f>IF(ISERROR(MATCH(A358,'SegEnds_Xtal_Prot#'!B:B, 0)), "NoXtal", "Xtal")</f>
        <v>Xtal</v>
      </c>
    </row>
    <row r="359" spans="1:37" x14ac:dyDescent="0.2">
      <c r="A359" s="1" t="s">
        <v>118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8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>
        <f>VLOOKUP(A359,'SegEnds_NonXtal_Prot#'!A:AL,37,FALSE)-VLOOKUP(A359,'SegEnds_NonXtal_Prot#'!A:AL,34,FALSE)</f>
        <v>19</v>
      </c>
      <c r="AK359" s="1" t="str">
        <f>IF(ISERROR(MATCH(A359,'SegEnds_Xtal_Prot#'!B:B, 0)), "NoXtal", "Xtal")</f>
        <v>NoXtal</v>
      </c>
    </row>
    <row r="360" spans="1:37" x14ac:dyDescent="0.2">
      <c r="A360" s="1" t="s">
        <v>119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8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>
        <f>VLOOKUP(A360,'SegEnds_NonXtal_Prot#'!A:AL,37,FALSE)-VLOOKUP(A360,'SegEnds_NonXtal_Prot#'!A:AL,34,FALSE)</f>
        <v>19</v>
      </c>
      <c r="AK360" s="1" t="str">
        <f>IF(ISERROR(MATCH(A360,'SegEnds_Xtal_Prot#'!B:B, 0)), "NoXtal", "Xtal")</f>
        <v>NoXtal</v>
      </c>
    </row>
    <row r="361" spans="1:37" x14ac:dyDescent="0.2">
      <c r="A361" s="1" t="s">
        <v>120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8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>
        <f>VLOOKUP(A361,'SegEnds_NonXtal_Prot#'!A:AL,37,FALSE)-VLOOKUP(A361,'SegEnds_NonXtal_Prot#'!A:AL,34,FALSE)</f>
        <v>19</v>
      </c>
      <c r="AK361" s="1" t="str">
        <f>IF(ISERROR(MATCH(A361,'SegEnds_Xtal_Prot#'!B:B, 0)), "NoXtal", "Xtal")</f>
        <v>NoXtal</v>
      </c>
    </row>
    <row r="362" spans="1:37" x14ac:dyDescent="0.2">
      <c r="A362" s="1" t="s">
        <v>121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8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19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 t="e">
        <f>VLOOKUP(A362,'SegEnds_NonXtal_Prot#'!A:AL,28,FALSE)-VLOOKUP(A362,'SegEnds_NonXtal_Prot#'!A:AL,25,FALSE)</f>
        <v>#VALUE!</v>
      </c>
      <c r="AG362" s="1">
        <f>VLOOKUP(A362,'SegEnds_NonXtal_Prot#'!A:AL,28,FALSE)-VLOOKUP(A362,'SegEnds_NonXtal_Prot#'!A:AL,22,FALSE)</f>
        <v>45</v>
      </c>
      <c r="AH362" s="1">
        <f>VLOOKUP(A362,'SegEnds_NonXtal_Prot#'!A:AL,31,FALSE)-VLOOKUP(A362,'SegEnds_NonXtal_Prot#'!A:AL,28,FALSE)</f>
        <v>39</v>
      </c>
      <c r="AI362" s="1">
        <f>VLOOKUP(A362,'SegEnds_NonXtal_Prot#'!A:AL,34,FALSE)-VLOOKUP(A362,'SegEnds_NonXtal_Prot#'!A:AL,31,FALSE)</f>
        <v>31</v>
      </c>
      <c r="AJ362" s="1">
        <f>VLOOKUP(A362,'SegEnds_NonXtal_Prot#'!A:AL,37,FALSE)-VLOOKUP(A362,'SegEnds_NonXtal_Prot#'!A:AL,34,FALSE)</f>
        <v>21</v>
      </c>
      <c r="AK362" s="1" t="str">
        <f>IF(ISERROR(MATCH(A362,'SegEnds_Xtal_Prot#'!B:B, 0)), "NoXtal", "Xtal")</f>
        <v>NoXtal</v>
      </c>
    </row>
    <row r="363" spans="1:37" x14ac:dyDescent="0.2">
      <c r="A363" s="1" t="s">
        <v>122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8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18</v>
      </c>
      <c r="AG363" s="1">
        <f>VLOOKUP(A363,'SegEnds_NonXtal_Prot#'!A:AL,28,FALSE)-VLOOKUP(A363,'SegEnds_NonXtal_Prot#'!A:AL,22,FALSE)</f>
        <v>51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29</v>
      </c>
      <c r="AJ363" s="1">
        <f>VLOOKUP(A363,'SegEnds_NonXtal_Prot#'!A:AL,37,FALSE)-VLOOKUP(A363,'SegEnds_NonXtal_Prot#'!A:AL,34,FALSE)</f>
        <v>19</v>
      </c>
      <c r="AK363" s="1" t="str">
        <f>IF(ISERROR(MATCH(A363,'SegEnds_Xtal_Prot#'!B:B, 0)), "NoXtal", "Xtal")</f>
        <v>NoXtal</v>
      </c>
    </row>
    <row r="364" spans="1:37" x14ac:dyDescent="0.2">
      <c r="A364" s="1" t="s">
        <v>123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8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52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>
        <f>VLOOKUP(A364,'SegEnds_NonXtal_Prot#'!A:AL,37,FALSE)-VLOOKUP(A364,'SegEnds_NonXtal_Prot#'!A:AL,34,FALSE)</f>
        <v>19</v>
      </c>
      <c r="AK364" s="1" t="str">
        <f>IF(ISERROR(MATCH(A364,'SegEnds_Xtal_Prot#'!B:B, 0)), "NoXtal", "Xtal")</f>
        <v>NoXtal</v>
      </c>
    </row>
    <row r="365" spans="1:37" x14ac:dyDescent="0.2">
      <c r="A365" s="1" t="s">
        <v>124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8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51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>
        <f>VLOOKUP(A365,'SegEnds_NonXtal_Prot#'!A:AL,37,FALSE)-VLOOKUP(A365,'SegEnds_NonXtal_Prot#'!A:AL,34,FALSE)</f>
        <v>19</v>
      </c>
      <c r="AK365" s="1" t="str">
        <f>IF(ISERROR(MATCH(A365,'SegEnds_Xtal_Prot#'!B:B, 0)), "NoXtal", "Xtal")</f>
        <v>NoXtal</v>
      </c>
    </row>
    <row r="366" spans="1:37" x14ac:dyDescent="0.2">
      <c r="A366" s="1" t="s">
        <v>108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8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50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19</v>
      </c>
      <c r="AG366" s="1">
        <f>VLOOKUP(A366,'SegEnds_NonXtal_Prot#'!A:AL,28,FALSE)-VLOOKUP(A366,'SegEnds_NonXtal_Prot#'!A:AL,22,FALSE)</f>
        <v>62</v>
      </c>
      <c r="AH366" s="1">
        <f>VLOOKUP(A366,'SegEnds_NonXtal_Prot#'!A:AL,31,FALSE)-VLOOKUP(A366,'SegEnds_NonXtal_Prot#'!A:AL,28,FALSE)</f>
        <v>39</v>
      </c>
      <c r="AI366" s="1">
        <f>VLOOKUP(A366,'SegEnds_NonXtal_Prot#'!A:AL,34,FALSE)-VLOOKUP(A366,'SegEnds_NonXtal_Prot#'!A:AL,31,FALSE)</f>
        <v>30</v>
      </c>
      <c r="AJ366" s="1">
        <f>VLOOKUP(A366,'SegEnds_NonXtal_Prot#'!A:AL,37,FALSE)-VLOOKUP(A366,'SegEnds_NonXtal_Prot#'!A:AL,34,FALSE)</f>
        <v>19</v>
      </c>
      <c r="AK366" s="1" t="str">
        <f>IF(ISERROR(MATCH(A366,'SegEnds_Xtal_Prot#'!B:B, 0)), "NoXtal", "Xtal")</f>
        <v>NoXtal</v>
      </c>
    </row>
    <row r="367" spans="1:37" x14ac:dyDescent="0.2">
      <c r="A367" s="4" t="s">
        <v>106</v>
      </c>
      <c r="B367" s="4" t="str">
        <f>VLOOKUP(A367,Xtal_Templ!A:B,2,FALSE)</f>
        <v>grm5_human</v>
      </c>
      <c r="C367" s="5">
        <f>VLOOKUP($B367&amp;"__wt",'SegEnds_Xtal_BW#'!$A:$Z,3,FALSE)</f>
        <v>34</v>
      </c>
      <c r="D367" s="4">
        <f>VLOOKUP($B367&amp;"__wt",'SegEnds_Xtal_BW#'!$A:$Z,4,FALSE)</f>
        <v>60</v>
      </c>
      <c r="E367" s="4">
        <f>VLOOKUP($B367&amp;"__wt",'SegEnds_Xtal_BW#'!$A:$Z,5,FALSE)</f>
        <v>47</v>
      </c>
      <c r="F367" s="4">
        <f>VLOOKUP($B367&amp;"__wt",'SegEnds_Xtal_BW#'!$A:$Z,6,FALSE)</f>
        <v>53</v>
      </c>
      <c r="G367" s="4">
        <v>39</v>
      </c>
      <c r="H367" s="11">
        <f>VLOOKUP($B367&amp;"__wt",'SegEnds_Xtal_BW#'!$A:$Z,8,FALSE)</f>
        <v>61</v>
      </c>
      <c r="I367" s="4" t="str">
        <f>VLOOKUP($B367&amp;"__wt",'SegEnds_Xtal_BW#'!$A:$Z,9,FALSE)</f>
        <v>-</v>
      </c>
      <c r="J367" s="4" t="str">
        <f>VLOOKUP($B367&amp;"__wt",'SegEnds_Xtal_BW#'!$A:$Z,10,FALSE)</f>
        <v>-</v>
      </c>
      <c r="K367" s="11">
        <f>VLOOKUP($B367&amp;"__wt",'SegEnds_Xtal_BW#'!$A:$Z,11,FALSE)</f>
        <v>22</v>
      </c>
      <c r="L367" s="4">
        <f>VLOOKUP($B367&amp;"__wt",'SegEnds_Xtal_BW#'!$A:$Z,12,FALSE)</f>
        <v>54</v>
      </c>
      <c r="M367" s="4" t="str">
        <f>VLOOKUP($B367&amp;"__wt",'SegEnds_Xtal_BW#'!$A:$Z,13,FALSE)</f>
        <v>-</v>
      </c>
      <c r="N367" s="11" t="str">
        <f>VLOOKUP($B367&amp;"__wt",'SegEnds_Xtal_BW#'!$A:$Z,14,FALSE)</f>
        <v>-</v>
      </c>
      <c r="O367" s="89">
        <f>VLOOKUP($B367&amp;"__wt",'SegEnds_Xtal_BW#'!$A:$Z,15,FALSE)</f>
        <v>38</v>
      </c>
      <c r="P367" s="4">
        <f>VLOOKUP($B367&amp;"__wt",'SegEnds_Xtal_BW#'!$A:$Z,16,FALSE)</f>
        <v>64</v>
      </c>
      <c r="Q367" s="4">
        <f>VLOOKUP($B367&amp;"__wt",'SegEnds_Xtal_BW#'!$A:$Z,17,FALSE)</f>
        <v>50</v>
      </c>
      <c r="R367" s="4">
        <f>VLOOKUP($B367&amp;"__wt",'SegEnds_Xtal_BW#'!$A:$Z,18,FALSE)</f>
        <v>52</v>
      </c>
      <c r="S367" s="4">
        <f>VLOOKUP($B367&amp;"__wt",'SegEnds_Xtal_BW#'!$A:$Z,19,FALSE)</f>
        <v>36</v>
      </c>
      <c r="T367" s="4">
        <f>VLOOKUP($B367&amp;"__wt",'SegEnds_Xtal_BW#'!$A:$Z,20,FALSE)</f>
        <v>61</v>
      </c>
      <c r="U367" s="4">
        <f>VLOOKUP($B367&amp;"__wt",'SegEnds_Xtal_BW#'!$A:$Z,21,FALSE)</f>
        <v>33</v>
      </c>
      <c r="V367" s="4">
        <f>VLOOKUP($B367&amp;"__wt",'SegEnds_Xtal_BW#'!$A:$Z,22,FALSE)</f>
        <v>57</v>
      </c>
      <c r="W367" s="4">
        <f>VLOOKUP($B367&amp;"__wt",'SegEnds_Xtal_BW#'!$A:$Z,23,FALSE)</f>
        <v>33</v>
      </c>
      <c r="X367" s="4">
        <f>VLOOKUP($B367&amp;"__wt",'SegEnds_Xtal_BW#'!$A:$Z,24,FALSE)</f>
        <v>64</v>
      </c>
      <c r="Y367" s="4">
        <f>VLOOKUP($B367&amp;"__wt",'SegEnds_Xtal_BW#'!$A:$Z,25,FALSE)</f>
        <v>46</v>
      </c>
      <c r="Z367" s="4">
        <f>VLOOKUP($B367&amp;"__wt",'SegEnds_Xtal_BW#'!$A:$Z,26,FALSE)</f>
        <v>57</v>
      </c>
      <c r="AA367" s="27" t="str">
        <f>VLOOKUP(A367,Classification!A:B,2,FALSE)</f>
        <v>C</v>
      </c>
      <c r="AB367" s="4">
        <f>VLOOKUP(A367,'SegEnds_NonXtal_Prot#'!A:AL,10,FALSE)-VLOOKUP(A367,'SegEnds_NonXtal_Prot#'!A:AL,7,FALSE)</f>
        <v>15</v>
      </c>
      <c r="AC367" s="4" t="e">
        <f>VLOOKUP(A367,'SegEnds_NonXtal_Prot#'!A:AL,13,FALSE)-VLOOKUP(A367,'SegEnds_NonXtal_Prot#'!A:AL,10,FALSE)</f>
        <v>#VALUE!</v>
      </c>
      <c r="AD367" s="4">
        <f>VLOOKUP(A367,'SegEnds_NonXtal_Prot#'!A:AL,16,FALSE)-VLOOKUP(A367,'SegEnds_NonXtal_Prot#'!A:AL,10,FALSE)</f>
        <v>51</v>
      </c>
      <c r="AE367" s="1" t="e">
        <f>VLOOKUP(A367,'SegEnds_NonXtal_Prot#'!A:AL,22,FALSE)-VLOOKUP(A367,'SegEnds_NonXtal_Prot#'!A:AL,19,FALSE)</f>
        <v>#VALUE!</v>
      </c>
      <c r="AF367" s="4">
        <f>VLOOKUP(A367,'SegEnds_NonXtal_Prot#'!A:AL,28,FALSE)-VLOOKUP(A367,'SegEnds_NonXtal_Prot#'!A:AL,25,FALSE)</f>
        <v>19</v>
      </c>
      <c r="AG367" s="1">
        <f>VLOOKUP(A367,'SegEnds_NonXtal_Prot#'!A:AL,28,FALSE)-VLOOKUP(A367,'SegEnds_NonXtal_Prot#'!A:AL,22,FALSE)</f>
        <v>62</v>
      </c>
      <c r="AH367" s="4">
        <f>VLOOKUP(A367,'SegEnds_NonXtal_Prot#'!A:AL,31,FALSE)-VLOOKUP(A367,'SegEnds_NonXtal_Prot#'!A:AL,28,FALSE)</f>
        <v>38</v>
      </c>
      <c r="AI367" s="4">
        <f>VLOOKUP(A367,'SegEnds_NonXtal_Prot#'!A:AL,34,FALSE)-VLOOKUP(A367,'SegEnds_NonXtal_Prot#'!A:AL,31,FALSE)</f>
        <v>31</v>
      </c>
      <c r="AJ367" s="1">
        <f>VLOOKUP(A367,'SegEnds_NonXtal_Prot#'!A:AL,37,FALSE)-VLOOKUP(A367,'SegEnds_NonXtal_Prot#'!A:AL,34,FALSE)</f>
        <v>19</v>
      </c>
      <c r="AK367" s="1" t="str">
        <f>IF(ISERROR(MATCH(A367,'SegEnds_Xtal_Prot#'!B:B, 0)), "NoXtal", "Xtal")</f>
        <v>NoXtal</v>
      </c>
    </row>
    <row r="368" spans="1:37" x14ac:dyDescent="0.2">
      <c r="A368" s="1" t="s">
        <v>107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8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VLOOKUP(A368,'SegEnds_NonXtal_Prot#'!A:AL,10,FALSE)-VLOOKUP(A368,'SegEnds_NonXtal_Prot#'!A:AL,7,FALSE)</f>
        <v>15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51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19</v>
      </c>
      <c r="AG368" s="1">
        <f>VLOOKUP(A368,'SegEnds_NonXtal_Prot#'!A:AL,28,FALSE)-VLOOKUP(A368,'SegEnds_NonXtal_Prot#'!A:AL,22,FALSE)</f>
        <v>62</v>
      </c>
      <c r="AH368" s="1">
        <f>VLOOKUP(A368,'SegEnds_NonXtal_Prot#'!A:AL,31,FALSE)-VLOOKUP(A368,'SegEnds_NonXtal_Prot#'!A:AL,28,FALSE)</f>
        <v>38</v>
      </c>
      <c r="AI368" s="1">
        <f>VLOOKUP(A368,'SegEnds_NonXtal_Prot#'!A:AL,34,FALSE)-VLOOKUP(A368,'SegEnds_NonXtal_Prot#'!A:AL,31,FALSE)</f>
        <v>31</v>
      </c>
      <c r="AJ368" s="1">
        <f>VLOOKUP(A368,'SegEnds_NonXtal_Prot#'!A:AL,37,FALSE)-VLOOKUP(A368,'SegEnds_NonXtal_Prot#'!A:AL,34,FALSE)</f>
        <v>19</v>
      </c>
      <c r="AK368" s="1" t="str">
        <f>IF(ISERROR(MATCH(A368,'SegEnds_Xtal_Prot#'!B:B, 0)), "NoXtal", "Xtal")</f>
        <v>NoXtal</v>
      </c>
    </row>
    <row r="369" spans="1:37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28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8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35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34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64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49</v>
      </c>
      <c r="AJ369" s="1">
        <f>VLOOKUP(A369,'SegEnds_NonXtal_Prot#'!A:AL,37,FALSE)-VLOOKUP(A369,'SegEnds_NonXtal_Prot#'!A:AL,34,FALSE)</f>
        <v>11</v>
      </c>
      <c r="AK369" s="1" t="str">
        <f>IF(ISERROR(MATCH(A369,'SegEnds_Xtal_Prot#'!B:B, 0)), "NoXtal", "Xtal")</f>
        <v>NoXtal</v>
      </c>
    </row>
    <row r="370" spans="1:37" x14ac:dyDescent="0.2">
      <c r="A370" s="1" t="s">
        <v>447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8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66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56</v>
      </c>
      <c r="AJ370" s="1">
        <f>VLOOKUP(A370,'SegEnds_NonXtal_Prot#'!A:AL,37,FALSE)-VLOOKUP(A370,'SegEnds_NonXtal_Prot#'!A:AL,34,FALSE)</f>
        <v>11</v>
      </c>
      <c r="AK370" s="1" t="str">
        <f>IF(ISERROR(MATCH(A370,'SegEnds_Xtal_Prot#'!B:B, 0)), "NoXtal", "Xtal")</f>
        <v>NoXtal</v>
      </c>
    </row>
    <row r="371" spans="1:37" x14ac:dyDescent="0.2">
      <c r="A371" s="1" t="s">
        <v>455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8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66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58</v>
      </c>
      <c r="AJ371" s="1">
        <f>VLOOKUP(A371,'SegEnds_NonXtal_Prot#'!A:AL,37,FALSE)-VLOOKUP(A371,'SegEnds_NonXtal_Prot#'!A:AL,34,FALSE)</f>
        <v>11</v>
      </c>
      <c r="AK371" s="1" t="str">
        <f>IF(ISERROR(MATCH(A371,'SegEnds_Xtal_Prot#'!B:B, 0)), "NoXtal", "Xtal")</f>
        <v>NoXtal</v>
      </c>
    </row>
    <row r="372" spans="1:37" x14ac:dyDescent="0.2">
      <c r="A372" s="1" t="s">
        <v>446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8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62</v>
      </c>
      <c r="AJ372" s="1">
        <f>VLOOKUP(A372,'SegEnds_NonXtal_Prot#'!A:AL,37,FALSE)-VLOOKUP(A372,'SegEnds_NonXtal_Prot#'!A:AL,34,FALSE)</f>
        <v>11</v>
      </c>
      <c r="AK372" s="1" t="str">
        <f>IF(ISERROR(MATCH(A372,'SegEnds_Xtal_Prot#'!B:B, 0)), "NoXtal", "Xtal")</f>
        <v>NoXtal</v>
      </c>
    </row>
    <row r="373" spans="1:37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8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>
        <f>VLOOKUP(A373,'SegEnds_NonXtal_Prot#'!A:AL,37,FALSE)-VLOOKUP(A373,'SegEnds_NonXtal_Prot#'!A:AL,34,FALSE)</f>
        <v>11</v>
      </c>
      <c r="AK373" s="1" t="str">
        <f>IF(ISERROR(MATCH(A373,'SegEnds_Xtal_Prot#'!B:B, 0)), "NoXtal", "Xtal")</f>
        <v>NoXtal</v>
      </c>
    </row>
    <row r="374" spans="1:37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8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36</v>
      </c>
      <c r="AJ374" s="1">
        <f>VLOOKUP(A374,'SegEnds_NonXtal_Prot#'!A:AL,37,FALSE)-VLOOKUP(A374,'SegEnds_NonXtal_Prot#'!A:AL,34,FALSE)</f>
        <v>11</v>
      </c>
      <c r="AK374" s="1" t="str">
        <f>IF(ISERROR(MATCH(A374,'SegEnds_Xtal_Prot#'!B:B, 0)), "NoXtal", "Xtal")</f>
        <v>NoXtal</v>
      </c>
    </row>
    <row r="375" spans="1:37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8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>
        <f>VLOOKUP(A375,'SegEnds_NonXtal_Prot#'!A:AL,37,FALSE)-VLOOKUP(A375,'SegEnds_NonXtal_Prot#'!A:AL,34,FALSE)</f>
        <v>11</v>
      </c>
      <c r="AK375" s="1" t="str">
        <f>IF(ISERROR(MATCH(A375,'SegEnds_Xtal_Prot#'!B:B, 0)), "NoXtal", "Xtal")</f>
        <v>NoXtal</v>
      </c>
    </row>
    <row r="376" spans="1:37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8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>
        <f>VLOOKUP(A376,'SegEnds_NonXtal_Prot#'!A:AL,37,FALSE)-VLOOKUP(A376,'SegEnds_NonXtal_Prot#'!A:AL,34,FALSE)</f>
        <v>11</v>
      </c>
      <c r="AK376" s="1" t="str">
        <f>IF(ISERROR(MATCH(A376,'SegEnds_Xtal_Prot#'!B:B, 0)), "NoXtal", "Xtal")</f>
        <v>Xtal</v>
      </c>
    </row>
    <row r="377" spans="1:37" x14ac:dyDescent="0.2">
      <c r="A377" s="1" t="s">
        <v>449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8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12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68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55</v>
      </c>
      <c r="AI377" s="1">
        <f>VLOOKUP(A377,'SegEnds_NonXtal_Prot#'!A:AL,34,FALSE)-VLOOKUP(A377,'SegEnds_NonXtal_Prot#'!A:AL,31,FALSE)</f>
        <v>55</v>
      </c>
      <c r="AJ377" s="1">
        <f>VLOOKUP(A377,'SegEnds_NonXtal_Prot#'!A:AL,37,FALSE)-VLOOKUP(A377,'SegEnds_NonXtal_Prot#'!A:AL,34,FALSE)</f>
        <v>11</v>
      </c>
      <c r="AK377" s="1" t="str">
        <f>IF(ISERROR(MATCH(A377,'SegEnds_Xtal_Prot#'!B:B, 0)), "NoXtal", "Xtal")</f>
        <v>NoXtal</v>
      </c>
    </row>
    <row r="378" spans="1:37" x14ac:dyDescent="0.2">
      <c r="A378" s="1" t="s">
        <v>452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8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VLOOKUP(A378,'SegEnds_NonXtal_Prot#'!A:AL,10,FALSE)-VLOOKUP(A378,'SegEnds_NonXtal_Prot#'!A:AL,7,FALSE)</f>
        <v>12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68</v>
      </c>
      <c r="AE378" s="1" t="e">
        <f>VLOOKUP(A378,'SegEnds_NonXtal_Prot#'!A:AL,22,FALSE)-VLOOKUP(A378,'SegEnds_NonXtal_Prot#'!A:AL,19,FALSE)</f>
        <v>#VALUE!</v>
      </c>
      <c r="AF378" s="1">
        <f>VLOOKUP(A378,'SegEnds_NonXtal_Prot#'!A:AL,28,FALSE)-VLOOKUP(A378,'SegEnds_NonXtal_Prot#'!A:AL,25,FALSE)</f>
        <v>21</v>
      </c>
      <c r="AG378" s="1">
        <f>VLOOKUP(A378,'SegEnds_NonXtal_Prot#'!A:AL,28,FALSE)-VLOOKUP(A378,'SegEnds_NonXtal_Prot#'!A:AL,22,FALSE)</f>
        <v>46</v>
      </c>
      <c r="AH378" s="1">
        <f>VLOOKUP(A378,'SegEnds_NonXtal_Prot#'!A:AL,31,FALSE)-VLOOKUP(A378,'SegEnds_NonXtal_Prot#'!A:AL,28,FALSE)</f>
        <v>55</v>
      </c>
      <c r="AI378" s="1">
        <f>VLOOKUP(A378,'SegEnds_NonXtal_Prot#'!A:AL,34,FALSE)-VLOOKUP(A378,'SegEnds_NonXtal_Prot#'!A:AL,31,FALSE)</f>
        <v>55</v>
      </c>
      <c r="AJ378" s="1">
        <f>VLOOKUP(A378,'SegEnds_NonXtal_Prot#'!A:AL,37,FALSE)-VLOOKUP(A378,'SegEnds_NonXtal_Prot#'!A:AL,34,FALSE)</f>
        <v>11</v>
      </c>
      <c r="AK378" s="1" t="str">
        <f>IF(ISERROR(MATCH(A378,'SegEnds_Xtal_Prot#'!B:B, 0)), "NoXtal", "Xtal")</f>
        <v>NoXtal</v>
      </c>
    </row>
    <row r="379" spans="1:37" x14ac:dyDescent="0.2">
      <c r="A379" s="1" t="s">
        <v>454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8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VLOOKUP(A379,'SegEnds_NonXtal_Prot#'!A:AL,10,FALSE)-VLOOKUP(A379,'SegEnds_NonXtal_Prot#'!A:AL,7,FALSE)</f>
        <v>12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103</v>
      </c>
      <c r="AE379" s="1" t="e">
        <f>VLOOKUP(A379,'SegEnds_NonXtal_Prot#'!A:AL,22,FALSE)-VLOOKUP(A379,'SegEnds_NonXtal_Prot#'!A:AL,19,FALSE)</f>
        <v>#VALUE!</v>
      </c>
      <c r="AF379" s="1">
        <f>VLOOKUP(A379,'SegEnds_NonXtal_Prot#'!A:AL,28,FALSE)-VLOOKUP(A379,'SegEnds_NonXtal_Prot#'!A:AL,25,FALSE)</f>
        <v>21</v>
      </c>
      <c r="AG379" s="1">
        <f>VLOOKUP(A379,'SegEnds_NonXtal_Prot#'!A:AL,28,FALSE)-VLOOKUP(A379,'SegEnds_NonXtal_Prot#'!A:AL,22,FALSE)</f>
        <v>46</v>
      </c>
      <c r="AH379" s="1">
        <f>VLOOKUP(A379,'SegEnds_NonXtal_Prot#'!A:AL,31,FALSE)-VLOOKUP(A379,'SegEnds_NonXtal_Prot#'!A:AL,28,FALSE)</f>
        <v>57</v>
      </c>
      <c r="AI379" s="1">
        <f>VLOOKUP(A379,'SegEnds_NonXtal_Prot#'!A:AL,34,FALSE)-VLOOKUP(A379,'SegEnds_NonXtal_Prot#'!A:AL,31,FALSE)</f>
        <v>49</v>
      </c>
      <c r="AJ379" s="1">
        <f>VLOOKUP(A379,'SegEnds_NonXtal_Prot#'!A:AL,37,FALSE)-VLOOKUP(A379,'SegEnds_NonXtal_Prot#'!A:AL,34,FALSE)</f>
        <v>11</v>
      </c>
      <c r="AK379" s="1" t="str">
        <f>IF(ISERROR(MATCH(A379,'SegEnds_Xtal_Prot#'!B:B, 0)), "NoXtal", "Xtal")</f>
        <v>NoXtal</v>
      </c>
    </row>
    <row r="380" spans="1:37" x14ac:dyDescent="0.2">
      <c r="A380" s="1" t="s">
        <v>484</v>
      </c>
      <c r="B380" s="1" t="str">
        <f>VLOOKUP(A380,Xtal_Templ!A:B,2,FALSE)</f>
        <v>oprk_human</v>
      </c>
      <c r="C380" s="5">
        <f>VLOOKUP($B380&amp;"__wt",'SegEnds_Xtal_BW#'!$A:$Z,3,FALSE)</f>
        <v>30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8">
        <v>40</v>
      </c>
      <c r="P380" s="109">
        <v>61</v>
      </c>
      <c r="Q380" s="1" t="s">
        <v>23</v>
      </c>
      <c r="R380" s="1" t="s">
        <v>23</v>
      </c>
      <c r="S380" s="109">
        <v>40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45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25</v>
      </c>
      <c r="AH380" s="1">
        <f>VLOOKUP(A380,'SegEnds_NonXtal_Prot#'!A:AL,31,FALSE)-VLOOKUP(A380,'SegEnds_NonXtal_Prot#'!A:AL,28,FALSE)</f>
        <v>76</v>
      </c>
      <c r="AI380" s="1">
        <f>VLOOKUP(A380,'SegEnds_NonXtal_Prot#'!A:AL,34,FALSE)-VLOOKUP(A380,'SegEnds_NonXtal_Prot#'!A:AL,31,FALSE)</f>
        <v>36</v>
      </c>
      <c r="AJ380" s="1">
        <f>VLOOKUP(A380,'SegEnds_NonXtal_Prot#'!A:AL,37,FALSE)-VLOOKUP(A380,'SegEnds_NonXtal_Prot#'!A:AL,34,FALSE)</f>
        <v>24</v>
      </c>
      <c r="AK380" s="1" t="str">
        <f>IF(ISERROR(MATCH(A380,'SegEnds_Xtal_Prot#'!B:B, 0)), "NoXtal", "Xtal")</f>
        <v>NoXtal</v>
      </c>
    </row>
    <row r="381" spans="1:37" x14ac:dyDescent="0.2">
      <c r="A381" s="1" t="s">
        <v>486</v>
      </c>
      <c r="B381" s="1" t="str">
        <f>VLOOKUP(A381,Xtal_Templ!A:B,2,FALSE)</f>
        <v>5ht2c_human</v>
      </c>
      <c r="C381" s="5">
        <f>VLOOKUP($B381&amp;"__wt",'SegEnds_Xtal_BW#'!$A:$Z,3,FALSE)</f>
        <v>33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8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>
        <f>VLOOKUP(A381,'SegEnds_NonXtal_Prot#'!A:AL,37,FALSE)-VLOOKUP(A381,'SegEnds_NonXtal_Prot#'!A:AL,34,FALSE)</f>
        <v>18</v>
      </c>
      <c r="AK381" s="1" t="str">
        <f>IF(ISERROR(MATCH(A381,'SegEnds_Xtal_Prot#'!B:B, 0)), "NoXtal", "Xtal")</f>
        <v>NoXtal</v>
      </c>
    </row>
    <row r="382" spans="1:37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89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>
        <f>VLOOKUP(A382,'SegEnds_NonXtal_Prot#'!A:AL,37,FALSE)-VLOOKUP(A382,'SegEnds_NonXtal_Prot#'!A:AL,34,FALSE)</f>
        <v>10</v>
      </c>
      <c r="AK382" s="1" t="str">
        <f>IF(ISERROR(MATCH(A382,'SegEnds_Xtal_Prot#'!B:B, 0)), "NoXtal", "Xtal")</f>
        <v>NoXtal</v>
      </c>
    </row>
    <row r="383" spans="1:37" x14ac:dyDescent="0.2">
      <c r="A383" s="1" t="s">
        <v>482</v>
      </c>
      <c r="B383" s="1" t="str">
        <f>VLOOKUP(A383,Xtal_Templ!A:B,2,FALSE)</f>
        <v>ccr9_human</v>
      </c>
      <c r="C383" s="5">
        <f>VLOOKUP($B383&amp;"__wt",'SegEnds_Xtal_BW#'!$A:$Z,3,FALSE)</f>
        <v>27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8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 t="e">
        <f>VLOOKUP(A383,'SegEnds_NonXtal_Prot#'!A:AL,10,FALSE)-VLOOKUP(A383,'SegEnds_NonXtal_Prot#'!A:AL,7,FALSE)</f>
        <v>#VALUE!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74</v>
      </c>
      <c r="AE383" s="1" t="e">
        <f>VLOOKUP(A383,'SegEnds_NonXtal_Prot#'!A:AL,22,FALSE)-VLOOKUP(A383,'SegEnds_NonXtal_Prot#'!A:AL,19,FALSE)</f>
        <v>#VALUE!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81</v>
      </c>
      <c r="AH383" s="1">
        <f>VLOOKUP(A383,'SegEnds_NonXtal_Prot#'!A:AL,31,FALSE)-VLOOKUP(A383,'SegEnds_NonXtal_Prot#'!A:AL,28,FALSE)</f>
        <v>37</v>
      </c>
      <c r="AI383" s="1">
        <f>VLOOKUP(A383,'SegEnds_NonXtal_Prot#'!A:AL,34,FALSE)-VLOOKUP(A383,'SegEnds_NonXtal_Prot#'!A:AL,31,FALSE)</f>
        <v>44</v>
      </c>
      <c r="AJ383" s="1">
        <f>VLOOKUP(A383,'SegEnds_NonXtal_Prot#'!A:AL,37,FALSE)-VLOOKUP(A383,'SegEnds_NonXtal_Prot#'!A:AL,34,FALSE)</f>
        <v>11</v>
      </c>
      <c r="AK383" s="1" t="str">
        <f>IF(ISERROR(MATCH(A383,'SegEnds_Xtal_Prot#'!B:B, 0)), "NoXtal", "Xtal")</f>
        <v>NoXtal</v>
      </c>
    </row>
    <row r="384" spans="1:37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8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 t="e">
        <f>VLOOKUP(A384,'SegEnds_NonXtal_Prot#'!A:AL,10,FALSE)-VLOOKUP(A384,'SegEnds_NonXtal_Prot#'!A:AL,7,FALSE)</f>
        <v>#VALUE!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81</v>
      </c>
      <c r="AE384" s="1" t="e">
        <f>VLOOKUP(A384,'SegEnds_NonXtal_Prot#'!A:AL,22,FALSE)-VLOOKUP(A384,'SegEnds_NonXtal_Prot#'!A:AL,19,FALSE)</f>
        <v>#VALUE!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83</v>
      </c>
      <c r="AH384" s="1">
        <f>VLOOKUP(A384,'SegEnds_NonXtal_Prot#'!A:AL,31,FALSE)-VLOOKUP(A384,'SegEnds_NonXtal_Prot#'!A:AL,28,FALSE)</f>
        <v>79</v>
      </c>
      <c r="AI384" s="1">
        <f>VLOOKUP(A384,'SegEnds_NonXtal_Prot#'!A:AL,34,FALSE)-VLOOKUP(A384,'SegEnds_NonXtal_Prot#'!A:AL,31,FALSE)</f>
        <v>33</v>
      </c>
      <c r="AJ384" s="1">
        <f>VLOOKUP(A384,'SegEnds_NonXtal_Prot#'!A:AL,37,FALSE)-VLOOKUP(A384,'SegEnds_NonXtal_Prot#'!A:AL,34,FALSE)</f>
        <v>10</v>
      </c>
      <c r="AK384" s="1" t="str">
        <f>IF(ISERROR(MATCH(A384,'SegEnds_Xtal_Prot#'!B:B, 0)), "NoXtal", "Xtal")</f>
        <v>NoXtal</v>
      </c>
    </row>
    <row r="385" spans="1:37" x14ac:dyDescent="0.2">
      <c r="A385" s="1" t="s">
        <v>459</v>
      </c>
      <c r="B385" s="1" t="str">
        <f>VLOOKUP(A385,Xtal_Templ!A:B,2,FALSE)</f>
        <v>cxcr4_human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24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8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47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56</v>
      </c>
      <c r="AH385" s="1">
        <f>VLOOKUP(A385,'SegEnds_NonXtal_Prot#'!A:AL,31,FALSE)-VLOOKUP(A385,'SegEnds_NonXtal_Prot#'!A:AL,28,FALSE)</f>
        <v>50</v>
      </c>
      <c r="AI385" s="1">
        <f>VLOOKUP(A385,'SegEnds_NonXtal_Prot#'!A:AL,34,FALSE)-VLOOKUP(A385,'SegEnds_NonXtal_Prot#'!A:AL,31,FALSE)</f>
        <v>35</v>
      </c>
      <c r="AJ385" s="1">
        <f>VLOOKUP(A385,'SegEnds_NonXtal_Prot#'!A:AL,37,FALSE)-VLOOKUP(A385,'SegEnds_NonXtal_Prot#'!A:AL,34,FALSE)</f>
        <v>10</v>
      </c>
      <c r="AK385" s="1" t="str">
        <f>IF(ISERROR(MATCH(A385,'SegEnds_Xtal_Prot#'!B:B, 0)), "NoXtal", "Xtal")</f>
        <v>NoXtal</v>
      </c>
    </row>
    <row r="386" spans="1:37" x14ac:dyDescent="0.2">
      <c r="A386" s="4" t="s">
        <v>474</v>
      </c>
      <c r="B386" s="4" t="str">
        <f>VLOOKUP(A386,Xtal_Templ!A:B,2,FALSE)</f>
        <v>cxcr4_human</v>
      </c>
      <c r="C386" s="5">
        <v>32</v>
      </c>
      <c r="D386" s="4">
        <v>62</v>
      </c>
      <c r="E386" s="4">
        <f>VLOOKUP($B386&amp;"__wt",'SegEnds_Xtal_BW#'!$A:$Z,5,FALSE)</f>
        <v>48</v>
      </c>
      <c r="F386" s="4">
        <f>VLOOKUP($B386&amp;"__wt",'SegEnds_Xtal_BW#'!$A:$Z,6,FALSE)</f>
        <v>51</v>
      </c>
      <c r="G386" s="4">
        <v>39</v>
      </c>
      <c r="H386" s="11">
        <v>66</v>
      </c>
      <c r="I386" s="4" t="s">
        <v>23</v>
      </c>
      <c r="J386" s="4" t="s">
        <v>23</v>
      </c>
      <c r="K386" s="11">
        <v>24</v>
      </c>
      <c r="L386" s="4">
        <f>VLOOKUP($B386&amp;"__wt",'SegEnds_Xtal_BW#'!$A:$Z,12,FALSE)</f>
        <v>56</v>
      </c>
      <c r="M386" s="4">
        <f>VLOOKUP($B386&amp;"__wt",'SegEnds_Xtal_BW#'!$A:$Z,13,FALSE)</f>
        <v>50</v>
      </c>
      <c r="N386" s="11">
        <v>57</v>
      </c>
      <c r="O386" s="89">
        <v>38</v>
      </c>
      <c r="P386" s="4">
        <f>VLOOKUP($B386&amp;"__wt",'SegEnds_Xtal_BW#'!$A:$Z,16,FALSE)</f>
        <v>64</v>
      </c>
      <c r="Q386" s="4">
        <f>VLOOKUP($B386&amp;"__wt",'SegEnds_Xtal_BW#'!$A:$Z,17,FALSE)</f>
        <v>50</v>
      </c>
      <c r="R386" s="4">
        <f>VLOOKUP($B386&amp;"__wt",'SegEnds_Xtal_BW#'!$A:$Z,18,FALSE)</f>
        <v>52</v>
      </c>
      <c r="S386" s="4">
        <v>32</v>
      </c>
      <c r="T386" s="4">
        <v>72</v>
      </c>
      <c r="U386" s="4">
        <v>29</v>
      </c>
      <c r="V386" s="4">
        <v>61</v>
      </c>
      <c r="W386" s="4">
        <v>31</v>
      </c>
      <c r="X386" s="4">
        <f>VLOOKUP($B386&amp;"__wt",'SegEnds_Xtal_BW#'!$A:$Z,24,FALSE)</f>
        <v>56</v>
      </c>
      <c r="Y386" s="4">
        <f>VLOOKUP($B386&amp;"__wt",'SegEnds_Xtal_BW#'!$A:$Z,25,FALSE)</f>
        <v>47</v>
      </c>
      <c r="Z386" s="4">
        <v>60</v>
      </c>
      <c r="AA386" s="27" t="str">
        <f>VLOOKUP(A386,Classification!A:B,2,FALSE)</f>
        <v>T</v>
      </c>
      <c r="AB386" s="4">
        <f>VLOOKUP(A386,'SegEnds_NonXtal_Prot#'!A:AL,10,FALSE)-VLOOKUP(A386,'SegEnds_NonXtal_Prot#'!A:AL,7,FALSE)</f>
        <v>16</v>
      </c>
      <c r="AC386" s="4" t="e">
        <f>VLOOKUP(A386,'SegEnds_NonXtal_Prot#'!A:AL,13,FALSE)-VLOOKUP(A386,'SegEnds_NonXtal_Prot#'!A:AL,10,FALSE)</f>
        <v>#VALUE!</v>
      </c>
      <c r="AD386" s="4">
        <f>VLOOKUP(A386,'SegEnds_NonXtal_Prot#'!A:AL,16,FALSE)-VLOOKUP(A386,'SegEnds_NonXtal_Prot#'!A:AL,10,FALSE)</f>
        <v>48</v>
      </c>
      <c r="AE386" s="1">
        <f>VLOOKUP(A386,'SegEnds_NonXtal_Prot#'!A:AL,22,FALSE)-VLOOKUP(A386,'SegEnds_NonXtal_Prot#'!A:AL,19,FALSE)</f>
        <v>20</v>
      </c>
      <c r="AF386" s="4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4">
        <f>VLOOKUP(A386,'SegEnds_NonXtal_Prot#'!A:AL,31,FALSE)-VLOOKUP(A386,'SegEnds_NonXtal_Prot#'!A:AL,28,FALSE)</f>
        <v>53</v>
      </c>
      <c r="AI386" s="4">
        <f>VLOOKUP(A386,'SegEnds_NonXtal_Prot#'!A:AL,34,FALSE)-VLOOKUP(A386,'SegEnds_NonXtal_Prot#'!A:AL,31,FALSE)</f>
        <v>35</v>
      </c>
      <c r="AJ386" s="1">
        <f>VLOOKUP(A386,'SegEnds_NonXtal_Prot#'!A:AL,37,FALSE)-VLOOKUP(A386,'SegEnds_NonXtal_Prot#'!A:AL,34,FALSE)</f>
        <v>10</v>
      </c>
      <c r="AK386" s="1" t="str">
        <f>IF(ISERROR(MATCH(A386,'SegEnds_Xtal_Prot#'!B:B, 0)), "NoXtal", "Xtal")</f>
        <v>NoXtal</v>
      </c>
    </row>
    <row r="387" spans="1:37" x14ac:dyDescent="0.2">
      <c r="A387" s="1" t="s">
        <v>477</v>
      </c>
      <c r="B387" s="1" t="str">
        <f>VLOOKUP(A387,Xtal_Templ!A:B,2,FALSE)</f>
        <v>hrh1_human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24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57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48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48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>
        <f>VLOOKUP(A387,'SegEnds_NonXtal_Prot#'!A:AL,37,FALSE)-VLOOKUP(A387,'SegEnds_NonXtal_Prot#'!A:AL,34,FALSE)</f>
        <v>10</v>
      </c>
      <c r="AK387" s="1" t="str">
        <f>IF(ISERROR(MATCH(A387,'SegEnds_Xtal_Prot#'!B:B, 0)), "NoXtal", "Xtal")</f>
        <v>NoXtal</v>
      </c>
    </row>
    <row r="388" spans="1:37" x14ac:dyDescent="0.2">
      <c r="A388" s="1" t="s">
        <v>460</v>
      </c>
      <c r="B388" s="1" t="str">
        <f>VLOOKUP(A388,Xtal_Templ!A:B,2,FALSE)</f>
        <v>5ht2c_human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>
        <f>VLOOKUP(A388,'SegEnds_NonXtal_Prot#'!A:AL,37,FALSE)-VLOOKUP(A388,'SegEnds_NonXtal_Prot#'!A:AL,34,FALSE)</f>
        <v>10</v>
      </c>
      <c r="AK388" s="1" t="str">
        <f>IF(ISERROR(MATCH(A388,'SegEnds_Xtal_Prot#'!B:B, 0)), "NoXtal", "Xtal")</f>
        <v>NoXtal</v>
      </c>
    </row>
    <row r="389" spans="1:37" x14ac:dyDescent="0.2">
      <c r="A389" s="1" t="s">
        <v>461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8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>
        <f>VLOOKUP(A389,'SegEnds_NonXtal_Prot#'!A:AL,37,FALSE)-VLOOKUP(A389,'SegEnds_NonXtal_Prot#'!A:AL,34,FALSE)</f>
        <v>10</v>
      </c>
      <c r="AK389" s="1" t="str">
        <f>IF(ISERROR(MATCH(A389,'SegEnds_Xtal_Prot#'!B:B, 0)), "NoXtal", "Xtal")</f>
        <v>NoXtal</v>
      </c>
    </row>
    <row r="390" spans="1:37" x14ac:dyDescent="0.2">
      <c r="A390" s="1" t="s">
        <v>462</v>
      </c>
      <c r="B390" s="1" t="str">
        <f>VLOOKUP(A390,Xtal_Templ!A:B,2,FALSE)</f>
        <v>5ht2c_human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>
        <f>VLOOKUP(A390,'SegEnds_NonXtal_Prot#'!A:AL,37,FALSE)-VLOOKUP(A390,'SegEnds_NonXtal_Prot#'!A:AL,34,FALSE)</f>
        <v>10</v>
      </c>
      <c r="AK390" s="1" t="str">
        <f>IF(ISERROR(MATCH(A390,'SegEnds_Xtal_Prot#'!B:B, 0)), "NoXtal", "Xtal")</f>
        <v>NoXtal</v>
      </c>
    </row>
    <row r="391" spans="1:37" x14ac:dyDescent="0.2">
      <c r="A391" s="1" t="s">
        <v>463</v>
      </c>
      <c r="B391" s="1" t="str">
        <f>VLOOKUP(A391,Xtal_Templ!A:B,2,FALSE)</f>
        <v>drd2_human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62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>
        <f>VLOOKUP(A391,'SegEnds_NonXtal_Prot#'!A:AL,37,FALSE)-VLOOKUP(A391,'SegEnds_NonXtal_Prot#'!A:AL,34,FALSE)</f>
        <v>10</v>
      </c>
      <c r="AK391" s="1" t="str">
        <f>IF(ISERROR(MATCH(A391,'SegEnds_Xtal_Prot#'!B:B, 0)), "NoXtal", "Xtal")</f>
        <v>NoXtal</v>
      </c>
    </row>
    <row r="392" spans="1:37" x14ac:dyDescent="0.2">
      <c r="A392" s="1" t="s">
        <v>469</v>
      </c>
      <c r="B392" s="1" t="str">
        <f>VLOOKUP(A392,Xtal_Templ!A:B,2,FALSE)</f>
        <v>drd2_human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9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>
        <f>VLOOKUP(A392,'SegEnds_NonXtal_Prot#'!A:AL,37,FALSE)-VLOOKUP(A392,'SegEnds_NonXtal_Prot#'!A:AL,34,FALSE)</f>
        <v>10</v>
      </c>
      <c r="AK392" s="1" t="str">
        <f>IF(ISERROR(MATCH(A392,'SegEnds_Xtal_Prot#'!B:B, 0)), "NoXtal", "Xtal")</f>
        <v>NoXtal</v>
      </c>
    </row>
    <row r="393" spans="1:37" x14ac:dyDescent="0.2">
      <c r="A393" s="1" t="s">
        <v>930</v>
      </c>
      <c r="B393" s="1" t="str">
        <f>VLOOKUP(A393,Xtal_Templ!A:B,2,FALSE)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33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56</v>
      </c>
      <c r="AI393" s="1">
        <f>VLOOKUP(A393,'SegEnds_NonXtal_Prot#'!A:AL,34,FALSE)-VLOOKUP(A393,'SegEnds_NonXtal_Prot#'!A:AL,31,FALSE)</f>
        <v>33</v>
      </c>
      <c r="AJ393" s="1">
        <f>VLOOKUP(A393,'SegEnds_NonXtal_Prot#'!A:AL,37,FALSE)-VLOOKUP(A393,'SegEnds_NonXtal_Prot#'!A:AL,34,FALSE)</f>
        <v>10</v>
      </c>
      <c r="AK393" s="1" t="str">
        <f>IF(ISERROR(MATCH(A393,'SegEnds_Xtal_Prot#'!B:B, 0)), "NoXtal", "Xtal")</f>
        <v>NoXtal</v>
      </c>
    </row>
    <row r="394" spans="1:37" x14ac:dyDescent="0.2">
      <c r="A394" s="1" t="s">
        <v>470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>
        <f>VLOOKUP(A394,'SegEnds_NonXtal_Prot#'!A:AL,37,FALSE)-VLOOKUP(A394,'SegEnds_NonXtal_Prot#'!A:AL,34,FALSE)</f>
        <v>10</v>
      </c>
      <c r="AK394" s="1" t="str">
        <f>IF(ISERROR(MATCH(A394,'SegEnds_Xtal_Prot#'!B:B, 0)), "NoXtal", "Xtal")</f>
        <v>NoXtal</v>
      </c>
    </row>
    <row r="395" spans="1:37" x14ac:dyDescent="0.2">
      <c r="A395" s="1" t="s">
        <v>471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>
        <f>VLOOKUP(A395,'SegEnds_NonXtal_Prot#'!A:AL,37,FALSE)-VLOOKUP(A395,'SegEnds_NonXtal_Prot#'!A:AL,34,FALSE)</f>
        <v>10</v>
      </c>
      <c r="AK395" s="1" t="str">
        <f>IF(ISERROR(MATCH(A395,'SegEnds_Xtal_Prot#'!B:B, 0)), "NoXtal", "Xtal")</f>
        <v>NoXtal</v>
      </c>
    </row>
    <row r="396" spans="1:37" x14ac:dyDescent="0.2">
      <c r="A396" s="1" t="s">
        <v>476</v>
      </c>
      <c r="B396" s="1" t="str">
        <f>VLOOKUP(A396,Xtal_Templ!A:B,2,FALSE)</f>
        <v>5ht1b_human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63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53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>
        <f>VLOOKUP(A396,'SegEnds_NonXtal_Prot#'!A:AL,37,FALSE)-VLOOKUP(A396,'SegEnds_NonXtal_Prot#'!A:AL,34,FALSE)</f>
        <v>10</v>
      </c>
      <c r="AK396" s="1" t="str">
        <f>IF(ISERROR(MATCH(A396,'SegEnds_Xtal_Prot#'!B:B, 0)), "NoXtal", "Xtal")</f>
        <v>NoXtal</v>
      </c>
    </row>
    <row r="397" spans="1:37" x14ac:dyDescent="0.2">
      <c r="A397" s="1" t="s">
        <v>456</v>
      </c>
      <c r="B397" s="1" t="str">
        <f>VLOOKUP(A397,Xtal_Templ!A:B,2,FALSE)</f>
        <v>drd2_human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f>VLOOKUP($B397&amp;"__wt",'SegEnds_Xtal_BW#'!$A:$Z,14,FALSE)</f>
        <v>58</v>
      </c>
      <c r="O397" s="89">
        <v>38</v>
      </c>
      <c r="P397" s="1">
        <f>VLOOKUP($B397&amp;"__wt",'SegEnds_Xtal_BW#'!$A:$Z,16,FALSE)</f>
        <v>62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15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50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>
        <f>VLOOKUP(A397,'SegEnds_NonXtal_Prot#'!A:AL,37,FALSE)-VLOOKUP(A397,'SegEnds_NonXtal_Prot#'!A:AL,34,FALSE)</f>
        <v>10</v>
      </c>
      <c r="AK397" s="1" t="str">
        <f>IF(ISERROR(MATCH(A397,'SegEnds_Xtal_Prot#'!B:B, 0)), "NoXtal", "Xtal")</f>
        <v>NoXtal</v>
      </c>
    </row>
    <row r="398" spans="1:37" x14ac:dyDescent="0.2">
      <c r="A398" s="1" t="s">
        <v>457</v>
      </c>
      <c r="B398" s="1" t="str">
        <f>VLOOKUP(A398,Xtal_Templ!A:B,2,FALSE)</f>
        <v>apj_human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52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54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>
        <f>VLOOKUP(A398,'SegEnds_NonXtal_Prot#'!A:AL,37,FALSE)-VLOOKUP(A398,'SegEnds_NonXtal_Prot#'!A:AL,34,FALSE)</f>
        <v>10</v>
      </c>
      <c r="AK398" s="1" t="str">
        <f>IF(ISERROR(MATCH(A398,'SegEnds_Xtal_Prot#'!B:B, 0)), "NoXtal", "Xtal")</f>
        <v>NoXtal</v>
      </c>
    </row>
    <row r="399" spans="1:37" x14ac:dyDescent="0.2">
      <c r="A399" s="1" t="s">
        <v>458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54</v>
      </c>
      <c r="AH399" s="1">
        <f>VLOOKUP(A399,'SegEnds_NonXtal_Prot#'!A:AL,31,FALSE)-VLOOKUP(A399,'SegEnds_NonXtal_Prot#'!A:AL,28,FALSE)</f>
        <v>52</v>
      </c>
      <c r="AI399" s="1">
        <f>VLOOKUP(A399,'SegEnds_NonXtal_Prot#'!A:AL,34,FALSE)-VLOOKUP(A399,'SegEnds_NonXtal_Prot#'!A:AL,31,FALSE)</f>
        <v>35</v>
      </c>
      <c r="AJ399" s="1">
        <f>VLOOKUP(A399,'SegEnds_NonXtal_Prot#'!A:AL,37,FALSE)-VLOOKUP(A399,'SegEnds_NonXtal_Prot#'!A:AL,34,FALSE)</f>
        <v>10</v>
      </c>
      <c r="AK399" s="1" t="str">
        <f>IF(ISERROR(MATCH(A399,'SegEnds_Xtal_Prot#'!B:B, 0)), "NoXtal", "Xtal")</f>
        <v>NoXtal</v>
      </c>
    </row>
    <row r="400" spans="1:37" x14ac:dyDescent="0.2">
      <c r="A400" s="1" t="s">
        <v>465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>
        <f>VLOOKUP(A400,'SegEnds_NonXtal_Prot#'!A:AL,37,FALSE)-VLOOKUP(A400,'SegEnds_NonXtal_Prot#'!A:AL,34,FALSE)</f>
        <v>10</v>
      </c>
      <c r="AK400" s="1" t="str">
        <f>IF(ISERROR(MATCH(A400,'SegEnds_Xtal_Prot#'!B:B, 0)), "NoXtal", "Xtal")</f>
        <v>NoXtal</v>
      </c>
    </row>
    <row r="401" spans="1:37" x14ac:dyDescent="0.2">
      <c r="A401" s="1" t="s">
        <v>466</v>
      </c>
      <c r="B401" s="1" t="str">
        <f>VLOOKUP(A401,Xtal_Templ!A:B,2,FALSE)</f>
        <v>cxcr4_human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57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35</v>
      </c>
      <c r="AJ401" s="1">
        <f>VLOOKUP(A401,'SegEnds_NonXtal_Prot#'!A:AL,37,FALSE)-VLOOKUP(A401,'SegEnds_NonXtal_Prot#'!A:AL,34,FALSE)</f>
        <v>10</v>
      </c>
      <c r="AK401" s="1" t="str">
        <f>IF(ISERROR(MATCH(A401,'SegEnds_Xtal_Prot#'!B:B, 0)), "NoXtal", "Xtal")</f>
        <v>NoXtal</v>
      </c>
    </row>
    <row r="402" spans="1:37" x14ac:dyDescent="0.2">
      <c r="A402" s="1" t="s">
        <v>467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>
        <f>VLOOKUP(A402,'SegEnds_NonXtal_Prot#'!A:AL,37,FALSE)-VLOOKUP(A402,'SegEnds_NonXtal_Prot#'!A:AL,34,FALSE)</f>
        <v>10</v>
      </c>
      <c r="AK402" s="1" t="str">
        <f>IF(ISERROR(MATCH(A402,'SegEnds_Xtal_Prot#'!B:B, 0)), "NoXtal", "Xtal")</f>
        <v>NoXtal</v>
      </c>
    </row>
    <row r="403" spans="1:37" x14ac:dyDescent="0.2">
      <c r="A403" s="1" t="s">
        <v>468</v>
      </c>
      <c r="B403" s="1" t="str">
        <f>VLOOKUP(A403,Xtal_Templ!A:B,2,FALSE)</f>
        <v>hrh1_human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56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>
        <f>VLOOKUP(A403,'SegEnds_NonXtal_Prot#'!A:AL,37,FALSE)-VLOOKUP(A403,'SegEnds_NonXtal_Prot#'!A:AL,34,FALSE)</f>
        <v>10</v>
      </c>
      <c r="AK403" s="1" t="str">
        <f>IF(ISERROR(MATCH(A403,'SegEnds_Xtal_Prot#'!B:B, 0)), "NoXtal", "Xtal")</f>
        <v>NoXtal</v>
      </c>
    </row>
    <row r="404" spans="1:37" x14ac:dyDescent="0.2">
      <c r="A404" s="1" t="s">
        <v>472</v>
      </c>
      <c r="B404" s="1" t="str">
        <f>VLOOKUP(A404,Xtal_Templ!A:B,2,FALSE)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35</v>
      </c>
      <c r="AJ404" s="1">
        <f>VLOOKUP(A404,'SegEnds_NonXtal_Prot#'!A:AL,37,FALSE)-VLOOKUP(A404,'SegEnds_NonXtal_Prot#'!A:AL,34,FALSE)</f>
        <v>10</v>
      </c>
      <c r="AK404" s="1" t="str">
        <f>IF(ISERROR(MATCH(A404,'SegEnds_Xtal_Prot#'!B:B, 0)), "NoXtal", "Xtal")</f>
        <v>NoXtal</v>
      </c>
    </row>
    <row r="405" spans="1:37" x14ac:dyDescent="0.2">
      <c r="A405" s="1" t="s">
        <v>475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56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>
        <f>VLOOKUP(A405,'SegEnds_NonXtal_Prot#'!A:AL,37,FALSE)-VLOOKUP(A405,'SegEnds_NonXtal_Prot#'!A:AL,34,FALSE)</f>
        <v>10</v>
      </c>
      <c r="AK405" s="1" t="str">
        <f>IF(ISERROR(MATCH(A405,'SegEnds_Xtal_Prot#'!B:B, 0)), "NoXtal", "Xtal")</f>
        <v>NoXtal</v>
      </c>
    </row>
    <row r="406" spans="1:37" x14ac:dyDescent="0.2">
      <c r="A406" s="1" t="s">
        <v>478</v>
      </c>
      <c r="B406" s="1" t="str">
        <f>VLOOKUP(A406,Xtal_Templ!A:B,2,FALSE)</f>
        <v>drd2_human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>
        <f>VLOOKUP(A406,'SegEnds_NonXtal_Prot#'!A:AL,37,FALSE)-VLOOKUP(A406,'SegEnds_NonXtal_Prot#'!A:AL,34,FALSE)</f>
        <v>10</v>
      </c>
      <c r="AK406" s="1" t="str">
        <f>IF(ISERROR(MATCH(A406,'SegEnds_Xtal_Prot#'!B:B, 0)), "NoXtal", "Xtal")</f>
        <v>NoXtal</v>
      </c>
    </row>
    <row r="407" spans="1:37" x14ac:dyDescent="0.2">
      <c r="A407" s="1" t="s">
        <v>479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8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57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>
        <f>VLOOKUP(A407,'SegEnds_NonXtal_Prot#'!A:AL,37,FALSE)-VLOOKUP(A407,'SegEnds_NonXtal_Prot#'!A:AL,34,FALSE)</f>
        <v>10</v>
      </c>
      <c r="AK407" s="1" t="str">
        <f>IF(ISERROR(MATCH(A407,'SegEnds_Xtal_Prot#'!B:B, 0)), "NoXtal", "Xtal")</f>
        <v>NoXtal</v>
      </c>
    </row>
    <row r="408" spans="1:37" x14ac:dyDescent="0.2">
      <c r="A408" s="1" t="s">
        <v>480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9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VLOOKUP(A408,'SegEnds_NonXtal_Prot#'!A:AL,10,FALSE)-VLOOKUP(A408,'SegEnds_NonXtal_Prot#'!A:AL,7,FALSE)</f>
        <v>16</v>
      </c>
      <c r="AC408" s="1" t="e">
        <f>VLOOKUP(A408,'SegEnds_NonXtal_Prot#'!A:AL,13,FALSE)-VLOOKUP(A408,'SegEnds_NonXtal_Prot#'!A:AL,10,FALSE)</f>
        <v>#VALUE!</v>
      </c>
      <c r="AD408" s="1">
        <f>VLOOKUP(A408,'SegEnds_NonXtal_Prot#'!A:AL,16,FALSE)-VLOOKUP(A408,'SegEnds_NonXtal_Prot#'!A:AL,10,FALSE)</f>
        <v>52</v>
      </c>
      <c r="AE408" s="1">
        <f>VLOOKUP(A408,'SegEnds_NonXtal_Prot#'!A:AL,22,FALSE)-VLOOKUP(A408,'SegEnds_NonXtal_Prot#'!A:AL,19,FALSE)</f>
        <v>20</v>
      </c>
      <c r="AF408" s="1" t="e">
        <f>VLOOKUP(A408,'SegEnds_NonXtal_Prot#'!A:AL,28,FALSE)-VLOOKUP(A408,'SegEnds_NonXtal_Prot#'!A:AL,25,FALSE)</f>
        <v>#VALUE!</v>
      </c>
      <c r="AG408" s="1">
        <f>VLOOKUP(A408,'SegEnds_NonXtal_Prot#'!A:AL,28,FALSE)-VLOOKUP(A408,'SegEnds_NonXtal_Prot#'!A:AL,22,FALSE)</f>
        <v>54</v>
      </c>
      <c r="AH408" s="1">
        <f>VLOOKUP(A408,'SegEnds_NonXtal_Prot#'!A:AL,31,FALSE)-VLOOKUP(A408,'SegEnds_NonXtal_Prot#'!A:AL,28,FALSE)</f>
        <v>53</v>
      </c>
      <c r="AI408" s="1">
        <f>VLOOKUP(A408,'SegEnds_NonXtal_Prot#'!A:AL,34,FALSE)-VLOOKUP(A408,'SegEnds_NonXtal_Prot#'!A:AL,31,FALSE)</f>
        <v>36</v>
      </c>
      <c r="AJ408" s="1">
        <f>VLOOKUP(A408,'SegEnds_NonXtal_Prot#'!A:AL,37,FALSE)-VLOOKUP(A408,'SegEnds_NonXtal_Prot#'!A:AL,34,FALSE)</f>
        <v>10</v>
      </c>
      <c r="AK408" s="1" t="str">
        <f>IF(ISERROR(MATCH(A408,'SegEnds_Xtal_Prot#'!B:B, 0)), "NoXtal", "Xtal")</f>
        <v>NoXtal</v>
      </c>
    </row>
    <row r="409" spans="1:37" x14ac:dyDescent="0.2">
      <c r="A409" s="1" t="s">
        <v>464</v>
      </c>
      <c r="B409" s="1" t="str">
        <f>VLOOKUP(A409,Xtal_Templ!A:B,2,FALSE)</f>
        <v>agtr1_human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64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VLOOKUP(A409,'SegEnds_NonXtal_Prot#'!A:AL,10,FALSE)-VLOOKUP(A409,'SegEnds_NonXtal_Prot#'!A:AL,7,FALSE)</f>
        <v>16</v>
      </c>
      <c r="AC409" s="1" t="e">
        <f>VLOOKUP(A409,'SegEnds_NonXtal_Prot#'!A:AL,13,FALSE)-VLOOKUP(A409,'SegEnds_NonXtal_Prot#'!A:AL,10,FALSE)</f>
        <v>#VALUE!</v>
      </c>
      <c r="AD409" s="1">
        <f>VLOOKUP(A409,'SegEnds_NonXtal_Prot#'!A:AL,16,FALSE)-VLOOKUP(A409,'SegEnds_NonXtal_Prot#'!A:AL,10,FALSE)</f>
        <v>53</v>
      </c>
      <c r="AE409" s="1">
        <f>VLOOKUP(A409,'SegEnds_NonXtal_Prot#'!A:AL,22,FALSE)-VLOOKUP(A409,'SegEnds_NonXtal_Prot#'!A:AL,19,FALSE)</f>
        <v>20</v>
      </c>
      <c r="AF409" s="1" t="e">
        <f>VLOOKUP(A409,'SegEnds_NonXtal_Prot#'!A:AL,28,FALSE)-VLOOKUP(A409,'SegEnds_NonXtal_Prot#'!A:AL,25,FALSE)</f>
        <v>#VALUE!</v>
      </c>
      <c r="AG409" s="1">
        <f>VLOOKUP(A409,'SegEnds_NonXtal_Prot#'!A:AL,28,FALSE)-VLOOKUP(A409,'SegEnds_NonXtal_Prot#'!A:AL,22,FALSE)</f>
        <v>59</v>
      </c>
      <c r="AH409" s="1">
        <f>VLOOKUP(A409,'SegEnds_NonXtal_Prot#'!A:AL,31,FALSE)-VLOOKUP(A409,'SegEnds_NonXtal_Prot#'!A:AL,28,FALSE)</f>
        <v>53</v>
      </c>
      <c r="AI409" s="1">
        <f>VLOOKUP(A409,'SegEnds_NonXtal_Prot#'!A:AL,34,FALSE)-VLOOKUP(A409,'SegEnds_NonXtal_Prot#'!A:AL,31,FALSE)</f>
        <v>36</v>
      </c>
      <c r="AJ409" s="1">
        <f>VLOOKUP(A409,'SegEnds_NonXtal_Prot#'!A:AL,37,FALSE)-VLOOKUP(A409,'SegEnds_NonXtal_Prot#'!A:AL,34,FALSE)</f>
        <v>10</v>
      </c>
      <c r="AK409" s="1" t="str">
        <f>IF(ISERROR(MATCH(A409,'SegEnds_Xtal_Prot#'!B:B, 0)), "NoXtal", "Xtal")</f>
        <v>NoXtal</v>
      </c>
    </row>
  </sheetData>
  <sortState ref="A2:AK409">
    <sortCondition ref="AA2:AA409"/>
    <sortCondition ref="AD2:AD409"/>
    <sortCondition ref="A2:A409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ellIs" dxfId="30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1"/>
  <sheetViews>
    <sheetView zoomScale="120" zoomScaleNormal="120" zoomScalePageLayoutView="120" workbookViewId="0">
      <pane ySplit="1" topLeftCell="A2" activePane="bottomLeft" state="frozenSplit"/>
      <selection pane="bottomLeft" activeCell="A19" sqref="A19:XFD19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8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7" t="s">
        <v>1094</v>
      </c>
      <c r="U1" s="100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0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6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1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1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1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1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1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1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1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1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1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1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1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1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1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1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1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1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1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 t="shared" ref="F19" si="25">G19-2</f>
        <v>56</v>
      </c>
      <c r="G19" s="3">
        <v>58</v>
      </c>
      <c r="H19" s="3">
        <f t="shared" ref="H19" si="26">G19+1</f>
        <v>59</v>
      </c>
      <c r="I19" s="3">
        <f t="shared" ref="I19" si="27"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 t="shared" ref="O19" si="28"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1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 t="shared" ref="AN19" si="29"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 t="shared" ref="AP19" si="30">IF(ISERROR(F19-E19),"-",F19-E19)</f>
        <v>1</v>
      </c>
      <c r="AQ19" s="3">
        <f t="shared" ref="AQ19" si="31">IF(ISERROR(I19-H19),"-",I19-H19)</f>
        <v>1</v>
      </c>
      <c r="AR19" s="3">
        <f t="shared" ref="AR19" si="32">IF(ISERROR(L19-K19),"-",L19-K19)</f>
        <v>2</v>
      </c>
      <c r="AS19" s="3">
        <f t="shared" ref="AS19" si="33">IF(ISERROR(O19-N19),"-",O19-N19)</f>
        <v>1</v>
      </c>
      <c r="AT19" s="3">
        <f t="shared" ref="AT19" si="34">IF(ISERROR(R19-Q19),"-",R19-Q19)</f>
        <v>1</v>
      </c>
      <c r="AU19" s="3">
        <f t="shared" ref="AU19" si="35">IF(ISERROR(U19-T19),"-",U19-T19)</f>
        <v>1</v>
      </c>
      <c r="AV19" s="3">
        <f t="shared" ref="AV19" si="36">IF(ISERROR(X19-W19),"-",X19-W19)</f>
        <v>12</v>
      </c>
      <c r="AW19" s="3">
        <f t="shared" ref="AW19" si="37">IF(ISERROR(AA19-Z19),"-",AA19-Z19)</f>
        <v>7</v>
      </c>
      <c r="AX19" s="3">
        <f t="shared" ref="AX19" si="38">IF(ISERROR(AD19-AC19),"-",AD19-AC19)</f>
        <v>5</v>
      </c>
      <c r="AY19" s="3">
        <f t="shared" ref="AY19" si="39">IF(ISERROR(AG19-AF19),"-",AG19-AF19)</f>
        <v>4</v>
      </c>
      <c r="AZ19" s="3">
        <f t="shared" ref="AZ19" si="40">IF(ISERROR(AJ19-AI19),"-",AJ19-AI19)</f>
        <v>1</v>
      </c>
      <c r="BA19" s="3">
        <f>IF(ISERROR(LEN(VLOOKUP(A19,Seqs!A:E,2,FALSE))-AL19),"-",LEN(VLOOKUP(A19,Seqs!A:E,2,FALSE))-AL19)</f>
        <v>37</v>
      </c>
      <c r="BB19" s="16">
        <f t="shared" ref="BB19" si="41">J19-D19</f>
        <v>28</v>
      </c>
      <c r="BC19" s="9">
        <f t="shared" ref="BC19" si="42">IF(ISERROR(V19-S19),"-",V19-S19)</f>
        <v>20</v>
      </c>
      <c r="BD19" s="3">
        <f t="shared" ref="BD19" si="43">J19-D19</f>
        <v>28</v>
      </c>
      <c r="BE19" s="3">
        <f t="shared" ref="BE19" si="44"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 t="shared" ref="F20" si="45">G20-2</f>
        <v>49</v>
      </c>
      <c r="G20" s="3">
        <v>51</v>
      </c>
      <c r="H20" s="3">
        <f t="shared" ref="H20" si="46">G20+1</f>
        <v>52</v>
      </c>
      <c r="I20" s="3">
        <f t="shared" ref="I20" si="47"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 t="shared" ref="O20" si="48"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1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 t="shared" ref="AN20" si="49"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 t="shared" ref="AP20" si="50">IF(ISERROR(F20-E20),"-",F20-E20)</f>
        <v>1</v>
      </c>
      <c r="AQ20" s="3">
        <f t="shared" ref="AQ20" si="51">IF(ISERROR(I20-H20),"-",I20-H20)</f>
        <v>1</v>
      </c>
      <c r="AR20" s="3">
        <f t="shared" ref="AR20" si="52">IF(ISERROR(L20-K20),"-",L20-K20)</f>
        <v>1</v>
      </c>
      <c r="AS20" s="3">
        <f t="shared" ref="AS20" si="53">IF(ISERROR(O20-N20),"-",O20-N20)</f>
        <v>1</v>
      </c>
      <c r="AT20" s="3">
        <f t="shared" ref="AT20" si="54">IF(ISERROR(R20-Q20),"-",R20-Q20)</f>
        <v>1</v>
      </c>
      <c r="AU20" s="3">
        <f t="shared" ref="AU20" si="55">IF(ISERROR(U20-T20),"-",U20-T20)</f>
        <v>1</v>
      </c>
      <c r="AV20" s="3">
        <f t="shared" ref="AV20" si="56">IF(ISERROR(X20-W20),"-",X20-W20)</f>
        <v>12</v>
      </c>
      <c r="AW20" s="3">
        <f t="shared" ref="AW20" si="57">IF(ISERROR(AA20-Z20),"-",AA20-Z20)</f>
        <v>4</v>
      </c>
      <c r="AX20" s="3">
        <f t="shared" ref="AX20" si="58">IF(ISERROR(AD20-AC20),"-",AD20-AC20)</f>
        <v>5</v>
      </c>
      <c r="AY20" s="3">
        <f t="shared" ref="AY20" si="59">IF(ISERROR(AG20-AF20),"-",AG20-AF20)</f>
        <v>3</v>
      </c>
      <c r="AZ20" s="3">
        <f t="shared" ref="AZ20" si="60">IF(ISERROR(AJ20-AI20),"-",AJ20-AI20)</f>
        <v>1</v>
      </c>
      <c r="BA20" s="3">
        <f>IF(ISERROR(LEN(VLOOKUP(A20,Seqs!A:E,2,FALSE))-AL20),"-",LEN(VLOOKUP(A20,Seqs!A:E,2,FALSE))-AL20)</f>
        <v>46</v>
      </c>
      <c r="BB20" s="16">
        <f t="shared" ref="BB20" si="61">J20-D20</f>
        <v>28</v>
      </c>
      <c r="BC20" s="9">
        <f t="shared" ref="BC20" si="62">IF(ISERROR(V20-S20),"-",V20-S20)</f>
        <v>20</v>
      </c>
      <c r="BD20" s="3">
        <f t="shared" ref="BD20" si="63">J20-D20</f>
        <v>28</v>
      </c>
      <c r="BE20" s="3">
        <f t="shared" ref="BE20" si="64"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1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6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1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6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6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1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6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6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1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6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6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1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6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6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1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6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6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p2ry1_human</v>
      </c>
      <c r="C27" s="3">
        <f>VLOOKUP($A27,'SegEnds_NonXtal_BW#'!$A:$Z,3,FALSE)+D27-50</f>
        <v>32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1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65"/>
        <v>183</v>
      </c>
      <c r="AA27" s="3">
        <f>IF(ISERROR(VLOOKUP($A27,'SegEnds_NonXtal_BW#'!$A:$Z,19,FALSE)+VLOOKUP($A27,A:AL,28,FALSE)-50),"-",(VLOOKUP($A27,'SegEnds_NonXtal_BW#'!$A:$Z,19,FALSE)+VLOOKUP($A27,A:AL,28,FALSE)-50))</f>
        <v>192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308</v>
      </c>
      <c r="AJ27" s="3">
        <f>IF(ISERROR(VLOOKUP($A27,'SegEnds_NonXtal_BW#'!$A:$Z,25,FALSE)+VLOOKUP($A27,A:AL,37,FALSE)-50),"-",(VLOOKUP($A27,'SegEnds_NonXtal_BW#'!$A:$Z,25,FALSE)+VLOOKUP($A27,A:AL,37,FALSE)-50))</f>
        <v>309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321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10</v>
      </c>
      <c r="AW27" s="3">
        <f t="shared" si="9"/>
        <v>9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18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6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1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6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67">G29-2</f>
        <v>434</v>
      </c>
      <c r="G29" s="3">
        <v>436</v>
      </c>
      <c r="H29" s="3">
        <f t="shared" ref="H29:I48" si="68">G29+1</f>
        <v>437</v>
      </c>
      <c r="I29" s="3">
        <f t="shared" si="6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1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6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67"/>
        <v>444</v>
      </c>
      <c r="G30" s="3">
        <v>446</v>
      </c>
      <c r="H30" s="3">
        <f t="shared" si="68"/>
        <v>447</v>
      </c>
      <c r="I30" s="3">
        <f t="shared" si="6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6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1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6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67"/>
        <v>74</v>
      </c>
      <c r="G31" s="3">
        <v>76</v>
      </c>
      <c r="H31" s="3">
        <f t="shared" si="68"/>
        <v>77</v>
      </c>
      <c r="I31" s="3">
        <f t="shared" si="6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6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1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67"/>
        <v>62</v>
      </c>
      <c r="G32" s="3">
        <v>64</v>
      </c>
      <c r="H32" s="3">
        <f t="shared" si="68"/>
        <v>65</v>
      </c>
      <c r="I32" s="3">
        <f t="shared" si="6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6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1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67"/>
        <v>68</v>
      </c>
      <c r="G33" s="3">
        <v>70</v>
      </c>
      <c r="H33" s="3">
        <f t="shared" si="68"/>
        <v>71</v>
      </c>
      <c r="I33" s="3">
        <f t="shared" si="6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6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1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67"/>
        <v>65</v>
      </c>
      <c r="G34" s="3">
        <v>67</v>
      </c>
      <c r="H34" s="3">
        <f t="shared" si="68"/>
        <v>68</v>
      </c>
      <c r="I34" s="3">
        <f t="shared" si="6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6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1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67"/>
        <v>80</v>
      </c>
      <c r="G35" s="3">
        <v>82</v>
      </c>
      <c r="H35" s="3">
        <f t="shared" si="68"/>
        <v>83</v>
      </c>
      <c r="I35" s="3">
        <f t="shared" si="6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70">M35+2</f>
        <v>118</v>
      </c>
      <c r="O35" s="3">
        <f t="shared" si="6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1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7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67"/>
        <v>80</v>
      </c>
      <c r="G36" s="3">
        <v>82</v>
      </c>
      <c r="H36" s="3">
        <f t="shared" si="68"/>
        <v>83</v>
      </c>
      <c r="I36" s="3">
        <f t="shared" si="68"/>
        <v>84</v>
      </c>
      <c r="J36" s="3">
        <v>97</v>
      </c>
      <c r="K36" s="3">
        <f>VLOOKUP($A36,'SegEnds_NonXtal_BW#'!$A:$Z,8,FALSE)+VLOOKUP($A36,A:AL,10,FALSE)-50</f>
        <v>113</v>
      </c>
      <c r="L36" s="106">
        <f>M36</f>
        <v>115</v>
      </c>
      <c r="M36" s="3">
        <v>115</v>
      </c>
      <c r="N36" s="3">
        <f t="shared" si="70"/>
        <v>117</v>
      </c>
      <c r="O36" s="3">
        <f t="shared" si="6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1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7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67"/>
        <v>63</v>
      </c>
      <c r="G37" s="3">
        <v>65</v>
      </c>
      <c r="H37" s="3">
        <f t="shared" si="68"/>
        <v>66</v>
      </c>
      <c r="I37" s="3">
        <f t="shared" si="68"/>
        <v>67</v>
      </c>
      <c r="J37" s="3">
        <v>80</v>
      </c>
      <c r="K37" s="3">
        <f>VLOOKUP($A37,'SegEnds_NonXtal_BW#'!$A:$Z,8,FALSE)+VLOOKUP($A37,A:AL,10,FALSE)-50</f>
        <v>96</v>
      </c>
      <c r="L37" s="106">
        <f>M37</f>
        <v>98</v>
      </c>
      <c r="M37" s="3">
        <v>98</v>
      </c>
      <c r="N37" s="3">
        <f t="shared" si="70"/>
        <v>100</v>
      </c>
      <c r="O37" s="3">
        <f t="shared" si="6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1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6">
        <v>186</v>
      </c>
      <c r="Y37" s="3">
        <v>186</v>
      </c>
      <c r="Z37" s="3">
        <f t="shared" si="7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67"/>
        <v>65</v>
      </c>
      <c r="G38" s="3">
        <v>67</v>
      </c>
      <c r="H38" s="3">
        <f t="shared" si="68"/>
        <v>68</v>
      </c>
      <c r="I38" s="3">
        <f t="shared" si="6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72">M38-1</f>
        <v>101</v>
      </c>
      <c r="M38" s="3">
        <v>102</v>
      </c>
      <c r="N38" s="3">
        <f t="shared" si="70"/>
        <v>104</v>
      </c>
      <c r="O38" s="3">
        <f t="shared" si="6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1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7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67"/>
        <v>78</v>
      </c>
      <c r="G39" s="3">
        <v>80</v>
      </c>
      <c r="H39" s="3">
        <f t="shared" si="68"/>
        <v>81</v>
      </c>
      <c r="I39" s="3">
        <f t="shared" si="6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72"/>
        <v>114</v>
      </c>
      <c r="M39" s="3">
        <v>115</v>
      </c>
      <c r="N39" s="3">
        <f t="shared" si="70"/>
        <v>117</v>
      </c>
      <c r="O39" s="3">
        <f t="shared" si="6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1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7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67"/>
        <v>67</v>
      </c>
      <c r="G40" s="3">
        <v>69</v>
      </c>
      <c r="H40" s="3">
        <f t="shared" si="68"/>
        <v>70</v>
      </c>
      <c r="I40" s="3">
        <f t="shared" si="6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72"/>
        <v>103</v>
      </c>
      <c r="M40" s="3">
        <v>104</v>
      </c>
      <c r="N40" s="3">
        <f t="shared" si="70"/>
        <v>106</v>
      </c>
      <c r="O40" s="3">
        <f t="shared" si="6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1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7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67"/>
        <v>51</v>
      </c>
      <c r="G41" s="3">
        <v>53</v>
      </c>
      <c r="H41" s="3">
        <f t="shared" si="68"/>
        <v>54</v>
      </c>
      <c r="I41" s="3">
        <f t="shared" si="6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72"/>
        <v>87</v>
      </c>
      <c r="M41" s="3">
        <v>88</v>
      </c>
      <c r="N41" s="3">
        <f t="shared" si="70"/>
        <v>90</v>
      </c>
      <c r="O41" s="3">
        <f t="shared" si="6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1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7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67"/>
        <v>52</v>
      </c>
      <c r="G42" s="3">
        <v>54</v>
      </c>
      <c r="H42" s="3">
        <f t="shared" si="68"/>
        <v>55</v>
      </c>
      <c r="I42" s="3">
        <f t="shared" si="6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72"/>
        <v>88</v>
      </c>
      <c r="M42" s="3">
        <v>89</v>
      </c>
      <c r="N42" s="3">
        <f t="shared" si="70"/>
        <v>91</v>
      </c>
      <c r="O42" s="3">
        <f t="shared" si="6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1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7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67"/>
        <v>103</v>
      </c>
      <c r="G43" s="3">
        <v>105</v>
      </c>
      <c r="H43" s="3">
        <f t="shared" si="68"/>
        <v>106</v>
      </c>
      <c r="I43" s="3">
        <f t="shared" si="6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72"/>
        <v>140</v>
      </c>
      <c r="M43" s="3">
        <v>141</v>
      </c>
      <c r="N43" s="3">
        <f t="shared" si="70"/>
        <v>143</v>
      </c>
      <c r="O43" s="3">
        <f t="shared" si="6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1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7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67"/>
        <v>83</v>
      </c>
      <c r="G44" s="3">
        <v>85</v>
      </c>
      <c r="H44" s="3">
        <f t="shared" si="68"/>
        <v>86</v>
      </c>
      <c r="I44" s="3">
        <f t="shared" si="6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72"/>
        <v>120</v>
      </c>
      <c r="M44" s="3">
        <v>121</v>
      </c>
      <c r="N44" s="3">
        <f t="shared" si="70"/>
        <v>123</v>
      </c>
      <c r="O44" s="3">
        <f t="shared" si="6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1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7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67"/>
        <v>82</v>
      </c>
      <c r="G45" s="3">
        <v>84</v>
      </c>
      <c r="H45" s="3">
        <f t="shared" si="68"/>
        <v>85</v>
      </c>
      <c r="I45" s="3">
        <f t="shared" si="6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72"/>
        <v>119</v>
      </c>
      <c r="M45" s="3">
        <v>120</v>
      </c>
      <c r="N45" s="3">
        <f t="shared" si="70"/>
        <v>122</v>
      </c>
      <c r="O45" s="3">
        <f t="shared" si="6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1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7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67"/>
        <v>48</v>
      </c>
      <c r="G46" s="3">
        <v>50</v>
      </c>
      <c r="H46" s="3">
        <f t="shared" si="68"/>
        <v>51</v>
      </c>
      <c r="I46" s="3">
        <f t="shared" si="6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72"/>
        <v>85</v>
      </c>
      <c r="M46" s="3">
        <v>86</v>
      </c>
      <c r="N46" s="3">
        <f t="shared" si="70"/>
        <v>88</v>
      </c>
      <c r="O46" s="3">
        <f t="shared" si="6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1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7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67"/>
        <v>69</v>
      </c>
      <c r="G47" s="3">
        <v>71</v>
      </c>
      <c r="H47" s="3">
        <f t="shared" si="68"/>
        <v>72</v>
      </c>
      <c r="I47" s="3">
        <f t="shared" si="6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72"/>
        <v>106</v>
      </c>
      <c r="M47" s="3">
        <v>107</v>
      </c>
      <c r="N47" s="3">
        <f t="shared" si="70"/>
        <v>109</v>
      </c>
      <c r="O47" s="3">
        <f t="shared" si="6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1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7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67"/>
        <v>55</v>
      </c>
      <c r="G48" s="3">
        <v>57</v>
      </c>
      <c r="H48" s="3">
        <f t="shared" si="68"/>
        <v>58</v>
      </c>
      <c r="I48" s="3">
        <f t="shared" si="6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72"/>
        <v>91</v>
      </c>
      <c r="M48" s="3">
        <v>92</v>
      </c>
      <c r="N48" s="3">
        <f t="shared" si="70"/>
        <v>94</v>
      </c>
      <c r="O48" s="3">
        <f t="shared" si="6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1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7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67"/>
        <v>110</v>
      </c>
      <c r="G49" s="3">
        <v>112</v>
      </c>
      <c r="H49" s="3">
        <f t="shared" ref="H49:I68" si="73">G49+1</f>
        <v>113</v>
      </c>
      <c r="I49" s="3">
        <f t="shared" si="7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72"/>
        <v>147</v>
      </c>
      <c r="M49" s="3">
        <v>148</v>
      </c>
      <c r="N49" s="3">
        <f t="shared" si="70"/>
        <v>150</v>
      </c>
      <c r="O49" s="3">
        <f t="shared" si="6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1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7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67"/>
        <v>38</v>
      </c>
      <c r="G50" s="3">
        <v>40</v>
      </c>
      <c r="H50" s="3">
        <f t="shared" si="73"/>
        <v>41</v>
      </c>
      <c r="I50" s="3">
        <f t="shared" si="7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70"/>
        <v>75</v>
      </c>
      <c r="O50" s="3">
        <f t="shared" si="6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1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7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9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67"/>
        <v>35</v>
      </c>
      <c r="G51" s="3">
        <v>37</v>
      </c>
      <c r="H51" s="3">
        <f t="shared" si="73"/>
        <v>38</v>
      </c>
      <c r="I51" s="3">
        <f t="shared" si="7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70"/>
        <v>72</v>
      </c>
      <c r="O51" s="3">
        <f t="shared" si="6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1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7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67"/>
        <v>36</v>
      </c>
      <c r="G52" s="3">
        <v>38</v>
      </c>
      <c r="H52" s="3">
        <f t="shared" si="73"/>
        <v>39</v>
      </c>
      <c r="I52" s="3">
        <f t="shared" si="7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70"/>
        <v>73</v>
      </c>
      <c r="O52" s="3">
        <f t="shared" si="6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1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7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67"/>
        <v>41</v>
      </c>
      <c r="G53" s="3">
        <v>43</v>
      </c>
      <c r="H53" s="3">
        <f t="shared" si="73"/>
        <v>44</v>
      </c>
      <c r="I53" s="3">
        <f t="shared" si="7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70"/>
        <v>78</v>
      </c>
      <c r="O53" s="3">
        <f t="shared" si="6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1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7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67"/>
        <v>75</v>
      </c>
      <c r="G54" s="3">
        <v>77</v>
      </c>
      <c r="H54" s="3">
        <f t="shared" si="73"/>
        <v>78</v>
      </c>
      <c r="I54" s="3">
        <f t="shared" si="7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1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7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67"/>
        <v>54</v>
      </c>
      <c r="G55" s="3">
        <v>56</v>
      </c>
      <c r="H55" s="3">
        <f t="shared" si="73"/>
        <v>57</v>
      </c>
      <c r="I55" s="3">
        <f t="shared" si="7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7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1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7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67"/>
        <v>52</v>
      </c>
      <c r="G56" s="3">
        <v>54</v>
      </c>
      <c r="H56" s="3">
        <f t="shared" si="73"/>
        <v>55</v>
      </c>
      <c r="I56" s="3">
        <f t="shared" si="7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7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1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7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67"/>
        <v>97</v>
      </c>
      <c r="G57" s="3">
        <v>99</v>
      </c>
      <c r="H57" s="3">
        <f t="shared" si="73"/>
        <v>100</v>
      </c>
      <c r="I57" s="3">
        <f t="shared" si="7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7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1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7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67"/>
        <v>96</v>
      </c>
      <c r="G58" s="3">
        <v>98</v>
      </c>
      <c r="H58" s="3">
        <f t="shared" si="73"/>
        <v>99</v>
      </c>
      <c r="I58" s="3">
        <f t="shared" si="7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7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1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7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67"/>
        <v>61</v>
      </c>
      <c r="G59" s="3">
        <v>63</v>
      </c>
      <c r="H59" s="3">
        <f t="shared" si="73"/>
        <v>64</v>
      </c>
      <c r="I59" s="3">
        <f t="shared" si="7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7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1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7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67"/>
        <v>59</v>
      </c>
      <c r="G60" s="3">
        <v>61</v>
      </c>
      <c r="H60" s="3">
        <f t="shared" si="73"/>
        <v>62</v>
      </c>
      <c r="I60" s="3">
        <f t="shared" si="7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7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1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7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67"/>
        <v>53</v>
      </c>
      <c r="G61" s="3">
        <v>55</v>
      </c>
      <c r="H61" s="3">
        <f t="shared" si="73"/>
        <v>56</v>
      </c>
      <c r="I61" s="3">
        <f t="shared" si="7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1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67"/>
        <v>55</v>
      </c>
      <c r="G62" s="3">
        <v>57</v>
      </c>
      <c r="H62" s="3">
        <f t="shared" si="73"/>
        <v>58</v>
      </c>
      <c r="I62" s="3">
        <f t="shared" si="7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75">M62-1</f>
        <v>91</v>
      </c>
      <c r="M62" s="3">
        <v>92</v>
      </c>
      <c r="N62" s="3">
        <f t="shared" ref="N62:N68" si="76">M62+2</f>
        <v>94</v>
      </c>
      <c r="O62" s="3">
        <f t="shared" ref="O62:O89" si="7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1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7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67"/>
        <v>74</v>
      </c>
      <c r="G63" s="3">
        <v>76</v>
      </c>
      <c r="H63" s="3">
        <f t="shared" si="73"/>
        <v>77</v>
      </c>
      <c r="I63" s="3">
        <f t="shared" si="7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75"/>
        <v>110</v>
      </c>
      <c r="M63" s="3">
        <v>111</v>
      </c>
      <c r="N63" s="3">
        <f t="shared" si="76"/>
        <v>113</v>
      </c>
      <c r="O63" s="3">
        <f t="shared" si="7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1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7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67"/>
        <v>125</v>
      </c>
      <c r="G64" s="3">
        <v>127</v>
      </c>
      <c r="H64" s="3">
        <f t="shared" si="73"/>
        <v>128</v>
      </c>
      <c r="I64" s="3">
        <f t="shared" si="7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75"/>
        <v>161</v>
      </c>
      <c r="M64" s="3">
        <v>162</v>
      </c>
      <c r="N64" s="3">
        <f t="shared" si="76"/>
        <v>164</v>
      </c>
      <c r="O64" s="3">
        <f t="shared" si="7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1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7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67"/>
        <v>62</v>
      </c>
      <c r="G65" s="3">
        <v>64</v>
      </c>
      <c r="H65" s="3">
        <f t="shared" si="73"/>
        <v>65</v>
      </c>
      <c r="I65" s="3">
        <f t="shared" si="7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75"/>
        <v>98</v>
      </c>
      <c r="M65" s="3">
        <v>99</v>
      </c>
      <c r="N65" s="3">
        <f t="shared" si="76"/>
        <v>101</v>
      </c>
      <c r="O65" s="3">
        <f t="shared" si="7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1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7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67"/>
        <v>41</v>
      </c>
      <c r="G66" s="3">
        <v>43</v>
      </c>
      <c r="H66" s="3">
        <f t="shared" si="73"/>
        <v>44</v>
      </c>
      <c r="I66" s="3">
        <f t="shared" si="7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75"/>
        <v>77</v>
      </c>
      <c r="M66" s="3">
        <v>78</v>
      </c>
      <c r="N66" s="3">
        <f t="shared" si="76"/>
        <v>80</v>
      </c>
      <c r="O66" s="3">
        <f t="shared" si="7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1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7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67"/>
        <v>80</v>
      </c>
      <c r="G67" s="3">
        <v>82</v>
      </c>
      <c r="H67" s="3">
        <f t="shared" si="73"/>
        <v>83</v>
      </c>
      <c r="I67" s="3">
        <f t="shared" si="7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75"/>
        <v>116</v>
      </c>
      <c r="M67" s="3">
        <v>117</v>
      </c>
      <c r="N67" s="3">
        <f t="shared" si="76"/>
        <v>119</v>
      </c>
      <c r="O67" s="3">
        <f t="shared" si="7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1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7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67"/>
        <v>87</v>
      </c>
      <c r="G68" s="3">
        <v>89</v>
      </c>
      <c r="H68" s="3">
        <f t="shared" si="73"/>
        <v>90</v>
      </c>
      <c r="I68" s="3">
        <f t="shared" si="7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75"/>
        <v>123</v>
      </c>
      <c r="M68" s="3">
        <v>124</v>
      </c>
      <c r="N68" s="3">
        <f t="shared" si="76"/>
        <v>126</v>
      </c>
      <c r="O68" s="3">
        <f t="shared" si="7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1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7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79">IF(ISERROR(F68-E68),"-",F68-E68)</f>
        <v>1</v>
      </c>
      <c r="AQ68" s="3">
        <f t="shared" ref="AQ68:AQ131" si="80">IF(ISERROR(I68-H68),"-",I68-H68)</f>
        <v>1</v>
      </c>
      <c r="AR68" s="3">
        <f t="shared" ref="AR68:AR131" si="81">IF(ISERROR(L68-K68),"-",L68-K68)</f>
        <v>2</v>
      </c>
      <c r="AS68" s="3">
        <f t="shared" ref="AS68:AS131" si="82">IF(ISERROR(O68-N68),"-",O68-N68)</f>
        <v>1</v>
      </c>
      <c r="AT68" s="3">
        <f t="shared" ref="AT68:AT131" si="83">IF(ISERROR(R68-Q68),"-",R68-Q68)</f>
        <v>1</v>
      </c>
      <c r="AU68" s="3">
        <f t="shared" ref="AU68:AU131" si="84">IF(ISERROR(U68-T68),"-",U68-T68)</f>
        <v>1</v>
      </c>
      <c r="AV68" s="3">
        <f t="shared" ref="AV68:AV131" si="85">IF(ISERROR(X68-W68),"-",X68-W68)</f>
        <v>19</v>
      </c>
      <c r="AW68" s="3">
        <f t="shared" ref="AW68:AW131" si="86">IF(ISERROR(AA68-Z68),"-",AA68-Z68)</f>
        <v>3</v>
      </c>
      <c r="AX68" s="3">
        <f t="shared" ref="AX68:AX131" si="87">IF(ISERROR(AD68-AC68),"-",AD68-AC68)</f>
        <v>53</v>
      </c>
      <c r="AY68" s="3">
        <f t="shared" ref="AY68:AY131" si="88">IF(ISERROR(AG68-AF68),"-",AG68-AF68)</f>
        <v>5</v>
      </c>
      <c r="AZ68" s="3">
        <f t="shared" ref="AZ68:AZ131" si="8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90">J68-D68</f>
        <v>28</v>
      </c>
      <c r="BC68" s="9">
        <f t="shared" ref="BC68:BC131" si="91">IF(ISERROR(V68-S68),"-",V68-S68)</f>
        <v>20</v>
      </c>
      <c r="BD68" s="3">
        <f t="shared" ref="BD68:BD131" si="92">J68-D68</f>
        <v>28</v>
      </c>
      <c r="BE68" s="3">
        <f t="shared" ref="BE68:BE131" si="9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67"/>
        <v>70</v>
      </c>
      <c r="G69" s="3">
        <v>72</v>
      </c>
      <c r="H69" s="3">
        <f t="shared" ref="H69:I72" si="94">G69+1</f>
        <v>73</v>
      </c>
      <c r="I69" s="3">
        <f t="shared" si="9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7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1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7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9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79"/>
        <v>1</v>
      </c>
      <c r="AQ69" s="3">
        <f t="shared" si="80"/>
        <v>1</v>
      </c>
      <c r="AR69" s="3">
        <f t="shared" si="81"/>
        <v>2</v>
      </c>
      <c r="AS69" s="3">
        <f t="shared" si="82"/>
        <v>1</v>
      </c>
      <c r="AT69" s="3">
        <f t="shared" si="83"/>
        <v>1</v>
      </c>
      <c r="AU69" s="3">
        <f t="shared" si="84"/>
        <v>1</v>
      </c>
      <c r="AV69" s="3">
        <f t="shared" si="85"/>
        <v>19</v>
      </c>
      <c r="AW69" s="3">
        <f t="shared" si="86"/>
        <v>3</v>
      </c>
      <c r="AX69" s="3">
        <f t="shared" si="87"/>
        <v>30</v>
      </c>
      <c r="AY69" s="3">
        <f t="shared" si="88"/>
        <v>5</v>
      </c>
      <c r="AZ69" s="3">
        <f t="shared" si="89"/>
        <v>1</v>
      </c>
      <c r="BA69" s="3">
        <f>IF(ISERROR(LEN(VLOOKUP(A69,Seqs!A:E,2,FALSE))-AL69),"-",LEN(VLOOKUP(A69,Seqs!A:E,2,FALSE))-AL69)</f>
        <v>125</v>
      </c>
      <c r="BB69" s="16">
        <f t="shared" si="90"/>
        <v>28</v>
      </c>
      <c r="BC69" s="9">
        <f t="shared" si="91"/>
        <v>20</v>
      </c>
      <c r="BD69" s="3">
        <f t="shared" si="92"/>
        <v>28</v>
      </c>
      <c r="BE69" s="3">
        <f t="shared" si="9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67"/>
        <v>62</v>
      </c>
      <c r="G70" s="3">
        <v>64</v>
      </c>
      <c r="H70" s="3">
        <f t="shared" si="94"/>
        <v>65</v>
      </c>
      <c r="I70" s="3">
        <f t="shared" si="9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96">M70-1</f>
        <v>98</v>
      </c>
      <c r="M70" s="3">
        <v>99</v>
      </c>
      <c r="N70" s="3">
        <f t="shared" ref="N70:N89" si="97">M70+2</f>
        <v>101</v>
      </c>
      <c r="O70" s="3">
        <f t="shared" si="7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1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7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95"/>
        <v>1</v>
      </c>
      <c r="AO70" s="3" t="str">
        <f>IF(ISERROR(MATCH(A70,'SegEnds_Xtal_Prot#'!B:B, 0)), "NoXtal", "Xtal")</f>
        <v>Xtal</v>
      </c>
      <c r="AP70" s="3">
        <f t="shared" si="79"/>
        <v>1</v>
      </c>
      <c r="AQ70" s="3">
        <f t="shared" si="80"/>
        <v>1</v>
      </c>
      <c r="AR70" s="3">
        <f t="shared" si="81"/>
        <v>2</v>
      </c>
      <c r="AS70" s="3">
        <f t="shared" si="82"/>
        <v>1</v>
      </c>
      <c r="AT70" s="3">
        <f t="shared" si="83"/>
        <v>1</v>
      </c>
      <c r="AU70" s="3">
        <f t="shared" si="84"/>
        <v>1</v>
      </c>
      <c r="AV70" s="3">
        <f t="shared" si="85"/>
        <v>19</v>
      </c>
      <c r="AW70" s="3">
        <f t="shared" si="86"/>
        <v>3</v>
      </c>
      <c r="AX70" s="3">
        <f t="shared" si="87"/>
        <v>25</v>
      </c>
      <c r="AY70" s="3">
        <f t="shared" si="88"/>
        <v>5</v>
      </c>
      <c r="AZ70" s="3">
        <f t="shared" si="89"/>
        <v>1</v>
      </c>
      <c r="BA70" s="3">
        <f>IF(ISERROR(LEN(VLOOKUP(A70,Seqs!A:E,2,FALSE))-AL70),"-",LEN(VLOOKUP(A70,Seqs!A:E,2,FALSE))-AL70)</f>
        <v>72</v>
      </c>
      <c r="BB70" s="16">
        <f t="shared" si="90"/>
        <v>28</v>
      </c>
      <c r="BC70" s="9">
        <f t="shared" si="91"/>
        <v>20</v>
      </c>
      <c r="BD70" s="3">
        <f t="shared" si="92"/>
        <v>28</v>
      </c>
      <c r="BE70" s="3">
        <f t="shared" si="9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67"/>
        <v>66</v>
      </c>
      <c r="G71" s="3">
        <v>68</v>
      </c>
      <c r="H71" s="3">
        <f t="shared" si="94"/>
        <v>69</v>
      </c>
      <c r="I71" s="3">
        <f t="shared" si="9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96"/>
        <v>102</v>
      </c>
      <c r="M71" s="3">
        <v>103</v>
      </c>
      <c r="N71" s="3">
        <f t="shared" si="97"/>
        <v>105</v>
      </c>
      <c r="O71" s="3">
        <f t="shared" si="7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1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7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95"/>
        <v>1</v>
      </c>
      <c r="AO71" s="3" t="str">
        <f>IF(ISERROR(MATCH(A71,'SegEnds_Xtal_Prot#'!B:B, 0)), "NoXtal", "Xtal")</f>
        <v>NoXtal</v>
      </c>
      <c r="AP71" s="3">
        <f t="shared" si="79"/>
        <v>1</v>
      </c>
      <c r="AQ71" s="3">
        <f t="shared" si="80"/>
        <v>1</v>
      </c>
      <c r="AR71" s="3">
        <f t="shared" si="81"/>
        <v>2</v>
      </c>
      <c r="AS71" s="3">
        <f t="shared" si="82"/>
        <v>1</v>
      </c>
      <c r="AT71" s="3">
        <f t="shared" si="83"/>
        <v>1</v>
      </c>
      <c r="AU71" s="3">
        <f t="shared" si="84"/>
        <v>1</v>
      </c>
      <c r="AV71" s="3">
        <f t="shared" si="85"/>
        <v>20</v>
      </c>
      <c r="AW71" s="3">
        <f t="shared" si="86"/>
        <v>3</v>
      </c>
      <c r="AX71" s="3">
        <f t="shared" si="87"/>
        <v>39</v>
      </c>
      <c r="AY71" s="3">
        <f t="shared" si="88"/>
        <v>6</v>
      </c>
      <c r="AZ71" s="3">
        <f t="shared" si="89"/>
        <v>1</v>
      </c>
      <c r="BA71" s="3">
        <f>IF(ISERROR(LEN(VLOOKUP(A71,Seqs!A:E,2,FALSE))-AL71),"-",LEN(VLOOKUP(A71,Seqs!A:E,2,FALSE))-AL71)</f>
        <v>47</v>
      </c>
      <c r="BB71" s="16">
        <f t="shared" si="90"/>
        <v>28</v>
      </c>
      <c r="BC71" s="9">
        <f t="shared" si="91"/>
        <v>20</v>
      </c>
      <c r="BD71" s="3">
        <f t="shared" si="92"/>
        <v>28</v>
      </c>
      <c r="BE71" s="3">
        <f t="shared" si="9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67"/>
        <v>57</v>
      </c>
      <c r="G72" s="3">
        <v>59</v>
      </c>
      <c r="H72" s="3">
        <f t="shared" si="94"/>
        <v>60</v>
      </c>
      <c r="I72" s="3">
        <f t="shared" si="9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96"/>
        <v>93</v>
      </c>
      <c r="M72" s="3">
        <v>94</v>
      </c>
      <c r="N72" s="3">
        <f t="shared" si="97"/>
        <v>96</v>
      </c>
      <c r="O72" s="3">
        <f t="shared" si="7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1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7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95"/>
        <v>1</v>
      </c>
      <c r="AO72" s="3" t="str">
        <f>IF(ISERROR(MATCH(A72,'SegEnds_Xtal_Prot#'!B:B, 0)), "NoXtal", "Xtal")</f>
        <v>Xtal</v>
      </c>
      <c r="AP72" s="3">
        <f t="shared" si="79"/>
        <v>1</v>
      </c>
      <c r="AQ72" s="3">
        <f t="shared" si="80"/>
        <v>1</v>
      </c>
      <c r="AR72" s="3">
        <f t="shared" si="81"/>
        <v>3</v>
      </c>
      <c r="AS72" s="3">
        <f t="shared" si="82"/>
        <v>1</v>
      </c>
      <c r="AT72" s="3">
        <f t="shared" si="83"/>
        <v>1</v>
      </c>
      <c r="AU72" s="3">
        <f t="shared" si="84"/>
        <v>1</v>
      </c>
      <c r="AV72" s="3">
        <f t="shared" si="85"/>
        <v>13</v>
      </c>
      <c r="AW72" s="3">
        <f t="shared" si="86"/>
        <v>9</v>
      </c>
      <c r="AX72" s="3">
        <f t="shared" si="87"/>
        <v>4</v>
      </c>
      <c r="AY72" s="3">
        <f t="shared" si="88"/>
        <v>4</v>
      </c>
      <c r="AZ72" s="3">
        <f t="shared" si="89"/>
        <v>1</v>
      </c>
      <c r="BA72" s="3">
        <f>IF(ISERROR(LEN(VLOOKUP(A72,Seqs!A:E,2,FALSE))-AL72),"-",LEN(VLOOKUP(A72,Seqs!A:E,2,FALSE))-AL72)</f>
        <v>39</v>
      </c>
      <c r="BB72" s="16">
        <f t="shared" si="90"/>
        <v>28</v>
      </c>
      <c r="BC72" s="9">
        <f t="shared" si="91"/>
        <v>20</v>
      </c>
      <c r="BD72" s="3">
        <f t="shared" si="92"/>
        <v>28</v>
      </c>
      <c r="BE72" s="3">
        <f t="shared" si="9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96"/>
        <v>94</v>
      </c>
      <c r="M73" s="3">
        <v>95</v>
      </c>
      <c r="N73" s="3">
        <f t="shared" si="97"/>
        <v>97</v>
      </c>
      <c r="O73" s="3">
        <f t="shared" si="7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1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7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95"/>
        <v>1</v>
      </c>
      <c r="AO73" s="3" t="str">
        <f>IF(ISERROR(MATCH(A73,'SegEnds_Xtal_Prot#'!B:B, 0)), "NoXtal", "Xtal")</f>
        <v>Xtal</v>
      </c>
      <c r="AP73" s="3">
        <f t="shared" si="79"/>
        <v>1</v>
      </c>
      <c r="AQ73" s="3">
        <f t="shared" si="80"/>
        <v>1</v>
      </c>
      <c r="AR73" s="3">
        <f t="shared" si="81"/>
        <v>2</v>
      </c>
      <c r="AS73" s="3">
        <f t="shared" si="82"/>
        <v>1</v>
      </c>
      <c r="AT73" s="3">
        <f t="shared" si="83"/>
        <v>1</v>
      </c>
      <c r="AU73" s="3">
        <f t="shared" si="84"/>
        <v>1</v>
      </c>
      <c r="AV73" s="3">
        <f t="shared" si="85"/>
        <v>13</v>
      </c>
      <c r="AW73" s="3">
        <f t="shared" si="86"/>
        <v>10</v>
      </c>
      <c r="AX73" s="3">
        <f t="shared" si="87"/>
        <v>7</v>
      </c>
      <c r="AY73" s="3">
        <f t="shared" si="88"/>
        <v>4</v>
      </c>
      <c r="AZ73" s="3">
        <f t="shared" si="89"/>
        <v>1</v>
      </c>
      <c r="BA73" s="3">
        <f>IF(ISERROR(LEN(VLOOKUP(A73,Seqs!A:E,2,FALSE))-AL73),"-",LEN(VLOOKUP(A73,Seqs!A:E,2,FALSE))-AL73)</f>
        <v>53</v>
      </c>
      <c r="BB73" s="16">
        <f t="shared" si="90"/>
        <v>29</v>
      </c>
      <c r="BC73" s="9">
        <f t="shared" si="91"/>
        <v>20</v>
      </c>
      <c r="BD73" s="3">
        <f t="shared" si="92"/>
        <v>29</v>
      </c>
      <c r="BE73" s="3">
        <f t="shared" si="9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98">G74+1</f>
        <v>69</v>
      </c>
      <c r="I74" s="3">
        <f t="shared" si="9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96"/>
        <v>102</v>
      </c>
      <c r="M74" s="3">
        <v>103</v>
      </c>
      <c r="N74" s="3">
        <f t="shared" si="97"/>
        <v>105</v>
      </c>
      <c r="O74" s="3">
        <f t="shared" si="7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1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7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95"/>
        <v>1</v>
      </c>
      <c r="AO74" s="3" t="str">
        <f>IF(ISERROR(MATCH(A74,'SegEnds_Xtal_Prot#'!B:B, 0)), "NoXtal", "Xtal")</f>
        <v>NoXtal</v>
      </c>
      <c r="AP74" s="3">
        <f t="shared" si="79"/>
        <v>1</v>
      </c>
      <c r="AQ74" s="3">
        <f t="shared" si="80"/>
        <v>1</v>
      </c>
      <c r="AR74" s="3">
        <f t="shared" si="81"/>
        <v>3</v>
      </c>
      <c r="AS74" s="3">
        <f t="shared" si="82"/>
        <v>1</v>
      </c>
      <c r="AT74" s="3">
        <f t="shared" si="83"/>
        <v>1</v>
      </c>
      <c r="AU74" s="3">
        <f t="shared" si="84"/>
        <v>1</v>
      </c>
      <c r="AV74" s="3">
        <f t="shared" si="85"/>
        <v>13</v>
      </c>
      <c r="AW74" s="3">
        <f t="shared" si="86"/>
        <v>7</v>
      </c>
      <c r="AX74" s="3">
        <f t="shared" si="87"/>
        <v>6</v>
      </c>
      <c r="AY74" s="3">
        <f t="shared" si="88"/>
        <v>4</v>
      </c>
      <c r="AZ74" s="3">
        <f t="shared" si="89"/>
        <v>1</v>
      </c>
      <c r="BA74" s="3">
        <f>IF(ISERROR(LEN(VLOOKUP(A74,Seqs!A:E,2,FALSE))-AL74),"-",LEN(VLOOKUP(A74,Seqs!A:E,2,FALSE))-AL74)</f>
        <v>23</v>
      </c>
      <c r="BB74" s="16">
        <f t="shared" si="90"/>
        <v>28</v>
      </c>
      <c r="BC74" s="9">
        <f t="shared" si="91"/>
        <v>20</v>
      </c>
      <c r="BD74" s="3">
        <f t="shared" si="92"/>
        <v>28</v>
      </c>
      <c r="BE74" s="3">
        <f t="shared" si="9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98"/>
        <v>89</v>
      </c>
      <c r="I75" s="3">
        <f t="shared" si="9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96"/>
        <v>122</v>
      </c>
      <c r="M75" s="3">
        <v>123</v>
      </c>
      <c r="N75" s="3">
        <f t="shared" si="97"/>
        <v>125</v>
      </c>
      <c r="O75" s="3">
        <f t="shared" si="7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1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7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95"/>
        <v>1</v>
      </c>
      <c r="AO75" s="3" t="str">
        <f>IF(ISERROR(MATCH(A75,'SegEnds_Xtal_Prot#'!B:B, 0)), "NoXtal", "Xtal")</f>
        <v>NoXtal</v>
      </c>
      <c r="AP75" s="3">
        <f t="shared" si="79"/>
        <v>1</v>
      </c>
      <c r="AQ75" s="3">
        <f t="shared" si="80"/>
        <v>1</v>
      </c>
      <c r="AR75" s="3">
        <f t="shared" si="81"/>
        <v>3</v>
      </c>
      <c r="AS75" s="3">
        <f t="shared" si="82"/>
        <v>1</v>
      </c>
      <c r="AT75" s="3">
        <f t="shared" si="83"/>
        <v>1</v>
      </c>
      <c r="AU75" s="3">
        <f t="shared" si="84"/>
        <v>1</v>
      </c>
      <c r="AV75" s="3">
        <f t="shared" si="85"/>
        <v>15</v>
      </c>
      <c r="AW75" s="3">
        <f t="shared" si="86"/>
        <v>3</v>
      </c>
      <c r="AX75" s="3">
        <f t="shared" si="87"/>
        <v>5</v>
      </c>
      <c r="AY75" s="3">
        <f t="shared" si="88"/>
        <v>4</v>
      </c>
      <c r="AZ75" s="3">
        <f t="shared" si="89"/>
        <v>1</v>
      </c>
      <c r="BA75" s="3">
        <f>IF(ISERROR(LEN(VLOOKUP(A75,Seqs!A:E,2,FALSE))-AL75),"-",LEN(VLOOKUP(A75,Seqs!A:E,2,FALSE))-AL75)</f>
        <v>41</v>
      </c>
      <c r="BB75" s="16">
        <f t="shared" si="90"/>
        <v>28</v>
      </c>
      <c r="BC75" s="9">
        <f t="shared" si="91"/>
        <v>20</v>
      </c>
      <c r="BD75" s="3">
        <f t="shared" si="92"/>
        <v>28</v>
      </c>
      <c r="BE75" s="3">
        <f t="shared" si="9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98"/>
        <v>79</v>
      </c>
      <c r="I76" s="3">
        <f t="shared" si="9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96"/>
        <v>112</v>
      </c>
      <c r="M76" s="3">
        <v>113</v>
      </c>
      <c r="N76" s="3">
        <f t="shared" si="97"/>
        <v>115</v>
      </c>
      <c r="O76" s="3">
        <f t="shared" si="7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1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7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95"/>
        <v>1</v>
      </c>
      <c r="AO76" s="3" t="str">
        <f>IF(ISERROR(MATCH(A76,'SegEnds_Xtal_Prot#'!B:B, 0)), "NoXtal", "Xtal")</f>
        <v>NoXtal</v>
      </c>
      <c r="AP76" s="3">
        <f t="shared" si="79"/>
        <v>1</v>
      </c>
      <c r="AQ76" s="3">
        <f t="shared" si="80"/>
        <v>1</v>
      </c>
      <c r="AR76" s="3">
        <f t="shared" si="81"/>
        <v>2</v>
      </c>
      <c r="AS76" s="3">
        <f t="shared" si="82"/>
        <v>1</v>
      </c>
      <c r="AT76" s="3">
        <f t="shared" si="83"/>
        <v>1</v>
      </c>
      <c r="AU76" s="3">
        <f t="shared" si="84"/>
        <v>1</v>
      </c>
      <c r="AV76" s="3">
        <f t="shared" si="85"/>
        <v>17</v>
      </c>
      <c r="AW76" s="3">
        <f t="shared" si="86"/>
        <v>2</v>
      </c>
      <c r="AX76" s="3">
        <f t="shared" si="87"/>
        <v>9</v>
      </c>
      <c r="AY76" s="3">
        <f t="shared" si="88"/>
        <v>8</v>
      </c>
      <c r="AZ76" s="3">
        <f t="shared" si="89"/>
        <v>1</v>
      </c>
      <c r="BA76" s="3">
        <f>IF(ISERROR(LEN(VLOOKUP(A76,Seqs!A:E,2,FALSE))-AL76),"-",LEN(VLOOKUP(A76,Seqs!A:E,2,FALSE))-AL76)</f>
        <v>52</v>
      </c>
      <c r="BB76" s="16">
        <f t="shared" si="90"/>
        <v>28</v>
      </c>
      <c r="BC76" s="9">
        <f t="shared" si="91"/>
        <v>20</v>
      </c>
      <c r="BD76" s="3">
        <f t="shared" si="92"/>
        <v>28</v>
      </c>
      <c r="BE76" s="3">
        <f t="shared" si="9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96"/>
        <v>87</v>
      </c>
      <c r="M77" s="3">
        <v>88</v>
      </c>
      <c r="N77" s="3">
        <f t="shared" si="97"/>
        <v>90</v>
      </c>
      <c r="O77" s="3">
        <f t="shared" si="7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1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7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95"/>
        <v>1</v>
      </c>
      <c r="AO77" s="3" t="str">
        <f>IF(ISERROR(MATCH(A77,'SegEnds_Xtal_Prot#'!B:B, 0)), "NoXtal", "Xtal")</f>
        <v>NoXtal</v>
      </c>
      <c r="AP77" s="3" t="str">
        <f t="shared" si="79"/>
        <v>-</v>
      </c>
      <c r="AQ77" s="3" t="str">
        <f t="shared" si="80"/>
        <v>-</v>
      </c>
      <c r="AR77" s="3">
        <f t="shared" si="81"/>
        <v>2</v>
      </c>
      <c r="AS77" s="3">
        <f t="shared" si="82"/>
        <v>1</v>
      </c>
      <c r="AT77" s="3">
        <f t="shared" si="83"/>
        <v>1</v>
      </c>
      <c r="AU77" s="3">
        <f t="shared" si="84"/>
        <v>1</v>
      </c>
      <c r="AV77" s="3">
        <f t="shared" si="85"/>
        <v>11</v>
      </c>
      <c r="AW77" s="3">
        <f t="shared" si="86"/>
        <v>155</v>
      </c>
      <c r="AX77" s="3">
        <f t="shared" si="87"/>
        <v>7</v>
      </c>
      <c r="AY77" s="3">
        <f t="shared" si="88"/>
        <v>4</v>
      </c>
      <c r="AZ77" s="3">
        <f t="shared" si="89"/>
        <v>1</v>
      </c>
      <c r="BA77" s="3">
        <f>IF(ISERROR(LEN(VLOOKUP(A77,Seqs!A:E,2,FALSE))-AL77),"-",LEN(VLOOKUP(A77,Seqs!A:E,2,FALSE))-AL77)</f>
        <v>34</v>
      </c>
      <c r="BB77" s="16">
        <f t="shared" si="90"/>
        <v>27</v>
      </c>
      <c r="BC77" s="9">
        <f t="shared" si="91"/>
        <v>20</v>
      </c>
      <c r="BD77" s="3">
        <f t="shared" si="92"/>
        <v>27</v>
      </c>
      <c r="BE77" s="3">
        <f t="shared" si="9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96"/>
        <v>101</v>
      </c>
      <c r="M78" s="3">
        <v>102</v>
      </c>
      <c r="N78" s="3">
        <f t="shared" si="97"/>
        <v>104</v>
      </c>
      <c r="O78" s="3">
        <f t="shared" si="7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1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7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95"/>
        <v>1</v>
      </c>
      <c r="AO78" s="3" t="str">
        <f>IF(ISERROR(MATCH(A78,'SegEnds_Xtal_Prot#'!B:B, 0)), "NoXtal", "Xtal")</f>
        <v>Xtal</v>
      </c>
      <c r="AP78" s="3" t="str">
        <f t="shared" si="79"/>
        <v>-</v>
      </c>
      <c r="AQ78" s="3" t="str">
        <f t="shared" si="80"/>
        <v>-</v>
      </c>
      <c r="AR78" s="3">
        <f t="shared" si="81"/>
        <v>2</v>
      </c>
      <c r="AS78" s="3">
        <f t="shared" si="82"/>
        <v>1</v>
      </c>
      <c r="AT78" s="3">
        <f t="shared" si="83"/>
        <v>1</v>
      </c>
      <c r="AU78" s="3">
        <f t="shared" si="84"/>
        <v>1</v>
      </c>
      <c r="AV78" s="3">
        <f t="shared" si="85"/>
        <v>13</v>
      </c>
      <c r="AW78" s="3">
        <f t="shared" si="86"/>
        <v>5</v>
      </c>
      <c r="AX78" s="3">
        <f t="shared" si="87"/>
        <v>6</v>
      </c>
      <c r="AY78" s="3">
        <f t="shared" si="88"/>
        <v>4</v>
      </c>
      <c r="AZ78" s="3">
        <f t="shared" si="89"/>
        <v>1</v>
      </c>
      <c r="BA78" s="3">
        <f>IF(ISERROR(LEN(VLOOKUP(A78,Seqs!A:E,2,FALSE))-AL78),"-",LEN(VLOOKUP(A78,Seqs!A:E,2,FALSE))-AL78)</f>
        <v>37</v>
      </c>
      <c r="BB78" s="16">
        <f t="shared" si="90"/>
        <v>27</v>
      </c>
      <c r="BC78" s="9">
        <f t="shared" si="91"/>
        <v>20</v>
      </c>
      <c r="BD78" s="3">
        <f t="shared" si="92"/>
        <v>27</v>
      </c>
      <c r="BE78" s="3">
        <f t="shared" si="9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96"/>
        <v>99</v>
      </c>
      <c r="M79" s="3">
        <v>100</v>
      </c>
      <c r="N79" s="3">
        <f t="shared" si="97"/>
        <v>102</v>
      </c>
      <c r="O79" s="3">
        <f t="shared" si="7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1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7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95"/>
        <v>1</v>
      </c>
      <c r="AO79" s="3" t="str">
        <f>IF(ISERROR(MATCH(A79,'SegEnds_Xtal_Prot#'!B:B, 0)), "NoXtal", "Xtal")</f>
        <v>NoXtal</v>
      </c>
      <c r="AP79" s="3" t="str">
        <f t="shared" si="79"/>
        <v>-</v>
      </c>
      <c r="AQ79" s="3" t="str">
        <f t="shared" si="80"/>
        <v>-</v>
      </c>
      <c r="AR79" s="3">
        <f t="shared" si="81"/>
        <v>2</v>
      </c>
      <c r="AS79" s="3">
        <f t="shared" si="82"/>
        <v>1</v>
      </c>
      <c r="AT79" s="3">
        <f t="shared" si="83"/>
        <v>1</v>
      </c>
      <c r="AU79" s="3">
        <f t="shared" si="84"/>
        <v>1</v>
      </c>
      <c r="AV79" s="3">
        <f t="shared" si="85"/>
        <v>13</v>
      </c>
      <c r="AW79" s="3">
        <f t="shared" si="86"/>
        <v>5</v>
      </c>
      <c r="AX79" s="3">
        <f t="shared" si="87"/>
        <v>3</v>
      </c>
      <c r="AY79" s="3">
        <f t="shared" si="88"/>
        <v>4</v>
      </c>
      <c r="AZ79" s="3">
        <f t="shared" si="89"/>
        <v>1</v>
      </c>
      <c r="BA79" s="3">
        <f>IF(ISERROR(LEN(VLOOKUP(A79,Seqs!A:E,2,FALSE))-AL79),"-",LEN(VLOOKUP(A79,Seqs!A:E,2,FALSE))-AL79)</f>
        <v>33</v>
      </c>
      <c r="BB79" s="16">
        <f t="shared" si="90"/>
        <v>27</v>
      </c>
      <c r="BC79" s="9">
        <f t="shared" si="91"/>
        <v>20</v>
      </c>
      <c r="BD79" s="3">
        <f t="shared" si="92"/>
        <v>27</v>
      </c>
      <c r="BE79" s="3">
        <f t="shared" si="93"/>
        <v>36</v>
      </c>
      <c r="BF79" s="3">
        <f>MIN(ABS(BE79-'ICL3'!F2:F233))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99">G80-2</f>
        <v>70</v>
      </c>
      <c r="G80" s="3">
        <v>72</v>
      </c>
      <c r="H80" s="3">
        <f t="shared" ref="H80:I86" si="100">G80+1</f>
        <v>73</v>
      </c>
      <c r="I80" s="3">
        <f t="shared" si="10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96"/>
        <v>106</v>
      </c>
      <c r="M80" s="3">
        <v>107</v>
      </c>
      <c r="N80" s="3">
        <f t="shared" si="97"/>
        <v>109</v>
      </c>
      <c r="O80" s="3">
        <f t="shared" si="7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1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7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95"/>
        <v>1</v>
      </c>
      <c r="AO80" s="3" t="str">
        <f>IF(ISERROR(MATCH(A80,'SegEnds_Xtal_Prot#'!B:B, 0)), "NoXtal", "Xtal")</f>
        <v>NoXtal</v>
      </c>
      <c r="AP80" s="3">
        <f t="shared" si="79"/>
        <v>1</v>
      </c>
      <c r="AQ80" s="3">
        <f t="shared" si="80"/>
        <v>1</v>
      </c>
      <c r="AR80" s="3">
        <f t="shared" si="81"/>
        <v>2</v>
      </c>
      <c r="AS80" s="3">
        <f t="shared" si="82"/>
        <v>1</v>
      </c>
      <c r="AT80" s="3">
        <f t="shared" si="83"/>
        <v>1</v>
      </c>
      <c r="AU80" s="3">
        <f t="shared" si="84"/>
        <v>1</v>
      </c>
      <c r="AV80" s="3">
        <f t="shared" si="85"/>
        <v>16</v>
      </c>
      <c r="AW80" s="3">
        <f t="shared" si="86"/>
        <v>5</v>
      </c>
      <c r="AX80" s="3">
        <f t="shared" si="87"/>
        <v>57</v>
      </c>
      <c r="AY80" s="3">
        <f t="shared" si="88"/>
        <v>6</v>
      </c>
      <c r="AZ80" s="3">
        <f t="shared" si="89"/>
        <v>1</v>
      </c>
      <c r="BA80" s="3">
        <f>IF(ISERROR(LEN(VLOOKUP(A80,Seqs!A:E,2,FALSE))-AL80),"-",LEN(VLOOKUP(A80,Seqs!A:E,2,FALSE))-AL80)</f>
        <v>43</v>
      </c>
      <c r="BB80" s="16">
        <f t="shared" si="90"/>
        <v>28</v>
      </c>
      <c r="BC80" s="9">
        <f t="shared" si="91"/>
        <v>20</v>
      </c>
      <c r="BD80" s="3">
        <f t="shared" si="92"/>
        <v>28</v>
      </c>
      <c r="BE80" s="3">
        <f t="shared" si="9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99"/>
        <v>63</v>
      </c>
      <c r="G81" s="3">
        <v>65</v>
      </c>
      <c r="H81" s="3">
        <f t="shared" si="100"/>
        <v>66</v>
      </c>
      <c r="I81" s="3">
        <f t="shared" si="10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96"/>
        <v>98</v>
      </c>
      <c r="M81" s="3">
        <v>99</v>
      </c>
      <c r="N81" s="3">
        <f t="shared" si="97"/>
        <v>101</v>
      </c>
      <c r="O81" s="3">
        <f t="shared" si="7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1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7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95"/>
        <v>1</v>
      </c>
      <c r="AO81" s="3" t="str">
        <f>IF(ISERROR(MATCH(A81,'SegEnds_Xtal_Prot#'!B:B, 0)), "NoXtal", "Xtal")</f>
        <v>NoXtal</v>
      </c>
      <c r="AP81" s="3">
        <f t="shared" si="79"/>
        <v>1</v>
      </c>
      <c r="AQ81" s="3">
        <f t="shared" si="80"/>
        <v>1</v>
      </c>
      <c r="AR81" s="3">
        <f t="shared" si="81"/>
        <v>2</v>
      </c>
      <c r="AS81" s="3">
        <f t="shared" si="82"/>
        <v>1</v>
      </c>
      <c r="AT81" s="3">
        <f t="shared" si="83"/>
        <v>1</v>
      </c>
      <c r="AU81" s="3">
        <f t="shared" si="84"/>
        <v>1</v>
      </c>
      <c r="AV81" s="3">
        <f t="shared" si="85"/>
        <v>11</v>
      </c>
      <c r="AW81" s="3">
        <f t="shared" si="86"/>
        <v>6</v>
      </c>
      <c r="AX81" s="3">
        <f t="shared" si="87"/>
        <v>5</v>
      </c>
      <c r="AY81" s="3">
        <f t="shared" si="88"/>
        <v>3</v>
      </c>
      <c r="AZ81" s="3">
        <f t="shared" si="89"/>
        <v>1</v>
      </c>
      <c r="BA81" s="3">
        <f>IF(ISERROR(LEN(VLOOKUP(A81,Seqs!A:E,2,FALSE))-AL81),"-",LEN(VLOOKUP(A81,Seqs!A:E,2,FALSE))-AL81)</f>
        <v>38</v>
      </c>
      <c r="BB81" s="16">
        <f t="shared" si="90"/>
        <v>28</v>
      </c>
      <c r="BC81" s="9">
        <f t="shared" si="91"/>
        <v>20</v>
      </c>
      <c r="BD81" s="3">
        <f t="shared" si="92"/>
        <v>28</v>
      </c>
      <c r="BE81" s="3">
        <f t="shared" si="9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99"/>
        <v>71</v>
      </c>
      <c r="G82" s="3">
        <v>73</v>
      </c>
      <c r="H82" s="3">
        <f t="shared" si="100"/>
        <v>74</v>
      </c>
      <c r="I82" s="3">
        <f t="shared" si="10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96"/>
        <v>105</v>
      </c>
      <c r="M82" s="3">
        <v>106</v>
      </c>
      <c r="N82" s="3">
        <f t="shared" si="97"/>
        <v>108</v>
      </c>
      <c r="O82" s="3">
        <f t="shared" si="7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1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7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95"/>
        <v>1</v>
      </c>
      <c r="AO82" s="3" t="str">
        <f>IF(ISERROR(MATCH(A82,'SegEnds_Xtal_Prot#'!B:B, 0)), "NoXtal", "Xtal")</f>
        <v>Xtal</v>
      </c>
      <c r="AP82" s="3">
        <f t="shared" si="79"/>
        <v>1</v>
      </c>
      <c r="AQ82" s="3">
        <f t="shared" si="80"/>
        <v>1</v>
      </c>
      <c r="AR82" s="3">
        <f t="shared" si="81"/>
        <v>1</v>
      </c>
      <c r="AS82" s="3">
        <f t="shared" si="82"/>
        <v>1</v>
      </c>
      <c r="AT82" s="3">
        <f t="shared" si="83"/>
        <v>1</v>
      </c>
      <c r="AU82" s="3">
        <f t="shared" si="84"/>
        <v>1</v>
      </c>
      <c r="AV82" s="3">
        <f t="shared" si="85"/>
        <v>11</v>
      </c>
      <c r="AW82" s="3">
        <f t="shared" si="86"/>
        <v>3</v>
      </c>
      <c r="AX82" s="3">
        <f t="shared" si="87"/>
        <v>4</v>
      </c>
      <c r="AY82" s="3">
        <f t="shared" si="88"/>
        <v>3</v>
      </c>
      <c r="AZ82" s="3">
        <f t="shared" si="89"/>
        <v>1</v>
      </c>
      <c r="BA82" s="3">
        <f>IF(ISERROR(LEN(VLOOKUP(A82,Seqs!A:E,2,FALSE))-AL82),"-",LEN(VLOOKUP(A82,Seqs!A:E,2,FALSE))-AL82)</f>
        <v>54</v>
      </c>
      <c r="BB82" s="16">
        <f t="shared" si="90"/>
        <v>28</v>
      </c>
      <c r="BC82" s="9">
        <f t="shared" si="91"/>
        <v>20</v>
      </c>
      <c r="BD82" s="3">
        <f t="shared" si="92"/>
        <v>28</v>
      </c>
      <c r="BE82" s="3">
        <f t="shared" si="9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99"/>
        <v>63</v>
      </c>
      <c r="G83" s="3">
        <v>65</v>
      </c>
      <c r="H83" s="3">
        <f t="shared" si="100"/>
        <v>66</v>
      </c>
      <c r="I83" s="3">
        <f t="shared" si="10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96"/>
        <v>98</v>
      </c>
      <c r="M83" s="3">
        <v>99</v>
      </c>
      <c r="N83" s="3">
        <f t="shared" si="97"/>
        <v>101</v>
      </c>
      <c r="O83" s="3">
        <f t="shared" si="7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1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7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95"/>
        <v>1</v>
      </c>
      <c r="AO83" s="3" t="str">
        <f>IF(ISERROR(MATCH(A83,'SegEnds_Xtal_Prot#'!B:B, 0)), "NoXtal", "Xtal")</f>
        <v>NoXtal</v>
      </c>
      <c r="AP83" s="3">
        <f t="shared" si="79"/>
        <v>1</v>
      </c>
      <c r="AQ83" s="3">
        <f t="shared" si="80"/>
        <v>1</v>
      </c>
      <c r="AR83" s="3">
        <f t="shared" si="81"/>
        <v>2</v>
      </c>
      <c r="AS83" s="3">
        <f t="shared" si="82"/>
        <v>1</v>
      </c>
      <c r="AT83" s="3">
        <f t="shared" si="83"/>
        <v>1</v>
      </c>
      <c r="AU83" s="3">
        <f t="shared" si="84"/>
        <v>1</v>
      </c>
      <c r="AV83" s="3">
        <f t="shared" si="85"/>
        <v>11</v>
      </c>
      <c r="AW83" s="3">
        <f t="shared" si="86"/>
        <v>6</v>
      </c>
      <c r="AX83" s="3">
        <f t="shared" si="87"/>
        <v>5</v>
      </c>
      <c r="AY83" s="3">
        <f t="shared" si="88"/>
        <v>3</v>
      </c>
      <c r="AZ83" s="3">
        <f t="shared" si="89"/>
        <v>1</v>
      </c>
      <c r="BA83" s="3">
        <f>IF(ISERROR(LEN(VLOOKUP(A83,Seqs!A:E,2,FALSE))-AL83),"-",LEN(VLOOKUP(A83,Seqs!A:E,2,FALSE))-AL83)</f>
        <v>38</v>
      </c>
      <c r="BB83" s="16">
        <f t="shared" si="90"/>
        <v>28</v>
      </c>
      <c r="BC83" s="9">
        <f t="shared" si="91"/>
        <v>20</v>
      </c>
      <c r="BD83" s="3">
        <f t="shared" si="92"/>
        <v>28</v>
      </c>
      <c r="BE83" s="3">
        <f t="shared" si="9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99"/>
        <v>68</v>
      </c>
      <c r="G84" s="3">
        <v>70</v>
      </c>
      <c r="H84" s="3">
        <f t="shared" si="100"/>
        <v>71</v>
      </c>
      <c r="I84" s="3">
        <f t="shared" si="10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96"/>
        <v>102</v>
      </c>
      <c r="M84" s="3">
        <v>103</v>
      </c>
      <c r="N84" s="3">
        <f t="shared" si="97"/>
        <v>105</v>
      </c>
      <c r="O84" s="3">
        <f t="shared" si="7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1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7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95"/>
        <v>1</v>
      </c>
      <c r="AO84" s="3" t="str">
        <f>IF(ISERROR(MATCH(A84,'SegEnds_Xtal_Prot#'!B:B, 0)), "NoXtal", "Xtal")</f>
        <v>NoXtal</v>
      </c>
      <c r="AP84" s="3">
        <f t="shared" si="79"/>
        <v>1</v>
      </c>
      <c r="AQ84" s="3">
        <f t="shared" si="80"/>
        <v>1</v>
      </c>
      <c r="AR84" s="3">
        <f t="shared" si="81"/>
        <v>1</v>
      </c>
      <c r="AS84" s="3">
        <f t="shared" si="82"/>
        <v>1</v>
      </c>
      <c r="AT84" s="3">
        <f t="shared" si="83"/>
        <v>1</v>
      </c>
      <c r="AU84" s="3">
        <f t="shared" si="84"/>
        <v>1</v>
      </c>
      <c r="AV84" s="3">
        <f t="shared" si="85"/>
        <v>11</v>
      </c>
      <c r="AW84" s="3">
        <f t="shared" si="86"/>
        <v>5</v>
      </c>
      <c r="AX84" s="3">
        <f t="shared" si="87"/>
        <v>5</v>
      </c>
      <c r="AY84" s="3">
        <f t="shared" si="88"/>
        <v>3</v>
      </c>
      <c r="AZ84" s="3">
        <f t="shared" si="89"/>
        <v>1</v>
      </c>
      <c r="BA84" s="3">
        <f>IF(ISERROR(LEN(VLOOKUP(A84,Seqs!A:E,2,FALSE))-AL84),"-",LEN(VLOOKUP(A84,Seqs!A:E,2,FALSE))-AL84)</f>
        <v>40</v>
      </c>
      <c r="BB84" s="16">
        <f t="shared" si="90"/>
        <v>28</v>
      </c>
      <c r="BC84" s="9">
        <f t="shared" si="91"/>
        <v>20</v>
      </c>
      <c r="BD84" s="3">
        <f t="shared" si="92"/>
        <v>28</v>
      </c>
      <c r="BE84" s="3">
        <f t="shared" si="9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99"/>
        <v>59</v>
      </c>
      <c r="G85" s="3">
        <v>61</v>
      </c>
      <c r="H85" s="3">
        <f t="shared" si="100"/>
        <v>62</v>
      </c>
      <c r="I85" s="3">
        <f t="shared" si="10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96"/>
        <v>93</v>
      </c>
      <c r="M85" s="3">
        <v>94</v>
      </c>
      <c r="N85" s="3">
        <f t="shared" si="97"/>
        <v>96</v>
      </c>
      <c r="O85" s="3">
        <f t="shared" si="7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7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95"/>
        <v>1</v>
      </c>
      <c r="AO85" s="3" t="str">
        <f>IF(ISERROR(MATCH(A85,'SegEnds_Xtal_Prot#'!B:B, 0)), "NoXtal", "Xtal")</f>
        <v>Xtal</v>
      </c>
      <c r="AP85" s="3">
        <f t="shared" si="79"/>
        <v>1</v>
      </c>
      <c r="AQ85" s="3">
        <f t="shared" si="80"/>
        <v>1</v>
      </c>
      <c r="AR85" s="3">
        <f t="shared" si="81"/>
        <v>1</v>
      </c>
      <c r="AS85" s="3">
        <f t="shared" si="82"/>
        <v>1</v>
      </c>
      <c r="AT85" s="3">
        <f t="shared" si="83"/>
        <v>1</v>
      </c>
      <c r="AU85" s="3">
        <f t="shared" si="84"/>
        <v>1</v>
      </c>
      <c r="AV85" s="3">
        <f t="shared" si="85"/>
        <v>11</v>
      </c>
      <c r="AW85" s="3">
        <f t="shared" si="86"/>
        <v>6</v>
      </c>
      <c r="AX85" s="3">
        <f t="shared" si="87"/>
        <v>4</v>
      </c>
      <c r="AY85" s="3">
        <f t="shared" si="88"/>
        <v>3</v>
      </c>
      <c r="AZ85" s="3">
        <f t="shared" si="89"/>
        <v>1</v>
      </c>
      <c r="BA85" s="3">
        <f>IF(ISERROR(LEN(VLOOKUP(A85,Seqs!A:E,2,FALSE))-AL85),"-",LEN(VLOOKUP(A85,Seqs!A:E,2,FALSE))-AL85)</f>
        <v>39</v>
      </c>
      <c r="BB85" s="16">
        <f t="shared" si="90"/>
        <v>28</v>
      </c>
      <c r="BC85" s="3">
        <f t="shared" si="91"/>
        <v>20</v>
      </c>
      <c r="BD85" s="3">
        <f t="shared" si="92"/>
        <v>28</v>
      </c>
      <c r="BE85" s="3">
        <f t="shared" si="9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99"/>
        <v>64</v>
      </c>
      <c r="G86" s="3">
        <v>66</v>
      </c>
      <c r="H86" s="3">
        <f t="shared" si="100"/>
        <v>67</v>
      </c>
      <c r="I86" s="3">
        <f t="shared" si="10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96"/>
        <v>98</v>
      </c>
      <c r="M86" s="3">
        <v>99</v>
      </c>
      <c r="N86" s="3">
        <f t="shared" si="97"/>
        <v>101</v>
      </c>
      <c r="O86" s="3">
        <f t="shared" si="7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1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7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95"/>
        <v>1</v>
      </c>
      <c r="AO86" s="3" t="str">
        <f>IF(ISERROR(MATCH(A86,'SegEnds_Xtal_Prot#'!B:B, 0)), "NoXtal", "Xtal")</f>
        <v>NoXtal</v>
      </c>
      <c r="AP86" s="3">
        <f t="shared" si="79"/>
        <v>1</v>
      </c>
      <c r="AQ86" s="3">
        <f t="shared" si="80"/>
        <v>1</v>
      </c>
      <c r="AR86" s="3">
        <f t="shared" si="81"/>
        <v>1</v>
      </c>
      <c r="AS86" s="3">
        <f t="shared" si="82"/>
        <v>1</v>
      </c>
      <c r="AT86" s="3">
        <f t="shared" si="83"/>
        <v>1</v>
      </c>
      <c r="AU86" s="3">
        <f t="shared" si="84"/>
        <v>1</v>
      </c>
      <c r="AV86" s="3">
        <f t="shared" si="85"/>
        <v>11</v>
      </c>
      <c r="AW86" s="3">
        <f t="shared" si="86"/>
        <v>5</v>
      </c>
      <c r="AX86" s="3">
        <f t="shared" si="87"/>
        <v>5</v>
      </c>
      <c r="AY86" s="3">
        <f t="shared" si="88"/>
        <v>3</v>
      </c>
      <c r="AZ86" s="3">
        <f t="shared" si="89"/>
        <v>1</v>
      </c>
      <c r="BA86" s="3">
        <f>IF(ISERROR(LEN(VLOOKUP(A86,Seqs!A:E,2,FALSE))-AL86),"-",LEN(VLOOKUP(A86,Seqs!A:E,2,FALSE))-AL86)</f>
        <v>39</v>
      </c>
      <c r="BB86" s="16">
        <f t="shared" si="90"/>
        <v>28</v>
      </c>
      <c r="BC86" s="9">
        <f t="shared" si="91"/>
        <v>20</v>
      </c>
      <c r="BD86" s="3">
        <f t="shared" si="92"/>
        <v>28</v>
      </c>
      <c r="BE86" s="3">
        <f t="shared" si="9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96"/>
        <v>88</v>
      </c>
      <c r="M87" s="3">
        <v>89</v>
      </c>
      <c r="N87" s="3">
        <f t="shared" si="97"/>
        <v>91</v>
      </c>
      <c r="O87" s="3">
        <f t="shared" si="7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1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7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95"/>
        <v>1</v>
      </c>
      <c r="AO87" s="3" t="str">
        <f>IF(ISERROR(MATCH(A87,'SegEnds_Xtal_Prot#'!B:B, 0)), "NoXtal", "Xtal")</f>
        <v>NoXtal</v>
      </c>
      <c r="AP87" s="3" t="str">
        <f t="shared" si="79"/>
        <v>-</v>
      </c>
      <c r="AQ87" s="3" t="str">
        <f t="shared" si="80"/>
        <v>-</v>
      </c>
      <c r="AR87" s="3">
        <f t="shared" si="81"/>
        <v>3</v>
      </c>
      <c r="AS87" s="3">
        <f t="shared" si="82"/>
        <v>1</v>
      </c>
      <c r="AT87" s="3">
        <f t="shared" si="83"/>
        <v>1</v>
      </c>
      <c r="AU87" s="3">
        <f t="shared" si="84"/>
        <v>1</v>
      </c>
      <c r="AV87" s="3">
        <f t="shared" si="85"/>
        <v>11</v>
      </c>
      <c r="AW87" s="3">
        <f t="shared" si="86"/>
        <v>8</v>
      </c>
      <c r="AX87" s="3">
        <f t="shared" si="87"/>
        <v>6</v>
      </c>
      <c r="AY87" s="3">
        <f t="shared" si="88"/>
        <v>4</v>
      </c>
      <c r="AZ87" s="3">
        <f t="shared" si="89"/>
        <v>1</v>
      </c>
      <c r="BA87" s="3">
        <f>IF(ISERROR(LEN(VLOOKUP(A87,Seqs!A:E,2,FALSE))-AL87),"-",LEN(VLOOKUP(A87,Seqs!A:E,2,FALSE))-AL87)</f>
        <v>26</v>
      </c>
      <c r="BB87" s="16">
        <f t="shared" si="90"/>
        <v>28</v>
      </c>
      <c r="BC87" s="9">
        <f t="shared" si="91"/>
        <v>20</v>
      </c>
      <c r="BD87" s="3">
        <f t="shared" si="92"/>
        <v>28</v>
      </c>
      <c r="BE87" s="3">
        <f t="shared" si="9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96"/>
        <v>103</v>
      </c>
      <c r="M88" s="3">
        <v>104</v>
      </c>
      <c r="N88" s="3">
        <f t="shared" si="97"/>
        <v>106</v>
      </c>
      <c r="O88" s="3">
        <f t="shared" si="7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1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7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95"/>
        <v>1</v>
      </c>
      <c r="AO88" s="3" t="str">
        <f>IF(ISERROR(MATCH(A88,'SegEnds_Xtal_Prot#'!B:B, 0)), "NoXtal", "Xtal")</f>
        <v>NoXtal</v>
      </c>
      <c r="AP88" s="3" t="str">
        <f t="shared" si="79"/>
        <v>-</v>
      </c>
      <c r="AQ88" s="3" t="str">
        <f t="shared" si="80"/>
        <v>-</v>
      </c>
      <c r="AR88" s="3">
        <f t="shared" si="81"/>
        <v>3</v>
      </c>
      <c r="AS88" s="3">
        <f t="shared" si="82"/>
        <v>1</v>
      </c>
      <c r="AT88" s="3">
        <f t="shared" si="83"/>
        <v>1</v>
      </c>
      <c r="AU88" s="3">
        <f t="shared" si="84"/>
        <v>1</v>
      </c>
      <c r="AV88" s="3">
        <f t="shared" si="85"/>
        <v>10</v>
      </c>
      <c r="AW88" s="3">
        <f t="shared" si="86"/>
        <v>6</v>
      </c>
      <c r="AX88" s="3">
        <f t="shared" si="87"/>
        <v>5</v>
      </c>
      <c r="AY88" s="3">
        <f t="shared" si="88"/>
        <v>7</v>
      </c>
      <c r="AZ88" s="3">
        <f t="shared" si="89"/>
        <v>1</v>
      </c>
      <c r="BA88" s="3">
        <f>IF(ISERROR(LEN(VLOOKUP(A88,Seqs!A:E,2,FALSE))-AL88),"-",LEN(VLOOKUP(A88,Seqs!A:E,2,FALSE))-AL88)</f>
        <v>25</v>
      </c>
      <c r="BB88" s="16">
        <f t="shared" si="90"/>
        <v>28</v>
      </c>
      <c r="BC88" s="9">
        <f t="shared" si="91"/>
        <v>20</v>
      </c>
      <c r="BD88" s="3">
        <f t="shared" si="92"/>
        <v>28</v>
      </c>
      <c r="BE88" s="3">
        <f t="shared" si="9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96"/>
        <v>104</v>
      </c>
      <c r="M89" s="3">
        <v>105</v>
      </c>
      <c r="N89" s="3">
        <f t="shared" si="97"/>
        <v>107</v>
      </c>
      <c r="O89" s="3">
        <f t="shared" si="7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1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7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95"/>
        <v>1</v>
      </c>
      <c r="AO89" s="3" t="str">
        <f>IF(ISERROR(MATCH(A89,'SegEnds_Xtal_Prot#'!B:B, 0)), "NoXtal", "Xtal")</f>
        <v>NoXtal</v>
      </c>
      <c r="AP89" s="3" t="str">
        <f t="shared" si="79"/>
        <v>-</v>
      </c>
      <c r="AQ89" s="3" t="str">
        <f t="shared" si="80"/>
        <v>-</v>
      </c>
      <c r="AR89" s="3">
        <f t="shared" si="81"/>
        <v>3</v>
      </c>
      <c r="AS89" s="3">
        <f t="shared" si="82"/>
        <v>1</v>
      </c>
      <c r="AT89" s="3">
        <f t="shared" si="83"/>
        <v>1</v>
      </c>
      <c r="AU89" s="3">
        <f t="shared" si="84"/>
        <v>1</v>
      </c>
      <c r="AV89" s="3">
        <f t="shared" si="85"/>
        <v>11</v>
      </c>
      <c r="AW89" s="3">
        <f t="shared" si="86"/>
        <v>25</v>
      </c>
      <c r="AX89" s="3">
        <f t="shared" si="87"/>
        <v>5</v>
      </c>
      <c r="AY89" s="3">
        <f t="shared" si="88"/>
        <v>5</v>
      </c>
      <c r="AZ89" s="3">
        <f t="shared" si="89"/>
        <v>1</v>
      </c>
      <c r="BA89" s="3">
        <f>IF(ISERROR(LEN(VLOOKUP(A89,Seqs!A:E,2,FALSE))-AL89),"-",LEN(VLOOKUP(A89,Seqs!A:E,2,FALSE))-AL89)</f>
        <v>39</v>
      </c>
      <c r="BB89" s="16">
        <f t="shared" si="90"/>
        <v>27</v>
      </c>
      <c r="BC89" s="9">
        <f t="shared" si="91"/>
        <v>20</v>
      </c>
      <c r="BD89" s="3">
        <f t="shared" si="92"/>
        <v>27</v>
      </c>
      <c r="BE89" s="3">
        <f t="shared" si="9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101">G90-2</f>
        <v>145</v>
      </c>
      <c r="G90" s="3">
        <v>147</v>
      </c>
      <c r="H90" s="3">
        <f t="shared" ref="H90:H98" si="10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1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95"/>
        <v>1</v>
      </c>
      <c r="AO90" s="3" t="str">
        <f>IF(ISERROR(MATCH(A90,'SegEnds_Xtal_Prot#'!B:B, 0)), "NoXtal", "Xtal")</f>
        <v>Xtal</v>
      </c>
      <c r="AP90" s="3">
        <f t="shared" si="79"/>
        <v>1</v>
      </c>
      <c r="AQ90" s="3">
        <f t="shared" si="80"/>
        <v>2</v>
      </c>
      <c r="AR90" s="3" t="str">
        <f t="shared" si="81"/>
        <v>-</v>
      </c>
      <c r="AS90" s="3" t="str">
        <f t="shared" si="82"/>
        <v>-</v>
      </c>
      <c r="AT90" s="3">
        <f t="shared" si="83"/>
        <v>1</v>
      </c>
      <c r="AU90" s="3">
        <f t="shared" si="84"/>
        <v>1</v>
      </c>
      <c r="AV90" s="3" t="str">
        <f t="shared" si="85"/>
        <v>-</v>
      </c>
      <c r="AW90" s="3" t="str">
        <f t="shared" si="86"/>
        <v>-</v>
      </c>
      <c r="AX90" s="3">
        <f t="shared" si="87"/>
        <v>20</v>
      </c>
      <c r="AY90" s="3">
        <f t="shared" si="88"/>
        <v>3</v>
      </c>
      <c r="AZ90" s="3">
        <f t="shared" si="89"/>
        <v>1</v>
      </c>
      <c r="BA90" s="3">
        <f>IF(ISERROR(LEN(VLOOKUP(A90,Seqs!A:E,2,FALSE))-AL90),"-",LEN(VLOOKUP(A90,Seqs!A:E,2,FALSE))-AL90)</f>
        <v>59</v>
      </c>
      <c r="BB90" s="16">
        <f t="shared" si="90"/>
        <v>29</v>
      </c>
      <c r="BC90" s="9">
        <f t="shared" si="91"/>
        <v>20</v>
      </c>
      <c r="BD90" s="3">
        <f t="shared" si="92"/>
        <v>29</v>
      </c>
      <c r="BE90" s="3">
        <f t="shared" si="9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101"/>
        <v>62</v>
      </c>
      <c r="G91" s="3">
        <v>64</v>
      </c>
      <c r="H91" s="3">
        <f t="shared" si="102"/>
        <v>65</v>
      </c>
      <c r="I91" s="3">
        <f t="shared" ref="I91:I101" si="10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1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95"/>
        <v>1</v>
      </c>
      <c r="AO91" s="3" t="str">
        <f>IF(ISERROR(MATCH(A91,'SegEnds_Xtal_Prot#'!B:B, 0)), "NoXtal", "Xtal")</f>
        <v>NoXtal</v>
      </c>
      <c r="AP91" s="3">
        <f t="shared" si="79"/>
        <v>1</v>
      </c>
      <c r="AQ91" s="3">
        <f t="shared" si="80"/>
        <v>1</v>
      </c>
      <c r="AR91" s="3" t="str">
        <f t="shared" si="81"/>
        <v>-</v>
      </c>
      <c r="AS91" s="3" t="str">
        <f t="shared" si="82"/>
        <v>-</v>
      </c>
      <c r="AT91" s="3">
        <f t="shared" si="83"/>
        <v>1</v>
      </c>
      <c r="AU91" s="3">
        <f t="shared" si="84"/>
        <v>1</v>
      </c>
      <c r="AV91" s="3" t="str">
        <f t="shared" si="85"/>
        <v>-</v>
      </c>
      <c r="AW91" s="3" t="str">
        <f t="shared" si="86"/>
        <v>-</v>
      </c>
      <c r="AX91" s="3">
        <f t="shared" si="87"/>
        <v>6</v>
      </c>
      <c r="AY91" s="3">
        <f t="shared" si="88"/>
        <v>6</v>
      </c>
      <c r="AZ91" s="3">
        <f t="shared" si="89"/>
        <v>1</v>
      </c>
      <c r="BA91" s="3">
        <f>IF(ISERROR(LEN(VLOOKUP(A91,Seqs!A:E,2,FALSE))-AL91),"-",LEN(VLOOKUP(A91,Seqs!A:E,2,FALSE))-AL91)</f>
        <v>45</v>
      </c>
      <c r="BB91" s="16">
        <f t="shared" si="90"/>
        <v>29</v>
      </c>
      <c r="BC91" s="9">
        <f t="shared" si="91"/>
        <v>20</v>
      </c>
      <c r="BD91" s="3">
        <f t="shared" si="92"/>
        <v>29</v>
      </c>
      <c r="BE91" s="3">
        <f t="shared" si="9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101"/>
        <v>60</v>
      </c>
      <c r="G92" s="3">
        <v>62</v>
      </c>
      <c r="H92" s="3">
        <f t="shared" si="102"/>
        <v>63</v>
      </c>
      <c r="I92" s="3">
        <f t="shared" si="10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1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10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95"/>
        <v>1</v>
      </c>
      <c r="AO92" s="3" t="str">
        <f>IF(ISERROR(MATCH(A92,'SegEnds_Xtal_Prot#'!B:B, 0)), "NoXtal", "Xtal")</f>
        <v>NoXtal</v>
      </c>
      <c r="AP92" s="3">
        <f t="shared" si="79"/>
        <v>1</v>
      </c>
      <c r="AQ92" s="3">
        <f t="shared" si="80"/>
        <v>1</v>
      </c>
      <c r="AR92" s="3" t="str">
        <f t="shared" si="81"/>
        <v>-</v>
      </c>
      <c r="AS92" s="3" t="str">
        <f t="shared" si="82"/>
        <v>-</v>
      </c>
      <c r="AT92" s="3">
        <f t="shared" si="83"/>
        <v>1</v>
      </c>
      <c r="AU92" s="3">
        <f t="shared" si="84"/>
        <v>1</v>
      </c>
      <c r="AV92" s="3">
        <f t="shared" si="85"/>
        <v>7</v>
      </c>
      <c r="AW92" s="3">
        <f t="shared" si="86"/>
        <v>6</v>
      </c>
      <c r="AX92" s="3">
        <f t="shared" si="87"/>
        <v>5</v>
      </c>
      <c r="AY92" s="3">
        <f t="shared" si="88"/>
        <v>4</v>
      </c>
      <c r="AZ92" s="3">
        <f t="shared" si="89"/>
        <v>1</v>
      </c>
      <c r="BA92" s="3">
        <f>IF(ISERROR(LEN(VLOOKUP(A92,Seqs!A:E,2,FALSE))-AL92),"-",LEN(VLOOKUP(A92,Seqs!A:E,2,FALSE))-AL92)</f>
        <v>46</v>
      </c>
      <c r="BB92" s="16">
        <f t="shared" si="90"/>
        <v>28</v>
      </c>
      <c r="BC92" s="9">
        <f t="shared" si="91"/>
        <v>20</v>
      </c>
      <c r="BD92" s="3">
        <f t="shared" si="92"/>
        <v>28</v>
      </c>
      <c r="BE92" s="3">
        <f t="shared" si="9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101"/>
        <v>82</v>
      </c>
      <c r="G93" s="3">
        <v>84</v>
      </c>
      <c r="H93" s="3">
        <f t="shared" si="102"/>
        <v>85</v>
      </c>
      <c r="I93" s="3">
        <f t="shared" si="10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105">M93-1</f>
        <v>116</v>
      </c>
      <c r="M93" s="3">
        <v>117</v>
      </c>
      <c r="N93" s="3">
        <f t="shared" ref="N93:N100" si="106">M93+2</f>
        <v>119</v>
      </c>
      <c r="O93" s="3">
        <f t="shared" ref="O93:O100" si="10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1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10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95"/>
        <v>1</v>
      </c>
      <c r="AO93" s="3" t="str">
        <f>IF(ISERROR(MATCH(A93,'SegEnds_Xtal_Prot#'!B:B, 0)), "NoXtal", "Xtal")</f>
        <v>NoXtal</v>
      </c>
      <c r="AP93" s="3">
        <f t="shared" si="79"/>
        <v>1</v>
      </c>
      <c r="AQ93" s="3">
        <f t="shared" si="80"/>
        <v>1</v>
      </c>
      <c r="AR93" s="3">
        <f t="shared" si="81"/>
        <v>1</v>
      </c>
      <c r="AS93" s="3">
        <f t="shared" si="82"/>
        <v>1</v>
      </c>
      <c r="AT93" s="3">
        <f t="shared" si="83"/>
        <v>1</v>
      </c>
      <c r="AU93" s="3">
        <f t="shared" si="84"/>
        <v>1</v>
      </c>
      <c r="AV93" s="3">
        <f t="shared" si="85"/>
        <v>13</v>
      </c>
      <c r="AW93" s="3">
        <f t="shared" si="86"/>
        <v>4</v>
      </c>
      <c r="AX93" s="3">
        <f t="shared" si="87"/>
        <v>5</v>
      </c>
      <c r="AY93" s="3">
        <f t="shared" si="88"/>
        <v>5</v>
      </c>
      <c r="AZ93" s="3">
        <f t="shared" si="89"/>
        <v>1</v>
      </c>
      <c r="BA93" s="3">
        <f>IF(ISERROR(LEN(VLOOKUP(A93,Seqs!A:E,2,FALSE))-AL93),"-",LEN(VLOOKUP(A93,Seqs!A:E,2,FALSE))-AL93)</f>
        <v>34</v>
      </c>
      <c r="BB93" s="16">
        <f t="shared" si="90"/>
        <v>28</v>
      </c>
      <c r="BC93" s="9">
        <f t="shared" si="91"/>
        <v>20</v>
      </c>
      <c r="BD93" s="3">
        <f t="shared" si="92"/>
        <v>28</v>
      </c>
      <c r="BE93" s="3">
        <f t="shared" si="9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101"/>
        <v>67</v>
      </c>
      <c r="G94" s="3">
        <v>69</v>
      </c>
      <c r="H94" s="3">
        <f t="shared" si="102"/>
        <v>70</v>
      </c>
      <c r="I94" s="3">
        <f t="shared" si="10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105"/>
        <v>101</v>
      </c>
      <c r="M94" s="3">
        <v>102</v>
      </c>
      <c r="N94" s="3">
        <f t="shared" si="106"/>
        <v>104</v>
      </c>
      <c r="O94" s="3">
        <f t="shared" si="10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1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10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95"/>
        <v>1</v>
      </c>
      <c r="AO94" s="3" t="str">
        <f>IF(ISERROR(MATCH(A94,'SegEnds_Xtal_Prot#'!B:B, 0)), "NoXtal", "Xtal")</f>
        <v>Xtal</v>
      </c>
      <c r="AP94" s="3">
        <f t="shared" si="79"/>
        <v>1</v>
      </c>
      <c r="AQ94" s="3">
        <f t="shared" si="80"/>
        <v>1</v>
      </c>
      <c r="AR94" s="3">
        <f t="shared" si="81"/>
        <v>1</v>
      </c>
      <c r="AS94" s="3">
        <f t="shared" si="82"/>
        <v>1</v>
      </c>
      <c r="AT94" s="3">
        <f t="shared" si="83"/>
        <v>1</v>
      </c>
      <c r="AU94" s="3">
        <f t="shared" si="84"/>
        <v>1</v>
      </c>
      <c r="AV94" s="3">
        <f t="shared" si="85"/>
        <v>11</v>
      </c>
      <c r="AW94" s="3">
        <f t="shared" si="86"/>
        <v>5</v>
      </c>
      <c r="AX94" s="3">
        <f t="shared" si="87"/>
        <v>5</v>
      </c>
      <c r="AY94" s="3">
        <f t="shared" si="88"/>
        <v>5</v>
      </c>
      <c r="AZ94" s="3">
        <f t="shared" si="89"/>
        <v>1</v>
      </c>
      <c r="BA94" s="3">
        <f>IF(ISERROR(LEN(VLOOKUP(A94,Seqs!A:E,2,FALSE))-AL94),"-",LEN(VLOOKUP(A94,Seqs!A:E,2,FALSE))-AL94)</f>
        <v>34</v>
      </c>
      <c r="BB94" s="16">
        <f t="shared" si="90"/>
        <v>28</v>
      </c>
      <c r="BC94" s="9">
        <f t="shared" si="91"/>
        <v>20</v>
      </c>
      <c r="BD94" s="3">
        <f t="shared" si="92"/>
        <v>28</v>
      </c>
      <c r="BE94" s="3">
        <f t="shared" si="9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101"/>
        <v>80</v>
      </c>
      <c r="G95" s="3">
        <v>82</v>
      </c>
      <c r="H95" s="3">
        <f t="shared" si="102"/>
        <v>83</v>
      </c>
      <c r="I95" s="3">
        <f t="shared" si="10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105"/>
        <v>114</v>
      </c>
      <c r="M95" s="3">
        <v>115</v>
      </c>
      <c r="N95" s="3">
        <f t="shared" si="106"/>
        <v>117</v>
      </c>
      <c r="O95" s="3">
        <f t="shared" si="10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1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10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95"/>
        <v>1</v>
      </c>
      <c r="AO95" s="3" t="str">
        <f>IF(ISERROR(MATCH(A95,'SegEnds_Xtal_Prot#'!B:B, 0)), "NoXtal", "Xtal")</f>
        <v>NoXtal</v>
      </c>
      <c r="AP95" s="3">
        <f t="shared" si="79"/>
        <v>1</v>
      </c>
      <c r="AQ95" s="3">
        <f t="shared" si="80"/>
        <v>1</v>
      </c>
      <c r="AR95" s="3">
        <f t="shared" si="81"/>
        <v>1</v>
      </c>
      <c r="AS95" s="3">
        <f t="shared" si="82"/>
        <v>1</v>
      </c>
      <c r="AT95" s="3">
        <f t="shared" si="83"/>
        <v>1</v>
      </c>
      <c r="AU95" s="3">
        <f t="shared" si="84"/>
        <v>1</v>
      </c>
      <c r="AV95" s="3">
        <f t="shared" si="85"/>
        <v>14</v>
      </c>
      <c r="AW95" s="3">
        <f t="shared" si="86"/>
        <v>8</v>
      </c>
      <c r="AX95" s="3">
        <f t="shared" si="87"/>
        <v>4</v>
      </c>
      <c r="AY95" s="3">
        <f t="shared" si="88"/>
        <v>5</v>
      </c>
      <c r="AZ95" s="3">
        <f t="shared" si="89"/>
        <v>1</v>
      </c>
      <c r="BA95" s="3">
        <f>IF(ISERROR(LEN(VLOOKUP(A95,Seqs!A:E,2,FALSE))-AL95),"-",LEN(VLOOKUP(A95,Seqs!A:E,2,FALSE))-AL95)</f>
        <v>34</v>
      </c>
      <c r="BB95" s="16">
        <f t="shared" si="90"/>
        <v>28</v>
      </c>
      <c r="BC95" s="9">
        <f t="shared" si="91"/>
        <v>20</v>
      </c>
      <c r="BD95" s="3">
        <f t="shared" si="92"/>
        <v>28</v>
      </c>
      <c r="BE95" s="3">
        <f t="shared" si="9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101"/>
        <v>52</v>
      </c>
      <c r="G96" s="3">
        <v>54</v>
      </c>
      <c r="H96" s="3">
        <f t="shared" si="102"/>
        <v>55</v>
      </c>
      <c r="I96" s="3">
        <f t="shared" si="10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105"/>
        <v>89</v>
      </c>
      <c r="M96" s="3">
        <v>90</v>
      </c>
      <c r="N96" s="3">
        <f t="shared" si="106"/>
        <v>92</v>
      </c>
      <c r="O96" s="3">
        <f t="shared" si="10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1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10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95"/>
        <v>1</v>
      </c>
      <c r="AO96" s="3" t="str">
        <f>IF(ISERROR(MATCH(A96,'SegEnds_Xtal_Prot#'!B:B, 0)), "NoXtal", "Xtal")</f>
        <v>NoXtal</v>
      </c>
      <c r="AP96" s="3">
        <f t="shared" si="79"/>
        <v>1</v>
      </c>
      <c r="AQ96" s="3">
        <f t="shared" si="80"/>
        <v>1</v>
      </c>
      <c r="AR96" s="3">
        <f t="shared" si="81"/>
        <v>3</v>
      </c>
      <c r="AS96" s="3">
        <f t="shared" si="82"/>
        <v>1</v>
      </c>
      <c r="AT96" s="3">
        <f t="shared" si="83"/>
        <v>1</v>
      </c>
      <c r="AU96" s="3">
        <f t="shared" si="84"/>
        <v>1</v>
      </c>
      <c r="AV96" s="3">
        <f t="shared" si="85"/>
        <v>24</v>
      </c>
      <c r="AW96" s="3">
        <f t="shared" si="86"/>
        <v>3</v>
      </c>
      <c r="AX96" s="3">
        <f t="shared" si="87"/>
        <v>29</v>
      </c>
      <c r="AY96" s="3">
        <f t="shared" si="88"/>
        <v>8</v>
      </c>
      <c r="AZ96" s="3">
        <f t="shared" si="89"/>
        <v>1</v>
      </c>
      <c r="BA96" s="3">
        <f>IF(ISERROR(LEN(VLOOKUP(A96,Seqs!A:E,2,FALSE))-AL96),"-",LEN(VLOOKUP(A96,Seqs!A:E,2,FALSE))-AL96)</f>
        <v>99</v>
      </c>
      <c r="BB96" s="16">
        <f t="shared" si="90"/>
        <v>29</v>
      </c>
      <c r="BC96" s="9">
        <f t="shared" si="91"/>
        <v>20</v>
      </c>
      <c r="BD96" s="3">
        <f t="shared" si="92"/>
        <v>29</v>
      </c>
      <c r="BE96" s="3">
        <f t="shared" si="9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101"/>
        <v>63</v>
      </c>
      <c r="G97" s="3">
        <v>65</v>
      </c>
      <c r="H97" s="3">
        <f t="shared" si="102"/>
        <v>66</v>
      </c>
      <c r="I97" s="3">
        <f t="shared" si="10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105"/>
        <v>100</v>
      </c>
      <c r="M97" s="3">
        <v>101</v>
      </c>
      <c r="N97" s="3">
        <f t="shared" si="106"/>
        <v>103</v>
      </c>
      <c r="O97" s="3">
        <f t="shared" si="10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1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10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95"/>
        <v>1</v>
      </c>
      <c r="AO97" s="3" t="str">
        <f>IF(ISERROR(MATCH(A97,'SegEnds_Xtal_Prot#'!B:B, 0)), "NoXtal", "Xtal")</f>
        <v>Xtal</v>
      </c>
      <c r="AP97" s="3">
        <f t="shared" si="79"/>
        <v>1</v>
      </c>
      <c r="AQ97" s="3">
        <f t="shared" si="80"/>
        <v>1</v>
      </c>
      <c r="AR97" s="3">
        <f t="shared" si="81"/>
        <v>3</v>
      </c>
      <c r="AS97" s="3">
        <f t="shared" si="82"/>
        <v>1</v>
      </c>
      <c r="AT97" s="3">
        <f t="shared" si="83"/>
        <v>1</v>
      </c>
      <c r="AU97" s="3">
        <f t="shared" si="84"/>
        <v>1</v>
      </c>
      <c r="AV97" s="3">
        <f t="shared" si="85"/>
        <v>12</v>
      </c>
      <c r="AW97" s="3">
        <f t="shared" si="86"/>
        <v>2</v>
      </c>
      <c r="AX97" s="3">
        <f t="shared" si="87"/>
        <v>154</v>
      </c>
      <c r="AY97" s="3">
        <f t="shared" si="88"/>
        <v>6</v>
      </c>
      <c r="AZ97" s="3">
        <f t="shared" si="89"/>
        <v>1</v>
      </c>
      <c r="BA97" s="3">
        <f>IF(ISERROR(LEN(VLOOKUP(A97,Seqs!A:E,2,FALSE))-AL97),"-",LEN(VLOOKUP(A97,Seqs!A:E,2,FALSE))-AL97)</f>
        <v>3</v>
      </c>
      <c r="BB97" s="16">
        <f t="shared" si="90"/>
        <v>28</v>
      </c>
      <c r="BC97" s="9">
        <f t="shared" si="91"/>
        <v>20</v>
      </c>
      <c r="BD97" s="3">
        <f t="shared" si="92"/>
        <v>28</v>
      </c>
      <c r="BE97" s="3">
        <f t="shared" si="9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101"/>
        <v>69</v>
      </c>
      <c r="G98" s="3">
        <v>71</v>
      </c>
      <c r="H98" s="3">
        <f t="shared" si="102"/>
        <v>72</v>
      </c>
      <c r="I98" s="3">
        <f t="shared" si="10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105"/>
        <v>106</v>
      </c>
      <c r="M98" s="3">
        <v>107</v>
      </c>
      <c r="N98" s="3">
        <f t="shared" si="106"/>
        <v>109</v>
      </c>
      <c r="O98" s="3">
        <f t="shared" si="10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1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10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95"/>
        <v>1</v>
      </c>
      <c r="AO98" s="3" t="str">
        <f>IF(ISERROR(MATCH(A98,'SegEnds_Xtal_Prot#'!B:B, 0)), "NoXtal", "Xtal")</f>
        <v>NoXtal</v>
      </c>
      <c r="AP98" s="3">
        <f t="shared" si="79"/>
        <v>1</v>
      </c>
      <c r="AQ98" s="3">
        <f t="shared" si="80"/>
        <v>1</v>
      </c>
      <c r="AR98" s="3">
        <f t="shared" si="81"/>
        <v>3</v>
      </c>
      <c r="AS98" s="3">
        <f t="shared" si="82"/>
        <v>1</v>
      </c>
      <c r="AT98" s="3">
        <f t="shared" si="83"/>
        <v>1</v>
      </c>
      <c r="AU98" s="3">
        <f t="shared" si="84"/>
        <v>1</v>
      </c>
      <c r="AV98" s="3">
        <f t="shared" si="85"/>
        <v>38</v>
      </c>
      <c r="AW98" s="3">
        <f t="shared" si="86"/>
        <v>3</v>
      </c>
      <c r="AX98" s="3">
        <f t="shared" si="87"/>
        <v>22</v>
      </c>
      <c r="AY98" s="3">
        <f t="shared" si="88"/>
        <v>5</v>
      </c>
      <c r="AZ98" s="3">
        <f t="shared" si="89"/>
        <v>1</v>
      </c>
      <c r="BA98" s="3">
        <f>IF(ISERROR(LEN(VLOOKUP(A98,Seqs!A:E,2,FALSE))-AL98),"-",LEN(VLOOKUP(A98,Seqs!A:E,2,FALSE))-AL98)</f>
        <v>102</v>
      </c>
      <c r="BB98" s="16">
        <f t="shared" si="90"/>
        <v>29</v>
      </c>
      <c r="BC98" s="9">
        <f t="shared" si="91"/>
        <v>20</v>
      </c>
      <c r="BD98" s="3">
        <f t="shared" si="92"/>
        <v>29</v>
      </c>
      <c r="BE98" s="3">
        <f t="shared" si="9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101"/>
        <v>109</v>
      </c>
      <c r="G99" s="3">
        <v>111</v>
      </c>
      <c r="H99" s="3">
        <v>113</v>
      </c>
      <c r="I99" s="3">
        <f t="shared" si="10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105"/>
        <v>145</v>
      </c>
      <c r="M99" s="3">
        <v>146</v>
      </c>
      <c r="N99" s="3">
        <f t="shared" si="106"/>
        <v>148</v>
      </c>
      <c r="O99" s="3">
        <f t="shared" si="10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1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10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95"/>
        <v>1</v>
      </c>
      <c r="AO99" s="3" t="str">
        <f>IF(ISERROR(MATCH(A99,'SegEnds_Xtal_Prot#'!B:B, 0)), "NoXtal", "Xtal")</f>
        <v>NoXtal</v>
      </c>
      <c r="AP99" s="3">
        <f t="shared" si="79"/>
        <v>1</v>
      </c>
      <c r="AQ99" s="3">
        <f t="shared" si="80"/>
        <v>1</v>
      </c>
      <c r="AR99" s="3">
        <f t="shared" si="81"/>
        <v>2</v>
      </c>
      <c r="AS99" s="3">
        <f t="shared" si="82"/>
        <v>1</v>
      </c>
      <c r="AT99" s="3">
        <f t="shared" si="83"/>
        <v>1</v>
      </c>
      <c r="AU99" s="3">
        <f t="shared" si="84"/>
        <v>1</v>
      </c>
      <c r="AV99" s="3">
        <f t="shared" si="85"/>
        <v>15</v>
      </c>
      <c r="AW99" s="3">
        <f t="shared" si="86"/>
        <v>4</v>
      </c>
      <c r="AX99" s="3">
        <f t="shared" si="87"/>
        <v>6</v>
      </c>
      <c r="AY99" s="3">
        <f t="shared" si="88"/>
        <v>7</v>
      </c>
      <c r="AZ99" s="3">
        <f t="shared" si="89"/>
        <v>1</v>
      </c>
      <c r="BA99" s="3">
        <f>IF(ISERROR(LEN(VLOOKUP(A99,Seqs!A:E,2,FALSE))-AL99),"-",LEN(VLOOKUP(A99,Seqs!A:E,2,FALSE))-AL99)</f>
        <v>41</v>
      </c>
      <c r="BB99" s="16">
        <f t="shared" si="90"/>
        <v>28</v>
      </c>
      <c r="BC99" s="9">
        <f t="shared" si="91"/>
        <v>20</v>
      </c>
      <c r="BD99" s="3">
        <f t="shared" si="92"/>
        <v>28</v>
      </c>
      <c r="BE99" s="3">
        <f t="shared" si="9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101"/>
        <v>130</v>
      </c>
      <c r="G100" s="3">
        <v>132</v>
      </c>
      <c r="H100" s="3">
        <v>134</v>
      </c>
      <c r="I100" s="3">
        <f t="shared" si="10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105"/>
        <v>166</v>
      </c>
      <c r="M100" s="3">
        <v>167</v>
      </c>
      <c r="N100" s="3">
        <f t="shared" si="106"/>
        <v>169</v>
      </c>
      <c r="O100" s="3">
        <f t="shared" si="10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1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10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95"/>
        <v>1</v>
      </c>
      <c r="AO100" s="3" t="str">
        <f>IF(ISERROR(MATCH(A100,'SegEnds_Xtal_Prot#'!B:B, 0)), "NoXtal", "Xtal")</f>
        <v>Xtal</v>
      </c>
      <c r="AP100" s="3">
        <f t="shared" si="79"/>
        <v>1</v>
      </c>
      <c r="AQ100" s="3">
        <f t="shared" si="80"/>
        <v>1</v>
      </c>
      <c r="AR100" s="3">
        <f t="shared" si="81"/>
        <v>2</v>
      </c>
      <c r="AS100" s="3">
        <f t="shared" si="82"/>
        <v>1</v>
      </c>
      <c r="AT100" s="3">
        <f t="shared" si="83"/>
        <v>1</v>
      </c>
      <c r="AU100" s="3">
        <f t="shared" si="84"/>
        <v>1</v>
      </c>
      <c r="AV100" s="3">
        <f t="shared" si="85"/>
        <v>15</v>
      </c>
      <c r="AW100" s="3">
        <f t="shared" si="86"/>
        <v>6</v>
      </c>
      <c r="AX100" s="3">
        <f t="shared" si="87"/>
        <v>5</v>
      </c>
      <c r="AY100" s="3">
        <f t="shared" si="88"/>
        <v>7</v>
      </c>
      <c r="AZ100" s="3">
        <f t="shared" si="89"/>
        <v>1</v>
      </c>
      <c r="BA100" s="3">
        <f>IF(ISERROR(LEN(VLOOKUP(A100,Seqs!A:E,2,FALSE))-AL100),"-",LEN(VLOOKUP(A100,Seqs!A:E,2,FALSE))-AL100)</f>
        <v>39</v>
      </c>
      <c r="BB100" s="16">
        <f t="shared" si="90"/>
        <v>28</v>
      </c>
      <c r="BC100" s="9">
        <f t="shared" si="91"/>
        <v>20</v>
      </c>
      <c r="BD100" s="3">
        <f t="shared" si="92"/>
        <v>28</v>
      </c>
      <c r="BE100" s="3">
        <f t="shared" si="9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101"/>
        <v>159</v>
      </c>
      <c r="G101" s="3">
        <v>161</v>
      </c>
      <c r="H101" s="3">
        <f>G101+1</f>
        <v>162</v>
      </c>
      <c r="I101" s="3">
        <f t="shared" si="10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1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10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95"/>
        <v>1</v>
      </c>
      <c r="AO101" s="3" t="str">
        <f>IF(ISERROR(MATCH(A101,'SegEnds_Xtal_Prot#'!B:B, 0)), "NoXtal", "Xtal")</f>
        <v>NoXtal</v>
      </c>
      <c r="AP101" s="3">
        <f t="shared" si="79"/>
        <v>1</v>
      </c>
      <c r="AQ101" s="3">
        <f t="shared" si="80"/>
        <v>1</v>
      </c>
      <c r="AR101" s="3" t="str">
        <f t="shared" si="81"/>
        <v>-</v>
      </c>
      <c r="AS101" s="3" t="str">
        <f t="shared" si="82"/>
        <v>-</v>
      </c>
      <c r="AT101" s="3">
        <f t="shared" si="83"/>
        <v>2</v>
      </c>
      <c r="AU101" s="3">
        <f t="shared" si="84"/>
        <v>1</v>
      </c>
      <c r="AV101" s="3">
        <f t="shared" si="85"/>
        <v>16</v>
      </c>
      <c r="AW101" s="3">
        <f t="shared" si="86"/>
        <v>11</v>
      </c>
      <c r="AX101" s="3">
        <f t="shared" si="87"/>
        <v>5</v>
      </c>
      <c r="AY101" s="3">
        <f t="shared" si="88"/>
        <v>6</v>
      </c>
      <c r="AZ101" s="3">
        <f t="shared" si="89"/>
        <v>1</v>
      </c>
      <c r="BA101" s="3">
        <f>IF(ISERROR(LEN(VLOOKUP(A101,Seqs!A:E,2,FALSE))-AL101),"-",LEN(VLOOKUP(A101,Seqs!A:E,2,FALSE))-AL101)</f>
        <v>48</v>
      </c>
      <c r="BB101" s="16">
        <f t="shared" si="90"/>
        <v>28</v>
      </c>
      <c r="BC101" s="9">
        <f t="shared" si="91"/>
        <v>20</v>
      </c>
      <c r="BD101" s="3">
        <f t="shared" si="92"/>
        <v>28</v>
      </c>
      <c r="BE101" s="3">
        <f t="shared" si="9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108">M102-1</f>
        <v>71</v>
      </c>
      <c r="M102" s="3">
        <v>72</v>
      </c>
      <c r="N102" s="3">
        <f t="shared" ref="N102:N115" si="109">M102+2</f>
        <v>74</v>
      </c>
      <c r="O102" s="3">
        <f t="shared" ref="O102:O115" si="11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1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10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95"/>
        <v>1</v>
      </c>
      <c r="AO102" s="3" t="str">
        <f>IF(ISERROR(MATCH(A102,'SegEnds_Xtal_Prot#'!B:B, 0)), "NoXtal", "Xtal")</f>
        <v>Xtal</v>
      </c>
      <c r="AP102" s="3" t="str">
        <f t="shared" si="79"/>
        <v>-</v>
      </c>
      <c r="AQ102" s="3" t="str">
        <f t="shared" si="80"/>
        <v>-</v>
      </c>
      <c r="AR102" s="3">
        <f t="shared" si="81"/>
        <v>2</v>
      </c>
      <c r="AS102" s="3">
        <f t="shared" si="82"/>
        <v>1</v>
      </c>
      <c r="AT102" s="3">
        <f t="shared" si="83"/>
        <v>1</v>
      </c>
      <c r="AU102" s="3">
        <f t="shared" si="84"/>
        <v>1</v>
      </c>
      <c r="AV102" s="3">
        <f t="shared" si="85"/>
        <v>24</v>
      </c>
      <c r="AW102" s="3">
        <f t="shared" si="86"/>
        <v>3</v>
      </c>
      <c r="AX102" s="3">
        <f t="shared" si="87"/>
        <v>6</v>
      </c>
      <c r="AY102" s="3">
        <f t="shared" si="88"/>
        <v>5</v>
      </c>
      <c r="AZ102" s="3">
        <f t="shared" si="89"/>
        <v>1</v>
      </c>
      <c r="BA102" s="3">
        <f>IF(ISERROR(LEN(VLOOKUP(A102,Seqs!A:E,2,FALSE))-AL102),"-",LEN(VLOOKUP(A102,Seqs!A:E,2,FALSE))-AL102)</f>
        <v>6</v>
      </c>
      <c r="BB102" s="16">
        <f t="shared" si="90"/>
        <v>29</v>
      </c>
      <c r="BC102" s="9">
        <f t="shared" si="91"/>
        <v>20</v>
      </c>
      <c r="BD102" s="3">
        <f t="shared" si="92"/>
        <v>29</v>
      </c>
      <c r="BE102" s="3">
        <f t="shared" si="9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108"/>
        <v>74</v>
      </c>
      <c r="M103" s="3">
        <v>75</v>
      </c>
      <c r="N103" s="3">
        <f t="shared" si="109"/>
        <v>77</v>
      </c>
      <c r="O103" s="3">
        <f t="shared" si="11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1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10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95"/>
        <v>1</v>
      </c>
      <c r="AO103" s="3" t="str">
        <f>IF(ISERROR(MATCH(A103,'SegEnds_Xtal_Prot#'!B:B, 0)), "NoXtal", "Xtal")</f>
        <v>NoXtal</v>
      </c>
      <c r="AP103" s="3" t="str">
        <f t="shared" si="79"/>
        <v>-</v>
      </c>
      <c r="AQ103" s="3" t="str">
        <f t="shared" si="80"/>
        <v>-</v>
      </c>
      <c r="AR103" s="3">
        <f t="shared" si="81"/>
        <v>3</v>
      </c>
      <c r="AS103" s="3">
        <f t="shared" si="82"/>
        <v>1</v>
      </c>
      <c r="AT103" s="3">
        <f t="shared" si="83"/>
        <v>1</v>
      </c>
      <c r="AU103" s="3">
        <f t="shared" si="84"/>
        <v>1</v>
      </c>
      <c r="AV103" s="3">
        <f t="shared" si="85"/>
        <v>18</v>
      </c>
      <c r="AW103" s="3">
        <f t="shared" si="86"/>
        <v>6</v>
      </c>
      <c r="AX103" s="3">
        <f t="shared" si="87"/>
        <v>5</v>
      </c>
      <c r="AY103" s="3">
        <f t="shared" si="88"/>
        <v>5</v>
      </c>
      <c r="AZ103" s="3">
        <f t="shared" si="89"/>
        <v>1</v>
      </c>
      <c r="BA103" s="3">
        <f>IF(ISERROR(LEN(VLOOKUP(A103,Seqs!A:E,2,FALSE))-AL103),"-",LEN(VLOOKUP(A103,Seqs!A:E,2,FALSE))-AL103)</f>
        <v>39</v>
      </c>
      <c r="BB103" s="16">
        <f t="shared" si="90"/>
        <v>30</v>
      </c>
      <c r="BC103" s="9">
        <f t="shared" si="91"/>
        <v>20</v>
      </c>
      <c r="BD103" s="3">
        <f t="shared" si="92"/>
        <v>30</v>
      </c>
      <c r="BE103" s="3">
        <f t="shared" si="9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108"/>
        <v>80</v>
      </c>
      <c r="M104" s="3">
        <v>81</v>
      </c>
      <c r="N104" s="3">
        <f t="shared" si="109"/>
        <v>83</v>
      </c>
      <c r="O104" s="3">
        <f t="shared" si="11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1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10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95"/>
        <v>1</v>
      </c>
      <c r="AO104" s="3" t="str">
        <f>IF(ISERROR(MATCH(A104,'SegEnds_Xtal_Prot#'!B:B, 0)), "NoXtal", "Xtal")</f>
        <v>NoXtal</v>
      </c>
      <c r="AP104" s="3" t="str">
        <f t="shared" si="79"/>
        <v>-</v>
      </c>
      <c r="AQ104" s="3" t="str">
        <f t="shared" si="80"/>
        <v>-</v>
      </c>
      <c r="AR104" s="3">
        <f t="shared" si="81"/>
        <v>3</v>
      </c>
      <c r="AS104" s="3">
        <f t="shared" si="82"/>
        <v>1</v>
      </c>
      <c r="AT104" s="3">
        <f t="shared" si="83"/>
        <v>1</v>
      </c>
      <c r="AU104" s="3">
        <f t="shared" si="84"/>
        <v>1</v>
      </c>
      <c r="AV104" s="3">
        <f t="shared" si="85"/>
        <v>16</v>
      </c>
      <c r="AW104" s="3">
        <f t="shared" si="86"/>
        <v>7</v>
      </c>
      <c r="AX104" s="3">
        <f t="shared" si="87"/>
        <v>4</v>
      </c>
      <c r="AY104" s="3">
        <f t="shared" si="88"/>
        <v>5</v>
      </c>
      <c r="AZ104" s="3">
        <f t="shared" si="89"/>
        <v>1</v>
      </c>
      <c r="BA104" s="3">
        <f>IF(ISERROR(LEN(VLOOKUP(A104,Seqs!A:E,2,FALSE))-AL104),"-",LEN(VLOOKUP(A104,Seqs!A:E,2,FALSE))-AL104)</f>
        <v>52</v>
      </c>
      <c r="BB104" s="16">
        <f t="shared" si="90"/>
        <v>29</v>
      </c>
      <c r="BC104" s="9">
        <f t="shared" si="91"/>
        <v>20</v>
      </c>
      <c r="BD104" s="3">
        <f t="shared" si="92"/>
        <v>29</v>
      </c>
      <c r="BE104" s="3">
        <f t="shared" si="9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108"/>
        <v>103</v>
      </c>
      <c r="M105" s="3">
        <v>104</v>
      </c>
      <c r="N105" s="3">
        <f t="shared" si="109"/>
        <v>106</v>
      </c>
      <c r="O105" s="3">
        <f t="shared" si="11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1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10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95"/>
        <v>1</v>
      </c>
      <c r="AO105" s="3" t="str">
        <f>IF(ISERROR(MATCH(A105,'SegEnds_Xtal_Prot#'!B:B, 0)), "NoXtal", "Xtal")</f>
        <v>NoXtal</v>
      </c>
      <c r="AP105" s="3" t="str">
        <f t="shared" si="79"/>
        <v>-</v>
      </c>
      <c r="AQ105" s="3" t="str">
        <f t="shared" si="80"/>
        <v>-</v>
      </c>
      <c r="AR105" s="3">
        <f t="shared" si="81"/>
        <v>2</v>
      </c>
      <c r="AS105" s="3">
        <f t="shared" si="82"/>
        <v>1</v>
      </c>
      <c r="AT105" s="3">
        <f t="shared" si="83"/>
        <v>1</v>
      </c>
      <c r="AU105" s="3">
        <f t="shared" si="84"/>
        <v>1</v>
      </c>
      <c r="AV105" s="3">
        <f t="shared" si="85"/>
        <v>17</v>
      </c>
      <c r="AW105" s="3">
        <f t="shared" si="86"/>
        <v>6</v>
      </c>
      <c r="AX105" s="3">
        <f t="shared" si="87"/>
        <v>24</v>
      </c>
      <c r="AY105" s="3">
        <f t="shared" si="88"/>
        <v>6</v>
      </c>
      <c r="AZ105" s="3">
        <f t="shared" si="89"/>
        <v>1</v>
      </c>
      <c r="BA105" s="3">
        <f>IF(ISERROR(LEN(VLOOKUP(A105,Seqs!A:E,2,FALSE))-AL105),"-",LEN(VLOOKUP(A105,Seqs!A:E,2,FALSE))-AL105)</f>
        <v>25</v>
      </c>
      <c r="BB105" s="16">
        <f t="shared" si="90"/>
        <v>27</v>
      </c>
      <c r="BC105" s="9">
        <f t="shared" si="91"/>
        <v>20</v>
      </c>
      <c r="BD105" s="3">
        <f t="shared" si="92"/>
        <v>27</v>
      </c>
      <c r="BE105" s="3">
        <f t="shared" si="9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108"/>
        <v>90</v>
      </c>
      <c r="M106" s="3">
        <v>91</v>
      </c>
      <c r="N106" s="3">
        <f t="shared" si="109"/>
        <v>93</v>
      </c>
      <c r="O106" s="3">
        <f t="shared" si="11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1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10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95"/>
        <v>1</v>
      </c>
      <c r="AO106" s="3" t="str">
        <f>IF(ISERROR(MATCH(A106,'SegEnds_Xtal_Prot#'!B:B, 0)), "NoXtal", "Xtal")</f>
        <v>NoXtal</v>
      </c>
      <c r="AP106" s="3" t="str">
        <f t="shared" si="79"/>
        <v>-</v>
      </c>
      <c r="AQ106" s="3" t="str">
        <f t="shared" si="80"/>
        <v>-</v>
      </c>
      <c r="AR106" s="3">
        <f t="shared" si="81"/>
        <v>3</v>
      </c>
      <c r="AS106" s="3">
        <f t="shared" si="82"/>
        <v>1</v>
      </c>
      <c r="AT106" s="3">
        <f t="shared" si="83"/>
        <v>1</v>
      </c>
      <c r="AU106" s="3">
        <f t="shared" si="84"/>
        <v>1</v>
      </c>
      <c r="AV106" s="3">
        <f t="shared" si="85"/>
        <v>12</v>
      </c>
      <c r="AW106" s="3">
        <f t="shared" si="86"/>
        <v>19</v>
      </c>
      <c r="AX106" s="3">
        <f t="shared" si="87"/>
        <v>5</v>
      </c>
      <c r="AY106" s="3">
        <f t="shared" si="88"/>
        <v>9</v>
      </c>
      <c r="AZ106" s="3">
        <f t="shared" si="89"/>
        <v>1</v>
      </c>
      <c r="BA106" s="3">
        <f>IF(ISERROR(LEN(VLOOKUP(A106,Seqs!A:E,2,FALSE))-AL106),"-",LEN(VLOOKUP(A106,Seqs!A:E,2,FALSE))-AL106)</f>
        <v>31</v>
      </c>
      <c r="BB106" s="16">
        <f t="shared" si="90"/>
        <v>27</v>
      </c>
      <c r="BC106" s="9">
        <f t="shared" si="91"/>
        <v>20</v>
      </c>
      <c r="BD106" s="3">
        <f t="shared" si="92"/>
        <v>27</v>
      </c>
      <c r="BE106" s="3">
        <f t="shared" si="9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108"/>
        <v>90</v>
      </c>
      <c r="M107" s="3">
        <v>91</v>
      </c>
      <c r="N107" s="3">
        <f t="shared" si="109"/>
        <v>93</v>
      </c>
      <c r="O107" s="3">
        <f t="shared" si="11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1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10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315</v>
      </c>
      <c r="AM107" s="28" t="str">
        <f>VLOOKUP(A107,Classification!A:B,2,FALSE)</f>
        <v>A</v>
      </c>
      <c r="AN107" s="28" t="b">
        <f t="shared" si="95"/>
        <v>1</v>
      </c>
      <c r="AO107" s="3" t="str">
        <f>IF(ISERROR(MATCH(A107,'SegEnds_Xtal_Prot#'!B:B, 0)), "NoXtal", "Xtal")</f>
        <v>NoXtal</v>
      </c>
      <c r="AP107" s="3" t="str">
        <f t="shared" si="79"/>
        <v>-</v>
      </c>
      <c r="AQ107" s="3" t="str">
        <f t="shared" si="80"/>
        <v>-</v>
      </c>
      <c r="AR107" s="3">
        <f t="shared" si="81"/>
        <v>2</v>
      </c>
      <c r="AS107" s="3">
        <f t="shared" si="82"/>
        <v>1</v>
      </c>
      <c r="AT107" s="3">
        <f t="shared" si="83"/>
        <v>1</v>
      </c>
      <c r="AU107" s="3">
        <f t="shared" si="84"/>
        <v>1</v>
      </c>
      <c r="AV107" s="3">
        <f t="shared" si="85"/>
        <v>12</v>
      </c>
      <c r="AW107" s="3">
        <f t="shared" si="86"/>
        <v>16</v>
      </c>
      <c r="AX107" s="3">
        <f t="shared" si="87"/>
        <v>5</v>
      </c>
      <c r="AY107" s="3">
        <f t="shared" si="88"/>
        <v>6</v>
      </c>
      <c r="AZ107" s="3">
        <f t="shared" si="89"/>
        <v>1</v>
      </c>
      <c r="BA107" s="3">
        <f>IF(ISERROR(LEN(VLOOKUP(A107,Seqs!A:E,2,FALSE))-AL107),"-",LEN(VLOOKUP(A107,Seqs!A:E,2,FALSE))-AL107)</f>
        <v>36</v>
      </c>
      <c r="BB107" s="16">
        <f t="shared" si="90"/>
        <v>27</v>
      </c>
      <c r="BC107" s="9">
        <f t="shared" si="91"/>
        <v>20</v>
      </c>
      <c r="BD107" s="3">
        <f t="shared" si="92"/>
        <v>27</v>
      </c>
      <c r="BE107" s="3">
        <f t="shared" si="9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108"/>
        <v>90</v>
      </c>
      <c r="M108" s="3">
        <v>91</v>
      </c>
      <c r="N108" s="3">
        <f t="shared" si="109"/>
        <v>93</v>
      </c>
      <c r="O108" s="3">
        <f t="shared" si="11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1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10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315</v>
      </c>
      <c r="AM108" s="28" t="str">
        <f>VLOOKUP(A108,Classification!A:B,2,FALSE)</f>
        <v>A</v>
      </c>
      <c r="AN108" s="28" t="b">
        <f t="shared" si="95"/>
        <v>1</v>
      </c>
      <c r="AO108" s="3" t="str">
        <f>IF(ISERROR(MATCH(A108,'SegEnds_Xtal_Prot#'!B:B, 0)), "NoXtal", "Xtal")</f>
        <v>NoXtal</v>
      </c>
      <c r="AP108" s="3" t="str">
        <f t="shared" si="79"/>
        <v>-</v>
      </c>
      <c r="AQ108" s="3" t="str">
        <f t="shared" si="80"/>
        <v>-</v>
      </c>
      <c r="AR108" s="3">
        <f t="shared" si="81"/>
        <v>2</v>
      </c>
      <c r="AS108" s="3">
        <f t="shared" si="82"/>
        <v>1</v>
      </c>
      <c r="AT108" s="3">
        <f t="shared" si="83"/>
        <v>1</v>
      </c>
      <c r="AU108" s="3">
        <f t="shared" si="84"/>
        <v>1</v>
      </c>
      <c r="AV108" s="3">
        <f t="shared" si="85"/>
        <v>12</v>
      </c>
      <c r="AW108" s="3">
        <f t="shared" si="86"/>
        <v>16</v>
      </c>
      <c r="AX108" s="3">
        <f t="shared" si="87"/>
        <v>5</v>
      </c>
      <c r="AY108" s="3">
        <f t="shared" si="88"/>
        <v>6</v>
      </c>
      <c r="AZ108" s="3">
        <f t="shared" si="89"/>
        <v>1</v>
      </c>
      <c r="BA108" s="3">
        <f>IF(ISERROR(LEN(VLOOKUP(A108,Seqs!A:E,2,FALSE))-AL108),"-",LEN(VLOOKUP(A108,Seqs!A:E,2,FALSE))-AL108)</f>
        <v>38</v>
      </c>
      <c r="BB108" s="16">
        <f t="shared" si="90"/>
        <v>27</v>
      </c>
      <c r="BC108" s="9">
        <f t="shared" si="91"/>
        <v>20</v>
      </c>
      <c r="BD108" s="3">
        <f t="shared" si="92"/>
        <v>27</v>
      </c>
      <c r="BE108" s="3">
        <f t="shared" si="9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108"/>
        <v>435</v>
      </c>
      <c r="M109" s="3">
        <v>436</v>
      </c>
      <c r="N109" s="3">
        <f t="shared" si="109"/>
        <v>438</v>
      </c>
      <c r="O109" s="3">
        <f t="shared" si="11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1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10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95"/>
        <v>1</v>
      </c>
      <c r="AO109" s="3" t="str">
        <f>IF(ISERROR(MATCH(A109,'SegEnds_Xtal_Prot#'!B:B, 0)), "NoXtal", "Xtal")</f>
        <v>NoXtal</v>
      </c>
      <c r="AP109" s="3">
        <f t="shared" si="79"/>
        <v>2</v>
      </c>
      <c r="AQ109" s="3">
        <f t="shared" si="80"/>
        <v>1</v>
      </c>
      <c r="AR109" s="3">
        <f t="shared" si="81"/>
        <v>10</v>
      </c>
      <c r="AS109" s="3">
        <f t="shared" si="82"/>
        <v>1</v>
      </c>
      <c r="AT109" s="3">
        <f t="shared" si="83"/>
        <v>1</v>
      </c>
      <c r="AU109" s="3">
        <f t="shared" si="84"/>
        <v>1</v>
      </c>
      <c r="AV109" s="3">
        <f t="shared" si="85"/>
        <v>10</v>
      </c>
      <c r="AW109" s="3">
        <f t="shared" si="86"/>
        <v>6</v>
      </c>
      <c r="AX109" s="3">
        <f t="shared" si="87"/>
        <v>5</v>
      </c>
      <c r="AY109" s="3">
        <f t="shared" si="88"/>
        <v>6</v>
      </c>
      <c r="AZ109" s="3">
        <f t="shared" si="89"/>
        <v>1</v>
      </c>
      <c r="BA109" s="3">
        <f>IF(ISERROR(LEN(VLOOKUP(A109,Seqs!A:E,2,FALSE))-AL109),"-",LEN(VLOOKUP(A109,Seqs!A:E,2,FALSE))-AL109)</f>
        <v>43</v>
      </c>
      <c r="BB109" s="16">
        <f t="shared" si="90"/>
        <v>28</v>
      </c>
      <c r="BC109" s="9">
        <f t="shared" si="91"/>
        <v>20</v>
      </c>
      <c r="BD109" s="3">
        <f t="shared" si="92"/>
        <v>28</v>
      </c>
      <c r="BE109" s="3">
        <f t="shared" si="9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108"/>
        <v>100</v>
      </c>
      <c r="M110" s="3">
        <v>101</v>
      </c>
      <c r="N110" s="3">
        <f t="shared" si="109"/>
        <v>103</v>
      </c>
      <c r="O110" s="3">
        <f t="shared" si="11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1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10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95"/>
        <v>1</v>
      </c>
      <c r="AO110" s="3" t="str">
        <f>IF(ISERROR(MATCH(A110,'SegEnds_Xtal_Prot#'!B:B, 0)), "NoXtal", "Xtal")</f>
        <v>NoXtal</v>
      </c>
      <c r="AP110" s="3" t="str">
        <f t="shared" si="79"/>
        <v>-</v>
      </c>
      <c r="AQ110" s="3" t="str">
        <f t="shared" si="80"/>
        <v>-</v>
      </c>
      <c r="AR110" s="3">
        <f t="shared" si="81"/>
        <v>2</v>
      </c>
      <c r="AS110" s="3">
        <f t="shared" si="82"/>
        <v>1</v>
      </c>
      <c r="AT110" s="3">
        <f t="shared" si="83"/>
        <v>1</v>
      </c>
      <c r="AU110" s="3">
        <f t="shared" si="84"/>
        <v>1</v>
      </c>
      <c r="AV110" s="3">
        <f t="shared" si="85"/>
        <v>13</v>
      </c>
      <c r="AW110" s="3">
        <f t="shared" si="86"/>
        <v>3</v>
      </c>
      <c r="AX110" s="3">
        <f t="shared" si="87"/>
        <v>7</v>
      </c>
      <c r="AY110" s="3">
        <f t="shared" si="88"/>
        <v>5</v>
      </c>
      <c r="AZ110" s="3">
        <f t="shared" si="89"/>
        <v>1</v>
      </c>
      <c r="BA110" s="3">
        <f>IF(ISERROR(LEN(VLOOKUP(A110,Seqs!A:E,2,FALSE))-AL110),"-",LEN(VLOOKUP(A110,Seqs!A:E,2,FALSE))-AL110)</f>
        <v>30</v>
      </c>
      <c r="BB110" s="16">
        <f t="shared" si="90"/>
        <v>30</v>
      </c>
      <c r="BC110" s="9">
        <f t="shared" si="91"/>
        <v>20</v>
      </c>
      <c r="BD110" s="3">
        <f t="shared" si="92"/>
        <v>30</v>
      </c>
      <c r="BE110" s="3">
        <f t="shared" si="9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111">G111+1</f>
        <v>57</v>
      </c>
      <c r="I111" s="3">
        <f t="shared" si="11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108"/>
        <v>90</v>
      </c>
      <c r="M111" s="3">
        <v>91</v>
      </c>
      <c r="N111" s="3">
        <f t="shared" si="109"/>
        <v>93</v>
      </c>
      <c r="O111" s="3">
        <f t="shared" si="11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1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10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95"/>
        <v>1</v>
      </c>
      <c r="AO111" s="3" t="str">
        <f>IF(ISERROR(MATCH(A111,'SegEnds_Xtal_Prot#'!B:B, 0)), "NoXtal", "Xtal")</f>
        <v>NoXtal</v>
      </c>
      <c r="AP111" s="3">
        <f t="shared" si="79"/>
        <v>1</v>
      </c>
      <c r="AQ111" s="3">
        <f t="shared" si="80"/>
        <v>1</v>
      </c>
      <c r="AR111" s="3">
        <f t="shared" si="81"/>
        <v>2</v>
      </c>
      <c r="AS111" s="3">
        <f t="shared" si="82"/>
        <v>1</v>
      </c>
      <c r="AT111" s="3">
        <f t="shared" si="83"/>
        <v>1</v>
      </c>
      <c r="AU111" s="3">
        <f t="shared" si="84"/>
        <v>1</v>
      </c>
      <c r="AV111" s="3">
        <f t="shared" si="85"/>
        <v>11</v>
      </c>
      <c r="AW111" s="3">
        <f t="shared" si="86"/>
        <v>2</v>
      </c>
      <c r="AX111" s="3">
        <f t="shared" si="87"/>
        <v>4</v>
      </c>
      <c r="AY111" s="3">
        <f t="shared" si="88"/>
        <v>5</v>
      </c>
      <c r="AZ111" s="3">
        <f t="shared" si="89"/>
        <v>1</v>
      </c>
      <c r="BA111" s="3">
        <f>IF(ISERROR(LEN(VLOOKUP(A111,Seqs!A:E,2,FALSE))-AL111),"-",LEN(VLOOKUP(A111,Seqs!A:E,2,FALSE))-AL111)</f>
        <v>79</v>
      </c>
      <c r="BB111" s="16">
        <f t="shared" si="90"/>
        <v>28</v>
      </c>
      <c r="BC111" s="9">
        <f t="shared" si="91"/>
        <v>20</v>
      </c>
      <c r="BD111" s="3">
        <f t="shared" si="92"/>
        <v>28</v>
      </c>
      <c r="BE111" s="3">
        <f t="shared" si="9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111"/>
        <v>50</v>
      </c>
      <c r="I112" s="3">
        <f t="shared" si="11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108"/>
        <v>87</v>
      </c>
      <c r="M112" s="3">
        <v>88</v>
      </c>
      <c r="N112" s="3">
        <f t="shared" si="109"/>
        <v>90</v>
      </c>
      <c r="O112" s="3">
        <f t="shared" si="11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1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10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95"/>
        <v>1</v>
      </c>
      <c r="AO112" s="3" t="str">
        <f>IF(ISERROR(MATCH(A112,'SegEnds_Xtal_Prot#'!B:B, 0)), "NoXtal", "Xtal")</f>
        <v>NoXtal</v>
      </c>
      <c r="AP112" s="3">
        <f t="shared" si="79"/>
        <v>2</v>
      </c>
      <c r="AQ112" s="3">
        <f t="shared" si="80"/>
        <v>1</v>
      </c>
      <c r="AR112" s="3">
        <f t="shared" si="81"/>
        <v>2</v>
      </c>
      <c r="AS112" s="3">
        <f t="shared" si="82"/>
        <v>1</v>
      </c>
      <c r="AT112" s="3">
        <f t="shared" si="83"/>
        <v>1</v>
      </c>
      <c r="AU112" s="3">
        <f t="shared" si="84"/>
        <v>1</v>
      </c>
      <c r="AV112" s="3">
        <f t="shared" si="85"/>
        <v>11</v>
      </c>
      <c r="AW112" s="3">
        <f t="shared" si="86"/>
        <v>2</v>
      </c>
      <c r="AX112" s="3">
        <f t="shared" si="87"/>
        <v>6</v>
      </c>
      <c r="AY112" s="3">
        <f t="shared" si="88"/>
        <v>5</v>
      </c>
      <c r="AZ112" s="3">
        <f t="shared" si="89"/>
        <v>1</v>
      </c>
      <c r="BA112" s="3">
        <f>IF(ISERROR(LEN(VLOOKUP(A112,Seqs!A:E,2,FALSE))-AL112),"-",LEN(VLOOKUP(A112,Seqs!A:E,2,FALSE))-AL112)</f>
        <v>61</v>
      </c>
      <c r="BB112" s="16">
        <f t="shared" si="90"/>
        <v>33</v>
      </c>
      <c r="BC112" s="9">
        <f t="shared" si="91"/>
        <v>20</v>
      </c>
      <c r="BD112" s="3">
        <f t="shared" si="92"/>
        <v>33</v>
      </c>
      <c r="BE112" s="3">
        <f t="shared" si="9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111"/>
        <v>86</v>
      </c>
      <c r="I113" s="3">
        <f t="shared" si="11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108"/>
        <v>119</v>
      </c>
      <c r="M113" s="3">
        <v>120</v>
      </c>
      <c r="N113" s="3">
        <f t="shared" si="109"/>
        <v>122</v>
      </c>
      <c r="O113" s="3">
        <f t="shared" si="11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1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10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95"/>
        <v>1</v>
      </c>
      <c r="AO113" s="3" t="str">
        <f>IF(ISERROR(MATCH(A113,'SegEnds_Xtal_Prot#'!B:B, 0)), "NoXtal", "Xtal")</f>
        <v>NoXtal</v>
      </c>
      <c r="AP113" s="3">
        <f t="shared" si="79"/>
        <v>1</v>
      </c>
      <c r="AQ113" s="3">
        <f t="shared" si="80"/>
        <v>1</v>
      </c>
      <c r="AR113" s="3">
        <f t="shared" si="81"/>
        <v>1</v>
      </c>
      <c r="AS113" s="3">
        <f t="shared" si="82"/>
        <v>1</v>
      </c>
      <c r="AT113" s="3">
        <f t="shared" si="83"/>
        <v>1</v>
      </c>
      <c r="AU113" s="3">
        <f t="shared" si="84"/>
        <v>1</v>
      </c>
      <c r="AV113" s="3">
        <f t="shared" si="85"/>
        <v>12</v>
      </c>
      <c r="AW113" s="3">
        <f t="shared" si="86"/>
        <v>6</v>
      </c>
      <c r="AX113" s="3">
        <f t="shared" si="87"/>
        <v>66</v>
      </c>
      <c r="AY113" s="3">
        <f t="shared" si="88"/>
        <v>6</v>
      </c>
      <c r="AZ113" s="3">
        <f t="shared" si="89"/>
        <v>1</v>
      </c>
      <c r="BA113" s="3">
        <f>IF(ISERROR(LEN(VLOOKUP(A113,Seqs!A:E,2,FALSE))-AL113),"-",LEN(VLOOKUP(A113,Seqs!A:E,2,FALSE))-AL113)</f>
        <v>42</v>
      </c>
      <c r="BB113" s="16">
        <f t="shared" si="90"/>
        <v>28</v>
      </c>
      <c r="BC113" s="9">
        <f t="shared" si="91"/>
        <v>20</v>
      </c>
      <c r="BD113" s="3">
        <f t="shared" si="92"/>
        <v>28</v>
      </c>
      <c r="BE113" s="3">
        <f t="shared" si="9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111"/>
        <v>75</v>
      </c>
      <c r="I114" s="3">
        <f t="shared" si="11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108"/>
        <v>108</v>
      </c>
      <c r="M114" s="3">
        <v>109</v>
      </c>
      <c r="N114" s="3">
        <f t="shared" si="109"/>
        <v>111</v>
      </c>
      <c r="O114" s="3">
        <f t="shared" si="11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1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10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95"/>
        <v>1</v>
      </c>
      <c r="AO114" s="3" t="str">
        <f>IF(ISERROR(MATCH(A114,'SegEnds_Xtal_Prot#'!B:B, 0)), "NoXtal", "Xtal")</f>
        <v>NoXtal</v>
      </c>
      <c r="AP114" s="3">
        <f t="shared" si="79"/>
        <v>1</v>
      </c>
      <c r="AQ114" s="3">
        <f t="shared" si="80"/>
        <v>1</v>
      </c>
      <c r="AR114" s="3">
        <f t="shared" si="81"/>
        <v>2</v>
      </c>
      <c r="AS114" s="3">
        <f t="shared" si="82"/>
        <v>1</v>
      </c>
      <c r="AT114" s="3">
        <f t="shared" si="83"/>
        <v>1</v>
      </c>
      <c r="AU114" s="3">
        <f t="shared" si="84"/>
        <v>1</v>
      </c>
      <c r="AV114" s="3">
        <f t="shared" si="85"/>
        <v>16</v>
      </c>
      <c r="AW114" s="3">
        <f t="shared" si="86"/>
        <v>6</v>
      </c>
      <c r="AX114" s="3">
        <f t="shared" si="87"/>
        <v>6</v>
      </c>
      <c r="AY114" s="3">
        <f t="shared" si="88"/>
        <v>9</v>
      </c>
      <c r="AZ114" s="3">
        <f t="shared" si="89"/>
        <v>1</v>
      </c>
      <c r="BA114" s="3">
        <f>IF(ISERROR(LEN(VLOOKUP(A114,Seqs!A:E,2,FALSE))-AL114),"-",LEN(VLOOKUP(A114,Seqs!A:E,2,FALSE))-AL114)</f>
        <v>28</v>
      </c>
      <c r="BB114" s="16">
        <f t="shared" si="90"/>
        <v>28</v>
      </c>
      <c r="BC114" s="9">
        <f t="shared" si="91"/>
        <v>20</v>
      </c>
      <c r="BD114" s="3">
        <f t="shared" si="92"/>
        <v>28</v>
      </c>
      <c r="BE114" s="3">
        <f t="shared" si="9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111"/>
        <v>63</v>
      </c>
      <c r="I115" s="3">
        <f t="shared" si="11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108"/>
        <v>96</v>
      </c>
      <c r="M115" s="3">
        <v>97</v>
      </c>
      <c r="N115" s="3">
        <f t="shared" si="109"/>
        <v>99</v>
      </c>
      <c r="O115" s="3">
        <f t="shared" si="11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1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10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95"/>
        <v>1</v>
      </c>
      <c r="AO115" s="3" t="str">
        <f>IF(ISERROR(MATCH(A115,'SegEnds_Xtal_Prot#'!B:B, 0)), "NoXtal", "Xtal")</f>
        <v>NoXtal</v>
      </c>
      <c r="AP115" s="3">
        <f t="shared" si="79"/>
        <v>1</v>
      </c>
      <c r="AQ115" s="3">
        <f t="shared" si="80"/>
        <v>1</v>
      </c>
      <c r="AR115" s="3">
        <f t="shared" si="81"/>
        <v>1</v>
      </c>
      <c r="AS115" s="3">
        <f t="shared" si="82"/>
        <v>1</v>
      </c>
      <c r="AT115" s="3">
        <f t="shared" si="83"/>
        <v>1</v>
      </c>
      <c r="AU115" s="3">
        <f t="shared" si="84"/>
        <v>1</v>
      </c>
      <c r="AV115" s="3">
        <f t="shared" si="85"/>
        <v>9</v>
      </c>
      <c r="AW115" s="3">
        <f t="shared" si="86"/>
        <v>5</v>
      </c>
      <c r="AX115" s="3">
        <f t="shared" si="87"/>
        <v>159</v>
      </c>
      <c r="AY115" s="3">
        <f t="shared" si="88"/>
        <v>7</v>
      </c>
      <c r="AZ115" s="3">
        <f t="shared" si="89"/>
        <v>1</v>
      </c>
      <c r="BA115" s="3">
        <f>IF(ISERROR(LEN(VLOOKUP(A115,Seqs!A:E,2,FALSE))-AL115),"-",LEN(VLOOKUP(A115,Seqs!A:E,2,FALSE))-AL115)</f>
        <v>37</v>
      </c>
      <c r="BB115" s="16">
        <f t="shared" si="90"/>
        <v>28</v>
      </c>
      <c r="BC115" s="9">
        <f t="shared" si="91"/>
        <v>20</v>
      </c>
      <c r="BD115" s="3">
        <f t="shared" si="92"/>
        <v>28</v>
      </c>
      <c r="BE115" s="3">
        <f t="shared" si="9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5ht2c_human</v>
      </c>
      <c r="C116" s="3">
        <f>VLOOKUP($A116,'SegEnds_NonXtal_BW#'!$A:$Z,3,FALSE)+D116-50</f>
        <v>5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1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10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95"/>
        <v>1</v>
      </c>
      <c r="AO116" s="3" t="str">
        <f>IF(ISERROR(MATCH(A116,'SegEnds_Xtal_Prot#'!B:B, 0)), "NoXtal", "Xtal")</f>
        <v>NoXtal</v>
      </c>
      <c r="AP116" s="3" t="str">
        <f t="shared" si="79"/>
        <v>-</v>
      </c>
      <c r="AQ116" s="3" t="str">
        <f t="shared" si="80"/>
        <v>-</v>
      </c>
      <c r="AR116" s="3" t="str">
        <f t="shared" si="81"/>
        <v>-</v>
      </c>
      <c r="AS116" s="3" t="str">
        <f t="shared" si="82"/>
        <v>-</v>
      </c>
      <c r="AT116" s="3">
        <f t="shared" si="83"/>
        <v>1</v>
      </c>
      <c r="AU116" s="3">
        <f t="shared" si="84"/>
        <v>1</v>
      </c>
      <c r="AV116" s="3">
        <f t="shared" si="85"/>
        <v>8</v>
      </c>
      <c r="AW116" s="3">
        <f t="shared" si="86"/>
        <v>4</v>
      </c>
      <c r="AX116" s="3">
        <f t="shared" si="87"/>
        <v>11</v>
      </c>
      <c r="AY116" s="3">
        <f t="shared" si="88"/>
        <v>6</v>
      </c>
      <c r="AZ116" s="3">
        <f t="shared" si="89"/>
        <v>1</v>
      </c>
      <c r="BA116" s="3">
        <f>IF(ISERROR(LEN(VLOOKUP(A116,Seqs!A:E,2,FALSE))-AL116),"-",LEN(VLOOKUP(A116,Seqs!A:E,2,FALSE))-AL116)</f>
        <v>39</v>
      </c>
      <c r="BB116" s="16">
        <f t="shared" si="90"/>
        <v>29</v>
      </c>
      <c r="BC116" s="9">
        <f t="shared" si="91"/>
        <v>20</v>
      </c>
      <c r="BD116" s="3">
        <f t="shared" si="92"/>
        <v>29</v>
      </c>
      <c r="BE116" s="3">
        <f t="shared" si="9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112">M117-1</f>
        <v>80</v>
      </c>
      <c r="M117" s="3">
        <v>81</v>
      </c>
      <c r="N117" s="3">
        <f t="shared" ref="N117:N122" si="113">M117+2</f>
        <v>83</v>
      </c>
      <c r="O117" s="3">
        <f t="shared" ref="O117:O122" si="11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1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10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95"/>
        <v>1</v>
      </c>
      <c r="AO117" s="3" t="str">
        <f>IF(ISERROR(MATCH(A117,'SegEnds_Xtal_Prot#'!B:B, 0)), "NoXtal", "Xtal")</f>
        <v>NoXtal</v>
      </c>
      <c r="AP117" s="3">
        <f t="shared" si="79"/>
        <v>1</v>
      </c>
      <c r="AQ117" s="3">
        <f t="shared" si="80"/>
        <v>1</v>
      </c>
      <c r="AR117" s="3">
        <f t="shared" si="81"/>
        <v>2</v>
      </c>
      <c r="AS117" s="3">
        <f t="shared" si="82"/>
        <v>1</v>
      </c>
      <c r="AT117" s="3">
        <f t="shared" si="83"/>
        <v>1</v>
      </c>
      <c r="AU117" s="3">
        <f t="shared" si="84"/>
        <v>1</v>
      </c>
      <c r="AV117" s="3">
        <f t="shared" si="85"/>
        <v>14</v>
      </c>
      <c r="AW117" s="3">
        <f t="shared" si="86"/>
        <v>13</v>
      </c>
      <c r="AX117" s="3">
        <f t="shared" si="87"/>
        <v>4</v>
      </c>
      <c r="AY117" s="3">
        <f t="shared" si="88"/>
        <v>7</v>
      </c>
      <c r="AZ117" s="3">
        <f t="shared" si="89"/>
        <v>2</v>
      </c>
      <c r="BA117" s="3">
        <f>IF(ISERROR(LEN(VLOOKUP(A117,Seqs!A:E,2,FALSE))-AL117),"-",LEN(VLOOKUP(A117,Seqs!A:E,2,FALSE))-AL117)</f>
        <v>5</v>
      </c>
      <c r="BB117" s="16">
        <f t="shared" si="90"/>
        <v>28</v>
      </c>
      <c r="BC117" s="9">
        <f t="shared" si="91"/>
        <v>20</v>
      </c>
      <c r="BD117" s="3">
        <f t="shared" si="92"/>
        <v>28</v>
      </c>
      <c r="BE117" s="3">
        <f t="shared" si="9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apj_human</v>
      </c>
      <c r="C118" s="3">
        <f>VLOOKUP($A118,'SegEnds_NonXtal_BW#'!$A:$Z,3,FALSE)+D118-50</f>
        <v>50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112"/>
        <v>113</v>
      </c>
      <c r="M118" s="3">
        <v>114</v>
      </c>
      <c r="N118" s="3">
        <f t="shared" si="113"/>
        <v>116</v>
      </c>
      <c r="O118" s="3">
        <f t="shared" si="11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1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187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331</v>
      </c>
      <c r="AM118" s="28" t="str">
        <f>VLOOKUP(A118,Classification!A:B,2,FALSE)</f>
        <v>A</v>
      </c>
      <c r="AN118" s="28" t="b">
        <f t="shared" si="95"/>
        <v>1</v>
      </c>
      <c r="AO118" s="3" t="str">
        <f>IF(ISERROR(MATCH(A118,'SegEnds_Xtal_Prot#'!B:B, 0)), "NoXtal", "Xtal")</f>
        <v>NoXtal</v>
      </c>
      <c r="AP118" s="3">
        <f t="shared" si="79"/>
        <v>1</v>
      </c>
      <c r="AQ118" s="3">
        <f t="shared" si="80"/>
        <v>1</v>
      </c>
      <c r="AR118" s="3">
        <f t="shared" si="81"/>
        <v>1</v>
      </c>
      <c r="AS118" s="3">
        <f t="shared" si="82"/>
        <v>1</v>
      </c>
      <c r="AT118" s="3">
        <f t="shared" si="83"/>
        <v>1</v>
      </c>
      <c r="AU118" s="3">
        <f t="shared" si="84"/>
        <v>1</v>
      </c>
      <c r="AV118" s="3" t="str">
        <f t="shared" si="85"/>
        <v>-</v>
      </c>
      <c r="AW118" s="3" t="str">
        <f t="shared" si="86"/>
        <v>-</v>
      </c>
      <c r="AX118" s="3">
        <f t="shared" si="87"/>
        <v>16</v>
      </c>
      <c r="AY118" s="3">
        <f t="shared" si="88"/>
        <v>8</v>
      </c>
      <c r="AZ118" s="3">
        <f t="shared" si="89"/>
        <v>1</v>
      </c>
      <c r="BA118" s="3">
        <f>IF(ISERROR(LEN(VLOOKUP(A118,Seqs!A:E,2,FALSE))-AL118),"-",LEN(VLOOKUP(A118,Seqs!A:E,2,FALSE))-AL118)</f>
        <v>16</v>
      </c>
      <c r="BB118" s="16">
        <f t="shared" si="90"/>
        <v>29</v>
      </c>
      <c r="BC118" s="9">
        <f t="shared" si="91"/>
        <v>20</v>
      </c>
      <c r="BD118" s="3">
        <f t="shared" si="92"/>
        <v>29</v>
      </c>
      <c r="BE118" s="3">
        <f t="shared" si="9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112"/>
        <v>96</v>
      </c>
      <c r="M119" s="3">
        <v>97</v>
      </c>
      <c r="N119" s="3">
        <f t="shared" si="113"/>
        <v>99</v>
      </c>
      <c r="O119" s="3">
        <f t="shared" si="11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1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11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95"/>
        <v>1</v>
      </c>
      <c r="AO119" s="3" t="str">
        <f>IF(ISERROR(MATCH(A119,'SegEnds_Xtal_Prot#'!B:B, 0)), "NoXtal", "Xtal")</f>
        <v>NoXtal</v>
      </c>
      <c r="AP119" s="3" t="str">
        <f t="shared" si="79"/>
        <v>-</v>
      </c>
      <c r="AQ119" s="3" t="str">
        <f t="shared" si="80"/>
        <v>-</v>
      </c>
      <c r="AR119" s="3">
        <f t="shared" si="81"/>
        <v>2</v>
      </c>
      <c r="AS119" s="3">
        <f t="shared" si="82"/>
        <v>1</v>
      </c>
      <c r="AT119" s="3">
        <f t="shared" si="83"/>
        <v>1</v>
      </c>
      <c r="AU119" s="3">
        <f t="shared" si="84"/>
        <v>1</v>
      </c>
      <c r="AV119" s="3">
        <f t="shared" si="85"/>
        <v>12</v>
      </c>
      <c r="AW119" s="3">
        <f t="shared" si="86"/>
        <v>5</v>
      </c>
      <c r="AX119" s="3">
        <f t="shared" si="87"/>
        <v>4</v>
      </c>
      <c r="AY119" s="3">
        <f t="shared" si="88"/>
        <v>7</v>
      </c>
      <c r="AZ119" s="3">
        <f t="shared" si="89"/>
        <v>1</v>
      </c>
      <c r="BA119" s="3">
        <f>IF(ISERROR(LEN(VLOOKUP(A119,Seqs!A:E,2,FALSE))-AL119),"-",LEN(VLOOKUP(A119,Seqs!A:E,2,FALSE))-AL119)</f>
        <v>160</v>
      </c>
      <c r="BB119" s="16">
        <f t="shared" si="90"/>
        <v>30</v>
      </c>
      <c r="BC119" s="9">
        <f t="shared" si="91"/>
        <v>20</v>
      </c>
      <c r="BD119" s="3">
        <f t="shared" si="92"/>
        <v>30</v>
      </c>
      <c r="BE119" s="3">
        <f t="shared" si="9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116">G120+1</f>
        <v>39</v>
      </c>
      <c r="I120" s="3">
        <f t="shared" si="116"/>
        <v>40</v>
      </c>
      <c r="J120" s="106">
        <v>52</v>
      </c>
      <c r="K120" s="3">
        <f>VLOOKUP($A120,'SegEnds_NonXtal_BW#'!$A:$Z,8,FALSE)+VLOOKUP($A120,A:AL,10,FALSE)-50</f>
        <v>70</v>
      </c>
      <c r="L120" s="3">
        <f t="shared" si="112"/>
        <v>75</v>
      </c>
      <c r="M120" s="3">
        <v>76</v>
      </c>
      <c r="N120" s="3">
        <f t="shared" si="113"/>
        <v>78</v>
      </c>
      <c r="O120" s="3">
        <f t="shared" si="11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1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11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95"/>
        <v>1</v>
      </c>
      <c r="AO120" s="3" t="str">
        <f>IF(ISERROR(MATCH(A120,'SegEnds_Xtal_Prot#'!B:B, 0)), "NoXtal", "Xtal")</f>
        <v>NoXtal</v>
      </c>
      <c r="AP120" s="3">
        <f t="shared" si="79"/>
        <v>1</v>
      </c>
      <c r="AQ120" s="3">
        <f t="shared" si="80"/>
        <v>1</v>
      </c>
      <c r="AR120" s="3">
        <f t="shared" si="81"/>
        <v>5</v>
      </c>
      <c r="AS120" s="3">
        <f t="shared" si="82"/>
        <v>1</v>
      </c>
      <c r="AT120" s="3">
        <f t="shared" si="83"/>
        <v>1</v>
      </c>
      <c r="AU120" s="3">
        <f t="shared" si="84"/>
        <v>1</v>
      </c>
      <c r="AV120" s="3">
        <f t="shared" si="85"/>
        <v>13</v>
      </c>
      <c r="AW120" s="3">
        <f t="shared" si="86"/>
        <v>6</v>
      </c>
      <c r="AX120" s="3">
        <f t="shared" si="87"/>
        <v>24</v>
      </c>
      <c r="AY120" s="3">
        <f t="shared" si="88"/>
        <v>5</v>
      </c>
      <c r="AZ120" s="3">
        <f t="shared" si="89"/>
        <v>1</v>
      </c>
      <c r="BA120" s="3">
        <f>IF(ISERROR(LEN(VLOOKUP(A120,Seqs!A:E,2,FALSE))-AL120),"-",LEN(VLOOKUP(A120,Seqs!A:E,2,FALSE))-AL120)</f>
        <v>298</v>
      </c>
      <c r="BB120" s="16">
        <f t="shared" si="90"/>
        <v>27</v>
      </c>
      <c r="BC120" s="9">
        <f t="shared" si="91"/>
        <v>20</v>
      </c>
      <c r="BD120" s="3">
        <f t="shared" si="92"/>
        <v>27</v>
      </c>
      <c r="BE120" s="3">
        <f t="shared" si="9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116"/>
        <v>59</v>
      </c>
      <c r="I121" s="3">
        <f t="shared" si="11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112"/>
        <v>92</v>
      </c>
      <c r="M121" s="3">
        <v>93</v>
      </c>
      <c r="N121" s="3">
        <f t="shared" si="113"/>
        <v>95</v>
      </c>
      <c r="O121" s="3">
        <f t="shared" si="11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1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11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95"/>
        <v>1</v>
      </c>
      <c r="AO121" s="3" t="str">
        <f>IF(ISERROR(MATCH(A121,'SegEnds_Xtal_Prot#'!B:B, 0)), "NoXtal", "Xtal")</f>
        <v>NoXtal</v>
      </c>
      <c r="AP121" s="3">
        <f t="shared" si="79"/>
        <v>1</v>
      </c>
      <c r="AQ121" s="3">
        <f t="shared" si="80"/>
        <v>1</v>
      </c>
      <c r="AR121" s="3">
        <f t="shared" si="81"/>
        <v>1</v>
      </c>
      <c r="AS121" s="3">
        <f t="shared" si="82"/>
        <v>1</v>
      </c>
      <c r="AT121" s="3">
        <f t="shared" si="83"/>
        <v>1</v>
      </c>
      <c r="AU121" s="3">
        <f t="shared" si="84"/>
        <v>1</v>
      </c>
      <c r="AV121" s="3">
        <f t="shared" si="85"/>
        <v>13</v>
      </c>
      <c r="AW121" s="3">
        <f t="shared" si="86"/>
        <v>5</v>
      </c>
      <c r="AX121" s="3">
        <f t="shared" si="87"/>
        <v>33</v>
      </c>
      <c r="AY121" s="3">
        <f t="shared" si="88"/>
        <v>6</v>
      </c>
      <c r="AZ121" s="3">
        <f t="shared" si="89"/>
        <v>1</v>
      </c>
      <c r="BA121" s="3">
        <f>IF(ISERROR(LEN(VLOOKUP(A121,Seqs!A:E,2,FALSE))-AL121),"-",LEN(VLOOKUP(A121,Seqs!A:E,2,FALSE))-AL121)</f>
        <v>190</v>
      </c>
      <c r="BB121" s="16">
        <f t="shared" si="90"/>
        <v>28</v>
      </c>
      <c r="BC121" s="9">
        <f t="shared" si="91"/>
        <v>20</v>
      </c>
      <c r="BD121" s="3">
        <f t="shared" si="92"/>
        <v>28</v>
      </c>
      <c r="BE121" s="3">
        <f t="shared" si="9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drd2_human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116"/>
        <v>45</v>
      </c>
      <c r="I122" s="3">
        <f t="shared" si="116"/>
        <v>46</v>
      </c>
      <c r="J122" s="106">
        <v>58</v>
      </c>
      <c r="K122" s="3">
        <f>VLOOKUP($A122,'SegEnds_NonXtal_BW#'!$A:$Z,8,FALSE)+VLOOKUP($A122,A:AL,10,FALSE)-50</f>
        <v>76</v>
      </c>
      <c r="L122" s="3">
        <f t="shared" si="112"/>
        <v>82</v>
      </c>
      <c r="M122" s="3">
        <v>83</v>
      </c>
      <c r="N122" s="3">
        <f t="shared" si="113"/>
        <v>85</v>
      </c>
      <c r="O122" s="3">
        <f t="shared" si="11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1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154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11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95"/>
        <v>1</v>
      </c>
      <c r="AO122" s="3" t="str">
        <f>IF(ISERROR(MATCH(A122,'SegEnds_Xtal_Prot#'!B:B, 0)), "NoXtal", "Xtal")</f>
        <v>NoXtal</v>
      </c>
      <c r="AP122" s="3">
        <f t="shared" si="79"/>
        <v>1</v>
      </c>
      <c r="AQ122" s="3">
        <f t="shared" si="80"/>
        <v>1</v>
      </c>
      <c r="AR122" s="3">
        <f t="shared" si="81"/>
        <v>6</v>
      </c>
      <c r="AS122" s="3">
        <f t="shared" si="82"/>
        <v>1</v>
      </c>
      <c r="AT122" s="3">
        <f t="shared" si="83"/>
        <v>1</v>
      </c>
      <c r="AU122" s="3">
        <f t="shared" si="84"/>
        <v>1</v>
      </c>
      <c r="AV122" s="3">
        <f t="shared" si="85"/>
        <v>14</v>
      </c>
      <c r="AW122" s="3">
        <f t="shared" si="86"/>
        <v>6</v>
      </c>
      <c r="AX122" s="3">
        <f t="shared" si="87"/>
        <v>46</v>
      </c>
      <c r="AY122" s="3">
        <f t="shared" si="88"/>
        <v>5</v>
      </c>
      <c r="AZ122" s="3">
        <f t="shared" si="89"/>
        <v>1</v>
      </c>
      <c r="BA122" s="3">
        <f>IF(ISERROR(LEN(VLOOKUP(A122,Seqs!A:E,2,FALSE))-AL122),"-",LEN(VLOOKUP(A122,Seqs!A:E,2,FALSE))-AL122)</f>
        <v>249</v>
      </c>
      <c r="BB122" s="16">
        <f t="shared" si="90"/>
        <v>27</v>
      </c>
      <c r="BC122" s="9">
        <f t="shared" si="91"/>
        <v>20</v>
      </c>
      <c r="BD122" s="3">
        <f t="shared" si="92"/>
        <v>27</v>
      </c>
      <c r="BE122" s="3">
        <f t="shared" si="9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1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11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95"/>
        <v>1</v>
      </c>
      <c r="AO123" s="3" t="str">
        <f>IF(ISERROR(MATCH(A123,'SegEnds_Xtal_Prot#'!B:B, 0)), "NoXtal", "Xtal")</f>
        <v>NoXtal</v>
      </c>
      <c r="AP123" s="3" t="str">
        <f t="shared" si="79"/>
        <v>-</v>
      </c>
      <c r="AQ123" s="3" t="str">
        <f t="shared" si="80"/>
        <v>-</v>
      </c>
      <c r="AR123" s="3" t="str">
        <f t="shared" si="81"/>
        <v>-</v>
      </c>
      <c r="AS123" s="3" t="str">
        <f t="shared" si="82"/>
        <v>-</v>
      </c>
      <c r="AT123" s="3">
        <f t="shared" si="83"/>
        <v>1</v>
      </c>
      <c r="AU123" s="3">
        <f t="shared" si="84"/>
        <v>1</v>
      </c>
      <c r="AV123" s="3">
        <f t="shared" si="85"/>
        <v>12</v>
      </c>
      <c r="AW123" s="3">
        <f t="shared" si="86"/>
        <v>4</v>
      </c>
      <c r="AX123" s="3">
        <f t="shared" si="87"/>
        <v>6</v>
      </c>
      <c r="AY123" s="3">
        <f t="shared" si="88"/>
        <v>4</v>
      </c>
      <c r="AZ123" s="3">
        <f t="shared" si="89"/>
        <v>1</v>
      </c>
      <c r="BA123" s="3">
        <f>IF(ISERROR(LEN(VLOOKUP(A123,Seqs!A:E,2,FALSE))-AL123),"-",LEN(VLOOKUP(A123,Seqs!A:E,2,FALSE))-AL123)</f>
        <v>20</v>
      </c>
      <c r="BB123" s="16">
        <f t="shared" si="90"/>
        <v>28</v>
      </c>
      <c r="BC123" s="9">
        <f t="shared" si="91"/>
        <v>20</v>
      </c>
      <c r="BD123" s="3">
        <f t="shared" si="92"/>
        <v>28</v>
      </c>
      <c r="BE123" s="3">
        <f t="shared" si="9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117">G124+1</f>
        <v>54</v>
      </c>
      <c r="I124" s="3">
        <f t="shared" si="11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118">M124-1</f>
        <v>88</v>
      </c>
      <c r="M124" s="3">
        <v>89</v>
      </c>
      <c r="N124" s="3">
        <f t="shared" ref="N124:N132" si="119">M124+2</f>
        <v>91</v>
      </c>
      <c r="O124" s="3">
        <f t="shared" ref="O124:O132" si="12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1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11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95"/>
        <v>1</v>
      </c>
      <c r="AO124" s="3" t="str">
        <f>IF(ISERROR(MATCH(A124,'SegEnds_Xtal_Prot#'!B:B, 0)), "NoXtal", "Xtal")</f>
        <v>NoXtal</v>
      </c>
      <c r="AP124" s="3">
        <f t="shared" si="79"/>
        <v>1</v>
      </c>
      <c r="AQ124" s="3">
        <f t="shared" si="80"/>
        <v>1</v>
      </c>
      <c r="AR124" s="3">
        <f t="shared" si="81"/>
        <v>3</v>
      </c>
      <c r="AS124" s="3">
        <f t="shared" si="82"/>
        <v>1</v>
      </c>
      <c r="AT124" s="3">
        <f t="shared" si="83"/>
        <v>1</v>
      </c>
      <c r="AU124" s="3">
        <f t="shared" si="84"/>
        <v>1</v>
      </c>
      <c r="AV124" s="3">
        <f t="shared" si="85"/>
        <v>12</v>
      </c>
      <c r="AW124" s="3">
        <f t="shared" si="86"/>
        <v>44</v>
      </c>
      <c r="AX124" s="3">
        <f t="shared" si="87"/>
        <v>13</v>
      </c>
      <c r="AY124" s="3">
        <f t="shared" si="88"/>
        <v>6</v>
      </c>
      <c r="AZ124" s="3">
        <f t="shared" si="89"/>
        <v>1</v>
      </c>
      <c r="BA124" s="3">
        <f>IF(ISERROR(LEN(VLOOKUP(A124,Seqs!A:E,2,FALSE))-AL124),"-",LEN(VLOOKUP(A124,Seqs!A:E,2,FALSE))-AL124)</f>
        <v>18</v>
      </c>
      <c r="BB124" s="16">
        <f t="shared" si="90"/>
        <v>28</v>
      </c>
      <c r="BC124" s="9">
        <f t="shared" si="91"/>
        <v>20</v>
      </c>
      <c r="BD124" s="3">
        <f t="shared" si="92"/>
        <v>28</v>
      </c>
      <c r="BE124" s="3">
        <f t="shared" si="9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117"/>
        <v>85</v>
      </c>
      <c r="I125" s="3">
        <f t="shared" si="11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118"/>
        <v>118</v>
      </c>
      <c r="M125" s="3">
        <v>119</v>
      </c>
      <c r="N125" s="3">
        <f t="shared" si="119"/>
        <v>121</v>
      </c>
      <c r="O125" s="3">
        <f t="shared" si="12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1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11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95"/>
        <v>1</v>
      </c>
      <c r="AO125" s="3" t="str">
        <f>IF(ISERROR(MATCH(A125,'SegEnds_Xtal_Prot#'!B:B, 0)), "NoXtal", "Xtal")</f>
        <v>NoXtal</v>
      </c>
      <c r="AP125" s="3">
        <f t="shared" si="79"/>
        <v>1</v>
      </c>
      <c r="AQ125" s="3">
        <f t="shared" si="80"/>
        <v>1</v>
      </c>
      <c r="AR125" s="3">
        <f t="shared" si="81"/>
        <v>2</v>
      </c>
      <c r="AS125" s="3">
        <f t="shared" si="82"/>
        <v>1</v>
      </c>
      <c r="AT125" s="3">
        <f t="shared" si="83"/>
        <v>1</v>
      </c>
      <c r="AU125" s="3">
        <f t="shared" si="84"/>
        <v>1</v>
      </c>
      <c r="AV125" s="3">
        <f t="shared" si="85"/>
        <v>10</v>
      </c>
      <c r="AW125" s="3">
        <f t="shared" si="86"/>
        <v>6</v>
      </c>
      <c r="AX125" s="3">
        <f t="shared" si="87"/>
        <v>5</v>
      </c>
      <c r="AY125" s="3">
        <f t="shared" si="88"/>
        <v>4</v>
      </c>
      <c r="AZ125" s="3">
        <f t="shared" si="89"/>
        <v>1</v>
      </c>
      <c r="BA125" s="3">
        <f>IF(ISERROR(LEN(VLOOKUP(A125,Seqs!A:E,2,FALSE))-AL125),"-",LEN(VLOOKUP(A125,Seqs!A:E,2,FALSE))-AL125)</f>
        <v>66</v>
      </c>
      <c r="BB125" s="16">
        <f t="shared" si="90"/>
        <v>28</v>
      </c>
      <c r="BC125" s="9">
        <f t="shared" si="91"/>
        <v>20</v>
      </c>
      <c r="BD125" s="3">
        <f t="shared" si="92"/>
        <v>28</v>
      </c>
      <c r="BE125" s="3">
        <f t="shared" si="9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117"/>
        <v>63</v>
      </c>
      <c r="I126" s="3">
        <f t="shared" si="11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118"/>
        <v>96</v>
      </c>
      <c r="M126" s="3">
        <v>97</v>
      </c>
      <c r="N126" s="3">
        <f t="shared" si="119"/>
        <v>99</v>
      </c>
      <c r="O126" s="3">
        <f t="shared" si="12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1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11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95"/>
        <v>1</v>
      </c>
      <c r="AO126" s="3" t="str">
        <f>IF(ISERROR(MATCH(A126,'SegEnds_Xtal_Prot#'!B:B, 0)), "NoXtal", "Xtal")</f>
        <v>NoXtal</v>
      </c>
      <c r="AP126" s="3">
        <f t="shared" si="79"/>
        <v>1</v>
      </c>
      <c r="AQ126" s="3">
        <f t="shared" si="80"/>
        <v>1</v>
      </c>
      <c r="AR126" s="3">
        <f t="shared" si="81"/>
        <v>3</v>
      </c>
      <c r="AS126" s="3">
        <f t="shared" si="82"/>
        <v>1</v>
      </c>
      <c r="AT126" s="3">
        <f t="shared" si="83"/>
        <v>1</v>
      </c>
      <c r="AU126" s="3">
        <f t="shared" si="84"/>
        <v>1</v>
      </c>
      <c r="AV126" s="3">
        <f t="shared" si="85"/>
        <v>11</v>
      </c>
      <c r="AW126" s="3">
        <f t="shared" si="86"/>
        <v>5</v>
      </c>
      <c r="AX126" s="3">
        <f t="shared" si="87"/>
        <v>6</v>
      </c>
      <c r="AY126" s="3">
        <f t="shared" si="88"/>
        <v>6</v>
      </c>
      <c r="AZ126" s="3">
        <f t="shared" si="89"/>
        <v>1</v>
      </c>
      <c r="BA126" s="3">
        <f>IF(ISERROR(LEN(VLOOKUP(A126,Seqs!A:E,2,FALSE))-AL126),"-",LEN(VLOOKUP(A126,Seqs!A:E,2,FALSE))-AL126)</f>
        <v>37</v>
      </c>
      <c r="BB126" s="16">
        <f t="shared" si="90"/>
        <v>28</v>
      </c>
      <c r="BC126" s="9">
        <f t="shared" si="91"/>
        <v>20</v>
      </c>
      <c r="BD126" s="3">
        <f t="shared" si="92"/>
        <v>28</v>
      </c>
      <c r="BE126" s="3">
        <f t="shared" si="9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117"/>
        <v>91</v>
      </c>
      <c r="I127" s="3">
        <f t="shared" si="11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118"/>
        <v>123</v>
      </c>
      <c r="M127" s="3">
        <v>124</v>
      </c>
      <c r="N127" s="3">
        <f t="shared" si="119"/>
        <v>126</v>
      </c>
      <c r="O127" s="3">
        <f t="shared" si="12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1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11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95"/>
        <v>1</v>
      </c>
      <c r="AO127" s="3" t="str">
        <f>IF(ISERROR(MATCH(A127,'SegEnds_Xtal_Prot#'!B:B, 0)), "NoXtal", "Xtal")</f>
        <v>NoXtal</v>
      </c>
      <c r="AP127" s="3">
        <f t="shared" si="79"/>
        <v>1</v>
      </c>
      <c r="AQ127" s="3">
        <f t="shared" si="80"/>
        <v>1</v>
      </c>
      <c r="AR127" s="3">
        <f t="shared" si="81"/>
        <v>2</v>
      </c>
      <c r="AS127" s="3">
        <f t="shared" si="82"/>
        <v>1</v>
      </c>
      <c r="AT127" s="3">
        <f t="shared" si="83"/>
        <v>1</v>
      </c>
      <c r="AU127" s="3">
        <f t="shared" si="84"/>
        <v>1</v>
      </c>
      <c r="AV127" s="3">
        <f t="shared" si="85"/>
        <v>9</v>
      </c>
      <c r="AW127" s="3">
        <f t="shared" si="86"/>
        <v>3</v>
      </c>
      <c r="AX127" s="3">
        <f t="shared" si="87"/>
        <v>4</v>
      </c>
      <c r="AY127" s="3">
        <f t="shared" si="88"/>
        <v>7</v>
      </c>
      <c r="AZ127" s="3">
        <f t="shared" si="89"/>
        <v>1</v>
      </c>
      <c r="BA127" s="3">
        <f>IF(ISERROR(LEN(VLOOKUP(A127,Seqs!A:E,2,FALSE))-AL127),"-",LEN(VLOOKUP(A127,Seqs!A:E,2,FALSE))-AL127)</f>
        <v>35</v>
      </c>
      <c r="BB127" s="16">
        <f t="shared" si="90"/>
        <v>28</v>
      </c>
      <c r="BC127" s="9">
        <f t="shared" si="91"/>
        <v>20</v>
      </c>
      <c r="BD127" s="3">
        <f t="shared" si="92"/>
        <v>28</v>
      </c>
      <c r="BE127" s="3">
        <f t="shared" si="9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118"/>
        <v>102</v>
      </c>
      <c r="M128" s="3">
        <v>103</v>
      </c>
      <c r="N128" s="3">
        <f t="shared" si="119"/>
        <v>105</v>
      </c>
      <c r="O128" s="3">
        <f t="shared" si="12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1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11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95"/>
        <v>1</v>
      </c>
      <c r="AO128" s="3" t="str">
        <f>IF(ISERROR(MATCH(A128,'SegEnds_Xtal_Prot#'!B:B, 0)), "NoXtal", "Xtal")</f>
        <v>NoXtal</v>
      </c>
      <c r="AP128" s="3" t="str">
        <f t="shared" si="79"/>
        <v>-</v>
      </c>
      <c r="AQ128" s="3" t="str">
        <f t="shared" si="80"/>
        <v>-</v>
      </c>
      <c r="AR128" s="3">
        <f t="shared" si="81"/>
        <v>3</v>
      </c>
      <c r="AS128" s="3">
        <f t="shared" si="82"/>
        <v>1</v>
      </c>
      <c r="AT128" s="3">
        <f t="shared" si="83"/>
        <v>1</v>
      </c>
      <c r="AU128" s="3">
        <f t="shared" si="84"/>
        <v>1</v>
      </c>
      <c r="AV128" s="3">
        <f t="shared" si="85"/>
        <v>11</v>
      </c>
      <c r="AW128" s="3">
        <f t="shared" si="86"/>
        <v>13</v>
      </c>
      <c r="AX128" s="3">
        <f t="shared" si="87"/>
        <v>5</v>
      </c>
      <c r="AY128" s="3">
        <f t="shared" si="88"/>
        <v>7</v>
      </c>
      <c r="AZ128" s="3">
        <f t="shared" si="89"/>
        <v>1</v>
      </c>
      <c r="BA128" s="3">
        <f>IF(ISERROR(LEN(VLOOKUP(A128,Seqs!A:E,2,FALSE))-AL128),"-",LEN(VLOOKUP(A128,Seqs!A:E,2,FALSE))-AL128)</f>
        <v>33</v>
      </c>
      <c r="BB128" s="16">
        <f t="shared" si="90"/>
        <v>27</v>
      </c>
      <c r="BC128" s="9">
        <f t="shared" si="91"/>
        <v>20</v>
      </c>
      <c r="BD128" s="3">
        <f t="shared" si="92"/>
        <v>27</v>
      </c>
      <c r="BE128" s="3">
        <f t="shared" si="9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118"/>
        <v>104</v>
      </c>
      <c r="M129" s="3">
        <v>105</v>
      </c>
      <c r="N129" s="3">
        <f t="shared" si="119"/>
        <v>107</v>
      </c>
      <c r="O129" s="3">
        <f t="shared" si="12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1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95"/>
        <v>1</v>
      </c>
      <c r="AO129" s="3" t="str">
        <f>IF(ISERROR(MATCH(A129,'SegEnds_Xtal_Prot#'!B:B, 0)), "NoXtal", "Xtal")</f>
        <v>NoXtal</v>
      </c>
      <c r="AP129" s="3" t="str">
        <f t="shared" si="79"/>
        <v>-</v>
      </c>
      <c r="AQ129" s="3" t="str">
        <f t="shared" si="80"/>
        <v>-</v>
      </c>
      <c r="AR129" s="3">
        <f t="shared" si="81"/>
        <v>2</v>
      </c>
      <c r="AS129" s="3">
        <f t="shared" si="82"/>
        <v>1</v>
      </c>
      <c r="AT129" s="3">
        <f t="shared" si="83"/>
        <v>1</v>
      </c>
      <c r="AU129" s="3">
        <f t="shared" si="84"/>
        <v>1</v>
      </c>
      <c r="AV129" s="3" t="str">
        <f t="shared" si="85"/>
        <v>-</v>
      </c>
      <c r="AW129" s="3" t="str">
        <f t="shared" si="86"/>
        <v>-</v>
      </c>
      <c r="AX129" s="3">
        <f t="shared" si="87"/>
        <v>9</v>
      </c>
      <c r="AY129" s="3">
        <f t="shared" si="88"/>
        <v>5</v>
      </c>
      <c r="AZ129" s="3">
        <f t="shared" si="89"/>
        <v>1</v>
      </c>
      <c r="BA129" s="3">
        <f>IF(ISERROR(LEN(VLOOKUP(A129,Seqs!A:E,2,FALSE))-AL129),"-",LEN(VLOOKUP(A129,Seqs!A:E,2,FALSE))-AL129)</f>
        <v>17</v>
      </c>
      <c r="BB129" s="16">
        <f t="shared" si="90"/>
        <v>28</v>
      </c>
      <c r="BC129" s="9">
        <f t="shared" si="91"/>
        <v>20</v>
      </c>
      <c r="BD129" s="3">
        <f t="shared" si="92"/>
        <v>28</v>
      </c>
      <c r="BE129" s="3">
        <f t="shared" si="9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118"/>
        <v>98</v>
      </c>
      <c r="M130" s="3">
        <v>99</v>
      </c>
      <c r="N130" s="3">
        <f t="shared" si="119"/>
        <v>101</v>
      </c>
      <c r="O130" s="3">
        <f t="shared" si="12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1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95"/>
        <v>1</v>
      </c>
      <c r="AO130" s="3" t="str">
        <f>IF(ISERROR(MATCH(A130,'SegEnds_Xtal_Prot#'!B:B, 0)), "NoXtal", "Xtal")</f>
        <v>NoXtal</v>
      </c>
      <c r="AP130" s="3" t="str">
        <f t="shared" si="79"/>
        <v>-</v>
      </c>
      <c r="AQ130" s="3" t="str">
        <f t="shared" si="80"/>
        <v>-</v>
      </c>
      <c r="AR130" s="3">
        <f t="shared" si="81"/>
        <v>3</v>
      </c>
      <c r="AS130" s="3">
        <f t="shared" si="82"/>
        <v>1</v>
      </c>
      <c r="AT130" s="3">
        <f t="shared" si="83"/>
        <v>1</v>
      </c>
      <c r="AU130" s="3">
        <f t="shared" si="84"/>
        <v>1</v>
      </c>
      <c r="AV130" s="3">
        <f t="shared" si="85"/>
        <v>11</v>
      </c>
      <c r="AW130" s="3">
        <f t="shared" si="86"/>
        <v>6</v>
      </c>
      <c r="AX130" s="3">
        <f t="shared" si="87"/>
        <v>5</v>
      </c>
      <c r="AY130" s="3">
        <f t="shared" si="88"/>
        <v>6</v>
      </c>
      <c r="AZ130" s="3">
        <f t="shared" si="89"/>
        <v>1</v>
      </c>
      <c r="BA130" s="3">
        <f>IF(ISERROR(LEN(VLOOKUP(A130,Seqs!A:E,2,FALSE))-AL130),"-",LEN(VLOOKUP(A130,Seqs!A:E,2,FALSE))-AL130)</f>
        <v>40</v>
      </c>
      <c r="BB130" s="16">
        <f t="shared" si="90"/>
        <v>28</v>
      </c>
      <c r="BC130" s="9">
        <f t="shared" si="91"/>
        <v>20</v>
      </c>
      <c r="BD130" s="3">
        <f t="shared" si="92"/>
        <v>28</v>
      </c>
      <c r="BE130" s="3">
        <f t="shared" si="9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118"/>
        <v>124</v>
      </c>
      <c r="M131" s="3">
        <v>125</v>
      </c>
      <c r="N131" s="3">
        <f t="shared" si="119"/>
        <v>127</v>
      </c>
      <c r="O131" s="3">
        <f t="shared" si="12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1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95"/>
        <v>1</v>
      </c>
      <c r="AO131" s="3" t="str">
        <f>IF(ISERROR(MATCH(A131,'SegEnds_Xtal_Prot#'!B:B, 0)), "NoXtal", "Xtal")</f>
        <v>NoXtal</v>
      </c>
      <c r="AP131" s="3" t="str">
        <f t="shared" si="79"/>
        <v>-</v>
      </c>
      <c r="AQ131" s="3" t="str">
        <f t="shared" si="80"/>
        <v>-</v>
      </c>
      <c r="AR131" s="3">
        <f t="shared" si="81"/>
        <v>2</v>
      </c>
      <c r="AS131" s="3">
        <f t="shared" si="82"/>
        <v>1</v>
      </c>
      <c r="AT131" s="3">
        <f t="shared" si="83"/>
        <v>1</v>
      </c>
      <c r="AU131" s="3">
        <f t="shared" si="84"/>
        <v>1</v>
      </c>
      <c r="AV131" s="3">
        <f t="shared" si="85"/>
        <v>11</v>
      </c>
      <c r="AW131" s="3">
        <f t="shared" si="86"/>
        <v>1</v>
      </c>
      <c r="AX131" s="3">
        <f t="shared" si="87"/>
        <v>5</v>
      </c>
      <c r="AY131" s="3">
        <f t="shared" si="88"/>
        <v>4</v>
      </c>
      <c r="AZ131" s="3">
        <f t="shared" si="89"/>
        <v>1</v>
      </c>
      <c r="BA131" s="3">
        <f>IF(ISERROR(LEN(VLOOKUP(A131,Seqs!A:E,2,FALSE))-AL131),"-",LEN(VLOOKUP(A131,Seqs!A:E,2,FALSE))-AL131)</f>
        <v>24</v>
      </c>
      <c r="BB131" s="16">
        <f t="shared" si="90"/>
        <v>28</v>
      </c>
      <c r="BC131" s="9">
        <f t="shared" si="91"/>
        <v>20</v>
      </c>
      <c r="BD131" s="3">
        <f t="shared" si="92"/>
        <v>28</v>
      </c>
      <c r="BE131" s="3">
        <f t="shared" si="9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118"/>
        <v>86</v>
      </c>
      <c r="M132" s="3">
        <v>87</v>
      </c>
      <c r="N132" s="3">
        <f t="shared" si="119"/>
        <v>89</v>
      </c>
      <c r="O132" s="3">
        <f t="shared" si="12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1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95"/>
        <v>1</v>
      </c>
      <c r="AO132" s="3" t="str">
        <f>IF(ISERROR(MATCH(A132,'SegEnds_Xtal_Prot#'!B:B, 0)), "NoXtal", "Xtal")</f>
        <v>NoXtal</v>
      </c>
      <c r="AP132" s="3" t="str">
        <f t="shared" ref="AP132:AP195" si="121">IF(ISERROR(F132-E132),"-",F132-E132)</f>
        <v>-</v>
      </c>
      <c r="AQ132" s="3" t="str">
        <f t="shared" ref="AQ132:AQ195" si="122">IF(ISERROR(I132-H132),"-",I132-H132)</f>
        <v>-</v>
      </c>
      <c r="AR132" s="3">
        <f t="shared" ref="AR132:AR195" si="123">IF(ISERROR(L132-K132),"-",L132-K132)</f>
        <v>2</v>
      </c>
      <c r="AS132" s="3">
        <f t="shared" ref="AS132:AS195" si="124">IF(ISERROR(O132-N132),"-",O132-N132)</f>
        <v>1</v>
      </c>
      <c r="AT132" s="3">
        <f t="shared" ref="AT132:AT195" si="125">IF(ISERROR(R132-Q132),"-",R132-Q132)</f>
        <v>1</v>
      </c>
      <c r="AU132" s="3">
        <f t="shared" ref="AU132:AU195" si="126">IF(ISERROR(U132-T132),"-",U132-T132)</f>
        <v>1</v>
      </c>
      <c r="AV132" s="3">
        <f t="shared" ref="AV132:AV195" si="127">IF(ISERROR(X132-W132),"-",X132-W132)</f>
        <v>12</v>
      </c>
      <c r="AW132" s="3">
        <f t="shared" ref="AW132:AW195" si="128">IF(ISERROR(AA132-Z132),"-",AA132-Z132)</f>
        <v>5</v>
      </c>
      <c r="AX132" s="3">
        <f t="shared" ref="AX132:AX195" si="129">IF(ISERROR(AD132-AC132),"-",AD132-AC132)</f>
        <v>4</v>
      </c>
      <c r="AY132" s="3">
        <f t="shared" ref="AY132:AY195" si="130">IF(ISERROR(AG132-AF132),"-",AG132-AF132)</f>
        <v>6</v>
      </c>
      <c r="AZ132" s="3">
        <f t="shared" ref="AZ132:AZ195" si="13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132">J132-D132</f>
        <v>28</v>
      </c>
      <c r="BC132" s="9">
        <f t="shared" ref="BC132:BC195" si="133">IF(ISERROR(V132-S132),"-",V132-S132)</f>
        <v>20</v>
      </c>
      <c r="BD132" s="3">
        <f t="shared" ref="BD132:BD195" si="134">J132-D132</f>
        <v>28</v>
      </c>
      <c r="BE132" s="3">
        <f t="shared" ref="BE132:BE195" si="13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136">G133-2</f>
        <v>82</v>
      </c>
      <c r="G133" s="3">
        <v>84</v>
      </c>
      <c r="H133" s="3">
        <f t="shared" ref="H133:I138" si="137">G133+1</f>
        <v>85</v>
      </c>
      <c r="I133" s="3">
        <f t="shared" si="13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1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13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121"/>
        <v>1</v>
      </c>
      <c r="AQ133" s="3">
        <f t="shared" si="122"/>
        <v>1</v>
      </c>
      <c r="AR133" s="3" t="str">
        <f t="shared" si="123"/>
        <v>-</v>
      </c>
      <c r="AS133" s="3" t="str">
        <f t="shared" si="124"/>
        <v>-</v>
      </c>
      <c r="AT133" s="3">
        <f t="shared" si="125"/>
        <v>1</v>
      </c>
      <c r="AU133" s="3">
        <f t="shared" si="126"/>
        <v>1</v>
      </c>
      <c r="AV133" s="3" t="str">
        <f t="shared" si="127"/>
        <v>-</v>
      </c>
      <c r="AW133" s="3" t="str">
        <f t="shared" si="128"/>
        <v>-</v>
      </c>
      <c r="AX133" s="3">
        <f t="shared" si="129"/>
        <v>4</v>
      </c>
      <c r="AY133" s="3">
        <f t="shared" si="130"/>
        <v>5</v>
      </c>
      <c r="AZ133" s="3">
        <f t="shared" si="131"/>
        <v>1</v>
      </c>
      <c r="BA133" s="3">
        <f>IF(ISERROR(LEN(VLOOKUP(A133,Seqs!A:E,2,FALSE))-AL133),"-",LEN(VLOOKUP(A133,Seqs!A:E,2,FALSE))-AL133)</f>
        <v>45</v>
      </c>
      <c r="BB133" s="16">
        <f t="shared" si="132"/>
        <v>28</v>
      </c>
      <c r="BC133" s="9">
        <f t="shared" si="133"/>
        <v>20</v>
      </c>
      <c r="BD133" s="3">
        <f t="shared" si="134"/>
        <v>28</v>
      </c>
      <c r="BE133" s="3">
        <f t="shared" si="13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136"/>
        <v>57</v>
      </c>
      <c r="G134" s="3">
        <v>59</v>
      </c>
      <c r="H134" s="3">
        <f t="shared" si="137"/>
        <v>60</v>
      </c>
      <c r="I134" s="3">
        <f t="shared" si="13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1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138"/>
        <v>1</v>
      </c>
      <c r="AO134" s="3" t="str">
        <f>IF(ISERROR(MATCH(A134,'SegEnds_Xtal_Prot#'!B:B, 0)), "NoXtal", "Xtal")</f>
        <v>NoXtal</v>
      </c>
      <c r="AP134" s="3">
        <f t="shared" si="121"/>
        <v>1</v>
      </c>
      <c r="AQ134" s="3">
        <f t="shared" si="122"/>
        <v>1</v>
      </c>
      <c r="AR134" s="3" t="str">
        <f t="shared" si="123"/>
        <v>-</v>
      </c>
      <c r="AS134" s="3" t="str">
        <f t="shared" si="124"/>
        <v>-</v>
      </c>
      <c r="AT134" s="3">
        <f t="shared" si="125"/>
        <v>1</v>
      </c>
      <c r="AU134" s="3">
        <f t="shared" si="126"/>
        <v>1</v>
      </c>
      <c r="AV134" s="3">
        <f t="shared" si="127"/>
        <v>10</v>
      </c>
      <c r="AW134" s="3">
        <f t="shared" si="128"/>
        <v>4</v>
      </c>
      <c r="AX134" s="3">
        <f t="shared" si="129"/>
        <v>12</v>
      </c>
      <c r="AY134" s="3">
        <f t="shared" si="130"/>
        <v>5</v>
      </c>
      <c r="AZ134" s="3">
        <f t="shared" si="131"/>
        <v>1</v>
      </c>
      <c r="BA134" s="3">
        <f>IF(ISERROR(LEN(VLOOKUP(A134,Seqs!A:E,2,FALSE))-AL134),"-",LEN(VLOOKUP(A134,Seqs!A:E,2,FALSE))-AL134)</f>
        <v>28</v>
      </c>
      <c r="BB134" s="16">
        <f t="shared" si="132"/>
        <v>29</v>
      </c>
      <c r="BC134" s="9">
        <f t="shared" si="133"/>
        <v>20</v>
      </c>
      <c r="BD134" s="3">
        <f t="shared" si="134"/>
        <v>29</v>
      </c>
      <c r="BE134" s="3">
        <f t="shared" si="13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136"/>
        <v>68</v>
      </c>
      <c r="G135" s="3">
        <v>70</v>
      </c>
      <c r="H135" s="3">
        <f t="shared" si="137"/>
        <v>71</v>
      </c>
      <c r="I135" s="3">
        <f t="shared" si="13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1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38"/>
        <v>1</v>
      </c>
      <c r="AO135" s="3" t="str">
        <f>IF(ISERROR(MATCH(A135,'SegEnds_Xtal_Prot#'!B:B, 0)), "NoXtal", "Xtal")</f>
        <v>NoXtal</v>
      </c>
      <c r="AP135" s="3">
        <f t="shared" si="121"/>
        <v>1</v>
      </c>
      <c r="AQ135" s="3">
        <f t="shared" si="122"/>
        <v>1</v>
      </c>
      <c r="AR135" s="3">
        <f t="shared" si="123"/>
        <v>3</v>
      </c>
      <c r="AS135" s="3">
        <f t="shared" si="124"/>
        <v>1</v>
      </c>
      <c r="AT135" s="3">
        <f t="shared" si="125"/>
        <v>1</v>
      </c>
      <c r="AU135" s="3">
        <f t="shared" si="126"/>
        <v>1</v>
      </c>
      <c r="AV135" s="3">
        <f t="shared" si="127"/>
        <v>13</v>
      </c>
      <c r="AW135" s="3">
        <f t="shared" si="128"/>
        <v>5</v>
      </c>
      <c r="AX135" s="3">
        <f t="shared" si="129"/>
        <v>6</v>
      </c>
      <c r="AY135" s="3">
        <f t="shared" si="130"/>
        <v>5</v>
      </c>
      <c r="AZ135" s="3">
        <f t="shared" si="131"/>
        <v>1</v>
      </c>
      <c r="BA135" s="3">
        <f>IF(ISERROR(LEN(VLOOKUP(A135,Seqs!A:E,2,FALSE))-AL135),"-",LEN(VLOOKUP(A135,Seqs!A:E,2,FALSE))-AL135)</f>
        <v>36</v>
      </c>
      <c r="BB135" s="16">
        <f t="shared" si="132"/>
        <v>28</v>
      </c>
      <c r="BC135" s="9">
        <f t="shared" si="133"/>
        <v>20</v>
      </c>
      <c r="BD135" s="3">
        <f t="shared" si="134"/>
        <v>28</v>
      </c>
      <c r="BE135" s="3">
        <f t="shared" si="13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136"/>
        <v>34</v>
      </c>
      <c r="G136" s="3">
        <v>36</v>
      </c>
      <c r="H136" s="3">
        <f t="shared" si="137"/>
        <v>37</v>
      </c>
      <c r="I136" s="3">
        <f t="shared" si="13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1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38"/>
        <v>1</v>
      </c>
      <c r="AO136" s="3" t="str">
        <f>IF(ISERROR(MATCH(A136,'SegEnds_Xtal_Prot#'!B:B, 0)), "NoXtal", "Xtal")</f>
        <v>NoXtal</v>
      </c>
      <c r="AP136" s="3">
        <f t="shared" si="121"/>
        <v>1</v>
      </c>
      <c r="AQ136" s="3">
        <f t="shared" si="122"/>
        <v>1</v>
      </c>
      <c r="AR136" s="3" t="str">
        <f t="shared" si="123"/>
        <v>-</v>
      </c>
      <c r="AS136" s="3" t="str">
        <f t="shared" si="124"/>
        <v>-</v>
      </c>
      <c r="AT136" s="3">
        <f t="shared" si="125"/>
        <v>1</v>
      </c>
      <c r="AU136" s="3">
        <f t="shared" si="126"/>
        <v>1</v>
      </c>
      <c r="AV136" s="3">
        <f t="shared" si="127"/>
        <v>16</v>
      </c>
      <c r="AW136" s="3">
        <f t="shared" si="128"/>
        <v>8</v>
      </c>
      <c r="AX136" s="3">
        <f t="shared" si="129"/>
        <v>20</v>
      </c>
      <c r="AY136" s="3">
        <f t="shared" si="130"/>
        <v>5</v>
      </c>
      <c r="AZ136" s="3">
        <f t="shared" si="131"/>
        <v>1</v>
      </c>
      <c r="BA136" s="3">
        <f>IF(ISERROR(LEN(VLOOKUP(A136,Seqs!A:E,2,FALSE))-AL136),"-",LEN(VLOOKUP(A136,Seqs!A:E,2,FALSE))-AL136)</f>
        <v>27</v>
      </c>
      <c r="BB136" s="16">
        <f t="shared" si="132"/>
        <v>29</v>
      </c>
      <c r="BC136" s="9">
        <f t="shared" si="133"/>
        <v>20</v>
      </c>
      <c r="BD136" s="3">
        <f t="shared" si="134"/>
        <v>29</v>
      </c>
      <c r="BE136" s="3">
        <f t="shared" si="13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136"/>
        <v>69</v>
      </c>
      <c r="G137" s="3">
        <v>71</v>
      </c>
      <c r="H137" s="3">
        <f t="shared" si="137"/>
        <v>72</v>
      </c>
      <c r="I137" s="3">
        <f t="shared" si="13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1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38"/>
        <v>1</v>
      </c>
      <c r="AO137" s="3" t="str">
        <f>IF(ISERROR(MATCH(A137,'SegEnds_Xtal_Prot#'!B:B, 0)), "NoXtal", "Xtal")</f>
        <v>NoXtal</v>
      </c>
      <c r="AP137" s="3">
        <f t="shared" si="121"/>
        <v>1</v>
      </c>
      <c r="AQ137" s="3">
        <f t="shared" si="122"/>
        <v>1</v>
      </c>
      <c r="AR137" s="3">
        <f t="shared" si="123"/>
        <v>2</v>
      </c>
      <c r="AS137" s="3">
        <f t="shared" si="124"/>
        <v>1</v>
      </c>
      <c r="AT137" s="3">
        <f t="shared" si="125"/>
        <v>1</v>
      </c>
      <c r="AU137" s="3">
        <f t="shared" si="126"/>
        <v>1</v>
      </c>
      <c r="AV137" s="3" t="str">
        <f t="shared" si="127"/>
        <v>-</v>
      </c>
      <c r="AW137" s="3" t="str">
        <f t="shared" si="128"/>
        <v>-</v>
      </c>
      <c r="AX137" s="3">
        <f t="shared" si="129"/>
        <v>9</v>
      </c>
      <c r="AY137" s="3">
        <f t="shared" si="130"/>
        <v>5</v>
      </c>
      <c r="AZ137" s="3">
        <f t="shared" si="131"/>
        <v>1</v>
      </c>
      <c r="BA137" s="3">
        <f>IF(ISERROR(LEN(VLOOKUP(A137,Seqs!A:E,2,FALSE))-AL137),"-",LEN(VLOOKUP(A137,Seqs!A:E,2,FALSE))-AL137)</f>
        <v>17</v>
      </c>
      <c r="BB137" s="16">
        <f t="shared" si="132"/>
        <v>28</v>
      </c>
      <c r="BC137" s="9">
        <f t="shared" si="133"/>
        <v>20</v>
      </c>
      <c r="BD137" s="3">
        <f t="shared" si="134"/>
        <v>28</v>
      </c>
      <c r="BE137" s="3">
        <f t="shared" si="13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136"/>
        <v>43</v>
      </c>
      <c r="G138" s="3">
        <v>45</v>
      </c>
      <c r="H138" s="3">
        <f t="shared" si="137"/>
        <v>46</v>
      </c>
      <c r="I138" s="3">
        <f t="shared" si="13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1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3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38"/>
        <v>1</v>
      </c>
      <c r="AO138" s="3" t="str">
        <f>IF(ISERROR(MATCH(A138,'SegEnds_Xtal_Prot#'!B:B, 0)), "NoXtal", "Xtal")</f>
        <v>NoXtal</v>
      </c>
      <c r="AP138" s="3">
        <f t="shared" si="121"/>
        <v>1</v>
      </c>
      <c r="AQ138" s="3">
        <f t="shared" si="122"/>
        <v>1</v>
      </c>
      <c r="AR138" s="3">
        <f t="shared" si="123"/>
        <v>3</v>
      </c>
      <c r="AS138" s="3">
        <f t="shared" si="124"/>
        <v>1</v>
      </c>
      <c r="AT138" s="3">
        <f t="shared" si="125"/>
        <v>1</v>
      </c>
      <c r="AU138" s="3">
        <f t="shared" si="126"/>
        <v>1</v>
      </c>
      <c r="AV138" s="3">
        <f t="shared" si="127"/>
        <v>9</v>
      </c>
      <c r="AW138" s="3">
        <f t="shared" si="128"/>
        <v>6</v>
      </c>
      <c r="AX138" s="3">
        <f t="shared" si="129"/>
        <v>4</v>
      </c>
      <c r="AY138" s="3">
        <f t="shared" si="130"/>
        <v>9</v>
      </c>
      <c r="AZ138" s="3">
        <f t="shared" si="131"/>
        <v>1</v>
      </c>
      <c r="BA138" s="3">
        <f>IF(ISERROR(LEN(VLOOKUP(A138,Seqs!A:E,2,FALSE))-AL138),"-",LEN(VLOOKUP(A138,Seqs!A:E,2,FALSE))-AL138)</f>
        <v>20</v>
      </c>
      <c r="BB138" s="16">
        <f t="shared" si="132"/>
        <v>28</v>
      </c>
      <c r="BC138" s="9">
        <f t="shared" si="133"/>
        <v>20</v>
      </c>
      <c r="BD138" s="3">
        <f t="shared" si="134"/>
        <v>28</v>
      </c>
      <c r="BE138" s="3">
        <f t="shared" si="13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1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3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138"/>
        <v>1</v>
      </c>
      <c r="AO139" s="3" t="str">
        <f>IF(ISERROR(MATCH(A139,'SegEnds_Xtal_Prot#'!B:B, 0)), "NoXtal", "Xtal")</f>
        <v>NoXtal</v>
      </c>
      <c r="AP139" s="3" t="str">
        <f t="shared" si="121"/>
        <v>-</v>
      </c>
      <c r="AQ139" s="3" t="str">
        <f t="shared" si="122"/>
        <v>-</v>
      </c>
      <c r="AR139" s="3">
        <f t="shared" si="123"/>
        <v>2</v>
      </c>
      <c r="AS139" s="3">
        <f t="shared" si="124"/>
        <v>1</v>
      </c>
      <c r="AT139" s="3">
        <f t="shared" si="125"/>
        <v>1</v>
      </c>
      <c r="AU139" s="3">
        <f t="shared" si="126"/>
        <v>1</v>
      </c>
      <c r="AV139" s="3">
        <f t="shared" si="127"/>
        <v>11</v>
      </c>
      <c r="AW139" s="3">
        <f t="shared" si="128"/>
        <v>16</v>
      </c>
      <c r="AX139" s="3">
        <f t="shared" si="129"/>
        <v>5</v>
      </c>
      <c r="AY139" s="3">
        <f t="shared" si="130"/>
        <v>9</v>
      </c>
      <c r="AZ139" s="3">
        <f t="shared" si="131"/>
        <v>1</v>
      </c>
      <c r="BA139" s="3">
        <f>IF(ISERROR(LEN(VLOOKUP(A139,Seqs!A:E,2,FALSE))-AL139),"-",LEN(VLOOKUP(A139,Seqs!A:E,2,FALSE))-AL139)</f>
        <v>23</v>
      </c>
      <c r="BB139" s="16">
        <f t="shared" si="132"/>
        <v>27</v>
      </c>
      <c r="BC139" s="9">
        <f t="shared" si="133"/>
        <v>20</v>
      </c>
      <c r="BD139" s="3">
        <f t="shared" si="134"/>
        <v>27</v>
      </c>
      <c r="BE139" s="3">
        <f t="shared" si="13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1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3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38"/>
        <v>1</v>
      </c>
      <c r="AO140" s="3" t="str">
        <f>IF(ISERROR(MATCH(A140,'SegEnds_Xtal_Prot#'!B:B, 0)), "NoXtal", "Xtal")</f>
        <v>NoXtal</v>
      </c>
      <c r="AP140" s="3" t="str">
        <f t="shared" si="121"/>
        <v>-</v>
      </c>
      <c r="AQ140" s="3" t="str">
        <f t="shared" si="122"/>
        <v>-</v>
      </c>
      <c r="AR140" s="3">
        <f t="shared" si="123"/>
        <v>3</v>
      </c>
      <c r="AS140" s="3">
        <f t="shared" si="124"/>
        <v>1</v>
      </c>
      <c r="AT140" s="3">
        <f t="shared" si="125"/>
        <v>1</v>
      </c>
      <c r="AU140" s="3">
        <f t="shared" si="126"/>
        <v>1</v>
      </c>
      <c r="AV140" s="3">
        <f t="shared" si="127"/>
        <v>12</v>
      </c>
      <c r="AW140" s="3">
        <f t="shared" si="128"/>
        <v>20</v>
      </c>
      <c r="AX140" s="3">
        <f t="shared" si="129"/>
        <v>5</v>
      </c>
      <c r="AY140" s="3">
        <f t="shared" si="130"/>
        <v>6</v>
      </c>
      <c r="AZ140" s="3">
        <f t="shared" si="131"/>
        <v>1</v>
      </c>
      <c r="BA140" s="3">
        <f>IF(ISERROR(LEN(VLOOKUP(A140,Seqs!A:E,2,FALSE))-AL140),"-",LEN(VLOOKUP(A140,Seqs!A:E,2,FALSE))-AL140)</f>
        <v>16</v>
      </c>
      <c r="BB140" s="16">
        <f t="shared" si="132"/>
        <v>27</v>
      </c>
      <c r="BC140" s="9">
        <f t="shared" si="133"/>
        <v>20</v>
      </c>
      <c r="BD140" s="3">
        <f t="shared" si="134"/>
        <v>27</v>
      </c>
      <c r="BE140" s="3">
        <f t="shared" si="13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1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3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38"/>
        <v>1</v>
      </c>
      <c r="AO141" s="3" t="str">
        <f>IF(ISERROR(MATCH(A141,'SegEnds_Xtal_Prot#'!B:B, 0)), "NoXtal", "Xtal")</f>
        <v>NoXtal</v>
      </c>
      <c r="AP141" s="3" t="str">
        <f t="shared" si="121"/>
        <v>-</v>
      </c>
      <c r="AQ141" s="3" t="str">
        <f t="shared" si="122"/>
        <v>-</v>
      </c>
      <c r="AR141" s="3">
        <f t="shared" si="123"/>
        <v>3</v>
      </c>
      <c r="AS141" s="3">
        <f t="shared" si="124"/>
        <v>1</v>
      </c>
      <c r="AT141" s="3">
        <f t="shared" si="125"/>
        <v>1</v>
      </c>
      <c r="AU141" s="3">
        <f t="shared" si="126"/>
        <v>1</v>
      </c>
      <c r="AV141" s="3">
        <f t="shared" si="127"/>
        <v>12</v>
      </c>
      <c r="AW141" s="3">
        <f t="shared" si="128"/>
        <v>6</v>
      </c>
      <c r="AX141" s="3">
        <f t="shared" si="129"/>
        <v>6</v>
      </c>
      <c r="AY141" s="3">
        <f t="shared" si="130"/>
        <v>6</v>
      </c>
      <c r="AZ141" s="3">
        <f t="shared" si="131"/>
        <v>1</v>
      </c>
      <c r="BA141" s="3">
        <f>IF(ISERROR(LEN(VLOOKUP(A141,Seqs!A:E,2,FALSE))-AL141),"-",LEN(VLOOKUP(A141,Seqs!A:E,2,FALSE))-AL141)</f>
        <v>36</v>
      </c>
      <c r="BB141" s="16">
        <f t="shared" si="132"/>
        <v>28</v>
      </c>
      <c r="BC141" s="9">
        <f t="shared" si="133"/>
        <v>20</v>
      </c>
      <c r="BD141" s="3">
        <f t="shared" si="134"/>
        <v>28</v>
      </c>
      <c r="BE141" s="3">
        <f t="shared" si="13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1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3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38"/>
        <v>1</v>
      </c>
      <c r="AO142" s="3" t="str">
        <f>IF(ISERROR(MATCH(A142,'SegEnds_Xtal_Prot#'!B:B, 0)), "NoXtal", "Xtal")</f>
        <v>NoXtal</v>
      </c>
      <c r="AP142" s="3">
        <f t="shared" si="121"/>
        <v>1</v>
      </c>
      <c r="AQ142" s="3">
        <f t="shared" si="122"/>
        <v>1</v>
      </c>
      <c r="AR142" s="3" t="str">
        <f t="shared" si="123"/>
        <v>-</v>
      </c>
      <c r="AS142" s="3" t="str">
        <f t="shared" si="124"/>
        <v>-</v>
      </c>
      <c r="AT142" s="3">
        <f t="shared" si="125"/>
        <v>1</v>
      </c>
      <c r="AU142" s="3">
        <f t="shared" si="126"/>
        <v>1</v>
      </c>
      <c r="AV142" s="3">
        <f t="shared" si="127"/>
        <v>7</v>
      </c>
      <c r="AW142" s="3">
        <f t="shared" si="128"/>
        <v>4</v>
      </c>
      <c r="AX142" s="3">
        <f t="shared" si="129"/>
        <v>5</v>
      </c>
      <c r="AY142" s="3">
        <f t="shared" si="130"/>
        <v>8</v>
      </c>
      <c r="AZ142" s="3">
        <f t="shared" si="131"/>
        <v>1</v>
      </c>
      <c r="BA142" s="3">
        <f>IF(ISERROR(LEN(VLOOKUP(A142,Seqs!A:E,2,FALSE))-AL142),"-",LEN(VLOOKUP(A142,Seqs!A:E,2,FALSE))-AL142)</f>
        <v>18</v>
      </c>
      <c r="BB142" s="16">
        <f t="shared" si="132"/>
        <v>28</v>
      </c>
      <c r="BC142" s="9">
        <f t="shared" si="133"/>
        <v>20</v>
      </c>
      <c r="BD142" s="3">
        <f t="shared" si="134"/>
        <v>28</v>
      </c>
      <c r="BE142" s="3">
        <f t="shared" si="13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1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3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38"/>
        <v>1</v>
      </c>
      <c r="AO143" s="3" t="str">
        <f>IF(ISERROR(MATCH(A143,'SegEnds_Xtal_Prot#'!B:B, 0)), "NoXtal", "Xtal")</f>
        <v>NoXtal</v>
      </c>
      <c r="AP143" s="3">
        <f t="shared" si="121"/>
        <v>1</v>
      </c>
      <c r="AQ143" s="3">
        <f t="shared" si="122"/>
        <v>1</v>
      </c>
      <c r="AR143" s="3">
        <f t="shared" si="123"/>
        <v>2</v>
      </c>
      <c r="AS143" s="3">
        <f t="shared" si="124"/>
        <v>1</v>
      </c>
      <c r="AT143" s="3">
        <f t="shared" si="125"/>
        <v>2</v>
      </c>
      <c r="AU143" s="3">
        <f t="shared" si="126"/>
        <v>1</v>
      </c>
      <c r="AV143" s="3">
        <f t="shared" si="127"/>
        <v>18</v>
      </c>
      <c r="AW143" s="3">
        <f t="shared" si="128"/>
        <v>11</v>
      </c>
      <c r="AX143" s="3">
        <f t="shared" si="129"/>
        <v>5</v>
      </c>
      <c r="AY143" s="3">
        <f t="shared" si="130"/>
        <v>6</v>
      </c>
      <c r="AZ143" s="3">
        <f t="shared" si="131"/>
        <v>1</v>
      </c>
      <c r="BA143" s="3">
        <f>IF(ISERROR(LEN(VLOOKUP(A143,Seqs!A:E,2,FALSE))-AL143),"-",LEN(VLOOKUP(A143,Seqs!A:E,2,FALSE))-AL143)</f>
        <v>47</v>
      </c>
      <c r="BB143" s="16">
        <f t="shared" si="132"/>
        <v>28</v>
      </c>
      <c r="BC143" s="9">
        <f t="shared" si="133"/>
        <v>20</v>
      </c>
      <c r="BD143" s="3">
        <f t="shared" si="134"/>
        <v>28</v>
      </c>
      <c r="BE143" s="3">
        <f t="shared" si="13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1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3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38"/>
        <v>1</v>
      </c>
      <c r="AO144" s="3" t="str">
        <f>IF(ISERROR(MATCH(A144,'SegEnds_Xtal_Prot#'!B:B, 0)), "NoXtal", "Xtal")</f>
        <v>NoXtal</v>
      </c>
      <c r="AP144" s="3" t="str">
        <f t="shared" si="121"/>
        <v>-</v>
      </c>
      <c r="AQ144" s="3" t="str">
        <f t="shared" si="122"/>
        <v>-</v>
      </c>
      <c r="AR144" s="3" t="str">
        <f t="shared" si="123"/>
        <v>-</v>
      </c>
      <c r="AS144" s="3" t="str">
        <f t="shared" si="124"/>
        <v>-</v>
      </c>
      <c r="AT144" s="3">
        <f t="shared" si="125"/>
        <v>1</v>
      </c>
      <c r="AU144" s="3">
        <f t="shared" si="126"/>
        <v>1</v>
      </c>
      <c r="AV144" s="3">
        <f t="shared" si="127"/>
        <v>36</v>
      </c>
      <c r="AW144" s="3">
        <f t="shared" si="128"/>
        <v>4</v>
      </c>
      <c r="AX144" s="3">
        <f t="shared" si="129"/>
        <v>15</v>
      </c>
      <c r="AY144" s="3">
        <f t="shared" si="130"/>
        <v>6</v>
      </c>
      <c r="AZ144" s="3">
        <f t="shared" si="131"/>
        <v>1</v>
      </c>
      <c r="BA144" s="3">
        <f>IF(ISERROR(LEN(VLOOKUP(A144,Seqs!A:E,2,FALSE))-AL144),"-",LEN(VLOOKUP(A144,Seqs!A:E,2,FALSE))-AL144)</f>
        <v>94</v>
      </c>
      <c r="BB144" s="16">
        <f t="shared" si="132"/>
        <v>31</v>
      </c>
      <c r="BC144" s="9">
        <f t="shared" si="133"/>
        <v>20</v>
      </c>
      <c r="BD144" s="3">
        <f t="shared" si="134"/>
        <v>31</v>
      </c>
      <c r="BE144" s="3">
        <f t="shared" si="13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1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39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38"/>
        <v>1</v>
      </c>
      <c r="AO145" s="3" t="str">
        <f>IF(ISERROR(MATCH(A145,'SegEnds_Xtal_Prot#'!B:B, 0)), "NoXtal", "Xtal")</f>
        <v>NoXtal</v>
      </c>
      <c r="AP145" s="3" t="str">
        <f t="shared" si="121"/>
        <v>-</v>
      </c>
      <c r="AQ145" s="3" t="str">
        <f t="shared" si="122"/>
        <v>-</v>
      </c>
      <c r="AR145" s="3">
        <f t="shared" si="123"/>
        <v>3</v>
      </c>
      <c r="AS145" s="3">
        <f t="shared" si="124"/>
        <v>1</v>
      </c>
      <c r="AT145" s="3">
        <f t="shared" si="125"/>
        <v>1</v>
      </c>
      <c r="AU145" s="3">
        <f t="shared" si="126"/>
        <v>1</v>
      </c>
      <c r="AV145" s="3">
        <f t="shared" si="127"/>
        <v>14</v>
      </c>
      <c r="AW145" s="3">
        <f t="shared" si="128"/>
        <v>4</v>
      </c>
      <c r="AX145" s="3">
        <f t="shared" si="129"/>
        <v>5</v>
      </c>
      <c r="AY145" s="3">
        <f t="shared" si="130"/>
        <v>4</v>
      </c>
      <c r="AZ145" s="3">
        <f t="shared" si="131"/>
        <v>1</v>
      </c>
      <c r="BA145" s="3">
        <f>IF(ISERROR(LEN(VLOOKUP(A145,Seqs!A:E,2,FALSE))-AL145),"-",LEN(VLOOKUP(A145,Seqs!A:E,2,FALSE))-AL145)</f>
        <v>58</v>
      </c>
      <c r="BB145" s="16">
        <f t="shared" si="132"/>
        <v>28</v>
      </c>
      <c r="BC145" s="9">
        <f t="shared" si="133"/>
        <v>20</v>
      </c>
      <c r="BD145" s="3">
        <f t="shared" si="134"/>
        <v>28</v>
      </c>
      <c r="BE145" s="3">
        <f t="shared" si="13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1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3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38"/>
        <v>1</v>
      </c>
      <c r="AO146" s="3" t="str">
        <f>IF(ISERROR(MATCH(A146,'SegEnds_Xtal_Prot#'!B:B, 0)), "NoXtal", "Xtal")</f>
        <v>NoXtal</v>
      </c>
      <c r="AP146" s="3" t="str">
        <f t="shared" si="121"/>
        <v>-</v>
      </c>
      <c r="AQ146" s="3" t="str">
        <f t="shared" si="122"/>
        <v>-</v>
      </c>
      <c r="AR146" s="3">
        <f t="shared" si="123"/>
        <v>3</v>
      </c>
      <c r="AS146" s="3">
        <f t="shared" si="124"/>
        <v>1</v>
      </c>
      <c r="AT146" s="3">
        <f t="shared" si="125"/>
        <v>1</v>
      </c>
      <c r="AU146" s="3">
        <f t="shared" si="126"/>
        <v>1</v>
      </c>
      <c r="AV146" s="3">
        <f t="shared" si="127"/>
        <v>16</v>
      </c>
      <c r="AW146" s="3">
        <f t="shared" si="128"/>
        <v>7</v>
      </c>
      <c r="AX146" s="3">
        <f t="shared" si="129"/>
        <v>4</v>
      </c>
      <c r="AY146" s="3">
        <f t="shared" si="130"/>
        <v>5</v>
      </c>
      <c r="AZ146" s="3">
        <f t="shared" si="131"/>
        <v>1</v>
      </c>
      <c r="BA146" s="3">
        <f>IF(ISERROR(LEN(VLOOKUP(A146,Seqs!A:E,2,FALSE))-AL146),"-",LEN(VLOOKUP(A146,Seqs!A:E,2,FALSE))-AL146)</f>
        <v>52</v>
      </c>
      <c r="BB146" s="16">
        <f t="shared" si="132"/>
        <v>29</v>
      </c>
      <c r="BC146" s="9">
        <f t="shared" si="133"/>
        <v>20</v>
      </c>
      <c r="BD146" s="3">
        <f t="shared" si="134"/>
        <v>29</v>
      </c>
      <c r="BE146" s="3">
        <f t="shared" si="13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1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3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38"/>
        <v>1</v>
      </c>
      <c r="AO147" s="3" t="str">
        <f>IF(ISERROR(MATCH(A147,'SegEnds_Xtal_Prot#'!B:B, 0)), "NoXtal", "Xtal")</f>
        <v>NoXtal</v>
      </c>
      <c r="AP147" s="3">
        <f t="shared" si="121"/>
        <v>1</v>
      </c>
      <c r="AQ147" s="3">
        <f t="shared" si="122"/>
        <v>1</v>
      </c>
      <c r="AR147" s="3" t="str">
        <f t="shared" si="123"/>
        <v>-</v>
      </c>
      <c r="AS147" s="3" t="str">
        <f t="shared" si="124"/>
        <v>-</v>
      </c>
      <c r="AT147" s="3">
        <f t="shared" si="125"/>
        <v>1</v>
      </c>
      <c r="AU147" s="3">
        <f t="shared" si="126"/>
        <v>1</v>
      </c>
      <c r="AV147" s="3">
        <f t="shared" si="127"/>
        <v>13</v>
      </c>
      <c r="AW147" s="3">
        <f t="shared" si="128"/>
        <v>4</v>
      </c>
      <c r="AX147" s="3">
        <f t="shared" si="129"/>
        <v>13</v>
      </c>
      <c r="AY147" s="3">
        <f t="shared" si="130"/>
        <v>5</v>
      </c>
      <c r="AZ147" s="3">
        <f t="shared" si="131"/>
        <v>1</v>
      </c>
      <c r="BA147" s="3">
        <f>IF(ISERROR(LEN(VLOOKUP(A147,Seqs!A:E,2,FALSE))-AL147),"-",LEN(VLOOKUP(A147,Seqs!A:E,2,FALSE))-AL147)</f>
        <v>29</v>
      </c>
      <c r="BB147" s="16">
        <f t="shared" si="132"/>
        <v>29</v>
      </c>
      <c r="BC147" s="9">
        <f t="shared" si="133"/>
        <v>20</v>
      </c>
      <c r="BD147" s="3">
        <f t="shared" si="134"/>
        <v>29</v>
      </c>
      <c r="BE147" s="3">
        <f t="shared" si="13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1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3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38"/>
        <v>1</v>
      </c>
      <c r="AO148" s="3" t="str">
        <f>IF(ISERROR(MATCH(A148,'SegEnds_Xtal_Prot#'!B:B, 0)), "NoXtal", "Xtal")</f>
        <v>NoXtal</v>
      </c>
      <c r="AP148" s="3" t="str">
        <f t="shared" si="121"/>
        <v>-</v>
      </c>
      <c r="AQ148" s="3" t="str">
        <f t="shared" si="122"/>
        <v>-</v>
      </c>
      <c r="AR148" s="3" t="str">
        <f t="shared" si="123"/>
        <v>-</v>
      </c>
      <c r="AS148" s="3" t="str">
        <f t="shared" si="124"/>
        <v>-</v>
      </c>
      <c r="AT148" s="3">
        <f t="shared" si="125"/>
        <v>1</v>
      </c>
      <c r="AU148" s="3">
        <f t="shared" si="126"/>
        <v>1</v>
      </c>
      <c r="AV148" s="3">
        <f t="shared" si="127"/>
        <v>8</v>
      </c>
      <c r="AW148" s="3">
        <f t="shared" si="128"/>
        <v>3</v>
      </c>
      <c r="AX148" s="3">
        <f t="shared" si="129"/>
        <v>4</v>
      </c>
      <c r="AY148" s="3">
        <f t="shared" si="130"/>
        <v>4</v>
      </c>
      <c r="AZ148" s="3">
        <f t="shared" si="131"/>
        <v>1</v>
      </c>
      <c r="BA148" s="3">
        <f>IF(ISERROR(LEN(VLOOKUP(A148,Seqs!A:E,2,FALSE))-AL148),"-",LEN(VLOOKUP(A148,Seqs!A:E,2,FALSE))-AL148)</f>
        <v>15</v>
      </c>
      <c r="BB148" s="16">
        <f t="shared" si="132"/>
        <v>32</v>
      </c>
      <c r="BC148" s="9">
        <f t="shared" si="133"/>
        <v>20</v>
      </c>
      <c r="BD148" s="3">
        <f t="shared" si="134"/>
        <v>32</v>
      </c>
      <c r="BE148" s="3">
        <f t="shared" si="13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1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38"/>
        <v>1</v>
      </c>
      <c r="AO149" s="3" t="str">
        <f>IF(ISERROR(MATCH(A149,'SegEnds_Xtal_Prot#'!B:B, 0)), "NoXtal", "Xtal")</f>
        <v>NoXtal</v>
      </c>
      <c r="AP149" s="3">
        <f t="shared" si="121"/>
        <v>1</v>
      </c>
      <c r="AQ149" s="3">
        <f t="shared" si="122"/>
        <v>1</v>
      </c>
      <c r="AR149" s="3">
        <f t="shared" si="123"/>
        <v>2</v>
      </c>
      <c r="AS149" s="3">
        <f t="shared" si="124"/>
        <v>1</v>
      </c>
      <c r="AT149" s="3">
        <f t="shared" si="125"/>
        <v>1</v>
      </c>
      <c r="AU149" s="3">
        <f t="shared" si="126"/>
        <v>1</v>
      </c>
      <c r="AV149" s="3" t="str">
        <f t="shared" si="127"/>
        <v>-</v>
      </c>
      <c r="AW149" s="3" t="str">
        <f t="shared" si="128"/>
        <v>-</v>
      </c>
      <c r="AX149" s="3">
        <f t="shared" si="129"/>
        <v>9</v>
      </c>
      <c r="AY149" s="3">
        <f t="shared" si="130"/>
        <v>5</v>
      </c>
      <c r="AZ149" s="3">
        <f t="shared" si="131"/>
        <v>1</v>
      </c>
      <c r="BA149" s="3">
        <f>IF(ISERROR(LEN(VLOOKUP(A149,Seqs!A:E,2,FALSE))-AL149),"-",LEN(VLOOKUP(A149,Seqs!A:E,2,FALSE))-AL149)</f>
        <v>17</v>
      </c>
      <c r="BB149" s="16">
        <f t="shared" si="132"/>
        <v>28</v>
      </c>
      <c r="BC149" s="9">
        <f t="shared" si="133"/>
        <v>20</v>
      </c>
      <c r="BD149" s="3">
        <f t="shared" si="134"/>
        <v>28</v>
      </c>
      <c r="BE149" s="3">
        <f t="shared" si="13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1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38"/>
        <v>1</v>
      </c>
      <c r="AO150" s="3" t="str">
        <f>IF(ISERROR(MATCH(A150,'SegEnds_Xtal_Prot#'!B:B, 0)), "NoXtal", "Xtal")</f>
        <v>NoXtal</v>
      </c>
      <c r="AP150" s="3" t="str">
        <f t="shared" si="121"/>
        <v>-</v>
      </c>
      <c r="AQ150" s="3" t="str">
        <f t="shared" si="122"/>
        <v>-</v>
      </c>
      <c r="AR150" s="3">
        <f t="shared" si="123"/>
        <v>2</v>
      </c>
      <c r="AS150" s="3">
        <f t="shared" si="124"/>
        <v>1</v>
      </c>
      <c r="AT150" s="3">
        <f t="shared" si="125"/>
        <v>1</v>
      </c>
      <c r="AU150" s="3">
        <f t="shared" si="126"/>
        <v>1</v>
      </c>
      <c r="AV150" s="3">
        <f t="shared" si="127"/>
        <v>14</v>
      </c>
      <c r="AW150" s="3">
        <f t="shared" si="128"/>
        <v>8</v>
      </c>
      <c r="AX150" s="3">
        <f t="shared" si="129"/>
        <v>30</v>
      </c>
      <c r="AY150" s="3">
        <f t="shared" si="130"/>
        <v>6</v>
      </c>
      <c r="AZ150" s="3">
        <f t="shared" si="131"/>
        <v>1</v>
      </c>
      <c r="BA150" s="3">
        <f>IF(ISERROR(LEN(VLOOKUP(A150,Seqs!A:E,2,FALSE))-AL150),"-",LEN(VLOOKUP(A150,Seqs!A:E,2,FALSE))-AL150)</f>
        <v>95</v>
      </c>
      <c r="BB150" s="16">
        <f t="shared" si="132"/>
        <v>26</v>
      </c>
      <c r="BC150" s="9">
        <f t="shared" si="133"/>
        <v>20</v>
      </c>
      <c r="BD150" s="3">
        <f t="shared" si="134"/>
        <v>26</v>
      </c>
      <c r="BE150" s="3">
        <f t="shared" si="13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1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38"/>
        <v>1</v>
      </c>
      <c r="AO151" s="3" t="str">
        <f>IF(ISERROR(MATCH(A151,'SegEnds_Xtal_Prot#'!B:B, 0)), "NoXtal", "Xtal")</f>
        <v>NoXtal</v>
      </c>
      <c r="AP151" s="3">
        <f t="shared" si="121"/>
        <v>1</v>
      </c>
      <c r="AQ151" s="3">
        <f t="shared" si="122"/>
        <v>1</v>
      </c>
      <c r="AR151" s="3" t="str">
        <f t="shared" si="123"/>
        <v>-</v>
      </c>
      <c r="AS151" s="3" t="str">
        <f t="shared" si="124"/>
        <v>-</v>
      </c>
      <c r="AT151" s="3">
        <f t="shared" si="125"/>
        <v>1</v>
      </c>
      <c r="AU151" s="3">
        <f t="shared" si="126"/>
        <v>1</v>
      </c>
      <c r="AV151" s="3">
        <f t="shared" si="127"/>
        <v>13</v>
      </c>
      <c r="AW151" s="3">
        <f t="shared" si="128"/>
        <v>11</v>
      </c>
      <c r="AX151" s="3">
        <f t="shared" si="129"/>
        <v>20</v>
      </c>
      <c r="AY151" s="3">
        <f t="shared" si="130"/>
        <v>5</v>
      </c>
      <c r="AZ151" s="3">
        <f t="shared" si="131"/>
        <v>1</v>
      </c>
      <c r="BA151" s="3">
        <f>IF(ISERROR(LEN(VLOOKUP(A151,Seqs!A:E,2,FALSE))-AL151),"-",LEN(VLOOKUP(A151,Seqs!A:E,2,FALSE))-AL151)</f>
        <v>53</v>
      </c>
      <c r="BB151" s="16">
        <f t="shared" si="132"/>
        <v>29</v>
      </c>
      <c r="BC151" s="9">
        <f t="shared" si="133"/>
        <v>20</v>
      </c>
      <c r="BD151" s="3">
        <f t="shared" si="134"/>
        <v>29</v>
      </c>
      <c r="BE151" s="3">
        <f t="shared" si="13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1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38"/>
        <v>1</v>
      </c>
      <c r="AO152" s="3" t="str">
        <f>IF(ISERROR(MATCH(A152,'SegEnds_Xtal_Prot#'!B:B, 0)), "NoXtal", "Xtal")</f>
        <v>NoXtal</v>
      </c>
      <c r="AP152" s="3" t="str">
        <f t="shared" si="121"/>
        <v>-</v>
      </c>
      <c r="AQ152" s="3" t="str">
        <f t="shared" si="122"/>
        <v>-</v>
      </c>
      <c r="AR152" s="3">
        <f t="shared" si="123"/>
        <v>2</v>
      </c>
      <c r="AS152" s="3">
        <f t="shared" si="124"/>
        <v>1</v>
      </c>
      <c r="AT152" s="3">
        <f t="shared" si="125"/>
        <v>17</v>
      </c>
      <c r="AU152" s="3">
        <f t="shared" si="126"/>
        <v>1</v>
      </c>
      <c r="AV152" s="3" t="str">
        <f t="shared" si="127"/>
        <v>-</v>
      </c>
      <c r="AW152" s="3" t="str">
        <f t="shared" si="128"/>
        <v>-</v>
      </c>
      <c r="AX152" s="3">
        <f t="shared" si="129"/>
        <v>6</v>
      </c>
      <c r="AY152" s="3">
        <f t="shared" si="130"/>
        <v>9</v>
      </c>
      <c r="AZ152" s="3">
        <f t="shared" si="131"/>
        <v>1</v>
      </c>
      <c r="BA152" s="3">
        <f>IF(ISERROR(LEN(VLOOKUP(A152,Seqs!A:E,2,FALSE))-AL152),"-",LEN(VLOOKUP(A152,Seqs!A:E,2,FALSE))-AL152)</f>
        <v>11</v>
      </c>
      <c r="BB152" s="16">
        <f t="shared" si="132"/>
        <v>28</v>
      </c>
      <c r="BC152" s="9">
        <f t="shared" si="133"/>
        <v>20</v>
      </c>
      <c r="BD152" s="3">
        <f t="shared" si="134"/>
        <v>28</v>
      </c>
      <c r="BE152" s="3">
        <f t="shared" si="13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1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38"/>
        <v>1</v>
      </c>
      <c r="AO153" s="3" t="str">
        <f>IF(ISERROR(MATCH(A153,'SegEnds_Xtal_Prot#'!B:B, 0)), "NoXtal", "Xtal")</f>
        <v>NoXtal</v>
      </c>
      <c r="AP153" s="3">
        <f t="shared" si="121"/>
        <v>1</v>
      </c>
      <c r="AQ153" s="3">
        <f t="shared" si="122"/>
        <v>1</v>
      </c>
      <c r="AR153" s="3" t="str">
        <f t="shared" si="123"/>
        <v>-</v>
      </c>
      <c r="AS153" s="3" t="str">
        <f t="shared" si="124"/>
        <v>-</v>
      </c>
      <c r="AT153" s="3">
        <f t="shared" si="125"/>
        <v>1</v>
      </c>
      <c r="AU153" s="3">
        <f t="shared" si="126"/>
        <v>1</v>
      </c>
      <c r="AV153" s="3">
        <f t="shared" si="127"/>
        <v>6</v>
      </c>
      <c r="AW153" s="3">
        <f t="shared" si="128"/>
        <v>50</v>
      </c>
      <c r="AX153" s="3">
        <f t="shared" si="129"/>
        <v>49</v>
      </c>
      <c r="AY153" s="3">
        <f t="shared" si="130"/>
        <v>5</v>
      </c>
      <c r="AZ153" s="3">
        <f t="shared" si="131"/>
        <v>1</v>
      </c>
      <c r="BA153" s="3">
        <f>IF(ISERROR(LEN(VLOOKUP(A153,Seqs!A:E,2,FALSE))-AL153),"-",LEN(VLOOKUP(A153,Seqs!A:E,2,FALSE))-AL153)</f>
        <v>9</v>
      </c>
      <c r="BB153" s="16">
        <f t="shared" si="132"/>
        <v>28</v>
      </c>
      <c r="BC153" s="9">
        <f t="shared" si="133"/>
        <v>20</v>
      </c>
      <c r="BD153" s="3">
        <f t="shared" si="134"/>
        <v>28</v>
      </c>
      <c r="BE153" s="3">
        <f t="shared" si="13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1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138"/>
        <v>1</v>
      </c>
      <c r="AO154" s="3" t="str">
        <f>IF(ISERROR(MATCH(A154,'SegEnds_Xtal_Prot#'!B:B, 0)), "NoXtal", "Xtal")</f>
        <v>NoXtal</v>
      </c>
      <c r="AP154" s="3">
        <f t="shared" si="121"/>
        <v>1</v>
      </c>
      <c r="AQ154" s="3">
        <f t="shared" si="122"/>
        <v>1</v>
      </c>
      <c r="AR154" s="3">
        <f t="shared" si="123"/>
        <v>2</v>
      </c>
      <c r="AS154" s="3">
        <f t="shared" si="124"/>
        <v>1</v>
      </c>
      <c r="AT154" s="3">
        <f t="shared" si="125"/>
        <v>1</v>
      </c>
      <c r="AU154" s="3">
        <f t="shared" si="126"/>
        <v>1</v>
      </c>
      <c r="AV154" s="3">
        <f t="shared" si="127"/>
        <v>9</v>
      </c>
      <c r="AW154" s="3">
        <f t="shared" si="128"/>
        <v>44</v>
      </c>
      <c r="AX154" s="3">
        <f t="shared" si="129"/>
        <v>15</v>
      </c>
      <c r="AY154" s="3">
        <f t="shared" si="130"/>
        <v>6</v>
      </c>
      <c r="AZ154" s="3">
        <f t="shared" si="131"/>
        <v>1</v>
      </c>
      <c r="BA154" s="3">
        <f>IF(ISERROR(LEN(VLOOKUP(A154,Seqs!A:E,2,FALSE))-AL154),"-",LEN(VLOOKUP(A154,Seqs!A:E,2,FALSE))-AL154)</f>
        <v>14</v>
      </c>
      <c r="BB154" s="16">
        <f t="shared" si="132"/>
        <v>28</v>
      </c>
      <c r="BC154" s="9">
        <f t="shared" si="133"/>
        <v>20</v>
      </c>
      <c r="BD154" s="3">
        <f t="shared" si="134"/>
        <v>28</v>
      </c>
      <c r="BE154" s="3">
        <f t="shared" si="13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1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38"/>
        <v>1</v>
      </c>
      <c r="AO155" s="3" t="str">
        <f>IF(ISERROR(MATCH(A155,'SegEnds_Xtal_Prot#'!B:B, 0)), "NoXtal", "Xtal")</f>
        <v>NoXtal</v>
      </c>
      <c r="AP155" s="3" t="str">
        <f t="shared" si="121"/>
        <v>-</v>
      </c>
      <c r="AQ155" s="3" t="str">
        <f t="shared" si="122"/>
        <v>-</v>
      </c>
      <c r="AR155" s="3">
        <f t="shared" si="123"/>
        <v>3</v>
      </c>
      <c r="AS155" s="3">
        <f t="shared" si="124"/>
        <v>1</v>
      </c>
      <c r="AT155" s="3">
        <f t="shared" si="125"/>
        <v>1</v>
      </c>
      <c r="AU155" s="3">
        <f t="shared" si="126"/>
        <v>1</v>
      </c>
      <c r="AV155" s="3">
        <f t="shared" si="127"/>
        <v>12</v>
      </c>
      <c r="AW155" s="3">
        <f t="shared" si="128"/>
        <v>4</v>
      </c>
      <c r="AX155" s="3">
        <f t="shared" si="129"/>
        <v>5</v>
      </c>
      <c r="AY155" s="3">
        <f t="shared" si="130"/>
        <v>4</v>
      </c>
      <c r="AZ155" s="3">
        <f t="shared" si="131"/>
        <v>1</v>
      </c>
      <c r="BA155" s="3">
        <f>IF(ISERROR(LEN(VLOOKUP(A155,Seqs!A:E,2,FALSE))-AL155),"-",LEN(VLOOKUP(A155,Seqs!A:E,2,FALSE))-AL155)</f>
        <v>30</v>
      </c>
      <c r="BB155" s="16">
        <f t="shared" si="132"/>
        <v>27</v>
      </c>
      <c r="BC155" s="9">
        <f t="shared" si="133"/>
        <v>20</v>
      </c>
      <c r="BD155" s="3">
        <f t="shared" si="134"/>
        <v>27</v>
      </c>
      <c r="BE155" s="3">
        <f t="shared" si="13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1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38"/>
        <v>1</v>
      </c>
      <c r="AO156" s="3" t="str">
        <f>IF(ISERROR(MATCH(A156,'SegEnds_Xtal_Prot#'!B:B, 0)), "NoXtal", "Xtal")</f>
        <v>NoXtal</v>
      </c>
      <c r="AP156" s="3">
        <f t="shared" si="121"/>
        <v>1</v>
      </c>
      <c r="AQ156" s="3">
        <f t="shared" si="122"/>
        <v>1</v>
      </c>
      <c r="AR156" s="3" t="str">
        <f t="shared" si="123"/>
        <v>-</v>
      </c>
      <c r="AS156" s="3" t="str">
        <f t="shared" si="124"/>
        <v>-</v>
      </c>
      <c r="AT156" s="3">
        <f t="shared" si="125"/>
        <v>2</v>
      </c>
      <c r="AU156" s="3">
        <f t="shared" si="126"/>
        <v>1</v>
      </c>
      <c r="AV156" s="3" t="str">
        <f t="shared" si="127"/>
        <v>-</v>
      </c>
      <c r="AW156" s="3" t="str">
        <f t="shared" si="128"/>
        <v>-</v>
      </c>
      <c r="AX156" s="3">
        <f t="shared" si="129"/>
        <v>8</v>
      </c>
      <c r="AY156" s="3">
        <f t="shared" si="130"/>
        <v>5</v>
      </c>
      <c r="AZ156" s="3">
        <f t="shared" si="131"/>
        <v>1</v>
      </c>
      <c r="BA156" s="3">
        <f>IF(ISERROR(LEN(VLOOKUP(A156,Seqs!A:E,2,FALSE))-AL156),"-",LEN(VLOOKUP(A156,Seqs!A:E,2,FALSE))-AL156)</f>
        <v>33</v>
      </c>
      <c r="BB156" s="16">
        <f t="shared" si="132"/>
        <v>28</v>
      </c>
      <c r="BC156" s="9">
        <f t="shared" si="133"/>
        <v>20</v>
      </c>
      <c r="BD156" s="3">
        <f t="shared" si="134"/>
        <v>28</v>
      </c>
      <c r="BE156" s="3">
        <f t="shared" si="13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40">M157-1</f>
        <v>105</v>
      </c>
      <c r="M157" s="3">
        <v>106</v>
      </c>
      <c r="N157" s="3">
        <f t="shared" ref="N157:N163" si="141">M157+2</f>
        <v>108</v>
      </c>
      <c r="O157" s="3">
        <f t="shared" ref="O157:O163" si="14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1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4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38"/>
        <v>1</v>
      </c>
      <c r="AO157" s="3" t="str">
        <f>IF(ISERROR(MATCH(A157,'SegEnds_Xtal_Prot#'!B:B, 0)), "NoXtal", "Xtal")</f>
        <v>NoXtal</v>
      </c>
      <c r="AP157" s="3">
        <f t="shared" si="121"/>
        <v>1</v>
      </c>
      <c r="AQ157" s="3">
        <f t="shared" si="122"/>
        <v>1</v>
      </c>
      <c r="AR157" s="3">
        <f t="shared" si="123"/>
        <v>2</v>
      </c>
      <c r="AS157" s="3">
        <f t="shared" si="124"/>
        <v>1</v>
      </c>
      <c r="AT157" s="3">
        <f t="shared" si="125"/>
        <v>1</v>
      </c>
      <c r="AU157" s="3">
        <f t="shared" si="126"/>
        <v>1</v>
      </c>
      <c r="AV157" s="3">
        <f t="shared" si="127"/>
        <v>17</v>
      </c>
      <c r="AW157" s="3">
        <f t="shared" si="128"/>
        <v>2</v>
      </c>
      <c r="AX157" s="3">
        <f t="shared" si="129"/>
        <v>9</v>
      </c>
      <c r="AY157" s="3">
        <f t="shared" si="130"/>
        <v>7</v>
      </c>
      <c r="AZ157" s="3">
        <f t="shared" si="131"/>
        <v>1</v>
      </c>
      <c r="BA157" s="3">
        <f>IF(ISERROR(LEN(VLOOKUP(A157,Seqs!A:E,2,FALSE))-AL157),"-",LEN(VLOOKUP(A157,Seqs!A:E,2,FALSE))-AL157)</f>
        <v>45</v>
      </c>
      <c r="BB157" s="16">
        <f t="shared" si="132"/>
        <v>28</v>
      </c>
      <c r="BC157" s="9">
        <f t="shared" si="133"/>
        <v>20</v>
      </c>
      <c r="BD157" s="3">
        <f t="shared" si="134"/>
        <v>28</v>
      </c>
      <c r="BE157" s="3">
        <f t="shared" si="13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40"/>
        <v>80</v>
      </c>
      <c r="M158" s="3">
        <v>81</v>
      </c>
      <c r="N158" s="3">
        <f t="shared" si="141"/>
        <v>83</v>
      </c>
      <c r="O158" s="3">
        <f t="shared" si="14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1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4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38"/>
        <v>1</v>
      </c>
      <c r="AO158" s="3" t="str">
        <f>IF(ISERROR(MATCH(A158,'SegEnds_Xtal_Prot#'!B:B, 0)), "NoXtal", "Xtal")</f>
        <v>NoXtal</v>
      </c>
      <c r="AP158" s="3" t="str">
        <f t="shared" si="121"/>
        <v>-</v>
      </c>
      <c r="AQ158" s="3" t="str">
        <f t="shared" si="122"/>
        <v>-</v>
      </c>
      <c r="AR158" s="3">
        <f t="shared" si="123"/>
        <v>3</v>
      </c>
      <c r="AS158" s="3">
        <f t="shared" si="124"/>
        <v>1</v>
      </c>
      <c r="AT158" s="3">
        <f t="shared" si="125"/>
        <v>1</v>
      </c>
      <c r="AU158" s="3">
        <f t="shared" si="126"/>
        <v>1</v>
      </c>
      <c r="AV158" s="3">
        <f t="shared" si="127"/>
        <v>11</v>
      </c>
      <c r="AW158" s="3">
        <f t="shared" si="128"/>
        <v>3</v>
      </c>
      <c r="AX158" s="3">
        <f t="shared" si="129"/>
        <v>6</v>
      </c>
      <c r="AY158" s="3">
        <f t="shared" si="130"/>
        <v>7</v>
      </c>
      <c r="AZ158" s="3">
        <f t="shared" si="131"/>
        <v>1</v>
      </c>
      <c r="BA158" s="3">
        <f>IF(ISERROR(LEN(VLOOKUP(A158,Seqs!A:E,2,FALSE))-AL158),"-",LEN(VLOOKUP(A158,Seqs!A:E,2,FALSE))-AL158)</f>
        <v>52</v>
      </c>
      <c r="BB158" s="16">
        <f t="shared" si="132"/>
        <v>28</v>
      </c>
      <c r="BC158" s="9">
        <f t="shared" si="133"/>
        <v>20</v>
      </c>
      <c r="BD158" s="3">
        <f t="shared" si="134"/>
        <v>28</v>
      </c>
      <c r="BE158" s="3">
        <f t="shared" si="13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40"/>
        <v>92</v>
      </c>
      <c r="M159" s="3">
        <v>93</v>
      </c>
      <c r="N159" s="3">
        <f t="shared" si="141"/>
        <v>95</v>
      </c>
      <c r="O159" s="3">
        <f t="shared" si="14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1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4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38"/>
        <v>1</v>
      </c>
      <c r="AO159" s="3" t="str">
        <f>IF(ISERROR(MATCH(A159,'SegEnds_Xtal_Prot#'!B:B, 0)), "NoXtal", "Xtal")</f>
        <v>NoXtal</v>
      </c>
      <c r="AP159" s="3" t="str">
        <f t="shared" si="121"/>
        <v>-</v>
      </c>
      <c r="AQ159" s="3" t="str">
        <f t="shared" si="122"/>
        <v>-</v>
      </c>
      <c r="AR159" s="3">
        <f t="shared" si="123"/>
        <v>2</v>
      </c>
      <c r="AS159" s="3">
        <f t="shared" si="124"/>
        <v>1</v>
      </c>
      <c r="AT159" s="3">
        <f t="shared" si="125"/>
        <v>1</v>
      </c>
      <c r="AU159" s="3">
        <f t="shared" si="126"/>
        <v>1</v>
      </c>
      <c r="AV159" s="3">
        <f t="shared" si="127"/>
        <v>11</v>
      </c>
      <c r="AW159" s="3">
        <f t="shared" si="128"/>
        <v>1</v>
      </c>
      <c r="AX159" s="3">
        <f t="shared" si="129"/>
        <v>5</v>
      </c>
      <c r="AY159" s="3">
        <f t="shared" si="130"/>
        <v>5</v>
      </c>
      <c r="AZ159" s="3">
        <f t="shared" si="131"/>
        <v>1</v>
      </c>
      <c r="BA159" s="3">
        <f>IF(ISERROR(LEN(VLOOKUP(A159,Seqs!A:E,2,FALSE))-AL159),"-",LEN(VLOOKUP(A159,Seqs!A:E,2,FALSE))-AL159)</f>
        <v>53</v>
      </c>
      <c r="BB159" s="16">
        <f t="shared" si="132"/>
        <v>28</v>
      </c>
      <c r="BC159" s="9">
        <f t="shared" si="133"/>
        <v>20</v>
      </c>
      <c r="BD159" s="3">
        <f t="shared" si="134"/>
        <v>28</v>
      </c>
      <c r="BE159" s="3">
        <f t="shared" si="13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40"/>
        <v>92</v>
      </c>
      <c r="M160" s="3">
        <v>93</v>
      </c>
      <c r="N160" s="3">
        <f t="shared" si="141"/>
        <v>95</v>
      </c>
      <c r="O160" s="3">
        <f t="shared" si="14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1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4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38"/>
        <v>1</v>
      </c>
      <c r="AO160" s="3" t="str">
        <f>IF(ISERROR(MATCH(A160,'SegEnds_Xtal_Prot#'!B:B, 0)), "NoXtal", "Xtal")</f>
        <v>NoXtal</v>
      </c>
      <c r="AP160" s="3" t="str">
        <f t="shared" si="121"/>
        <v>-</v>
      </c>
      <c r="AQ160" s="3" t="str">
        <f t="shared" si="122"/>
        <v>-</v>
      </c>
      <c r="AR160" s="3">
        <f t="shared" si="123"/>
        <v>3</v>
      </c>
      <c r="AS160" s="3">
        <f t="shared" si="124"/>
        <v>1</v>
      </c>
      <c r="AT160" s="3">
        <f t="shared" si="125"/>
        <v>1</v>
      </c>
      <c r="AU160" s="3">
        <f t="shared" si="126"/>
        <v>1</v>
      </c>
      <c r="AV160" s="3">
        <f t="shared" si="127"/>
        <v>11</v>
      </c>
      <c r="AW160" s="3">
        <f t="shared" si="128"/>
        <v>3</v>
      </c>
      <c r="AX160" s="3">
        <f t="shared" si="129"/>
        <v>5</v>
      </c>
      <c r="AY160" s="3">
        <f t="shared" si="130"/>
        <v>5</v>
      </c>
      <c r="AZ160" s="3">
        <f t="shared" si="131"/>
        <v>1</v>
      </c>
      <c r="BA160" s="3">
        <f>IF(ISERROR(LEN(VLOOKUP(A160,Seqs!A:E,2,FALSE))-AL160),"-",LEN(VLOOKUP(A160,Seqs!A:E,2,FALSE))-AL160)</f>
        <v>77</v>
      </c>
      <c r="BB160" s="16">
        <f t="shared" si="132"/>
        <v>28</v>
      </c>
      <c r="BC160" s="9">
        <f t="shared" si="133"/>
        <v>20</v>
      </c>
      <c r="BD160" s="3">
        <f t="shared" si="134"/>
        <v>28</v>
      </c>
      <c r="BE160" s="3">
        <f t="shared" si="13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44">G161+1</f>
        <v>59</v>
      </c>
      <c r="I161" s="3">
        <f t="shared" si="14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40"/>
        <v>92</v>
      </c>
      <c r="M161" s="3">
        <v>93</v>
      </c>
      <c r="N161" s="3">
        <f t="shared" si="141"/>
        <v>95</v>
      </c>
      <c r="O161" s="3">
        <f t="shared" si="14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1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4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38"/>
        <v>1</v>
      </c>
      <c r="AO161" s="3" t="str">
        <f>IF(ISERROR(MATCH(A161,'SegEnds_Xtal_Prot#'!B:B, 0)), "NoXtal", "Xtal")</f>
        <v>Xtal</v>
      </c>
      <c r="AP161" s="3">
        <f t="shared" si="121"/>
        <v>1</v>
      </c>
      <c r="AQ161" s="3">
        <f t="shared" si="122"/>
        <v>1</v>
      </c>
      <c r="AR161" s="3">
        <f t="shared" si="123"/>
        <v>2</v>
      </c>
      <c r="AS161" s="3">
        <f t="shared" si="124"/>
        <v>1</v>
      </c>
      <c r="AT161" s="3">
        <f t="shared" si="125"/>
        <v>1</v>
      </c>
      <c r="AU161" s="3">
        <f t="shared" si="126"/>
        <v>1</v>
      </c>
      <c r="AV161" s="3">
        <f t="shared" si="127"/>
        <v>16</v>
      </c>
      <c r="AW161" s="3">
        <f t="shared" si="128"/>
        <v>5</v>
      </c>
      <c r="AX161" s="3">
        <f t="shared" si="129"/>
        <v>176</v>
      </c>
      <c r="AY161" s="3">
        <f t="shared" si="130"/>
        <v>5</v>
      </c>
      <c r="AZ161" s="3">
        <f t="shared" si="131"/>
        <v>1</v>
      </c>
      <c r="BA161" s="3">
        <f>IF(ISERROR(LEN(VLOOKUP(A161,Seqs!A:E,2,FALSE))-AL161),"-",LEN(VLOOKUP(A161,Seqs!A:E,2,FALSE))-AL161)</f>
        <v>3</v>
      </c>
      <c r="BB161" s="16">
        <f t="shared" si="132"/>
        <v>28</v>
      </c>
      <c r="BC161" s="9">
        <f t="shared" si="133"/>
        <v>20</v>
      </c>
      <c r="BD161" s="3">
        <f t="shared" si="134"/>
        <v>28</v>
      </c>
      <c r="BE161" s="3">
        <f t="shared" si="13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44"/>
        <v>50</v>
      </c>
      <c r="I162" s="3">
        <f t="shared" si="14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40"/>
        <v>83</v>
      </c>
      <c r="M162" s="3">
        <v>84</v>
      </c>
      <c r="N162" s="3">
        <f t="shared" si="141"/>
        <v>86</v>
      </c>
      <c r="O162" s="3">
        <f t="shared" si="14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1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4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38"/>
        <v>1</v>
      </c>
      <c r="AO162" s="3" t="str">
        <f>IF(ISERROR(MATCH(A162,'SegEnds_Xtal_Prot#'!B:B, 0)), "NoXtal", "Xtal")</f>
        <v>NoXtal</v>
      </c>
      <c r="AP162" s="3">
        <f t="shared" si="121"/>
        <v>1</v>
      </c>
      <c r="AQ162" s="3">
        <f t="shared" si="122"/>
        <v>1</v>
      </c>
      <c r="AR162" s="3">
        <f t="shared" si="123"/>
        <v>2</v>
      </c>
      <c r="AS162" s="3">
        <f t="shared" si="124"/>
        <v>1</v>
      </c>
      <c r="AT162" s="3">
        <f t="shared" si="125"/>
        <v>1</v>
      </c>
      <c r="AU162" s="3">
        <f t="shared" si="126"/>
        <v>1</v>
      </c>
      <c r="AV162" s="3">
        <f t="shared" si="127"/>
        <v>17</v>
      </c>
      <c r="AW162" s="3">
        <f t="shared" si="128"/>
        <v>3</v>
      </c>
      <c r="AX162" s="3">
        <f t="shared" si="129"/>
        <v>4</v>
      </c>
      <c r="AY162" s="3">
        <f t="shared" si="130"/>
        <v>6</v>
      </c>
      <c r="AZ162" s="3">
        <f t="shared" si="131"/>
        <v>1</v>
      </c>
      <c r="BA162" s="3">
        <f>IF(ISERROR(LEN(VLOOKUP(A162,Seqs!A:E,2,FALSE))-AL162),"-",LEN(VLOOKUP(A162,Seqs!A:E,2,FALSE))-AL162)</f>
        <v>55</v>
      </c>
      <c r="BB162" s="16">
        <f t="shared" si="132"/>
        <v>28</v>
      </c>
      <c r="BC162" s="9">
        <f t="shared" si="133"/>
        <v>20</v>
      </c>
      <c r="BD162" s="3">
        <f t="shared" si="134"/>
        <v>28</v>
      </c>
      <c r="BE162" s="3">
        <f t="shared" si="13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44"/>
        <v>74</v>
      </c>
      <c r="I163" s="3">
        <f t="shared" si="14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40"/>
        <v>107</v>
      </c>
      <c r="M163" s="3">
        <v>108</v>
      </c>
      <c r="N163" s="3">
        <f t="shared" si="141"/>
        <v>110</v>
      </c>
      <c r="O163" s="3">
        <f t="shared" si="14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1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4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38"/>
        <v>1</v>
      </c>
      <c r="AO163" s="3" t="str">
        <f>IF(ISERROR(MATCH(A163,'SegEnds_Xtal_Prot#'!B:B, 0)), "NoXtal", "Xtal")</f>
        <v>NoXtal</v>
      </c>
      <c r="AP163" s="3">
        <f t="shared" si="121"/>
        <v>1</v>
      </c>
      <c r="AQ163" s="3">
        <f t="shared" si="122"/>
        <v>1</v>
      </c>
      <c r="AR163" s="3">
        <f t="shared" si="123"/>
        <v>2</v>
      </c>
      <c r="AS163" s="3">
        <f t="shared" si="124"/>
        <v>1</v>
      </c>
      <c r="AT163" s="3">
        <f t="shared" si="125"/>
        <v>1</v>
      </c>
      <c r="AU163" s="3">
        <f t="shared" si="126"/>
        <v>1</v>
      </c>
      <c r="AV163" s="3">
        <f t="shared" si="127"/>
        <v>10</v>
      </c>
      <c r="AW163" s="3">
        <f t="shared" si="128"/>
        <v>3</v>
      </c>
      <c r="AX163" s="3">
        <f t="shared" si="129"/>
        <v>9</v>
      </c>
      <c r="AY163" s="3">
        <f t="shared" si="130"/>
        <v>9</v>
      </c>
      <c r="AZ163" s="3">
        <f t="shared" si="131"/>
        <v>1</v>
      </c>
      <c r="BA163" s="3">
        <f>IF(ISERROR(LEN(VLOOKUP(A163,Seqs!A:E,2,FALSE))-AL163),"-",LEN(VLOOKUP(A163,Seqs!A:E,2,FALSE))-AL163)</f>
        <v>59</v>
      </c>
      <c r="BB163" s="16">
        <f t="shared" si="132"/>
        <v>28</v>
      </c>
      <c r="BC163" s="9">
        <f t="shared" si="133"/>
        <v>20</v>
      </c>
      <c r="BD163" s="3">
        <f t="shared" si="134"/>
        <v>28</v>
      </c>
      <c r="BE163" s="3">
        <f t="shared" si="13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1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4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38"/>
        <v>1</v>
      </c>
      <c r="AO164" s="3" t="str">
        <f>IF(ISERROR(MATCH(A164,'SegEnds_Xtal_Prot#'!B:B, 0)), "NoXtal", "Xtal")</f>
        <v>NoXtal</v>
      </c>
      <c r="AP164" s="3" t="str">
        <f t="shared" si="121"/>
        <v>-</v>
      </c>
      <c r="AQ164" s="3" t="str">
        <f t="shared" si="122"/>
        <v>-</v>
      </c>
      <c r="AR164" s="3" t="str">
        <f t="shared" si="123"/>
        <v>-</v>
      </c>
      <c r="AS164" s="3" t="str">
        <f t="shared" si="124"/>
        <v>-</v>
      </c>
      <c r="AT164" s="3">
        <f t="shared" si="125"/>
        <v>1</v>
      </c>
      <c r="AU164" s="3">
        <f t="shared" si="126"/>
        <v>1</v>
      </c>
      <c r="AV164" s="3">
        <f t="shared" si="127"/>
        <v>9</v>
      </c>
      <c r="AW164" s="3">
        <f t="shared" si="128"/>
        <v>6</v>
      </c>
      <c r="AX164" s="3">
        <f t="shared" si="129"/>
        <v>6</v>
      </c>
      <c r="AY164" s="3">
        <f t="shared" si="130"/>
        <v>6</v>
      </c>
      <c r="AZ164" s="3">
        <f t="shared" si="131"/>
        <v>1</v>
      </c>
      <c r="BA164" s="3">
        <f>IF(ISERROR(LEN(VLOOKUP(A164,Seqs!A:E,2,FALSE))-AL164),"-",LEN(VLOOKUP(A164,Seqs!A:E,2,FALSE))-AL164)</f>
        <v>132</v>
      </c>
      <c r="BB164" s="16">
        <f t="shared" si="132"/>
        <v>28</v>
      </c>
      <c r="BC164" s="9">
        <f t="shared" si="133"/>
        <v>20</v>
      </c>
      <c r="BD164" s="3">
        <f t="shared" si="134"/>
        <v>28</v>
      </c>
      <c r="BE164" s="3">
        <f t="shared" si="13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1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4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38"/>
        <v>1</v>
      </c>
      <c r="AO165" s="3" t="str">
        <f>IF(ISERROR(MATCH(A165,'SegEnds_Xtal_Prot#'!B:B, 0)), "NoXtal", "Xtal")</f>
        <v>NoXtal</v>
      </c>
      <c r="AP165" s="3" t="str">
        <f t="shared" si="121"/>
        <v>-</v>
      </c>
      <c r="AQ165" s="3" t="str">
        <f t="shared" si="122"/>
        <v>-</v>
      </c>
      <c r="AR165" s="3" t="str">
        <f t="shared" si="123"/>
        <v>-</v>
      </c>
      <c r="AS165" s="3" t="str">
        <f t="shared" si="124"/>
        <v>-</v>
      </c>
      <c r="AT165" s="3">
        <f t="shared" si="125"/>
        <v>1</v>
      </c>
      <c r="AU165" s="3">
        <f t="shared" si="126"/>
        <v>1</v>
      </c>
      <c r="AV165" s="3">
        <f t="shared" si="127"/>
        <v>10</v>
      </c>
      <c r="AW165" s="3">
        <f t="shared" si="128"/>
        <v>6</v>
      </c>
      <c r="AX165" s="3">
        <f t="shared" si="129"/>
        <v>6</v>
      </c>
      <c r="AY165" s="3">
        <f t="shared" si="130"/>
        <v>6</v>
      </c>
      <c r="AZ165" s="3">
        <f t="shared" si="131"/>
        <v>1</v>
      </c>
      <c r="BA165" s="3">
        <f>IF(ISERROR(LEN(VLOOKUP(A165,Seqs!A:E,2,FALSE))-AL165),"-",LEN(VLOOKUP(A165,Seqs!A:E,2,FALSE))-AL165)</f>
        <v>61</v>
      </c>
      <c r="BB165" s="16">
        <f t="shared" si="132"/>
        <v>28</v>
      </c>
      <c r="BC165" s="9">
        <f t="shared" si="133"/>
        <v>20</v>
      </c>
      <c r="BD165" s="3">
        <f t="shared" si="134"/>
        <v>28</v>
      </c>
      <c r="BE165" s="3">
        <f t="shared" si="13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1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4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38"/>
        <v>1</v>
      </c>
      <c r="AO166" s="3" t="str">
        <f>IF(ISERROR(MATCH(A166,'SegEnds_Xtal_Prot#'!B:B, 0)), "NoXtal", "Xtal")</f>
        <v>NoXtal</v>
      </c>
      <c r="AP166" s="3" t="str">
        <f t="shared" si="121"/>
        <v>-</v>
      </c>
      <c r="AQ166" s="3" t="str">
        <f t="shared" si="122"/>
        <v>-</v>
      </c>
      <c r="AR166" s="3" t="str">
        <f t="shared" si="123"/>
        <v>-</v>
      </c>
      <c r="AS166" s="3" t="str">
        <f t="shared" si="124"/>
        <v>-</v>
      </c>
      <c r="AT166" s="3">
        <f t="shared" si="125"/>
        <v>1</v>
      </c>
      <c r="AU166" s="3">
        <f t="shared" si="126"/>
        <v>1</v>
      </c>
      <c r="AV166" s="3">
        <f t="shared" si="127"/>
        <v>9</v>
      </c>
      <c r="AW166" s="3">
        <f t="shared" si="128"/>
        <v>9</v>
      </c>
      <c r="AX166" s="3">
        <f t="shared" si="129"/>
        <v>6</v>
      </c>
      <c r="AY166" s="3">
        <f t="shared" si="130"/>
        <v>6</v>
      </c>
      <c r="AZ166" s="3">
        <f t="shared" si="131"/>
        <v>1</v>
      </c>
      <c r="BA166" s="3">
        <f>IF(ISERROR(LEN(VLOOKUP(A166,Seqs!A:E,2,FALSE))-AL166),"-",LEN(VLOOKUP(A166,Seqs!A:E,2,FALSE))-AL166)</f>
        <v>124</v>
      </c>
      <c r="BB166" s="16">
        <f t="shared" si="132"/>
        <v>29</v>
      </c>
      <c r="BC166" s="9">
        <f t="shared" si="133"/>
        <v>20</v>
      </c>
      <c r="BD166" s="3">
        <f t="shared" si="134"/>
        <v>29</v>
      </c>
      <c r="BE166" s="3">
        <f t="shared" si="13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45">G167-2</f>
        <v>68</v>
      </c>
      <c r="G167" s="3">
        <v>70</v>
      </c>
      <c r="H167" s="3">
        <f t="shared" ref="H167:I172" si="146">G167+1</f>
        <v>71</v>
      </c>
      <c r="I167" s="3">
        <f t="shared" si="14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47">M167-1</f>
        <v>103</v>
      </c>
      <c r="M167" s="3">
        <v>104</v>
      </c>
      <c r="N167" s="3">
        <f t="shared" ref="N167:N172" si="148">M167+2</f>
        <v>106</v>
      </c>
      <c r="O167" s="3">
        <f t="shared" ref="O167:O172" si="14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1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4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38"/>
        <v>1</v>
      </c>
      <c r="AO167" s="3" t="str">
        <f>IF(ISERROR(MATCH(A167,'SegEnds_Xtal_Prot#'!B:B, 0)), "NoXtal", "Xtal")</f>
        <v>NoXtal</v>
      </c>
      <c r="AP167" s="3">
        <f t="shared" si="121"/>
        <v>1</v>
      </c>
      <c r="AQ167" s="3">
        <f t="shared" si="122"/>
        <v>1</v>
      </c>
      <c r="AR167" s="3">
        <f t="shared" si="123"/>
        <v>2</v>
      </c>
      <c r="AS167" s="3">
        <f t="shared" si="124"/>
        <v>1</v>
      </c>
      <c r="AT167" s="3">
        <f t="shared" si="125"/>
        <v>1</v>
      </c>
      <c r="AU167" s="3">
        <f t="shared" si="126"/>
        <v>1</v>
      </c>
      <c r="AV167" s="3">
        <f t="shared" si="127"/>
        <v>11</v>
      </c>
      <c r="AW167" s="3">
        <f t="shared" si="128"/>
        <v>6</v>
      </c>
      <c r="AX167" s="3">
        <f t="shared" si="129"/>
        <v>4</v>
      </c>
      <c r="AY167" s="3">
        <f t="shared" si="130"/>
        <v>4</v>
      </c>
      <c r="AZ167" s="3">
        <f t="shared" si="131"/>
        <v>1</v>
      </c>
      <c r="BA167" s="3">
        <f>IF(ISERROR(LEN(VLOOKUP(A167,Seqs!A:E,2,FALSE))-AL167),"-",LEN(VLOOKUP(A167,Seqs!A:E,2,FALSE))-AL167)</f>
        <v>43</v>
      </c>
      <c r="BB167" s="16">
        <f t="shared" si="132"/>
        <v>28</v>
      </c>
      <c r="BC167" s="9">
        <f t="shared" si="133"/>
        <v>20</v>
      </c>
      <c r="BD167" s="3">
        <f t="shared" si="134"/>
        <v>28</v>
      </c>
      <c r="BE167" s="3">
        <f t="shared" si="13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45"/>
        <v>51</v>
      </c>
      <c r="G168" s="3">
        <v>53</v>
      </c>
      <c r="H168" s="3">
        <f t="shared" si="146"/>
        <v>54</v>
      </c>
      <c r="I168" s="3">
        <f t="shared" si="14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47"/>
        <v>86</v>
      </c>
      <c r="M168" s="3">
        <v>87</v>
      </c>
      <c r="N168" s="3">
        <f t="shared" si="148"/>
        <v>89</v>
      </c>
      <c r="O168" s="3">
        <f t="shared" si="14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1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4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38"/>
        <v>1</v>
      </c>
      <c r="AO168" s="3" t="str">
        <f>IF(ISERROR(MATCH(A168,'SegEnds_Xtal_Prot#'!B:B, 0)), "NoXtal", "Xtal")</f>
        <v>NoXtal</v>
      </c>
      <c r="AP168" s="3">
        <f t="shared" si="121"/>
        <v>1</v>
      </c>
      <c r="AQ168" s="3">
        <f t="shared" si="122"/>
        <v>1</v>
      </c>
      <c r="AR168" s="3">
        <f t="shared" si="123"/>
        <v>2</v>
      </c>
      <c r="AS168" s="3">
        <f t="shared" si="124"/>
        <v>1</v>
      </c>
      <c r="AT168" s="3">
        <f t="shared" si="125"/>
        <v>1</v>
      </c>
      <c r="AU168" s="3">
        <f t="shared" si="126"/>
        <v>1</v>
      </c>
      <c r="AV168" s="3">
        <f t="shared" si="127"/>
        <v>17</v>
      </c>
      <c r="AW168" s="3">
        <f t="shared" si="128"/>
        <v>7</v>
      </c>
      <c r="AX168" s="3">
        <f t="shared" si="129"/>
        <v>5</v>
      </c>
      <c r="AY168" s="3">
        <f t="shared" si="130"/>
        <v>5</v>
      </c>
      <c r="AZ168" s="3">
        <f t="shared" si="131"/>
        <v>1</v>
      </c>
      <c r="BA168" s="3">
        <f>IF(ISERROR(LEN(VLOOKUP(A168,Seqs!A:E,2,FALSE))-AL168),"-",LEN(VLOOKUP(A168,Seqs!A:E,2,FALSE))-AL168)</f>
        <v>57</v>
      </c>
      <c r="BB168" s="16">
        <f t="shared" si="132"/>
        <v>28</v>
      </c>
      <c r="BC168" s="9">
        <f t="shared" si="133"/>
        <v>20</v>
      </c>
      <c r="BD168" s="3">
        <f t="shared" si="134"/>
        <v>28</v>
      </c>
      <c r="BE168" s="3">
        <f t="shared" si="13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45"/>
        <v>46</v>
      </c>
      <c r="G169" s="3">
        <v>48</v>
      </c>
      <c r="H169" s="3">
        <f t="shared" si="146"/>
        <v>49</v>
      </c>
      <c r="I169" s="3">
        <f t="shared" si="14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47"/>
        <v>81</v>
      </c>
      <c r="M169" s="3">
        <v>82</v>
      </c>
      <c r="N169" s="3">
        <f t="shared" si="148"/>
        <v>84</v>
      </c>
      <c r="O169" s="3">
        <f t="shared" si="14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1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43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38"/>
        <v>1</v>
      </c>
      <c r="AO169" s="3" t="str">
        <f>IF(ISERROR(MATCH(A169,'SegEnds_Xtal_Prot#'!B:B, 0)), "NoXtal", "Xtal")</f>
        <v>NoXtal</v>
      </c>
      <c r="AP169" s="3">
        <f t="shared" si="121"/>
        <v>1</v>
      </c>
      <c r="AQ169" s="3">
        <f t="shared" si="122"/>
        <v>1</v>
      </c>
      <c r="AR169" s="3">
        <f t="shared" si="123"/>
        <v>2</v>
      </c>
      <c r="AS169" s="3">
        <f t="shared" si="124"/>
        <v>1</v>
      </c>
      <c r="AT169" s="3">
        <f t="shared" si="125"/>
        <v>1</v>
      </c>
      <c r="AU169" s="3">
        <f t="shared" si="126"/>
        <v>1</v>
      </c>
      <c r="AV169" s="3">
        <f t="shared" si="127"/>
        <v>13</v>
      </c>
      <c r="AW169" s="3">
        <f t="shared" si="128"/>
        <v>10</v>
      </c>
      <c r="AX169" s="3">
        <f t="shared" si="129"/>
        <v>4</v>
      </c>
      <c r="AY169" s="3">
        <f t="shared" si="130"/>
        <v>4</v>
      </c>
      <c r="AZ169" s="3">
        <f t="shared" si="131"/>
        <v>1</v>
      </c>
      <c r="BA169" s="3">
        <f>IF(ISERROR(LEN(VLOOKUP(A169,Seqs!A:E,2,FALSE))-AL169),"-",LEN(VLOOKUP(A169,Seqs!A:E,2,FALSE))-AL169)</f>
        <v>35</v>
      </c>
      <c r="BB169" s="16">
        <f t="shared" si="132"/>
        <v>28</v>
      </c>
      <c r="BC169" s="9">
        <f t="shared" si="133"/>
        <v>20</v>
      </c>
      <c r="BD169" s="3">
        <f t="shared" si="134"/>
        <v>28</v>
      </c>
      <c r="BE169" s="3">
        <f t="shared" si="13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45"/>
        <v>389</v>
      </c>
      <c r="G170" s="3">
        <v>391</v>
      </c>
      <c r="H170" s="3">
        <f t="shared" si="146"/>
        <v>392</v>
      </c>
      <c r="I170" s="3">
        <f t="shared" si="14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47"/>
        <v>432</v>
      </c>
      <c r="M170" s="3">
        <v>433</v>
      </c>
      <c r="N170" s="3">
        <f t="shared" si="148"/>
        <v>435</v>
      </c>
      <c r="O170" s="3">
        <f t="shared" si="14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1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4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38"/>
        <v>1</v>
      </c>
      <c r="AO170" s="3" t="str">
        <f>IF(ISERROR(MATCH(A170,'SegEnds_Xtal_Prot#'!B:B, 0)), "NoXtal", "Xtal")</f>
        <v>NoXtal</v>
      </c>
      <c r="AP170" s="3">
        <f t="shared" si="121"/>
        <v>2</v>
      </c>
      <c r="AQ170" s="3">
        <f t="shared" si="122"/>
        <v>1</v>
      </c>
      <c r="AR170" s="3">
        <f t="shared" si="123"/>
        <v>10</v>
      </c>
      <c r="AS170" s="3">
        <f t="shared" si="124"/>
        <v>1</v>
      </c>
      <c r="AT170" s="3">
        <f t="shared" si="125"/>
        <v>1</v>
      </c>
      <c r="AU170" s="3">
        <f t="shared" si="126"/>
        <v>1</v>
      </c>
      <c r="AV170" s="3">
        <f t="shared" si="127"/>
        <v>11</v>
      </c>
      <c r="AW170" s="3">
        <f t="shared" si="128"/>
        <v>7</v>
      </c>
      <c r="AX170" s="3">
        <f t="shared" si="129"/>
        <v>5</v>
      </c>
      <c r="AY170" s="3">
        <f t="shared" si="130"/>
        <v>6</v>
      </c>
      <c r="AZ170" s="3">
        <f t="shared" si="131"/>
        <v>1</v>
      </c>
      <c r="BA170" s="3">
        <f>IF(ISERROR(LEN(VLOOKUP(A170,Seqs!A:E,2,FALSE))-AL170),"-",LEN(VLOOKUP(A170,Seqs!A:E,2,FALSE))-AL170)</f>
        <v>60</v>
      </c>
      <c r="BB170" s="16">
        <f t="shared" si="132"/>
        <v>28</v>
      </c>
      <c r="BC170" s="9">
        <f t="shared" si="133"/>
        <v>20</v>
      </c>
      <c r="BD170" s="3">
        <f t="shared" si="134"/>
        <v>28</v>
      </c>
      <c r="BE170" s="3">
        <f t="shared" si="13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45"/>
        <v>47</v>
      </c>
      <c r="G171" s="3">
        <v>49</v>
      </c>
      <c r="H171" s="3">
        <f t="shared" si="146"/>
        <v>50</v>
      </c>
      <c r="I171" s="3">
        <f t="shared" si="14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47"/>
        <v>82</v>
      </c>
      <c r="M171" s="3">
        <v>83</v>
      </c>
      <c r="N171" s="3">
        <f t="shared" si="148"/>
        <v>85</v>
      </c>
      <c r="O171" s="3">
        <f t="shared" si="14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1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4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38"/>
        <v>1</v>
      </c>
      <c r="AO171" s="3" t="str">
        <f>IF(ISERROR(MATCH(A171,'SegEnds_Xtal_Prot#'!B:B, 0)), "NoXtal", "Xtal")</f>
        <v>NoXtal</v>
      </c>
      <c r="AP171" s="3">
        <f t="shared" si="121"/>
        <v>1</v>
      </c>
      <c r="AQ171" s="3">
        <f t="shared" si="122"/>
        <v>1</v>
      </c>
      <c r="AR171" s="3">
        <f t="shared" si="123"/>
        <v>2</v>
      </c>
      <c r="AS171" s="3">
        <f t="shared" si="124"/>
        <v>1</v>
      </c>
      <c r="AT171" s="3">
        <f t="shared" si="125"/>
        <v>1</v>
      </c>
      <c r="AU171" s="3">
        <f t="shared" si="126"/>
        <v>1</v>
      </c>
      <c r="AV171" s="3">
        <f t="shared" si="127"/>
        <v>12</v>
      </c>
      <c r="AW171" s="3">
        <f t="shared" si="128"/>
        <v>7</v>
      </c>
      <c r="AX171" s="3">
        <f t="shared" si="129"/>
        <v>5</v>
      </c>
      <c r="AY171" s="3">
        <f t="shared" si="130"/>
        <v>6</v>
      </c>
      <c r="AZ171" s="3">
        <f t="shared" si="131"/>
        <v>1</v>
      </c>
      <c r="BA171" s="3">
        <f>IF(ISERROR(LEN(VLOOKUP(A171,Seqs!A:E,2,FALSE))-AL171),"-",LEN(VLOOKUP(A171,Seqs!A:E,2,FALSE))-AL171)</f>
        <v>49</v>
      </c>
      <c r="BB171" s="16">
        <f t="shared" si="132"/>
        <v>28</v>
      </c>
      <c r="BC171" s="9">
        <f t="shared" si="133"/>
        <v>20</v>
      </c>
      <c r="BD171" s="3">
        <f t="shared" si="134"/>
        <v>28</v>
      </c>
      <c r="BE171" s="3">
        <f t="shared" si="13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c5ar1_human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45"/>
        <v>80</v>
      </c>
      <c r="G172" s="3">
        <v>82</v>
      </c>
      <c r="H172" s="3">
        <f t="shared" si="146"/>
        <v>83</v>
      </c>
      <c r="I172" s="3">
        <f t="shared" si="14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47"/>
        <v>117</v>
      </c>
      <c r="M172" s="3">
        <v>118</v>
      </c>
      <c r="N172" s="3">
        <f t="shared" si="148"/>
        <v>120</v>
      </c>
      <c r="O172" s="3">
        <f t="shared" si="14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1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4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332</v>
      </c>
      <c r="AM172" s="28" t="str">
        <f>VLOOKUP(A172,Classification!A:B,2,FALSE)</f>
        <v>A</v>
      </c>
      <c r="AN172" s="28" t="b">
        <f t="shared" si="138"/>
        <v>1</v>
      </c>
      <c r="AO172" s="3" t="str">
        <f>IF(ISERROR(MATCH(A172,'SegEnds_Xtal_Prot#'!B:B, 0)), "NoXtal", "Xtal")</f>
        <v>NoXtal</v>
      </c>
      <c r="AP172" s="3">
        <f t="shared" si="121"/>
        <v>1</v>
      </c>
      <c r="AQ172" s="3">
        <f t="shared" si="122"/>
        <v>1</v>
      </c>
      <c r="AR172" s="3">
        <f t="shared" si="123"/>
        <v>2</v>
      </c>
      <c r="AS172" s="3">
        <f t="shared" si="124"/>
        <v>1</v>
      </c>
      <c r="AT172" s="3">
        <f t="shared" si="125"/>
        <v>1</v>
      </c>
      <c r="AU172" s="3">
        <f t="shared" si="126"/>
        <v>1</v>
      </c>
      <c r="AV172" s="3">
        <f t="shared" si="127"/>
        <v>11</v>
      </c>
      <c r="AW172" s="3">
        <f t="shared" si="128"/>
        <v>5</v>
      </c>
      <c r="AX172" s="3">
        <f t="shared" si="129"/>
        <v>5</v>
      </c>
      <c r="AY172" s="3">
        <f t="shared" si="130"/>
        <v>6</v>
      </c>
      <c r="AZ172" s="3">
        <f t="shared" si="131"/>
        <v>1</v>
      </c>
      <c r="BA172" s="3">
        <f>IF(ISERROR(LEN(VLOOKUP(A172,Seqs!A:E,2,FALSE))-AL172),"-",LEN(VLOOKUP(A172,Seqs!A:E,2,FALSE))-AL172)</f>
        <v>57</v>
      </c>
      <c r="BB172" s="16">
        <f t="shared" si="132"/>
        <v>30</v>
      </c>
      <c r="BC172" s="9">
        <f t="shared" si="133"/>
        <v>20</v>
      </c>
      <c r="BD172" s="3">
        <f t="shared" si="134"/>
        <v>30</v>
      </c>
      <c r="BE172" s="3">
        <f t="shared" si="13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1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38"/>
        <v>1</v>
      </c>
      <c r="AO173" s="3" t="str">
        <f>IF(ISERROR(MATCH(A173,'SegEnds_Xtal_Prot#'!B:B, 0)), "NoXtal", "Xtal")</f>
        <v>NoXtal</v>
      </c>
      <c r="AP173" s="3" t="str">
        <f t="shared" si="121"/>
        <v>-</v>
      </c>
      <c r="AQ173" s="3" t="str">
        <f t="shared" si="122"/>
        <v>-</v>
      </c>
      <c r="AR173" s="3" t="str">
        <f t="shared" si="123"/>
        <v>-</v>
      </c>
      <c r="AS173" s="3" t="str">
        <f t="shared" si="124"/>
        <v>-</v>
      </c>
      <c r="AT173" s="3">
        <f t="shared" si="125"/>
        <v>1</v>
      </c>
      <c r="AU173" s="3">
        <f t="shared" si="126"/>
        <v>1</v>
      </c>
      <c r="AV173" s="3" t="str">
        <f t="shared" si="127"/>
        <v>-</v>
      </c>
      <c r="AW173" s="3" t="str">
        <f t="shared" si="128"/>
        <v>-</v>
      </c>
      <c r="AX173" s="3">
        <f t="shared" si="129"/>
        <v>4</v>
      </c>
      <c r="AY173" s="3">
        <f t="shared" si="130"/>
        <v>5</v>
      </c>
      <c r="AZ173" s="3">
        <f t="shared" si="131"/>
        <v>1</v>
      </c>
      <c r="BA173" s="3">
        <f>IF(ISERROR(LEN(VLOOKUP(A173,Seqs!A:E,2,FALSE))-AL173),"-",LEN(VLOOKUP(A173,Seqs!A:E,2,FALSE))-AL173)</f>
        <v>27</v>
      </c>
      <c r="BB173" s="16">
        <f t="shared" si="132"/>
        <v>27</v>
      </c>
      <c r="BC173" s="9">
        <f t="shared" si="133"/>
        <v>20</v>
      </c>
      <c r="BD173" s="3">
        <f t="shared" si="134"/>
        <v>27</v>
      </c>
      <c r="BE173" s="3">
        <f t="shared" si="13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1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38"/>
        <v>1</v>
      </c>
      <c r="AO174" s="3" t="str">
        <f>IF(ISERROR(MATCH(A174,'SegEnds_Xtal_Prot#'!B:B, 0)), "NoXtal", "Xtal")</f>
        <v>NoXtal</v>
      </c>
      <c r="AP174" s="3" t="str">
        <f t="shared" si="121"/>
        <v>-</v>
      </c>
      <c r="AQ174" s="3" t="str">
        <f t="shared" si="122"/>
        <v>-</v>
      </c>
      <c r="AR174" s="3" t="str">
        <f t="shared" si="123"/>
        <v>-</v>
      </c>
      <c r="AS174" s="3" t="str">
        <f t="shared" si="124"/>
        <v>-</v>
      </c>
      <c r="AT174" s="3">
        <f t="shared" si="125"/>
        <v>1</v>
      </c>
      <c r="AU174" s="3">
        <f t="shared" si="126"/>
        <v>1</v>
      </c>
      <c r="AV174" s="3" t="str">
        <f t="shared" si="127"/>
        <v>-</v>
      </c>
      <c r="AW174" s="3" t="str">
        <f t="shared" si="128"/>
        <v>-</v>
      </c>
      <c r="AX174" s="3">
        <f t="shared" si="129"/>
        <v>4</v>
      </c>
      <c r="AY174" s="3">
        <f t="shared" si="130"/>
        <v>5</v>
      </c>
      <c r="AZ174" s="3">
        <f t="shared" si="131"/>
        <v>1</v>
      </c>
      <c r="BA174" s="3">
        <f>IF(ISERROR(LEN(VLOOKUP(A174,Seqs!A:E,2,FALSE))-AL174),"-",LEN(VLOOKUP(A174,Seqs!A:E,2,FALSE))-AL174)</f>
        <v>40</v>
      </c>
      <c r="BB174" s="16">
        <f t="shared" si="132"/>
        <v>26</v>
      </c>
      <c r="BC174" s="9">
        <f t="shared" si="133"/>
        <v>20</v>
      </c>
      <c r="BD174" s="3">
        <f t="shared" si="134"/>
        <v>26</v>
      </c>
      <c r="BE174" s="3">
        <f t="shared" si="13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50">G175+1</f>
        <v>70</v>
      </c>
      <c r="I175" s="3">
        <f t="shared" si="15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1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38"/>
        <v>1</v>
      </c>
      <c r="AO175" s="3" t="str">
        <f>IF(ISERROR(MATCH(A175,'SegEnds_Xtal_Prot#'!B:B, 0)), "NoXtal", "Xtal")</f>
        <v>NoXtal</v>
      </c>
      <c r="AP175" s="3">
        <f t="shared" si="121"/>
        <v>1</v>
      </c>
      <c r="AQ175" s="3">
        <f t="shared" si="122"/>
        <v>1</v>
      </c>
      <c r="AR175" s="3" t="str">
        <f t="shared" si="123"/>
        <v>-</v>
      </c>
      <c r="AS175" s="3" t="str">
        <f t="shared" si="124"/>
        <v>-</v>
      </c>
      <c r="AT175" s="3">
        <f t="shared" si="125"/>
        <v>1</v>
      </c>
      <c r="AU175" s="3">
        <f t="shared" si="126"/>
        <v>1</v>
      </c>
      <c r="AV175" s="3" t="str">
        <f t="shared" si="127"/>
        <v>-</v>
      </c>
      <c r="AW175" s="3" t="str">
        <f t="shared" si="128"/>
        <v>-</v>
      </c>
      <c r="AX175" s="3">
        <f t="shared" si="129"/>
        <v>7</v>
      </c>
      <c r="AY175" s="3">
        <f t="shared" si="130"/>
        <v>6</v>
      </c>
      <c r="AZ175" s="3">
        <f t="shared" si="131"/>
        <v>1</v>
      </c>
      <c r="BA175" s="3">
        <f>IF(ISERROR(LEN(VLOOKUP(A175,Seqs!A:E,2,FALSE))-AL175),"-",LEN(VLOOKUP(A175,Seqs!A:E,2,FALSE))-AL175)</f>
        <v>8</v>
      </c>
      <c r="BB175" s="16">
        <f t="shared" si="132"/>
        <v>28</v>
      </c>
      <c r="BC175" s="9">
        <f t="shared" si="133"/>
        <v>20</v>
      </c>
      <c r="BD175" s="3">
        <f t="shared" si="134"/>
        <v>28</v>
      </c>
      <c r="BE175" s="3">
        <f t="shared" si="135"/>
        <v>48</v>
      </c>
      <c r="BF175" s="3">
        <f t="shared" ref="BF175:BF181" si="15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50"/>
        <v>76</v>
      </c>
      <c r="I176" s="3">
        <f t="shared" si="15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1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38"/>
        <v>1</v>
      </c>
      <c r="AO176" s="3" t="str">
        <f>IF(ISERROR(MATCH(A176,'SegEnds_Xtal_Prot#'!B:B, 0)), "NoXtal", "Xtal")</f>
        <v>NoXtal</v>
      </c>
      <c r="AP176" s="3">
        <f t="shared" si="121"/>
        <v>1</v>
      </c>
      <c r="AQ176" s="3">
        <f t="shared" si="122"/>
        <v>1</v>
      </c>
      <c r="AR176" s="3" t="str">
        <f t="shared" si="123"/>
        <v>-</v>
      </c>
      <c r="AS176" s="3" t="str">
        <f t="shared" si="124"/>
        <v>-</v>
      </c>
      <c r="AT176" s="3">
        <f t="shared" si="125"/>
        <v>1</v>
      </c>
      <c r="AU176" s="3">
        <f t="shared" si="126"/>
        <v>1</v>
      </c>
      <c r="AV176" s="3" t="str">
        <f t="shared" si="127"/>
        <v>-</v>
      </c>
      <c r="AW176" s="3" t="str">
        <f t="shared" si="128"/>
        <v>-</v>
      </c>
      <c r="AX176" s="3">
        <f t="shared" si="129"/>
        <v>6</v>
      </c>
      <c r="AY176" s="3">
        <f t="shared" si="130"/>
        <v>6</v>
      </c>
      <c r="AZ176" s="3">
        <f t="shared" si="131"/>
        <v>1</v>
      </c>
      <c r="BA176" s="3">
        <f>IF(ISERROR(LEN(VLOOKUP(A176,Seqs!A:E,2,FALSE))-AL176),"-",LEN(VLOOKUP(A176,Seqs!A:E,2,FALSE))-AL176)</f>
        <v>14</v>
      </c>
      <c r="BB176" s="16">
        <f t="shared" si="132"/>
        <v>28</v>
      </c>
      <c r="BC176" s="9">
        <f t="shared" si="133"/>
        <v>20</v>
      </c>
      <c r="BD176" s="3">
        <f t="shared" si="134"/>
        <v>28</v>
      </c>
      <c r="BE176" s="3">
        <f t="shared" si="135"/>
        <v>46</v>
      </c>
      <c r="BF176" s="3">
        <f t="shared" si="15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50"/>
        <v>68</v>
      </c>
      <c r="I177" s="3">
        <f t="shared" si="15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1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38"/>
        <v>1</v>
      </c>
      <c r="AO177" s="3" t="str">
        <f>IF(ISERROR(MATCH(A177,'SegEnds_Xtal_Prot#'!B:B, 0)), "NoXtal", "Xtal")</f>
        <v>NoXtal</v>
      </c>
      <c r="AP177" s="3">
        <f t="shared" si="121"/>
        <v>1</v>
      </c>
      <c r="AQ177" s="3">
        <f t="shared" si="122"/>
        <v>1</v>
      </c>
      <c r="AR177" s="3" t="str">
        <f t="shared" si="123"/>
        <v>-</v>
      </c>
      <c r="AS177" s="3" t="str">
        <f t="shared" si="124"/>
        <v>-</v>
      </c>
      <c r="AT177" s="3">
        <f t="shared" si="125"/>
        <v>1</v>
      </c>
      <c r="AU177" s="3">
        <f t="shared" si="126"/>
        <v>1</v>
      </c>
      <c r="AV177" s="3" t="str">
        <f t="shared" si="127"/>
        <v>-</v>
      </c>
      <c r="AW177" s="3" t="str">
        <f t="shared" si="128"/>
        <v>-</v>
      </c>
      <c r="AX177" s="3">
        <f t="shared" si="129"/>
        <v>6</v>
      </c>
      <c r="AY177" s="3">
        <f t="shared" si="130"/>
        <v>6</v>
      </c>
      <c r="AZ177" s="3">
        <f t="shared" si="131"/>
        <v>1</v>
      </c>
      <c r="BA177" s="3">
        <f>IF(ISERROR(LEN(VLOOKUP(A177,Seqs!A:E,2,FALSE))-AL177),"-",LEN(VLOOKUP(A177,Seqs!A:E,2,FALSE))-AL177)</f>
        <v>14</v>
      </c>
      <c r="BB177" s="16">
        <f t="shared" si="132"/>
        <v>28</v>
      </c>
      <c r="BC177" s="9">
        <f t="shared" si="133"/>
        <v>20</v>
      </c>
      <c r="BD177" s="3">
        <f t="shared" si="134"/>
        <v>28</v>
      </c>
      <c r="BE177" s="3">
        <f t="shared" si="135"/>
        <v>46</v>
      </c>
      <c r="BF177" s="3">
        <f t="shared" si="15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50"/>
        <v>141</v>
      </c>
      <c r="I178" s="3">
        <f t="shared" si="15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1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38"/>
        <v>1</v>
      </c>
      <c r="AO178" s="3" t="str">
        <f>IF(ISERROR(MATCH(A178,'SegEnds_Xtal_Prot#'!B:B, 0)), "NoXtal", "Xtal")</f>
        <v>NoXtal</v>
      </c>
      <c r="AP178" s="3">
        <f t="shared" si="121"/>
        <v>1</v>
      </c>
      <c r="AQ178" s="3">
        <f t="shared" si="122"/>
        <v>1</v>
      </c>
      <c r="AR178" s="3">
        <f t="shared" si="123"/>
        <v>2</v>
      </c>
      <c r="AS178" s="3">
        <f t="shared" si="124"/>
        <v>1</v>
      </c>
      <c r="AT178" s="3">
        <f t="shared" si="125"/>
        <v>1</v>
      </c>
      <c r="AU178" s="3">
        <f t="shared" si="126"/>
        <v>1</v>
      </c>
      <c r="AV178" s="3">
        <f t="shared" si="127"/>
        <v>12</v>
      </c>
      <c r="AW178" s="3">
        <f t="shared" si="128"/>
        <v>4</v>
      </c>
      <c r="AX178" s="3">
        <f t="shared" si="129"/>
        <v>6</v>
      </c>
      <c r="AY178" s="3">
        <f t="shared" si="130"/>
        <v>7</v>
      </c>
      <c r="AZ178" s="3">
        <f t="shared" si="131"/>
        <v>1</v>
      </c>
      <c r="BA178" s="3">
        <f>IF(ISERROR(LEN(VLOOKUP(A178,Seqs!A:E,2,FALSE))-AL178),"-",LEN(VLOOKUP(A178,Seqs!A:E,2,FALSE))-AL178)</f>
        <v>26</v>
      </c>
      <c r="BB178" s="16">
        <f t="shared" si="132"/>
        <v>31</v>
      </c>
      <c r="BC178" s="9">
        <f t="shared" si="133"/>
        <v>20</v>
      </c>
      <c r="BD178" s="3">
        <f t="shared" si="134"/>
        <v>31</v>
      </c>
      <c r="BE178" s="3">
        <f t="shared" si="135"/>
        <v>51</v>
      </c>
      <c r="BF178" s="3">
        <f t="shared" si="15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1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38"/>
        <v>1</v>
      </c>
      <c r="AO179" s="3" t="str">
        <f>IF(ISERROR(MATCH(A179,'SegEnds_Xtal_Prot#'!B:B, 0)), "NoXtal", "Xtal")</f>
        <v>NoXtal</v>
      </c>
      <c r="AP179" s="3" t="str">
        <f t="shared" si="121"/>
        <v>-</v>
      </c>
      <c r="AQ179" s="3" t="str">
        <f t="shared" si="122"/>
        <v>-</v>
      </c>
      <c r="AR179" s="3">
        <f t="shared" si="123"/>
        <v>3</v>
      </c>
      <c r="AS179" s="3">
        <f t="shared" si="124"/>
        <v>1</v>
      </c>
      <c r="AT179" s="3">
        <f t="shared" si="125"/>
        <v>1</v>
      </c>
      <c r="AU179" s="3">
        <f t="shared" si="126"/>
        <v>1</v>
      </c>
      <c r="AV179" s="3">
        <f t="shared" si="127"/>
        <v>12</v>
      </c>
      <c r="AW179" s="3">
        <f t="shared" si="128"/>
        <v>4</v>
      </c>
      <c r="AX179" s="3">
        <f t="shared" si="129"/>
        <v>9</v>
      </c>
      <c r="AY179" s="3">
        <f t="shared" si="130"/>
        <v>7</v>
      </c>
      <c r="AZ179" s="3">
        <f t="shared" si="131"/>
        <v>1</v>
      </c>
      <c r="BA179" s="3">
        <f>IF(ISERROR(LEN(VLOOKUP(A179,Seqs!A:E,2,FALSE))-AL179),"-",LEN(VLOOKUP(A179,Seqs!A:E,2,FALSE))-AL179)</f>
        <v>17</v>
      </c>
      <c r="BB179" s="16">
        <f t="shared" si="132"/>
        <v>27</v>
      </c>
      <c r="BC179" s="9">
        <f t="shared" si="133"/>
        <v>20</v>
      </c>
      <c r="BD179" s="3">
        <f t="shared" si="134"/>
        <v>27</v>
      </c>
      <c r="BE179" s="3">
        <f t="shared" si="135"/>
        <v>57</v>
      </c>
      <c r="BF179" s="3">
        <f t="shared" si="15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1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138"/>
        <v>1</v>
      </c>
      <c r="AO180" s="3" t="str">
        <f>IF(ISERROR(MATCH(A180,'SegEnds_Xtal_Prot#'!B:B, 0)), "NoXtal", "Xtal")</f>
        <v>NoXtal</v>
      </c>
      <c r="AP180" s="3" t="str">
        <f t="shared" si="121"/>
        <v>-</v>
      </c>
      <c r="AQ180" s="3" t="str">
        <f t="shared" si="122"/>
        <v>-</v>
      </c>
      <c r="AR180" s="3" t="str">
        <f t="shared" si="123"/>
        <v>-</v>
      </c>
      <c r="AS180" s="3" t="str">
        <f t="shared" si="124"/>
        <v>-</v>
      </c>
      <c r="AT180" s="3">
        <f t="shared" si="125"/>
        <v>1</v>
      </c>
      <c r="AU180" s="3">
        <f t="shared" si="126"/>
        <v>1</v>
      </c>
      <c r="AV180" s="3" t="str">
        <f t="shared" si="127"/>
        <v>-</v>
      </c>
      <c r="AW180" s="3" t="str">
        <f t="shared" si="128"/>
        <v>-</v>
      </c>
      <c r="AX180" s="3">
        <f t="shared" si="129"/>
        <v>4</v>
      </c>
      <c r="AY180" s="3">
        <f t="shared" si="130"/>
        <v>7</v>
      </c>
      <c r="AZ180" s="3">
        <f t="shared" si="131"/>
        <v>1</v>
      </c>
      <c r="BA180" s="3">
        <f>IF(ISERROR(LEN(VLOOKUP(A180,Seqs!A:E,2,FALSE))-AL180),"-",LEN(VLOOKUP(A180,Seqs!A:E,2,FALSE))-AL180)</f>
        <v>32</v>
      </c>
      <c r="BB180" s="16">
        <f t="shared" si="132"/>
        <v>27</v>
      </c>
      <c r="BC180" s="9">
        <f t="shared" si="133"/>
        <v>20</v>
      </c>
      <c r="BD180" s="3">
        <f t="shared" si="134"/>
        <v>27</v>
      </c>
      <c r="BE180" s="3">
        <f t="shared" si="135"/>
        <v>44</v>
      </c>
      <c r="BF180" s="3">
        <f t="shared" si="15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1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38"/>
        <v>1</v>
      </c>
      <c r="AO181" s="3" t="str">
        <f>IF(ISERROR(MATCH(A181,'SegEnds_Xtal_Prot#'!B:B, 0)), "NoXtal", "Xtal")</f>
        <v>NoXtal</v>
      </c>
      <c r="AP181" s="3" t="str">
        <f t="shared" si="121"/>
        <v>-</v>
      </c>
      <c r="AQ181" s="3" t="str">
        <f t="shared" si="122"/>
        <v>-</v>
      </c>
      <c r="AR181" s="3" t="str">
        <f t="shared" si="123"/>
        <v>-</v>
      </c>
      <c r="AS181" s="3" t="str">
        <f t="shared" si="124"/>
        <v>-</v>
      </c>
      <c r="AT181" s="3">
        <f t="shared" si="125"/>
        <v>1</v>
      </c>
      <c r="AU181" s="3">
        <f t="shared" si="126"/>
        <v>1</v>
      </c>
      <c r="AV181" s="3" t="str">
        <f t="shared" si="127"/>
        <v>-</v>
      </c>
      <c r="AW181" s="3" t="str">
        <f t="shared" si="128"/>
        <v>-</v>
      </c>
      <c r="AX181" s="3">
        <f t="shared" si="129"/>
        <v>4</v>
      </c>
      <c r="AY181" s="3">
        <f t="shared" si="130"/>
        <v>5</v>
      </c>
      <c r="AZ181" s="3">
        <f t="shared" si="131"/>
        <v>1</v>
      </c>
      <c r="BA181" s="3">
        <f>IF(ISERROR(LEN(VLOOKUP(A181,Seqs!A:E,2,FALSE))-AL181),"-",LEN(VLOOKUP(A181,Seqs!A:E,2,FALSE))-AL181)</f>
        <v>27</v>
      </c>
      <c r="BB181" s="16">
        <f t="shared" si="132"/>
        <v>27</v>
      </c>
      <c r="BC181" s="9">
        <f t="shared" si="133"/>
        <v>20</v>
      </c>
      <c r="BD181" s="3">
        <f t="shared" si="134"/>
        <v>27</v>
      </c>
      <c r="BE181" s="3">
        <f t="shared" si="135"/>
        <v>42</v>
      </c>
      <c r="BF181" s="3">
        <f t="shared" si="15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1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138"/>
        <v>1</v>
      </c>
      <c r="AO182" s="3" t="str">
        <f>IF(ISERROR(MATCH(A182,'SegEnds_Xtal_Prot#'!B:B, 0)), "NoXtal", "Xtal")</f>
        <v>NoXtal</v>
      </c>
      <c r="AP182" s="3" t="str">
        <f t="shared" si="121"/>
        <v>-</v>
      </c>
      <c r="AQ182" s="3" t="str">
        <f t="shared" si="122"/>
        <v>-</v>
      </c>
      <c r="AR182" s="3" t="str">
        <f t="shared" si="123"/>
        <v>-</v>
      </c>
      <c r="AS182" s="3" t="str">
        <f t="shared" si="124"/>
        <v>-</v>
      </c>
      <c r="AT182" s="3">
        <f t="shared" si="125"/>
        <v>1</v>
      </c>
      <c r="AU182" s="3">
        <f t="shared" si="126"/>
        <v>1</v>
      </c>
      <c r="AV182" s="3" t="str">
        <f t="shared" si="127"/>
        <v>-</v>
      </c>
      <c r="AW182" s="3" t="str">
        <f t="shared" si="128"/>
        <v>-</v>
      </c>
      <c r="AX182" s="3">
        <f t="shared" si="129"/>
        <v>5</v>
      </c>
      <c r="AY182" s="3">
        <f t="shared" si="130"/>
        <v>5</v>
      </c>
      <c r="AZ182" s="3">
        <f t="shared" si="131"/>
        <v>1</v>
      </c>
      <c r="BA182" s="3">
        <f>IF(ISERROR(LEN(VLOOKUP(A182,Seqs!A:E,2,FALSE))-AL182),"-",LEN(VLOOKUP(A182,Seqs!A:E,2,FALSE))-AL182)</f>
        <v>39</v>
      </c>
      <c r="BB182" s="16">
        <f t="shared" si="132"/>
        <v>27</v>
      </c>
      <c r="BC182" s="9">
        <f t="shared" si="133"/>
        <v>20</v>
      </c>
      <c r="BD182" s="3">
        <f t="shared" si="134"/>
        <v>27</v>
      </c>
      <c r="BE182" s="3">
        <f t="shared" si="13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1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38"/>
        <v>1</v>
      </c>
      <c r="AO183" s="3" t="str">
        <f>IF(ISERROR(MATCH(A183,'SegEnds_Xtal_Prot#'!B:B, 0)), "NoXtal", "Xtal")</f>
        <v>NoXtal</v>
      </c>
      <c r="AP183" s="3" t="str">
        <f t="shared" si="121"/>
        <v>-</v>
      </c>
      <c r="AQ183" s="3" t="str">
        <f t="shared" si="122"/>
        <v>-</v>
      </c>
      <c r="AR183" s="3" t="str">
        <f t="shared" si="123"/>
        <v>-</v>
      </c>
      <c r="AS183" s="3" t="str">
        <f t="shared" si="124"/>
        <v>-</v>
      </c>
      <c r="AT183" s="3">
        <f t="shared" si="125"/>
        <v>1</v>
      </c>
      <c r="AU183" s="3">
        <f t="shared" si="126"/>
        <v>1</v>
      </c>
      <c r="AV183" s="3" t="str">
        <f t="shared" si="127"/>
        <v>-</v>
      </c>
      <c r="AW183" s="3" t="str">
        <f t="shared" si="128"/>
        <v>-</v>
      </c>
      <c r="AX183" s="3">
        <f t="shared" si="129"/>
        <v>4</v>
      </c>
      <c r="AY183" s="3">
        <f t="shared" si="130"/>
        <v>5</v>
      </c>
      <c r="AZ183" s="3">
        <f t="shared" si="131"/>
        <v>1</v>
      </c>
      <c r="BA183" s="3">
        <f>IF(ISERROR(LEN(VLOOKUP(A183,Seqs!A:E,2,FALSE))-AL183),"-",LEN(VLOOKUP(A183,Seqs!A:E,2,FALSE))-AL183)</f>
        <v>21</v>
      </c>
      <c r="BB183" s="16">
        <f t="shared" si="132"/>
        <v>27</v>
      </c>
      <c r="BC183" s="9">
        <f t="shared" si="133"/>
        <v>20</v>
      </c>
      <c r="BD183" s="3">
        <f t="shared" si="134"/>
        <v>27</v>
      </c>
      <c r="BE183" s="3">
        <f t="shared" si="13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1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38"/>
        <v>1</v>
      </c>
      <c r="AO184" s="3" t="str">
        <f>IF(ISERROR(MATCH(A184,'SegEnds_Xtal_Prot#'!B:B, 0)), "NoXtal", "Xtal")</f>
        <v>NoXtal</v>
      </c>
      <c r="AP184" s="3" t="str">
        <f t="shared" si="121"/>
        <v>-</v>
      </c>
      <c r="AQ184" s="3" t="str">
        <f t="shared" si="122"/>
        <v>-</v>
      </c>
      <c r="AR184" s="3" t="str">
        <f t="shared" si="123"/>
        <v>-</v>
      </c>
      <c r="AS184" s="3" t="str">
        <f t="shared" si="124"/>
        <v>-</v>
      </c>
      <c r="AT184" s="3">
        <f t="shared" si="125"/>
        <v>1</v>
      </c>
      <c r="AU184" s="3">
        <f t="shared" si="126"/>
        <v>1</v>
      </c>
      <c r="AV184" s="3" t="str">
        <f t="shared" si="127"/>
        <v>-</v>
      </c>
      <c r="AW184" s="3" t="str">
        <f t="shared" si="128"/>
        <v>-</v>
      </c>
      <c r="AX184" s="3">
        <f t="shared" si="129"/>
        <v>4</v>
      </c>
      <c r="AY184" s="3">
        <f t="shared" si="130"/>
        <v>5</v>
      </c>
      <c r="AZ184" s="3">
        <f t="shared" si="131"/>
        <v>1</v>
      </c>
      <c r="BA184" s="3">
        <f>IF(ISERROR(LEN(VLOOKUP(A184,Seqs!A:E,2,FALSE))-AL184),"-",LEN(VLOOKUP(A184,Seqs!A:E,2,FALSE))-AL184)</f>
        <v>32</v>
      </c>
      <c r="BB184" s="16">
        <f t="shared" si="132"/>
        <v>27</v>
      </c>
      <c r="BC184" s="9">
        <f t="shared" si="133"/>
        <v>20</v>
      </c>
      <c r="BD184" s="3">
        <f t="shared" si="134"/>
        <v>27</v>
      </c>
      <c r="BE184" s="3">
        <f t="shared" si="13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1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138"/>
        <v>1</v>
      </c>
      <c r="AO185" s="3" t="str">
        <f>IF(ISERROR(MATCH(A185,'SegEnds_Xtal_Prot#'!B:B, 0)), "NoXtal", "Xtal")</f>
        <v>NoXtal</v>
      </c>
      <c r="AP185" s="3" t="str">
        <f t="shared" si="121"/>
        <v>-</v>
      </c>
      <c r="AQ185" s="3" t="str">
        <f t="shared" si="122"/>
        <v>-</v>
      </c>
      <c r="AR185" s="3" t="str">
        <f t="shared" si="123"/>
        <v>-</v>
      </c>
      <c r="AS185" s="3" t="str">
        <f t="shared" si="124"/>
        <v>-</v>
      </c>
      <c r="AT185" s="3">
        <f t="shared" si="125"/>
        <v>1</v>
      </c>
      <c r="AU185" s="3">
        <f t="shared" si="126"/>
        <v>1</v>
      </c>
      <c r="AV185" s="3" t="str">
        <f t="shared" si="127"/>
        <v>-</v>
      </c>
      <c r="AW185" s="3" t="str">
        <f t="shared" si="128"/>
        <v>-</v>
      </c>
      <c r="AX185" s="3">
        <f t="shared" si="129"/>
        <v>4</v>
      </c>
      <c r="AY185" s="3">
        <f t="shared" si="130"/>
        <v>5</v>
      </c>
      <c r="AZ185" s="3">
        <f t="shared" si="131"/>
        <v>1</v>
      </c>
      <c r="BA185" s="3">
        <f>IF(ISERROR(LEN(VLOOKUP(A185,Seqs!A:E,2,FALSE))-AL185),"-",LEN(VLOOKUP(A185,Seqs!A:E,2,FALSE))-AL185)</f>
        <v>38</v>
      </c>
      <c r="BB185" s="16">
        <f t="shared" si="132"/>
        <v>27</v>
      </c>
      <c r="BC185" s="9">
        <f t="shared" si="133"/>
        <v>20</v>
      </c>
      <c r="BD185" s="3">
        <f t="shared" si="134"/>
        <v>27</v>
      </c>
      <c r="BE185" s="3">
        <f t="shared" si="13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1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38"/>
        <v>1</v>
      </c>
      <c r="AO186" s="3" t="str">
        <f>IF(ISERROR(MATCH(A186,'SegEnds_Xtal_Prot#'!B:B, 0)), "NoXtal", "Xtal")</f>
        <v>NoXtal</v>
      </c>
      <c r="AP186" s="3" t="str">
        <f t="shared" si="121"/>
        <v>-</v>
      </c>
      <c r="AQ186" s="3" t="str">
        <f t="shared" si="122"/>
        <v>-</v>
      </c>
      <c r="AR186" s="3" t="str">
        <f t="shared" si="123"/>
        <v>-</v>
      </c>
      <c r="AS186" s="3" t="str">
        <f t="shared" si="124"/>
        <v>-</v>
      </c>
      <c r="AT186" s="3">
        <f t="shared" si="125"/>
        <v>1</v>
      </c>
      <c r="AU186" s="3">
        <f t="shared" si="126"/>
        <v>1</v>
      </c>
      <c r="AV186" s="3" t="str">
        <f t="shared" si="127"/>
        <v>-</v>
      </c>
      <c r="AW186" s="3" t="str">
        <f t="shared" si="128"/>
        <v>-</v>
      </c>
      <c r="AX186" s="3">
        <f t="shared" si="129"/>
        <v>4</v>
      </c>
      <c r="AY186" s="3">
        <f t="shared" si="130"/>
        <v>5</v>
      </c>
      <c r="AZ186" s="3">
        <f t="shared" si="131"/>
        <v>1</v>
      </c>
      <c r="BA186" s="3">
        <f>IF(ISERROR(LEN(VLOOKUP(A186,Seqs!A:E,2,FALSE))-AL186),"-",LEN(VLOOKUP(A186,Seqs!A:E,2,FALSE))-AL186)</f>
        <v>32</v>
      </c>
      <c r="BB186" s="16">
        <f t="shared" si="132"/>
        <v>27</v>
      </c>
      <c r="BC186" s="9">
        <f t="shared" si="133"/>
        <v>20</v>
      </c>
      <c r="BD186" s="3">
        <f t="shared" si="134"/>
        <v>27</v>
      </c>
      <c r="BE186" s="3">
        <f t="shared" si="13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1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138"/>
        <v>1</v>
      </c>
      <c r="AO187" s="3" t="str">
        <f>IF(ISERROR(MATCH(A187,'SegEnds_Xtal_Prot#'!B:B, 0)), "NoXtal", "Xtal")</f>
        <v>NoXtal</v>
      </c>
      <c r="AP187" s="3" t="str">
        <f t="shared" si="121"/>
        <v>-</v>
      </c>
      <c r="AQ187" s="3" t="str">
        <f t="shared" si="122"/>
        <v>-</v>
      </c>
      <c r="AR187" s="3" t="str">
        <f t="shared" si="123"/>
        <v>-</v>
      </c>
      <c r="AS187" s="3" t="str">
        <f t="shared" si="124"/>
        <v>-</v>
      </c>
      <c r="AT187" s="3">
        <f t="shared" si="125"/>
        <v>1</v>
      </c>
      <c r="AU187" s="3">
        <f t="shared" si="126"/>
        <v>1</v>
      </c>
      <c r="AV187" s="3" t="str">
        <f t="shared" si="127"/>
        <v>-</v>
      </c>
      <c r="AW187" s="3" t="str">
        <f t="shared" si="128"/>
        <v>-</v>
      </c>
      <c r="AX187" s="3">
        <f t="shared" si="129"/>
        <v>4</v>
      </c>
      <c r="AY187" s="3">
        <f t="shared" si="130"/>
        <v>5</v>
      </c>
      <c r="AZ187" s="3">
        <f t="shared" si="131"/>
        <v>1</v>
      </c>
      <c r="BA187" s="3">
        <f>IF(ISERROR(LEN(VLOOKUP(A187,Seqs!A:E,2,FALSE))-AL187),"-",LEN(VLOOKUP(A187,Seqs!A:E,2,FALSE))-AL187)</f>
        <v>37</v>
      </c>
      <c r="BB187" s="16">
        <f t="shared" si="132"/>
        <v>27</v>
      </c>
      <c r="BC187" s="9">
        <f t="shared" si="133"/>
        <v>20</v>
      </c>
      <c r="BD187" s="3">
        <f t="shared" si="134"/>
        <v>27</v>
      </c>
      <c r="BE187" s="3">
        <f t="shared" si="13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52">G188-2</f>
        <v>67</v>
      </c>
      <c r="G188" s="3">
        <v>69</v>
      </c>
      <c r="H188" s="3">
        <f t="shared" ref="H188:I197" si="153">G188+1</f>
        <v>70</v>
      </c>
      <c r="I188" s="3">
        <f t="shared" si="15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1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38"/>
        <v>1</v>
      </c>
      <c r="AO188" s="3" t="str">
        <f>IF(ISERROR(MATCH(A188,'SegEnds_Xtal_Prot#'!B:B, 0)), "NoXtal", "Xtal")</f>
        <v>NoXtal</v>
      </c>
      <c r="AP188" s="3">
        <f t="shared" si="121"/>
        <v>1</v>
      </c>
      <c r="AQ188" s="3">
        <f t="shared" si="122"/>
        <v>1</v>
      </c>
      <c r="AR188" s="3" t="str">
        <f t="shared" si="123"/>
        <v>-</v>
      </c>
      <c r="AS188" s="3" t="str">
        <f t="shared" si="124"/>
        <v>-</v>
      </c>
      <c r="AT188" s="3">
        <f t="shared" si="125"/>
        <v>1</v>
      </c>
      <c r="AU188" s="3">
        <f t="shared" si="126"/>
        <v>1</v>
      </c>
      <c r="AV188" s="3" t="str">
        <f t="shared" si="127"/>
        <v>-</v>
      </c>
      <c r="AW188" s="3" t="str">
        <f t="shared" si="128"/>
        <v>-</v>
      </c>
      <c r="AX188" s="3">
        <f t="shared" si="129"/>
        <v>7</v>
      </c>
      <c r="AY188" s="3">
        <f t="shared" si="130"/>
        <v>6</v>
      </c>
      <c r="AZ188" s="3">
        <f t="shared" si="131"/>
        <v>1</v>
      </c>
      <c r="BA188" s="3">
        <f>IF(ISERROR(LEN(VLOOKUP(A188,Seqs!A:E,2,FALSE))-AL188),"-",LEN(VLOOKUP(A188,Seqs!A:E,2,FALSE))-AL188)</f>
        <v>3</v>
      </c>
      <c r="BB188" s="16">
        <f t="shared" si="132"/>
        <v>28</v>
      </c>
      <c r="BC188" s="9">
        <f t="shared" si="133"/>
        <v>20</v>
      </c>
      <c r="BD188" s="3">
        <f t="shared" si="134"/>
        <v>28</v>
      </c>
      <c r="BE188" s="3">
        <f t="shared" si="13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52"/>
        <v>67</v>
      </c>
      <c r="G189" s="3">
        <v>69</v>
      </c>
      <c r="H189" s="3">
        <f t="shared" si="153"/>
        <v>70</v>
      </c>
      <c r="I189" s="3">
        <f t="shared" si="15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54">M189-1</f>
        <v>103</v>
      </c>
      <c r="M189" s="3">
        <v>104</v>
      </c>
      <c r="N189" s="3">
        <f t="shared" ref="N189:N196" si="155">M189+2</f>
        <v>106</v>
      </c>
      <c r="O189" s="3">
        <f t="shared" ref="O189:O214" si="15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1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5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38"/>
        <v>1</v>
      </c>
      <c r="AO189" s="3" t="str">
        <f>IF(ISERROR(MATCH(A189,'SegEnds_Xtal_Prot#'!B:B, 0)), "NoXtal", "Xtal")</f>
        <v>NoXtal</v>
      </c>
      <c r="AP189" s="3">
        <f t="shared" si="121"/>
        <v>1</v>
      </c>
      <c r="AQ189" s="3">
        <f t="shared" si="122"/>
        <v>1</v>
      </c>
      <c r="AR189" s="3">
        <f t="shared" si="123"/>
        <v>2</v>
      </c>
      <c r="AS189" s="3">
        <f t="shared" si="124"/>
        <v>1</v>
      </c>
      <c r="AT189" s="3">
        <f t="shared" si="125"/>
        <v>1</v>
      </c>
      <c r="AU189" s="3">
        <f t="shared" si="126"/>
        <v>1</v>
      </c>
      <c r="AV189" s="3">
        <f t="shared" si="127"/>
        <v>58</v>
      </c>
      <c r="AW189" s="3">
        <f t="shared" si="128"/>
        <v>4</v>
      </c>
      <c r="AX189" s="3">
        <f t="shared" si="129"/>
        <v>6</v>
      </c>
      <c r="AY189" s="3">
        <f t="shared" si="130"/>
        <v>6</v>
      </c>
      <c r="AZ189" s="3">
        <f t="shared" si="131"/>
        <v>1</v>
      </c>
      <c r="BA189" s="3">
        <f>IF(ISERROR(LEN(VLOOKUP(A189,Seqs!A:E,2,FALSE))-AL189),"-",LEN(VLOOKUP(A189,Seqs!A:E,2,FALSE))-AL189)</f>
        <v>42</v>
      </c>
      <c r="BB189" s="16">
        <f t="shared" si="132"/>
        <v>28</v>
      </c>
      <c r="BC189" s="9">
        <f t="shared" si="133"/>
        <v>20</v>
      </c>
      <c r="BD189" s="3">
        <f t="shared" si="134"/>
        <v>28</v>
      </c>
      <c r="BE189" s="3">
        <f t="shared" si="13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52"/>
        <v>56</v>
      </c>
      <c r="G190" s="3">
        <v>58</v>
      </c>
      <c r="H190" s="3">
        <f t="shared" si="153"/>
        <v>59</v>
      </c>
      <c r="I190" s="3">
        <f t="shared" si="15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54"/>
        <v>92</v>
      </c>
      <c r="M190" s="3">
        <v>93</v>
      </c>
      <c r="N190" s="3">
        <f t="shared" si="155"/>
        <v>95</v>
      </c>
      <c r="O190" s="3">
        <f t="shared" si="15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1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5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38"/>
        <v>1</v>
      </c>
      <c r="AO190" s="3" t="str">
        <f>IF(ISERROR(MATCH(A190,'SegEnds_Xtal_Prot#'!B:B, 0)), "NoXtal", "Xtal")</f>
        <v>NoXtal</v>
      </c>
      <c r="AP190" s="3">
        <f t="shared" si="121"/>
        <v>1</v>
      </c>
      <c r="AQ190" s="3">
        <f t="shared" si="122"/>
        <v>1</v>
      </c>
      <c r="AR190" s="3">
        <f t="shared" si="123"/>
        <v>1</v>
      </c>
      <c r="AS190" s="3">
        <f t="shared" si="124"/>
        <v>1</v>
      </c>
      <c r="AT190" s="3">
        <f t="shared" si="125"/>
        <v>1</v>
      </c>
      <c r="AU190" s="3">
        <f t="shared" si="126"/>
        <v>1</v>
      </c>
      <c r="AV190" s="3">
        <f t="shared" si="127"/>
        <v>11</v>
      </c>
      <c r="AW190" s="3">
        <f t="shared" si="128"/>
        <v>5</v>
      </c>
      <c r="AX190" s="3">
        <f t="shared" si="129"/>
        <v>6</v>
      </c>
      <c r="AY190" s="3">
        <f t="shared" si="130"/>
        <v>6</v>
      </c>
      <c r="AZ190" s="3">
        <f t="shared" si="131"/>
        <v>1</v>
      </c>
      <c r="BA190" s="3">
        <f>IF(ISERROR(LEN(VLOOKUP(A190,Seqs!A:E,2,FALSE))-AL190),"-",LEN(VLOOKUP(A190,Seqs!A:E,2,FALSE))-AL190)</f>
        <v>40</v>
      </c>
      <c r="BB190" s="16">
        <f t="shared" si="132"/>
        <v>28</v>
      </c>
      <c r="BC190" s="9">
        <f t="shared" si="133"/>
        <v>20</v>
      </c>
      <c r="BD190" s="3">
        <f t="shared" si="134"/>
        <v>28</v>
      </c>
      <c r="BE190" s="3">
        <f t="shared" si="13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52"/>
        <v>69</v>
      </c>
      <c r="G191" s="3">
        <v>71</v>
      </c>
      <c r="H191" s="3">
        <f t="shared" si="153"/>
        <v>72</v>
      </c>
      <c r="I191" s="3">
        <f t="shared" si="15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54"/>
        <v>105</v>
      </c>
      <c r="M191" s="3">
        <v>106</v>
      </c>
      <c r="N191" s="3">
        <f t="shared" si="155"/>
        <v>108</v>
      </c>
      <c r="O191" s="3">
        <f t="shared" si="15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1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5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38"/>
        <v>1</v>
      </c>
      <c r="AO191" s="3" t="str">
        <f>IF(ISERROR(MATCH(A191,'SegEnds_Xtal_Prot#'!B:B, 0)), "NoXtal", "Xtal")</f>
        <v>NoXtal</v>
      </c>
      <c r="AP191" s="3">
        <f t="shared" si="121"/>
        <v>1</v>
      </c>
      <c r="AQ191" s="3">
        <f t="shared" si="122"/>
        <v>1</v>
      </c>
      <c r="AR191" s="3">
        <f t="shared" si="123"/>
        <v>1</v>
      </c>
      <c r="AS191" s="3">
        <f t="shared" si="124"/>
        <v>1</v>
      </c>
      <c r="AT191" s="3">
        <f t="shared" si="125"/>
        <v>1</v>
      </c>
      <c r="AU191" s="3">
        <f t="shared" si="126"/>
        <v>1</v>
      </c>
      <c r="AV191" s="3">
        <f t="shared" si="127"/>
        <v>11</v>
      </c>
      <c r="AW191" s="3">
        <f t="shared" si="128"/>
        <v>5</v>
      </c>
      <c r="AX191" s="3">
        <f t="shared" si="129"/>
        <v>6</v>
      </c>
      <c r="AY191" s="3">
        <f t="shared" si="130"/>
        <v>6</v>
      </c>
      <c r="AZ191" s="3">
        <f t="shared" si="131"/>
        <v>1</v>
      </c>
      <c r="BA191" s="3">
        <f>IF(ISERROR(LEN(VLOOKUP(A191,Seqs!A:E,2,FALSE))-AL191),"-",LEN(VLOOKUP(A191,Seqs!A:E,2,FALSE))-AL191)</f>
        <v>39</v>
      </c>
      <c r="BB191" s="16">
        <f t="shared" si="132"/>
        <v>28</v>
      </c>
      <c r="BC191" s="9">
        <f t="shared" si="133"/>
        <v>20</v>
      </c>
      <c r="BD191" s="3">
        <f t="shared" si="134"/>
        <v>28</v>
      </c>
      <c r="BE191" s="3">
        <f t="shared" si="13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52"/>
        <v>57</v>
      </c>
      <c r="G192" s="3">
        <v>59</v>
      </c>
      <c r="H192" s="3">
        <f t="shared" si="153"/>
        <v>60</v>
      </c>
      <c r="I192" s="3">
        <f t="shared" si="15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54"/>
        <v>93</v>
      </c>
      <c r="M192" s="3">
        <v>94</v>
      </c>
      <c r="N192" s="3">
        <f t="shared" si="155"/>
        <v>96</v>
      </c>
      <c r="O192" s="3">
        <f t="shared" si="15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1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5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38"/>
        <v>1</v>
      </c>
      <c r="AO192" s="3" t="str">
        <f>IF(ISERROR(MATCH(A192,'SegEnds_Xtal_Prot#'!B:B, 0)), "NoXtal", "Xtal")</f>
        <v>NoXtal</v>
      </c>
      <c r="AP192" s="3">
        <f t="shared" si="121"/>
        <v>1</v>
      </c>
      <c r="AQ192" s="3">
        <f t="shared" si="122"/>
        <v>1</v>
      </c>
      <c r="AR192" s="3">
        <f t="shared" si="123"/>
        <v>1</v>
      </c>
      <c r="AS192" s="3">
        <f t="shared" si="124"/>
        <v>1</v>
      </c>
      <c r="AT192" s="3">
        <f t="shared" si="125"/>
        <v>1</v>
      </c>
      <c r="AU192" s="3">
        <f t="shared" si="126"/>
        <v>1</v>
      </c>
      <c r="AV192" s="3">
        <f t="shared" si="127"/>
        <v>11</v>
      </c>
      <c r="AW192" s="3">
        <f t="shared" si="128"/>
        <v>5</v>
      </c>
      <c r="AX192" s="3">
        <f t="shared" si="129"/>
        <v>4</v>
      </c>
      <c r="AY192" s="3">
        <f t="shared" si="130"/>
        <v>6</v>
      </c>
      <c r="AZ192" s="3">
        <f t="shared" si="131"/>
        <v>1</v>
      </c>
      <c r="BA192" s="3">
        <f>IF(ISERROR(LEN(VLOOKUP(A192,Seqs!A:E,2,FALSE))-AL192),"-",LEN(VLOOKUP(A192,Seqs!A:E,2,FALSE))-AL192)</f>
        <v>308</v>
      </c>
      <c r="BB192" s="16">
        <f t="shared" si="132"/>
        <v>28</v>
      </c>
      <c r="BC192" s="9">
        <f t="shared" si="133"/>
        <v>20</v>
      </c>
      <c r="BD192" s="3">
        <f t="shared" si="134"/>
        <v>28</v>
      </c>
      <c r="BE192" s="3">
        <f t="shared" si="13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52"/>
        <v>72</v>
      </c>
      <c r="G193" s="3">
        <v>74</v>
      </c>
      <c r="H193" s="3">
        <f t="shared" si="153"/>
        <v>75</v>
      </c>
      <c r="I193" s="3">
        <f t="shared" si="15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54"/>
        <v>108</v>
      </c>
      <c r="M193" s="3">
        <v>109</v>
      </c>
      <c r="N193" s="3">
        <f t="shared" si="155"/>
        <v>111</v>
      </c>
      <c r="O193" s="3">
        <f t="shared" si="15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1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5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38"/>
        <v>1</v>
      </c>
      <c r="AO193" s="3" t="str">
        <f>IF(ISERROR(MATCH(A193,'SegEnds_Xtal_Prot#'!B:B, 0)), "NoXtal", "Xtal")</f>
        <v>NoXtal</v>
      </c>
      <c r="AP193" s="3">
        <f t="shared" si="121"/>
        <v>1</v>
      </c>
      <c r="AQ193" s="3">
        <f t="shared" si="122"/>
        <v>1</v>
      </c>
      <c r="AR193" s="3">
        <f t="shared" si="123"/>
        <v>2</v>
      </c>
      <c r="AS193" s="3">
        <f t="shared" si="124"/>
        <v>1</v>
      </c>
      <c r="AT193" s="3">
        <f t="shared" si="125"/>
        <v>1</v>
      </c>
      <c r="AU193" s="3">
        <f t="shared" si="126"/>
        <v>1</v>
      </c>
      <c r="AV193" s="3">
        <f t="shared" si="127"/>
        <v>16</v>
      </c>
      <c r="AW193" s="3">
        <f t="shared" si="128"/>
        <v>2</v>
      </c>
      <c r="AX193" s="3">
        <f t="shared" si="129"/>
        <v>9</v>
      </c>
      <c r="AY193" s="3">
        <f t="shared" si="130"/>
        <v>7</v>
      </c>
      <c r="AZ193" s="3">
        <f t="shared" si="131"/>
        <v>1</v>
      </c>
      <c r="BA193" s="3">
        <f>IF(ISERROR(LEN(VLOOKUP(A193,Seqs!A:E,2,FALSE))-AL193),"-",LEN(VLOOKUP(A193,Seqs!A:E,2,FALSE))-AL193)</f>
        <v>49</v>
      </c>
      <c r="BB193" s="16">
        <f t="shared" si="132"/>
        <v>28</v>
      </c>
      <c r="BC193" s="9">
        <f t="shared" si="133"/>
        <v>20</v>
      </c>
      <c r="BD193" s="3">
        <f t="shared" si="134"/>
        <v>28</v>
      </c>
      <c r="BE193" s="3">
        <f t="shared" si="13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52"/>
        <v>89</v>
      </c>
      <c r="G194" s="3">
        <v>91</v>
      </c>
      <c r="H194" s="3">
        <f t="shared" si="153"/>
        <v>92</v>
      </c>
      <c r="I194" s="3">
        <f t="shared" si="15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54"/>
        <v>124</v>
      </c>
      <c r="M194" s="3">
        <v>125</v>
      </c>
      <c r="N194" s="3">
        <f t="shared" si="155"/>
        <v>127</v>
      </c>
      <c r="O194" s="3">
        <f t="shared" si="15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1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5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38"/>
        <v>1</v>
      </c>
      <c r="AO194" s="3" t="str">
        <f>IF(ISERROR(MATCH(A194,'SegEnds_Xtal_Prot#'!B:B, 0)), "NoXtal", "Xtal")</f>
        <v>NoXtal</v>
      </c>
      <c r="AP194" s="3">
        <f t="shared" si="121"/>
        <v>1</v>
      </c>
      <c r="AQ194" s="3">
        <f t="shared" si="122"/>
        <v>1</v>
      </c>
      <c r="AR194" s="3">
        <f t="shared" si="123"/>
        <v>2</v>
      </c>
      <c r="AS194" s="3">
        <f t="shared" si="124"/>
        <v>1</v>
      </c>
      <c r="AT194" s="3">
        <f t="shared" si="125"/>
        <v>1</v>
      </c>
      <c r="AU194" s="3">
        <f t="shared" si="126"/>
        <v>1</v>
      </c>
      <c r="AV194" s="3">
        <f t="shared" si="127"/>
        <v>19</v>
      </c>
      <c r="AW194" s="3">
        <f t="shared" si="128"/>
        <v>4</v>
      </c>
      <c r="AX194" s="3">
        <f t="shared" si="129"/>
        <v>17</v>
      </c>
      <c r="AY194" s="3">
        <f t="shared" si="130"/>
        <v>8</v>
      </c>
      <c r="AZ194" s="3">
        <f t="shared" si="131"/>
        <v>1</v>
      </c>
      <c r="BA194" s="3">
        <f>IF(ISERROR(LEN(VLOOKUP(A194,Seqs!A:E,2,FALSE))-AL194),"-",LEN(VLOOKUP(A194,Seqs!A:E,2,FALSE))-AL194)</f>
        <v>55</v>
      </c>
      <c r="BB194" s="16">
        <f t="shared" si="132"/>
        <v>28</v>
      </c>
      <c r="BC194" s="9">
        <f t="shared" si="133"/>
        <v>20</v>
      </c>
      <c r="BD194" s="3">
        <f t="shared" si="134"/>
        <v>28</v>
      </c>
      <c r="BE194" s="3">
        <f t="shared" si="13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52"/>
        <v>74</v>
      </c>
      <c r="G195" s="3">
        <v>76</v>
      </c>
      <c r="H195" s="3">
        <f t="shared" si="153"/>
        <v>77</v>
      </c>
      <c r="I195" s="3">
        <f t="shared" si="15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54"/>
        <v>109</v>
      </c>
      <c r="M195" s="3">
        <v>110</v>
      </c>
      <c r="N195" s="3">
        <f t="shared" si="155"/>
        <v>112</v>
      </c>
      <c r="O195" s="3">
        <f t="shared" si="15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1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5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38"/>
        <v>1</v>
      </c>
      <c r="AO195" s="3" t="str">
        <f>IF(ISERROR(MATCH(A195,'SegEnds_Xtal_Prot#'!B:B, 0)), "NoXtal", "Xtal")</f>
        <v>NoXtal</v>
      </c>
      <c r="AP195" s="3">
        <f t="shared" si="121"/>
        <v>1</v>
      </c>
      <c r="AQ195" s="3">
        <f t="shared" si="122"/>
        <v>1</v>
      </c>
      <c r="AR195" s="3">
        <f t="shared" si="123"/>
        <v>2</v>
      </c>
      <c r="AS195" s="3">
        <f t="shared" si="124"/>
        <v>1</v>
      </c>
      <c r="AT195" s="3">
        <f t="shared" si="125"/>
        <v>1</v>
      </c>
      <c r="AU195" s="3">
        <f t="shared" si="126"/>
        <v>1</v>
      </c>
      <c r="AV195" s="3">
        <f t="shared" si="127"/>
        <v>19</v>
      </c>
      <c r="AW195" s="3">
        <f t="shared" si="128"/>
        <v>4</v>
      </c>
      <c r="AX195" s="3">
        <f t="shared" si="129"/>
        <v>4</v>
      </c>
      <c r="AY195" s="3">
        <f t="shared" si="130"/>
        <v>8</v>
      </c>
      <c r="AZ195" s="3">
        <f t="shared" si="131"/>
        <v>1</v>
      </c>
      <c r="BA195" s="3">
        <f>IF(ISERROR(LEN(VLOOKUP(A195,Seqs!A:E,2,FALSE))-AL195),"-",LEN(VLOOKUP(A195,Seqs!A:E,2,FALSE))-AL195)</f>
        <v>73</v>
      </c>
      <c r="BB195" s="16">
        <f t="shared" si="132"/>
        <v>28</v>
      </c>
      <c r="BC195" s="9">
        <f t="shared" si="133"/>
        <v>20</v>
      </c>
      <c r="BD195" s="3">
        <f t="shared" si="134"/>
        <v>28</v>
      </c>
      <c r="BE195" s="3">
        <f t="shared" si="13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52"/>
        <v>92</v>
      </c>
      <c r="G196" s="3">
        <v>94</v>
      </c>
      <c r="H196" s="3">
        <f t="shared" si="153"/>
        <v>95</v>
      </c>
      <c r="I196" s="3">
        <f t="shared" si="15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54"/>
        <v>133</v>
      </c>
      <c r="M196" s="3">
        <v>134</v>
      </c>
      <c r="N196" s="3">
        <f t="shared" si="155"/>
        <v>136</v>
      </c>
      <c r="O196" s="3">
        <f t="shared" si="15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1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5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38"/>
        <v>1</v>
      </c>
      <c r="AO196" s="3" t="str">
        <f>IF(ISERROR(MATCH(A196,'SegEnds_Xtal_Prot#'!B:B, 0)), "NoXtal", "Xtal")</f>
        <v>NoXtal</v>
      </c>
      <c r="AP196" s="3">
        <f t="shared" ref="AP196:AP259" si="158">IF(ISERROR(F196-E196),"-",F196-E196)</f>
        <v>1</v>
      </c>
      <c r="AQ196" s="3">
        <f t="shared" ref="AQ196:AQ259" si="159">IF(ISERROR(I196-H196),"-",I196-H196)</f>
        <v>1</v>
      </c>
      <c r="AR196" s="3">
        <f t="shared" ref="AR196:AR259" si="160">IF(ISERROR(L196-K196),"-",L196-K196)</f>
        <v>3</v>
      </c>
      <c r="AS196" s="3">
        <f t="shared" ref="AS196:AS259" si="161">IF(ISERROR(O196-N196),"-",O196-N196)</f>
        <v>1</v>
      </c>
      <c r="AT196" s="3">
        <f t="shared" ref="AT196:AT259" si="162">IF(ISERROR(R196-Q196),"-",R196-Q196)</f>
        <v>1</v>
      </c>
      <c r="AU196" s="3">
        <f t="shared" ref="AU196:AU259" si="163">IF(ISERROR(U196-T196),"-",U196-T196)</f>
        <v>1</v>
      </c>
      <c r="AV196" s="3">
        <f t="shared" ref="AV196:AV259" si="164">IF(ISERROR(X196-W196),"-",X196-W196)</f>
        <v>17</v>
      </c>
      <c r="AW196" s="3">
        <f t="shared" ref="AW196:AW259" si="165">IF(ISERROR(AA196-Z196),"-",AA196-Z196)</f>
        <v>4</v>
      </c>
      <c r="AX196" s="3">
        <f t="shared" ref="AX196:AX259" si="166">IF(ISERROR(AD196-AC196),"-",AD196-AC196)</f>
        <v>18</v>
      </c>
      <c r="AY196" s="3">
        <f t="shared" ref="AY196:AY259" si="167">IF(ISERROR(AG196-AF196),"-",AG196-AF196)</f>
        <v>6</v>
      </c>
      <c r="AZ196" s="3">
        <f t="shared" ref="AZ196:AZ259" si="16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69">J196-D196</f>
        <v>31</v>
      </c>
      <c r="BC196" s="9">
        <f t="shared" ref="BC196:BC259" si="170">IF(ISERROR(V196-S196),"-",V196-S196)</f>
        <v>20</v>
      </c>
      <c r="BD196" s="3">
        <f t="shared" ref="BD196:BD259" si="171">J196-D196</f>
        <v>31</v>
      </c>
      <c r="BE196" s="3">
        <f t="shared" ref="BE196:BE259" si="17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52"/>
        <v>93</v>
      </c>
      <c r="G197" s="3">
        <v>95</v>
      </c>
      <c r="H197" s="3">
        <f t="shared" si="153"/>
        <v>96</v>
      </c>
      <c r="I197" s="3">
        <f t="shared" si="15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5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1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5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7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58"/>
        <v>1</v>
      </c>
      <c r="AQ197" s="3">
        <f t="shared" si="159"/>
        <v>1</v>
      </c>
      <c r="AR197" s="3">
        <f t="shared" si="160"/>
        <v>3</v>
      </c>
      <c r="AS197" s="3">
        <f t="shared" si="161"/>
        <v>1</v>
      </c>
      <c r="AT197" s="3">
        <f t="shared" si="162"/>
        <v>1</v>
      </c>
      <c r="AU197" s="3">
        <f t="shared" si="163"/>
        <v>1</v>
      </c>
      <c r="AV197" s="3">
        <f t="shared" si="164"/>
        <v>17</v>
      </c>
      <c r="AW197" s="3">
        <f t="shared" si="165"/>
        <v>4</v>
      </c>
      <c r="AX197" s="3">
        <f t="shared" si="166"/>
        <v>22</v>
      </c>
      <c r="AY197" s="3">
        <f t="shared" si="167"/>
        <v>6</v>
      </c>
      <c r="AZ197" s="3">
        <f t="shared" si="168"/>
        <v>1</v>
      </c>
      <c r="BA197" s="3">
        <f>IF(ISERROR(LEN(VLOOKUP(A197,Seqs!A:E,2,FALSE))-AL197),"-",LEN(VLOOKUP(A197,Seqs!A:E,2,FALSE))-AL197)</f>
        <v>40</v>
      </c>
      <c r="BB197" s="16">
        <f t="shared" si="169"/>
        <v>31</v>
      </c>
      <c r="BC197" s="9">
        <f t="shared" si="170"/>
        <v>20</v>
      </c>
      <c r="BD197" s="3">
        <f t="shared" si="171"/>
        <v>31</v>
      </c>
      <c r="BE197" s="3">
        <f t="shared" si="17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5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1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5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73"/>
        <v>1</v>
      </c>
      <c r="AO198" s="3" t="str">
        <f>IF(ISERROR(MATCH(A198,'SegEnds_Xtal_Prot#'!B:B, 0)), "NoXtal", "Xtal")</f>
        <v>NoXtal</v>
      </c>
      <c r="AP198" s="3" t="str">
        <f t="shared" si="158"/>
        <v>-</v>
      </c>
      <c r="AQ198" s="3" t="str">
        <f t="shared" si="159"/>
        <v>-</v>
      </c>
      <c r="AR198" s="3">
        <f t="shared" si="160"/>
        <v>3</v>
      </c>
      <c r="AS198" s="3">
        <f t="shared" si="161"/>
        <v>1</v>
      </c>
      <c r="AT198" s="3">
        <f t="shared" si="162"/>
        <v>1</v>
      </c>
      <c r="AU198" s="3">
        <f t="shared" si="163"/>
        <v>1</v>
      </c>
      <c r="AV198" s="3">
        <f t="shared" si="164"/>
        <v>20</v>
      </c>
      <c r="AW198" s="3">
        <f t="shared" si="165"/>
        <v>4</v>
      </c>
      <c r="AX198" s="3">
        <f t="shared" si="166"/>
        <v>44</v>
      </c>
      <c r="AY198" s="3">
        <f t="shared" si="167"/>
        <v>6</v>
      </c>
      <c r="AZ198" s="3">
        <f t="shared" si="168"/>
        <v>1</v>
      </c>
      <c r="BA198" s="3">
        <f>IF(ISERROR(LEN(VLOOKUP(A198,Seqs!A:E,2,FALSE))-AL198),"-",LEN(VLOOKUP(A198,Seqs!A:E,2,FALSE))-AL198)</f>
        <v>37</v>
      </c>
      <c r="BB198" s="16">
        <f t="shared" si="169"/>
        <v>29</v>
      </c>
      <c r="BC198" s="9">
        <f t="shared" si="170"/>
        <v>20</v>
      </c>
      <c r="BD198" s="3">
        <f t="shared" si="171"/>
        <v>29</v>
      </c>
      <c r="BE198" s="3">
        <f t="shared" si="17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5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1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57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73"/>
        <v>1</v>
      </c>
      <c r="AO199" s="3" t="str">
        <f>IF(ISERROR(MATCH(A199,'SegEnds_Xtal_Prot#'!B:B, 0)), "NoXtal", "Xtal")</f>
        <v>NoXtal</v>
      </c>
      <c r="AP199" s="3">
        <f t="shared" si="158"/>
        <v>1</v>
      </c>
      <c r="AQ199" s="3">
        <f t="shared" si="159"/>
        <v>1</v>
      </c>
      <c r="AR199" s="3">
        <f t="shared" si="160"/>
        <v>3</v>
      </c>
      <c r="AS199" s="3">
        <f t="shared" si="161"/>
        <v>1</v>
      </c>
      <c r="AT199" s="3">
        <f t="shared" si="162"/>
        <v>1</v>
      </c>
      <c r="AU199" s="3">
        <f t="shared" si="163"/>
        <v>1</v>
      </c>
      <c r="AV199" s="3">
        <f t="shared" si="164"/>
        <v>12</v>
      </c>
      <c r="AW199" s="3">
        <f t="shared" si="165"/>
        <v>7</v>
      </c>
      <c r="AX199" s="3">
        <f t="shared" si="166"/>
        <v>5</v>
      </c>
      <c r="AY199" s="3">
        <f t="shared" si="167"/>
        <v>7</v>
      </c>
      <c r="AZ199" s="3">
        <f t="shared" si="168"/>
        <v>1</v>
      </c>
      <c r="BA199" s="3">
        <f>IF(ISERROR(LEN(VLOOKUP(A199,Seqs!A:E,2,FALSE))-AL199),"-",LEN(VLOOKUP(A199,Seqs!A:E,2,FALSE))-AL199)</f>
        <v>61</v>
      </c>
      <c r="BB199" s="16">
        <f t="shared" si="169"/>
        <v>28</v>
      </c>
      <c r="BC199" s="9">
        <f t="shared" si="170"/>
        <v>20</v>
      </c>
      <c r="BD199" s="3">
        <f t="shared" si="171"/>
        <v>28</v>
      </c>
      <c r="BE199" s="3">
        <f t="shared" si="17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74">G200-2</f>
        <v>99</v>
      </c>
      <c r="G200" s="3">
        <v>101</v>
      </c>
      <c r="H200" s="3">
        <f t="shared" ref="H200:I208" si="175">G200+1</f>
        <v>102</v>
      </c>
      <c r="I200" s="3">
        <f t="shared" si="17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5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1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5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73"/>
        <v>1</v>
      </c>
      <c r="AO200" s="3" t="str">
        <f>IF(ISERROR(MATCH(A200,'SegEnds_Xtal_Prot#'!B:B, 0)), "NoXtal", "Xtal")</f>
        <v>NoXtal</v>
      </c>
      <c r="AP200" s="3">
        <f t="shared" si="158"/>
        <v>1</v>
      </c>
      <c r="AQ200" s="3">
        <f t="shared" si="159"/>
        <v>1</v>
      </c>
      <c r="AR200" s="3">
        <f t="shared" si="160"/>
        <v>1</v>
      </c>
      <c r="AS200" s="3">
        <f t="shared" si="161"/>
        <v>1</v>
      </c>
      <c r="AT200" s="3">
        <f t="shared" si="162"/>
        <v>1</v>
      </c>
      <c r="AU200" s="3">
        <f t="shared" si="163"/>
        <v>1</v>
      </c>
      <c r="AV200" s="3">
        <f t="shared" si="164"/>
        <v>14</v>
      </c>
      <c r="AW200" s="3">
        <f t="shared" si="165"/>
        <v>8</v>
      </c>
      <c r="AX200" s="3">
        <f t="shared" si="166"/>
        <v>11</v>
      </c>
      <c r="AY200" s="3">
        <f t="shared" si="167"/>
        <v>6</v>
      </c>
      <c r="AZ200" s="3">
        <f t="shared" si="168"/>
        <v>1</v>
      </c>
      <c r="BA200" s="3">
        <f>IF(ISERROR(LEN(VLOOKUP(A200,Seqs!A:E,2,FALSE))-AL200),"-",LEN(VLOOKUP(A200,Seqs!A:E,2,FALSE))-AL200)</f>
        <v>112</v>
      </c>
      <c r="BB200" s="16">
        <f t="shared" si="169"/>
        <v>28</v>
      </c>
      <c r="BC200" s="9">
        <f t="shared" si="170"/>
        <v>20</v>
      </c>
      <c r="BD200" s="3">
        <f t="shared" si="171"/>
        <v>28</v>
      </c>
      <c r="BE200" s="3">
        <f t="shared" si="17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74"/>
        <v>78</v>
      </c>
      <c r="G201" s="3">
        <v>80</v>
      </c>
      <c r="H201" s="3">
        <f t="shared" si="175"/>
        <v>81</v>
      </c>
      <c r="I201" s="3">
        <f t="shared" si="17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5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1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5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73"/>
        <v>1</v>
      </c>
      <c r="AO201" s="3" t="str">
        <f>IF(ISERROR(MATCH(A201,'SegEnds_Xtal_Prot#'!B:B, 0)), "NoXtal", "Xtal")</f>
        <v>Xtal</v>
      </c>
      <c r="AP201" s="3">
        <f t="shared" si="158"/>
        <v>1</v>
      </c>
      <c r="AQ201" s="3">
        <f t="shared" si="159"/>
        <v>1</v>
      </c>
      <c r="AR201" s="3">
        <f t="shared" si="160"/>
        <v>2</v>
      </c>
      <c r="AS201" s="3">
        <f t="shared" si="161"/>
        <v>1</v>
      </c>
      <c r="AT201" s="3">
        <f t="shared" si="162"/>
        <v>1</v>
      </c>
      <c r="AU201" s="3">
        <f t="shared" si="163"/>
        <v>1</v>
      </c>
      <c r="AV201" s="3">
        <f t="shared" si="164"/>
        <v>11</v>
      </c>
      <c r="AW201" s="3">
        <f t="shared" si="165"/>
        <v>6</v>
      </c>
      <c r="AX201" s="3">
        <f t="shared" si="166"/>
        <v>6</v>
      </c>
      <c r="AY201" s="3">
        <f t="shared" si="167"/>
        <v>6</v>
      </c>
      <c r="AZ201" s="3">
        <f t="shared" si="168"/>
        <v>1</v>
      </c>
      <c r="BA201" s="3">
        <f>IF(ISERROR(LEN(VLOOKUP(A201,Seqs!A:E,2,FALSE))-AL201),"-",LEN(VLOOKUP(A201,Seqs!A:E,2,FALSE))-AL201)</f>
        <v>37</v>
      </c>
      <c r="BB201" s="16">
        <f t="shared" si="169"/>
        <v>28</v>
      </c>
      <c r="BC201" s="9">
        <f t="shared" si="170"/>
        <v>20</v>
      </c>
      <c r="BD201" s="3">
        <f t="shared" si="171"/>
        <v>28</v>
      </c>
      <c r="BE201" s="3">
        <f t="shared" si="17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74"/>
        <v>78</v>
      </c>
      <c r="G202" s="3">
        <v>80</v>
      </c>
      <c r="H202" s="3">
        <f t="shared" si="175"/>
        <v>81</v>
      </c>
      <c r="I202" s="3">
        <f t="shared" si="17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5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1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5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73"/>
        <v>1</v>
      </c>
      <c r="AO202" s="3" t="str">
        <f>IF(ISERROR(MATCH(A202,'SegEnds_Xtal_Prot#'!B:B, 0)), "NoXtal", "Xtal")</f>
        <v>Xtal</v>
      </c>
      <c r="AP202" s="3">
        <f t="shared" si="158"/>
        <v>1</v>
      </c>
      <c r="AQ202" s="3">
        <f t="shared" si="159"/>
        <v>1</v>
      </c>
      <c r="AR202" s="3">
        <f t="shared" si="160"/>
        <v>2</v>
      </c>
      <c r="AS202" s="3">
        <f t="shared" si="161"/>
        <v>1</v>
      </c>
      <c r="AT202" s="3">
        <f t="shared" si="162"/>
        <v>1</v>
      </c>
      <c r="AU202" s="3">
        <f t="shared" si="163"/>
        <v>1</v>
      </c>
      <c r="AV202" s="3">
        <f t="shared" si="164"/>
        <v>11</v>
      </c>
      <c r="AW202" s="3">
        <f t="shared" si="165"/>
        <v>6</v>
      </c>
      <c r="AX202" s="3">
        <f t="shared" si="166"/>
        <v>6</v>
      </c>
      <c r="AY202" s="3">
        <f t="shared" si="167"/>
        <v>6</v>
      </c>
      <c r="AZ202" s="3">
        <f t="shared" si="168"/>
        <v>1</v>
      </c>
      <c r="BA202" s="3">
        <f>IF(ISERROR(LEN(VLOOKUP(A202,Seqs!A:E,2,FALSE))-AL202),"-",LEN(VLOOKUP(A202,Seqs!A:E,2,FALSE))-AL202)</f>
        <v>37</v>
      </c>
      <c r="BB202" s="16">
        <f t="shared" si="169"/>
        <v>28</v>
      </c>
      <c r="BC202" s="9">
        <f t="shared" si="170"/>
        <v>20</v>
      </c>
      <c r="BD202" s="3">
        <f t="shared" si="171"/>
        <v>28</v>
      </c>
      <c r="BE202" s="3">
        <f t="shared" si="17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74"/>
        <v>88</v>
      </c>
      <c r="G203" s="3">
        <v>90</v>
      </c>
      <c r="H203" s="3">
        <f t="shared" si="175"/>
        <v>91</v>
      </c>
      <c r="I203" s="3">
        <f t="shared" si="17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5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1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5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73"/>
        <v>1</v>
      </c>
      <c r="AO203" s="3" t="str">
        <f>IF(ISERROR(MATCH(A203,'SegEnds_Xtal_Prot#'!B:B, 0)), "NoXtal", "Xtal")</f>
        <v>Xtal</v>
      </c>
      <c r="AP203" s="3">
        <f t="shared" si="158"/>
        <v>1</v>
      </c>
      <c r="AQ203" s="3">
        <f t="shared" si="159"/>
        <v>1</v>
      </c>
      <c r="AR203" s="3">
        <f t="shared" si="160"/>
        <v>2</v>
      </c>
      <c r="AS203" s="3">
        <f t="shared" si="161"/>
        <v>1</v>
      </c>
      <c r="AT203" s="3">
        <f t="shared" si="162"/>
        <v>1</v>
      </c>
      <c r="AU203" s="3">
        <f t="shared" si="163"/>
        <v>1</v>
      </c>
      <c r="AV203" s="3">
        <f t="shared" si="164"/>
        <v>13</v>
      </c>
      <c r="AW203" s="3">
        <f t="shared" si="165"/>
        <v>6</v>
      </c>
      <c r="AX203" s="3">
        <f t="shared" si="166"/>
        <v>6</v>
      </c>
      <c r="AY203" s="3">
        <f t="shared" si="167"/>
        <v>5</v>
      </c>
      <c r="AZ203" s="3">
        <f t="shared" si="168"/>
        <v>1</v>
      </c>
      <c r="BA203" s="3">
        <f>IF(ISERROR(LEN(VLOOKUP(A203,Seqs!A:E,2,FALSE))-AL203),"-",LEN(VLOOKUP(A203,Seqs!A:E,2,FALSE))-AL203)</f>
        <v>34</v>
      </c>
      <c r="BB203" s="16">
        <f t="shared" si="169"/>
        <v>28</v>
      </c>
      <c r="BC203" s="9">
        <f t="shared" si="170"/>
        <v>20</v>
      </c>
      <c r="BD203" s="3">
        <f t="shared" si="171"/>
        <v>28</v>
      </c>
      <c r="BE203" s="3">
        <f t="shared" si="17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74"/>
        <v>99</v>
      </c>
      <c r="G204" s="3">
        <v>101</v>
      </c>
      <c r="H204" s="3">
        <f t="shared" si="175"/>
        <v>102</v>
      </c>
      <c r="I204" s="3">
        <f t="shared" si="17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5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1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5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73"/>
        <v>1</v>
      </c>
      <c r="AO204" s="3" t="str">
        <f>IF(ISERROR(MATCH(A204,'SegEnds_Xtal_Prot#'!B:B, 0)), "NoXtal", "Xtal")</f>
        <v>NoXtal</v>
      </c>
      <c r="AP204" s="3">
        <f t="shared" si="158"/>
        <v>1</v>
      </c>
      <c r="AQ204" s="3">
        <f t="shared" si="159"/>
        <v>1</v>
      </c>
      <c r="AR204" s="3">
        <f t="shared" si="160"/>
        <v>2</v>
      </c>
      <c r="AS204" s="3">
        <f t="shared" si="161"/>
        <v>1</v>
      </c>
      <c r="AT204" s="3">
        <f t="shared" si="162"/>
        <v>1</v>
      </c>
      <c r="AU204" s="3">
        <f t="shared" si="163"/>
        <v>1</v>
      </c>
      <c r="AV204" s="3">
        <f t="shared" si="164"/>
        <v>11</v>
      </c>
      <c r="AW204" s="3">
        <f t="shared" si="165"/>
        <v>6</v>
      </c>
      <c r="AX204" s="3">
        <f t="shared" si="166"/>
        <v>6</v>
      </c>
      <c r="AY204" s="3">
        <f t="shared" si="167"/>
        <v>5</v>
      </c>
      <c r="AZ204" s="3">
        <f t="shared" si="168"/>
        <v>1</v>
      </c>
      <c r="BA204" s="3">
        <f>IF(ISERROR(LEN(VLOOKUP(A204,Seqs!A:E,2,FALSE))-AL204),"-",LEN(VLOOKUP(A204,Seqs!A:E,2,FALSE))-AL204)</f>
        <v>46</v>
      </c>
      <c r="BB204" s="16">
        <f t="shared" si="169"/>
        <v>28</v>
      </c>
      <c r="BC204" s="9">
        <f t="shared" si="170"/>
        <v>20</v>
      </c>
      <c r="BD204" s="3">
        <f t="shared" si="171"/>
        <v>28</v>
      </c>
      <c r="BE204" s="3">
        <f t="shared" si="17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74"/>
        <v>97</v>
      </c>
      <c r="G205" s="3">
        <v>99</v>
      </c>
      <c r="H205" s="3">
        <f t="shared" si="175"/>
        <v>100</v>
      </c>
      <c r="I205" s="3">
        <f t="shared" si="17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5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1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5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73"/>
        <v>1</v>
      </c>
      <c r="AO205" s="3" t="str">
        <f>IF(ISERROR(MATCH(A205,'SegEnds_Xtal_Prot#'!B:B, 0)), "NoXtal", "Xtal")</f>
        <v>Xtal</v>
      </c>
      <c r="AP205" s="3">
        <f t="shared" si="158"/>
        <v>1</v>
      </c>
      <c r="AQ205" s="3">
        <f t="shared" si="159"/>
        <v>1</v>
      </c>
      <c r="AR205" s="3">
        <f t="shared" si="160"/>
        <v>2</v>
      </c>
      <c r="AS205" s="3">
        <f t="shared" si="161"/>
        <v>1</v>
      </c>
      <c r="AT205" s="3">
        <f t="shared" si="162"/>
        <v>1</v>
      </c>
      <c r="AU205" s="3">
        <f t="shared" si="163"/>
        <v>1</v>
      </c>
      <c r="AV205" s="3">
        <f t="shared" si="164"/>
        <v>11</v>
      </c>
      <c r="AW205" s="3">
        <f t="shared" si="165"/>
        <v>6</v>
      </c>
      <c r="AX205" s="3">
        <f t="shared" si="166"/>
        <v>6</v>
      </c>
      <c r="AY205" s="3">
        <f t="shared" si="167"/>
        <v>5</v>
      </c>
      <c r="AZ205" s="3">
        <f t="shared" si="168"/>
        <v>1</v>
      </c>
      <c r="BA205" s="3">
        <f>IF(ISERROR(LEN(VLOOKUP(A205,Seqs!A:E,2,FALSE))-AL205),"-",LEN(VLOOKUP(A205,Seqs!A:E,2,FALSE))-AL205)</f>
        <v>46</v>
      </c>
      <c r="BB205" s="16">
        <f t="shared" si="169"/>
        <v>28</v>
      </c>
      <c r="BC205" s="9">
        <f t="shared" si="170"/>
        <v>20</v>
      </c>
      <c r="BD205" s="3">
        <f t="shared" si="171"/>
        <v>28</v>
      </c>
      <c r="BE205" s="3">
        <f t="shared" si="17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74"/>
        <v>80</v>
      </c>
      <c r="G206" s="3">
        <v>82</v>
      </c>
      <c r="H206" s="3">
        <f t="shared" si="175"/>
        <v>83</v>
      </c>
      <c r="I206" s="3">
        <f t="shared" si="17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5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1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5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73"/>
        <v>1</v>
      </c>
      <c r="AO206" s="3" t="str">
        <f>IF(ISERROR(MATCH(A206,'SegEnds_Xtal_Prot#'!B:B, 0)), "NoXtal", "Xtal")</f>
        <v>Xtal</v>
      </c>
      <c r="AP206" s="3">
        <f t="shared" si="158"/>
        <v>1</v>
      </c>
      <c r="AQ206" s="3">
        <f t="shared" si="159"/>
        <v>1</v>
      </c>
      <c r="AR206" s="3">
        <f t="shared" si="160"/>
        <v>2</v>
      </c>
      <c r="AS206" s="3">
        <f t="shared" si="161"/>
        <v>1</v>
      </c>
      <c r="AT206" s="3">
        <f t="shared" si="162"/>
        <v>1</v>
      </c>
      <c r="AU206" s="3">
        <f t="shared" si="163"/>
        <v>1</v>
      </c>
      <c r="AV206" s="3">
        <f t="shared" si="164"/>
        <v>11</v>
      </c>
      <c r="AW206" s="3">
        <f t="shared" si="165"/>
        <v>6</v>
      </c>
      <c r="AX206" s="3">
        <f t="shared" si="166"/>
        <v>6</v>
      </c>
      <c r="AY206" s="3">
        <f t="shared" si="167"/>
        <v>5</v>
      </c>
      <c r="AZ206" s="3">
        <f t="shared" si="168"/>
        <v>1</v>
      </c>
      <c r="BA206" s="3">
        <f>IF(ISERROR(LEN(VLOOKUP(A206,Seqs!A:E,2,FALSE))-AL206),"-",LEN(VLOOKUP(A206,Seqs!A:E,2,FALSE))-AL206)</f>
        <v>35</v>
      </c>
      <c r="BB206" s="16">
        <f t="shared" si="169"/>
        <v>28</v>
      </c>
      <c r="BC206" s="9">
        <f t="shared" si="170"/>
        <v>20</v>
      </c>
      <c r="BD206" s="3">
        <f t="shared" si="171"/>
        <v>28</v>
      </c>
      <c r="BE206" s="3">
        <f t="shared" si="17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74"/>
        <v>63</v>
      </c>
      <c r="G207" s="3">
        <v>65</v>
      </c>
      <c r="H207" s="3">
        <f t="shared" si="175"/>
        <v>66</v>
      </c>
      <c r="I207" s="3">
        <f t="shared" si="17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5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1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5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73"/>
        <v>1</v>
      </c>
      <c r="AO207" s="3" t="str">
        <f>IF(ISERROR(MATCH(A207,'SegEnds_Xtal_Prot#'!B:B, 0)), "NoXtal", "Xtal")</f>
        <v>Xtal</v>
      </c>
      <c r="AP207" s="3">
        <f t="shared" si="158"/>
        <v>1</v>
      </c>
      <c r="AQ207" s="3">
        <f t="shared" si="159"/>
        <v>1</v>
      </c>
      <c r="AR207" s="3">
        <f t="shared" si="160"/>
        <v>1</v>
      </c>
      <c r="AS207" s="3">
        <f t="shared" si="161"/>
        <v>1</v>
      </c>
      <c r="AT207" s="3">
        <f t="shared" si="162"/>
        <v>1</v>
      </c>
      <c r="AU207" s="3">
        <f t="shared" si="163"/>
        <v>1</v>
      </c>
      <c r="AV207" s="3">
        <f t="shared" si="164"/>
        <v>14</v>
      </c>
      <c r="AW207" s="3">
        <f t="shared" si="165"/>
        <v>6</v>
      </c>
      <c r="AX207" s="3">
        <f t="shared" si="166"/>
        <v>5</v>
      </c>
      <c r="AY207" s="3">
        <f t="shared" si="167"/>
        <v>6</v>
      </c>
      <c r="AZ207" s="3">
        <f t="shared" si="168"/>
        <v>1</v>
      </c>
      <c r="BA207" s="3">
        <f>IF(ISERROR(LEN(VLOOKUP(A207,Seqs!A:E,2,FALSE))-AL207),"-",LEN(VLOOKUP(A207,Seqs!A:E,2,FALSE))-AL207)</f>
        <v>118</v>
      </c>
      <c r="BB207" s="16">
        <f t="shared" si="169"/>
        <v>28</v>
      </c>
      <c r="BC207" s="9">
        <f t="shared" si="170"/>
        <v>20</v>
      </c>
      <c r="BD207" s="3">
        <f t="shared" si="171"/>
        <v>28</v>
      </c>
      <c r="BE207" s="3">
        <f t="shared" si="17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74"/>
        <v>121</v>
      </c>
      <c r="G208" s="3">
        <v>123</v>
      </c>
      <c r="H208" s="3">
        <f t="shared" si="175"/>
        <v>124</v>
      </c>
      <c r="I208" s="3">
        <f t="shared" si="17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76">M208-1</f>
        <v>157</v>
      </c>
      <c r="M208" s="3">
        <v>158</v>
      </c>
      <c r="N208" s="3">
        <f t="shared" ref="N208:N214" si="177">M208+2</f>
        <v>160</v>
      </c>
      <c r="O208" s="3">
        <f t="shared" si="15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1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5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73"/>
        <v>1</v>
      </c>
      <c r="AO208" s="3" t="str">
        <f>IF(ISERROR(MATCH(A208,'SegEnds_Xtal_Prot#'!B:B, 0)), "NoXtal", "Xtal")</f>
        <v>NoXtal</v>
      </c>
      <c r="AP208" s="3">
        <f t="shared" si="158"/>
        <v>1</v>
      </c>
      <c r="AQ208" s="3">
        <f t="shared" si="159"/>
        <v>1</v>
      </c>
      <c r="AR208" s="3">
        <f t="shared" si="160"/>
        <v>2</v>
      </c>
      <c r="AS208" s="3">
        <f t="shared" si="161"/>
        <v>1</v>
      </c>
      <c r="AT208" s="3">
        <f t="shared" si="162"/>
        <v>1</v>
      </c>
      <c r="AU208" s="3">
        <f t="shared" si="163"/>
        <v>1</v>
      </c>
      <c r="AV208" s="3">
        <f t="shared" si="164"/>
        <v>6</v>
      </c>
      <c r="AW208" s="3">
        <f t="shared" si="165"/>
        <v>5</v>
      </c>
      <c r="AX208" s="3">
        <f t="shared" si="166"/>
        <v>5</v>
      </c>
      <c r="AY208" s="3">
        <f t="shared" si="167"/>
        <v>9</v>
      </c>
      <c r="AZ208" s="3">
        <f t="shared" si="168"/>
        <v>1</v>
      </c>
      <c r="BA208" s="3">
        <f>IF(ISERROR(LEN(VLOOKUP(A208,Seqs!A:E,2,FALSE))-AL208),"-",LEN(VLOOKUP(A208,Seqs!A:E,2,FALSE))-AL208)</f>
        <v>52</v>
      </c>
      <c r="BB208" s="16">
        <f t="shared" si="169"/>
        <v>28</v>
      </c>
      <c r="BC208" s="9">
        <f t="shared" si="170"/>
        <v>20</v>
      </c>
      <c r="BD208" s="3">
        <f t="shared" si="171"/>
        <v>28</v>
      </c>
      <c r="BE208" s="3">
        <f t="shared" si="17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76"/>
        <v>98</v>
      </c>
      <c r="M209" s="3">
        <v>99</v>
      </c>
      <c r="N209" s="3">
        <f t="shared" si="177"/>
        <v>101</v>
      </c>
      <c r="O209" s="3">
        <f t="shared" si="15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1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5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73"/>
        <v>1</v>
      </c>
      <c r="AO209" s="3" t="str">
        <f>IF(ISERROR(MATCH(A209,'SegEnds_Xtal_Prot#'!B:B, 0)), "NoXtal", "Xtal")</f>
        <v>NoXtal</v>
      </c>
      <c r="AP209" s="3" t="str">
        <f t="shared" si="158"/>
        <v>-</v>
      </c>
      <c r="AQ209" s="3" t="str">
        <f t="shared" si="159"/>
        <v>-</v>
      </c>
      <c r="AR209" s="3">
        <f t="shared" si="160"/>
        <v>3</v>
      </c>
      <c r="AS209" s="3">
        <f t="shared" si="161"/>
        <v>1</v>
      </c>
      <c r="AT209" s="3">
        <f t="shared" si="162"/>
        <v>1</v>
      </c>
      <c r="AU209" s="3">
        <f t="shared" si="163"/>
        <v>1</v>
      </c>
      <c r="AV209" s="3">
        <f t="shared" si="164"/>
        <v>11</v>
      </c>
      <c r="AW209" s="3">
        <f t="shared" si="165"/>
        <v>7</v>
      </c>
      <c r="AX209" s="3">
        <f t="shared" si="166"/>
        <v>5</v>
      </c>
      <c r="AY209" s="3">
        <f t="shared" si="167"/>
        <v>6</v>
      </c>
      <c r="AZ209" s="3">
        <f t="shared" si="168"/>
        <v>1</v>
      </c>
      <c r="BA209" s="3">
        <f>IF(ISERROR(LEN(VLOOKUP(A209,Seqs!A:E,2,FALSE))-AL209),"-",LEN(VLOOKUP(A209,Seqs!A:E,2,FALSE))-AL209)</f>
        <v>19</v>
      </c>
      <c r="BB209" s="16">
        <f t="shared" si="169"/>
        <v>28</v>
      </c>
      <c r="BC209" s="9">
        <f t="shared" si="170"/>
        <v>20</v>
      </c>
      <c r="BD209" s="3">
        <f t="shared" si="171"/>
        <v>28</v>
      </c>
      <c r="BE209" s="3">
        <f t="shared" si="17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76"/>
        <v>116</v>
      </c>
      <c r="M210" s="3">
        <v>117</v>
      </c>
      <c r="N210" s="3">
        <f t="shared" si="177"/>
        <v>119</v>
      </c>
      <c r="O210" s="3">
        <f t="shared" si="15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1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5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73"/>
        <v>1</v>
      </c>
      <c r="AO210" s="3" t="str">
        <f>IF(ISERROR(MATCH(A210,'SegEnds_Xtal_Prot#'!B:B, 0)), "NoXtal", "Xtal")</f>
        <v>Xtal</v>
      </c>
      <c r="AP210" s="3" t="str">
        <f t="shared" si="158"/>
        <v>-</v>
      </c>
      <c r="AQ210" s="3" t="str">
        <f t="shared" si="159"/>
        <v>-</v>
      </c>
      <c r="AR210" s="3">
        <f t="shared" si="160"/>
        <v>3</v>
      </c>
      <c r="AS210" s="3">
        <f t="shared" si="161"/>
        <v>1</v>
      </c>
      <c r="AT210" s="3">
        <f t="shared" si="162"/>
        <v>1</v>
      </c>
      <c r="AU210" s="3">
        <f t="shared" si="163"/>
        <v>1</v>
      </c>
      <c r="AV210" s="3">
        <f t="shared" si="164"/>
        <v>12</v>
      </c>
      <c r="AW210" s="3">
        <f t="shared" si="165"/>
        <v>7</v>
      </c>
      <c r="AX210" s="3">
        <f t="shared" si="166"/>
        <v>6</v>
      </c>
      <c r="AY210" s="3">
        <f t="shared" si="167"/>
        <v>6</v>
      </c>
      <c r="AZ210" s="3">
        <f t="shared" si="168"/>
        <v>1</v>
      </c>
      <c r="BA210" s="3">
        <f>IF(ISERROR(LEN(VLOOKUP(A210,Seqs!A:E,2,FALSE))-AL210),"-",LEN(VLOOKUP(A210,Seqs!A:E,2,FALSE))-AL210)</f>
        <v>33</v>
      </c>
      <c r="BB210" s="16">
        <f t="shared" si="169"/>
        <v>28</v>
      </c>
      <c r="BC210" s="9">
        <f t="shared" si="170"/>
        <v>20</v>
      </c>
      <c r="BD210" s="3">
        <f t="shared" si="171"/>
        <v>28</v>
      </c>
      <c r="BE210" s="3">
        <f t="shared" si="17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76"/>
        <v>98</v>
      </c>
      <c r="M211" s="3">
        <v>99</v>
      </c>
      <c r="N211" s="3">
        <f t="shared" si="177"/>
        <v>101</v>
      </c>
      <c r="O211" s="3">
        <f t="shared" si="15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1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5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73"/>
        <v>1</v>
      </c>
      <c r="AO211" s="3" t="str">
        <f>IF(ISERROR(MATCH(A211,'SegEnds_Xtal_Prot#'!B:B, 0)), "NoXtal", "Xtal")</f>
        <v>NoXtal</v>
      </c>
      <c r="AP211" s="3" t="str">
        <f t="shared" si="158"/>
        <v>-</v>
      </c>
      <c r="AQ211" s="3" t="str">
        <f t="shared" si="159"/>
        <v>-</v>
      </c>
      <c r="AR211" s="3">
        <f t="shared" si="160"/>
        <v>3</v>
      </c>
      <c r="AS211" s="3">
        <f t="shared" si="161"/>
        <v>1</v>
      </c>
      <c r="AT211" s="3">
        <f t="shared" si="162"/>
        <v>1</v>
      </c>
      <c r="AU211" s="3">
        <f t="shared" si="163"/>
        <v>1</v>
      </c>
      <c r="AV211" s="3">
        <f t="shared" si="164"/>
        <v>11</v>
      </c>
      <c r="AW211" s="3">
        <f t="shared" si="165"/>
        <v>7</v>
      </c>
      <c r="AX211" s="3">
        <f t="shared" si="166"/>
        <v>7</v>
      </c>
      <c r="AY211" s="3">
        <f t="shared" si="167"/>
        <v>6</v>
      </c>
      <c r="AZ211" s="3">
        <f t="shared" si="168"/>
        <v>1</v>
      </c>
      <c r="BA211" s="3">
        <f>IF(ISERROR(LEN(VLOOKUP(A211,Seqs!A:E,2,FALSE))-AL211),"-",LEN(VLOOKUP(A211,Seqs!A:E,2,FALSE))-AL211)</f>
        <v>55</v>
      </c>
      <c r="BB211" s="16">
        <f t="shared" si="169"/>
        <v>28</v>
      </c>
      <c r="BC211" s="9">
        <f t="shared" si="170"/>
        <v>20</v>
      </c>
      <c r="BD211" s="3">
        <f t="shared" si="171"/>
        <v>28</v>
      </c>
      <c r="BE211" s="3">
        <f t="shared" si="17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76"/>
        <v>100</v>
      </c>
      <c r="M212" s="3">
        <v>101</v>
      </c>
      <c r="N212" s="3">
        <f t="shared" si="177"/>
        <v>103</v>
      </c>
      <c r="O212" s="3">
        <f t="shared" si="15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1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5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73"/>
        <v>1</v>
      </c>
      <c r="AO212" s="3" t="str">
        <f>IF(ISERROR(MATCH(A212,'SegEnds_Xtal_Prot#'!B:B, 0)), "NoXtal", "Xtal")</f>
        <v>NoXtal</v>
      </c>
      <c r="AP212" s="3" t="str">
        <f t="shared" si="158"/>
        <v>-</v>
      </c>
      <c r="AQ212" s="3" t="str">
        <f t="shared" si="159"/>
        <v>-</v>
      </c>
      <c r="AR212" s="3">
        <f t="shared" si="160"/>
        <v>3</v>
      </c>
      <c r="AS212" s="3">
        <f t="shared" si="161"/>
        <v>1</v>
      </c>
      <c r="AT212" s="3">
        <f t="shared" si="162"/>
        <v>1</v>
      </c>
      <c r="AU212" s="3">
        <f t="shared" si="163"/>
        <v>1</v>
      </c>
      <c r="AV212" s="3">
        <f t="shared" si="164"/>
        <v>11</v>
      </c>
      <c r="AW212" s="3">
        <f t="shared" si="165"/>
        <v>7</v>
      </c>
      <c r="AX212" s="3">
        <f t="shared" si="166"/>
        <v>4</v>
      </c>
      <c r="AY212" s="3">
        <f t="shared" si="167"/>
        <v>6</v>
      </c>
      <c r="AZ212" s="3">
        <f t="shared" si="168"/>
        <v>1</v>
      </c>
      <c r="BA212" s="3">
        <f>IF(ISERROR(LEN(VLOOKUP(A212,Seqs!A:E,2,FALSE))-AL212),"-",LEN(VLOOKUP(A212,Seqs!A:E,2,FALSE))-AL212)</f>
        <v>43</v>
      </c>
      <c r="BB212" s="16">
        <f t="shared" si="169"/>
        <v>28</v>
      </c>
      <c r="BC212" s="9">
        <f t="shared" si="170"/>
        <v>20</v>
      </c>
      <c r="BD212" s="3">
        <f t="shared" si="171"/>
        <v>28</v>
      </c>
      <c r="BE212" s="3">
        <f t="shared" si="17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76"/>
        <v>88</v>
      </c>
      <c r="M213" s="3">
        <v>89</v>
      </c>
      <c r="N213" s="3">
        <f t="shared" si="177"/>
        <v>91</v>
      </c>
      <c r="O213" s="3">
        <f t="shared" si="15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1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5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73"/>
        <v>1</v>
      </c>
      <c r="AO213" s="3" t="str">
        <f>IF(ISERROR(MATCH(A213,'SegEnds_Xtal_Prot#'!B:B, 0)), "NoXtal", "Xtal")</f>
        <v>NoXtal</v>
      </c>
      <c r="AP213" s="3" t="str">
        <f t="shared" si="158"/>
        <v>-</v>
      </c>
      <c r="AQ213" s="3" t="str">
        <f t="shared" si="159"/>
        <v>-</v>
      </c>
      <c r="AR213" s="3">
        <f t="shared" si="160"/>
        <v>3</v>
      </c>
      <c r="AS213" s="3">
        <f t="shared" si="161"/>
        <v>1</v>
      </c>
      <c r="AT213" s="3">
        <f t="shared" si="162"/>
        <v>1</v>
      </c>
      <c r="AU213" s="3">
        <f t="shared" si="163"/>
        <v>1</v>
      </c>
      <c r="AV213" s="3">
        <f t="shared" si="164"/>
        <v>14</v>
      </c>
      <c r="AW213" s="3">
        <f t="shared" si="165"/>
        <v>10</v>
      </c>
      <c r="AX213" s="3">
        <f t="shared" si="166"/>
        <v>6</v>
      </c>
      <c r="AY213" s="3">
        <f t="shared" si="167"/>
        <v>5</v>
      </c>
      <c r="AZ213" s="3">
        <f t="shared" si="168"/>
        <v>1</v>
      </c>
      <c r="BA213" s="3">
        <f>IF(ISERROR(LEN(VLOOKUP(A213,Seqs!A:E,2,FALSE))-AL213),"-",LEN(VLOOKUP(A213,Seqs!A:E,2,FALSE))-AL213)</f>
        <v>48</v>
      </c>
      <c r="BB213" s="16">
        <f t="shared" si="169"/>
        <v>28</v>
      </c>
      <c r="BC213" s="9">
        <f t="shared" si="170"/>
        <v>20</v>
      </c>
      <c r="BD213" s="3">
        <f t="shared" si="171"/>
        <v>28</v>
      </c>
      <c r="BE213" s="3">
        <f t="shared" si="17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76"/>
        <v>94</v>
      </c>
      <c r="M214" s="3">
        <v>95</v>
      </c>
      <c r="N214" s="3">
        <f t="shared" si="177"/>
        <v>97</v>
      </c>
      <c r="O214" s="3">
        <f t="shared" si="15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1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5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73"/>
        <v>1</v>
      </c>
      <c r="AO214" s="3" t="str">
        <f>IF(ISERROR(MATCH(A214,'SegEnds_Xtal_Prot#'!B:B, 0)), "NoXtal", "Xtal")</f>
        <v>NoXtal</v>
      </c>
      <c r="AP214" s="3" t="str">
        <f t="shared" si="158"/>
        <v>-</v>
      </c>
      <c r="AQ214" s="3" t="str">
        <f t="shared" si="159"/>
        <v>-</v>
      </c>
      <c r="AR214" s="3">
        <f t="shared" si="160"/>
        <v>3</v>
      </c>
      <c r="AS214" s="3">
        <f t="shared" si="161"/>
        <v>1</v>
      </c>
      <c r="AT214" s="3">
        <f t="shared" si="162"/>
        <v>1</v>
      </c>
      <c r="AU214" s="3">
        <f t="shared" si="163"/>
        <v>1</v>
      </c>
      <c r="AV214" s="3">
        <f t="shared" si="164"/>
        <v>23</v>
      </c>
      <c r="AW214" s="3">
        <f t="shared" si="165"/>
        <v>6</v>
      </c>
      <c r="AX214" s="3">
        <f t="shared" si="166"/>
        <v>5</v>
      </c>
      <c r="AY214" s="3">
        <f t="shared" si="167"/>
        <v>15</v>
      </c>
      <c r="AZ214" s="3">
        <f t="shared" si="168"/>
        <v>1</v>
      </c>
      <c r="BA214" s="3">
        <f>IF(ISERROR(LEN(VLOOKUP(A214,Seqs!A:E,2,FALSE))-AL214),"-",LEN(VLOOKUP(A214,Seqs!A:E,2,FALSE))-AL214)</f>
        <v>37</v>
      </c>
      <c r="BB214" s="16">
        <f t="shared" si="169"/>
        <v>29</v>
      </c>
      <c r="BC214" s="9">
        <f t="shared" si="170"/>
        <v>20</v>
      </c>
      <c r="BD214" s="3">
        <f t="shared" si="171"/>
        <v>29</v>
      </c>
      <c r="BE214" s="3">
        <f t="shared" si="17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1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5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73"/>
        <v>1</v>
      </c>
      <c r="AO215" s="3" t="str">
        <f>IF(ISERROR(MATCH(A215,'SegEnds_Xtal_Prot#'!B:B, 0)), "NoXtal", "Xtal")</f>
        <v>Xtal</v>
      </c>
      <c r="AP215" s="3" t="str">
        <f t="shared" si="158"/>
        <v>-</v>
      </c>
      <c r="AQ215" s="3" t="str">
        <f t="shared" si="159"/>
        <v>-</v>
      </c>
      <c r="AR215" s="3" t="str">
        <f t="shared" si="160"/>
        <v>-</v>
      </c>
      <c r="AS215" s="3" t="str">
        <f t="shared" si="161"/>
        <v>-</v>
      </c>
      <c r="AT215" s="3">
        <f t="shared" si="162"/>
        <v>1</v>
      </c>
      <c r="AU215" s="3">
        <f t="shared" si="163"/>
        <v>1</v>
      </c>
      <c r="AV215" s="3">
        <f t="shared" si="164"/>
        <v>12</v>
      </c>
      <c r="AW215" s="3">
        <f t="shared" si="165"/>
        <v>4</v>
      </c>
      <c r="AX215" s="3">
        <f t="shared" si="166"/>
        <v>7</v>
      </c>
      <c r="AY215" s="3">
        <f t="shared" si="167"/>
        <v>4</v>
      </c>
      <c r="AZ215" s="3">
        <f t="shared" si="168"/>
        <v>1</v>
      </c>
      <c r="BA215" s="3">
        <f>IF(ISERROR(LEN(VLOOKUP(A215,Seqs!A:E,2,FALSE))-AL215),"-",LEN(VLOOKUP(A215,Seqs!A:E,2,FALSE))-AL215)</f>
        <v>30</v>
      </c>
      <c r="BB215" s="16">
        <f t="shared" si="169"/>
        <v>27</v>
      </c>
      <c r="BC215" s="9">
        <f t="shared" si="170"/>
        <v>20</v>
      </c>
      <c r="BD215" s="3">
        <f t="shared" si="171"/>
        <v>27</v>
      </c>
      <c r="BE215" s="3">
        <f t="shared" si="17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1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5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73"/>
        <v>1</v>
      </c>
      <c r="AO216" s="3" t="str">
        <f>IF(ISERROR(MATCH(A216,'SegEnds_Xtal_Prot#'!B:B, 0)), "NoXtal", "Xtal")</f>
        <v>NoXtal</v>
      </c>
      <c r="AP216" s="3" t="str">
        <f t="shared" si="158"/>
        <v>-</v>
      </c>
      <c r="AQ216" s="3" t="str">
        <f t="shared" si="159"/>
        <v>-</v>
      </c>
      <c r="AR216" s="3" t="str">
        <f t="shared" si="160"/>
        <v>-</v>
      </c>
      <c r="AS216" s="3" t="str">
        <f t="shared" si="161"/>
        <v>-</v>
      </c>
      <c r="AT216" s="3">
        <f t="shared" si="162"/>
        <v>1</v>
      </c>
      <c r="AU216" s="3">
        <f t="shared" si="163"/>
        <v>1</v>
      </c>
      <c r="AV216" s="3">
        <f t="shared" si="164"/>
        <v>12</v>
      </c>
      <c r="AW216" s="3">
        <f t="shared" si="165"/>
        <v>4</v>
      </c>
      <c r="AX216" s="3">
        <f t="shared" si="166"/>
        <v>7</v>
      </c>
      <c r="AY216" s="3">
        <f t="shared" si="167"/>
        <v>4</v>
      </c>
      <c r="AZ216" s="3">
        <f t="shared" si="168"/>
        <v>1</v>
      </c>
      <c r="BA216" s="3">
        <f>IF(ISERROR(LEN(VLOOKUP(A216,Seqs!A:E,2,FALSE))-AL216),"-",LEN(VLOOKUP(A216,Seqs!A:E,2,FALSE))-AL216)</f>
        <v>23</v>
      </c>
      <c r="BB216" s="16">
        <f t="shared" si="169"/>
        <v>27</v>
      </c>
      <c r="BC216" s="9">
        <f t="shared" si="170"/>
        <v>20</v>
      </c>
      <c r="BD216" s="3">
        <f t="shared" si="171"/>
        <v>27</v>
      </c>
      <c r="BE216" s="3">
        <f t="shared" si="17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1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5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73"/>
        <v>1</v>
      </c>
      <c r="AO217" s="3" t="str">
        <f>IF(ISERROR(MATCH(A217,'SegEnds_Xtal_Prot#'!B:B, 0)), "NoXtal", "Xtal")</f>
        <v>NoXtal</v>
      </c>
      <c r="AP217" s="3" t="str">
        <f t="shared" si="158"/>
        <v>-</v>
      </c>
      <c r="AQ217" s="3" t="str">
        <f t="shared" si="159"/>
        <v>-</v>
      </c>
      <c r="AR217" s="3" t="str">
        <f t="shared" si="160"/>
        <v>-</v>
      </c>
      <c r="AS217" s="3" t="str">
        <f t="shared" si="161"/>
        <v>-</v>
      </c>
      <c r="AT217" s="3">
        <f t="shared" si="162"/>
        <v>1</v>
      </c>
      <c r="AU217" s="3">
        <f t="shared" si="163"/>
        <v>1</v>
      </c>
      <c r="AV217" s="3">
        <f t="shared" si="164"/>
        <v>12</v>
      </c>
      <c r="AW217" s="3">
        <f t="shared" si="165"/>
        <v>4</v>
      </c>
      <c r="AX217" s="3">
        <f t="shared" si="166"/>
        <v>7</v>
      </c>
      <c r="AY217" s="3">
        <f t="shared" si="167"/>
        <v>4</v>
      </c>
      <c r="AZ217" s="3">
        <f t="shared" si="168"/>
        <v>1</v>
      </c>
      <c r="BA217" s="3">
        <f>IF(ISERROR(LEN(VLOOKUP(A217,Seqs!A:E,2,FALSE))-AL217),"-",LEN(VLOOKUP(A217,Seqs!A:E,2,FALSE))-AL217)</f>
        <v>29</v>
      </c>
      <c r="BB217" s="16">
        <f t="shared" si="169"/>
        <v>27</v>
      </c>
      <c r="BC217" s="9">
        <f t="shared" si="170"/>
        <v>20</v>
      </c>
      <c r="BD217" s="3">
        <f t="shared" si="171"/>
        <v>27</v>
      </c>
      <c r="BE217" s="3">
        <f t="shared" si="17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1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5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73"/>
        <v>1</v>
      </c>
      <c r="AO218" s="3" t="str">
        <f>IF(ISERROR(MATCH(A218,'SegEnds_Xtal_Prot#'!B:B, 0)), "NoXtal", "Xtal")</f>
        <v>Xtal</v>
      </c>
      <c r="AP218" s="3">
        <f t="shared" si="158"/>
        <v>1</v>
      </c>
      <c r="AQ218" s="3">
        <f t="shared" si="159"/>
        <v>1</v>
      </c>
      <c r="AR218" s="3">
        <f t="shared" si="160"/>
        <v>3</v>
      </c>
      <c r="AS218" s="3">
        <f t="shared" si="161"/>
        <v>1</v>
      </c>
      <c r="AT218" s="3">
        <f t="shared" si="162"/>
        <v>1</v>
      </c>
      <c r="AU218" s="3">
        <f t="shared" si="163"/>
        <v>1</v>
      </c>
      <c r="AV218" s="3">
        <f t="shared" si="164"/>
        <v>14</v>
      </c>
      <c r="AW218" s="3">
        <f t="shared" si="165"/>
        <v>8</v>
      </c>
      <c r="AX218" s="3">
        <f t="shared" si="166"/>
        <v>5</v>
      </c>
      <c r="AY218" s="3">
        <f t="shared" si="167"/>
        <v>6</v>
      </c>
      <c r="AZ218" s="3">
        <f t="shared" si="168"/>
        <v>1</v>
      </c>
      <c r="BA218" s="3">
        <f>IF(ISERROR(LEN(VLOOKUP(A218,Seqs!A:E,2,FALSE))-AL218),"-",LEN(VLOOKUP(A218,Seqs!A:E,2,FALSE))-AL218)</f>
        <v>36</v>
      </c>
      <c r="BB218" s="16">
        <f t="shared" si="169"/>
        <v>28</v>
      </c>
      <c r="BC218" s="9">
        <f t="shared" si="170"/>
        <v>20</v>
      </c>
      <c r="BD218" s="3">
        <f t="shared" si="171"/>
        <v>28</v>
      </c>
      <c r="BE218" s="3">
        <f t="shared" si="17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1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5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73"/>
        <v>1</v>
      </c>
      <c r="AO219" s="3" t="str">
        <f>IF(ISERROR(MATCH(A219,'SegEnds_Xtal_Prot#'!B:B, 0)), "NoXtal", "Xtal")</f>
        <v>NoXtal</v>
      </c>
      <c r="AP219" s="3" t="str">
        <f t="shared" si="158"/>
        <v>-</v>
      </c>
      <c r="AQ219" s="3" t="str">
        <f t="shared" si="159"/>
        <v>-</v>
      </c>
      <c r="AR219" s="3">
        <f t="shared" si="160"/>
        <v>3</v>
      </c>
      <c r="AS219" s="3">
        <f t="shared" si="161"/>
        <v>1</v>
      </c>
      <c r="AT219" s="3">
        <f t="shared" si="162"/>
        <v>1</v>
      </c>
      <c r="AU219" s="3">
        <f t="shared" si="163"/>
        <v>1</v>
      </c>
      <c r="AV219" s="3">
        <f t="shared" si="164"/>
        <v>22</v>
      </c>
      <c r="AW219" s="3">
        <f t="shared" si="165"/>
        <v>5</v>
      </c>
      <c r="AX219" s="3">
        <f t="shared" si="166"/>
        <v>4</v>
      </c>
      <c r="AY219" s="3">
        <f t="shared" si="167"/>
        <v>5</v>
      </c>
      <c r="AZ219" s="3" t="str">
        <f t="shared" si="168"/>
        <v>-</v>
      </c>
      <c r="BA219" s="3" t="str">
        <f>IF(ISERROR(LEN(VLOOKUP(A219,Seqs!A:E,2,FALSE))-AL219),"-",LEN(VLOOKUP(A219,Seqs!A:E,2,FALSE))-AL219)</f>
        <v>-</v>
      </c>
      <c r="BB219" s="16">
        <f t="shared" si="169"/>
        <v>27</v>
      </c>
      <c r="BC219" s="9">
        <f t="shared" si="170"/>
        <v>20</v>
      </c>
      <c r="BD219" s="3">
        <f t="shared" si="171"/>
        <v>27</v>
      </c>
      <c r="BE219" s="3">
        <f t="shared" si="17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1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5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73"/>
        <v>1</v>
      </c>
      <c r="AO220" s="3" t="str">
        <f>IF(ISERROR(MATCH(A220,'SegEnds_Xtal_Prot#'!B:B, 0)), "NoXtal", "Xtal")</f>
        <v>NoXtal</v>
      </c>
      <c r="AP220" s="3" t="str">
        <f t="shared" si="158"/>
        <v>-</v>
      </c>
      <c r="AQ220" s="3" t="str">
        <f t="shared" si="159"/>
        <v>-</v>
      </c>
      <c r="AR220" s="3">
        <f t="shared" si="160"/>
        <v>3</v>
      </c>
      <c r="AS220" s="3">
        <f t="shared" si="161"/>
        <v>1</v>
      </c>
      <c r="AT220" s="3">
        <f t="shared" si="162"/>
        <v>1</v>
      </c>
      <c r="AU220" s="3">
        <f t="shared" si="163"/>
        <v>1</v>
      </c>
      <c r="AV220" s="3">
        <f t="shared" si="164"/>
        <v>15</v>
      </c>
      <c r="AW220" s="3">
        <f t="shared" si="165"/>
        <v>7</v>
      </c>
      <c r="AX220" s="3">
        <f t="shared" si="166"/>
        <v>4</v>
      </c>
      <c r="AY220" s="3">
        <f t="shared" si="167"/>
        <v>5</v>
      </c>
      <c r="AZ220" s="3">
        <f t="shared" si="168"/>
        <v>1</v>
      </c>
      <c r="BA220" s="3">
        <f>IF(ISERROR(LEN(VLOOKUP(A220,Seqs!A:E,2,FALSE))-AL220),"-",LEN(VLOOKUP(A220,Seqs!A:E,2,FALSE))-AL220)</f>
        <v>27</v>
      </c>
      <c r="BB220" s="16">
        <f t="shared" si="169"/>
        <v>27</v>
      </c>
      <c r="BC220" s="9">
        <f t="shared" si="170"/>
        <v>20</v>
      </c>
      <c r="BD220" s="3">
        <f t="shared" si="171"/>
        <v>27</v>
      </c>
      <c r="BE220" s="3">
        <f t="shared" si="17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1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57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73"/>
        <v>1</v>
      </c>
      <c r="AO221" s="3" t="str">
        <f>IF(ISERROR(MATCH(A221,'SegEnds_Xtal_Prot#'!B:B, 0)), "NoXtal", "Xtal")</f>
        <v>NoXtal</v>
      </c>
      <c r="AP221" s="3" t="str">
        <f t="shared" si="158"/>
        <v>-</v>
      </c>
      <c r="AQ221" s="3" t="str">
        <f t="shared" si="159"/>
        <v>-</v>
      </c>
      <c r="AR221" s="3" t="str">
        <f t="shared" si="160"/>
        <v>-</v>
      </c>
      <c r="AS221" s="3" t="str">
        <f t="shared" si="161"/>
        <v>-</v>
      </c>
      <c r="AT221" s="3">
        <f t="shared" si="162"/>
        <v>1</v>
      </c>
      <c r="AU221" s="3">
        <f t="shared" si="163"/>
        <v>1</v>
      </c>
      <c r="AV221" s="3">
        <f t="shared" si="164"/>
        <v>12</v>
      </c>
      <c r="AW221" s="3">
        <f t="shared" si="165"/>
        <v>9</v>
      </c>
      <c r="AX221" s="3">
        <f t="shared" si="166"/>
        <v>16</v>
      </c>
      <c r="AY221" s="3">
        <f t="shared" si="167"/>
        <v>7</v>
      </c>
      <c r="AZ221" s="3">
        <f t="shared" si="168"/>
        <v>1</v>
      </c>
      <c r="BA221" s="3">
        <f>IF(ISERROR(LEN(VLOOKUP(A221,Seqs!A:E,2,FALSE))-AL221),"-",LEN(VLOOKUP(A221,Seqs!A:E,2,FALSE))-AL221)</f>
        <v>21</v>
      </c>
      <c r="BB221" s="16">
        <f t="shared" si="169"/>
        <v>38</v>
      </c>
      <c r="BC221" s="9">
        <f t="shared" si="170"/>
        <v>20</v>
      </c>
      <c r="BD221" s="3">
        <f t="shared" si="171"/>
        <v>38</v>
      </c>
      <c r="BE221" s="3">
        <f t="shared" si="17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c5ar1_human</v>
      </c>
      <c r="C222" s="3">
        <f>VLOOKUP($A222,'SegEnds_NonXtal_BW#'!$A:$Z,3,FALSE)+D222-50</f>
        <v>29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1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57"/>
        <v>184</v>
      </c>
      <c r="AA222" s="3">
        <f>IF(ISERROR(VLOOKUP($A222,'SegEnds_NonXtal_BW#'!$A:$Z,19,FALSE)+VLOOKUP($A222,A:AL,28,FALSE)-50),"-",(VLOOKUP($A222,'SegEnds_NonXtal_BW#'!$A:$Z,19,FALSE)+VLOOKUP($A222,A:AL,28,FALSE)-50))</f>
        <v>199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317</v>
      </c>
      <c r="AM222" s="28" t="str">
        <f>VLOOKUP(A222,Classification!A:B,2,FALSE)</f>
        <v>A</v>
      </c>
      <c r="AN222" s="28" t="b">
        <f t="shared" si="173"/>
        <v>1</v>
      </c>
      <c r="AO222" s="3" t="str">
        <f>IF(ISERROR(MATCH(A222,'SegEnds_Xtal_Prot#'!B:B, 0)), "NoXtal", "Xtal")</f>
        <v>NoXtal</v>
      </c>
      <c r="AP222" s="3" t="str">
        <f t="shared" si="158"/>
        <v>-</v>
      </c>
      <c r="AQ222" s="3" t="str">
        <f t="shared" si="159"/>
        <v>-</v>
      </c>
      <c r="AR222" s="3">
        <f t="shared" si="160"/>
        <v>2</v>
      </c>
      <c r="AS222" s="3">
        <f t="shared" si="161"/>
        <v>1</v>
      </c>
      <c r="AT222" s="3">
        <f t="shared" si="162"/>
        <v>1</v>
      </c>
      <c r="AU222" s="3">
        <f t="shared" si="163"/>
        <v>1</v>
      </c>
      <c r="AV222" s="3">
        <f t="shared" si="164"/>
        <v>12</v>
      </c>
      <c r="AW222" s="3">
        <f t="shared" si="165"/>
        <v>15</v>
      </c>
      <c r="AX222" s="3">
        <f t="shared" si="166"/>
        <v>5</v>
      </c>
      <c r="AY222" s="3">
        <f t="shared" si="167"/>
        <v>7</v>
      </c>
      <c r="AZ222" s="3">
        <f t="shared" si="168"/>
        <v>1</v>
      </c>
      <c r="BA222" s="3">
        <f>IF(ISERROR(LEN(VLOOKUP(A222,Seqs!A:E,2,FALSE))-AL222),"-",LEN(VLOOKUP(A222,Seqs!A:E,2,FALSE))-AL222)</f>
        <v>78</v>
      </c>
      <c r="BB222" s="16">
        <f t="shared" si="169"/>
        <v>27</v>
      </c>
      <c r="BC222" s="9">
        <f t="shared" si="170"/>
        <v>20</v>
      </c>
      <c r="BD222" s="3">
        <f t="shared" si="171"/>
        <v>27</v>
      </c>
      <c r="BE222" s="3">
        <f t="shared" si="17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1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5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73"/>
        <v>1</v>
      </c>
      <c r="AO223" s="3" t="str">
        <f>IF(ISERROR(MATCH(A223,'SegEnds_Xtal_Prot#'!B:B, 0)), "NoXtal", "Xtal")</f>
        <v>NoXtal</v>
      </c>
      <c r="AP223" s="3">
        <f t="shared" si="158"/>
        <v>2</v>
      </c>
      <c r="AQ223" s="3">
        <f t="shared" si="159"/>
        <v>1</v>
      </c>
      <c r="AR223" s="3">
        <f t="shared" si="160"/>
        <v>3</v>
      </c>
      <c r="AS223" s="3">
        <f t="shared" si="161"/>
        <v>1</v>
      </c>
      <c r="AT223" s="3">
        <f t="shared" si="162"/>
        <v>1</v>
      </c>
      <c r="AU223" s="3">
        <f t="shared" si="163"/>
        <v>1</v>
      </c>
      <c r="AV223" s="3">
        <f t="shared" si="164"/>
        <v>13</v>
      </c>
      <c r="AW223" s="3">
        <f t="shared" si="165"/>
        <v>12</v>
      </c>
      <c r="AX223" s="3">
        <f t="shared" si="166"/>
        <v>46</v>
      </c>
      <c r="AY223" s="3">
        <f t="shared" si="167"/>
        <v>6</v>
      </c>
      <c r="AZ223" s="3">
        <f t="shared" si="168"/>
        <v>1</v>
      </c>
      <c r="BA223" s="3">
        <f>IF(ISERROR(LEN(VLOOKUP(A223,Seqs!A:E,2,FALSE))-AL223),"-",LEN(VLOOKUP(A223,Seqs!A:E,2,FALSE))-AL223)</f>
        <v>35</v>
      </c>
      <c r="BB223" s="16">
        <f t="shared" si="169"/>
        <v>34</v>
      </c>
      <c r="BC223" s="9">
        <f t="shared" si="170"/>
        <v>20</v>
      </c>
      <c r="BD223" s="3">
        <f t="shared" si="171"/>
        <v>34</v>
      </c>
      <c r="BE223" s="3">
        <f t="shared" si="17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1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5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73"/>
        <v>1</v>
      </c>
      <c r="AO224" s="3" t="str">
        <f>IF(ISERROR(MATCH(A224,'SegEnds_Xtal_Prot#'!B:B, 0)), "NoXtal", "Xtal")</f>
        <v>NoXtal</v>
      </c>
      <c r="AP224" s="3">
        <f t="shared" si="158"/>
        <v>7</v>
      </c>
      <c r="AQ224" s="3">
        <f t="shared" si="159"/>
        <v>1</v>
      </c>
      <c r="AR224" s="3" t="str">
        <f t="shared" si="160"/>
        <v>-</v>
      </c>
      <c r="AS224" s="3" t="str">
        <f t="shared" si="161"/>
        <v>-</v>
      </c>
      <c r="AT224" s="3">
        <f t="shared" si="162"/>
        <v>1</v>
      </c>
      <c r="AU224" s="3">
        <f t="shared" si="163"/>
        <v>1</v>
      </c>
      <c r="AV224" s="3">
        <f t="shared" si="164"/>
        <v>12</v>
      </c>
      <c r="AW224" s="3">
        <f t="shared" si="165"/>
        <v>5</v>
      </c>
      <c r="AX224" s="3">
        <f t="shared" si="166"/>
        <v>18</v>
      </c>
      <c r="AY224" s="3">
        <f t="shared" si="167"/>
        <v>5</v>
      </c>
      <c r="AZ224" s="3">
        <f t="shared" si="168"/>
        <v>1</v>
      </c>
      <c r="BA224" s="3">
        <f>IF(ISERROR(LEN(VLOOKUP(A224,Seqs!A:E,2,FALSE))-AL224),"-",LEN(VLOOKUP(A224,Seqs!A:E,2,FALSE))-AL224)</f>
        <v>28</v>
      </c>
      <c r="BB224" s="16">
        <f t="shared" si="169"/>
        <v>39</v>
      </c>
      <c r="BC224" s="9">
        <f t="shared" si="170"/>
        <v>20</v>
      </c>
      <c r="BD224" s="3">
        <f t="shared" si="171"/>
        <v>39</v>
      </c>
      <c r="BE224" s="3">
        <f t="shared" si="17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1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57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73"/>
        <v>1</v>
      </c>
      <c r="AO225" s="3" t="str">
        <f>IF(ISERROR(MATCH(A225,'SegEnds_Xtal_Prot#'!B:B, 0)), "NoXtal", "Xtal")</f>
        <v>NoXtal</v>
      </c>
      <c r="AP225" s="3" t="str">
        <f t="shared" si="158"/>
        <v>-</v>
      </c>
      <c r="AQ225" s="3" t="str">
        <f t="shared" si="159"/>
        <v>-</v>
      </c>
      <c r="AR225" s="3">
        <f t="shared" si="160"/>
        <v>7</v>
      </c>
      <c r="AS225" s="3">
        <f t="shared" si="161"/>
        <v>1</v>
      </c>
      <c r="AT225" s="3">
        <f t="shared" si="162"/>
        <v>1</v>
      </c>
      <c r="AU225" s="3">
        <f t="shared" si="163"/>
        <v>1</v>
      </c>
      <c r="AV225" s="3">
        <f t="shared" si="164"/>
        <v>13</v>
      </c>
      <c r="AW225" s="3">
        <f t="shared" si="165"/>
        <v>19</v>
      </c>
      <c r="AX225" s="3">
        <f t="shared" si="166"/>
        <v>6</v>
      </c>
      <c r="AY225" s="3">
        <f t="shared" si="167"/>
        <v>6</v>
      </c>
      <c r="AZ225" s="3">
        <f t="shared" si="168"/>
        <v>1</v>
      </c>
      <c r="BA225" s="3">
        <f>IF(ISERROR(LEN(VLOOKUP(A225,Seqs!A:E,2,FALSE))-AL225),"-",LEN(VLOOKUP(A225,Seqs!A:E,2,FALSE))-AL225)</f>
        <v>28</v>
      </c>
      <c r="BB225" s="16">
        <f t="shared" si="169"/>
        <v>33</v>
      </c>
      <c r="BC225" s="9">
        <f t="shared" si="170"/>
        <v>20</v>
      </c>
      <c r="BD225" s="3">
        <f t="shared" si="171"/>
        <v>33</v>
      </c>
      <c r="BE225" s="3">
        <f t="shared" si="17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1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73"/>
        <v>1</v>
      </c>
      <c r="AO226" s="3" t="str">
        <f>IF(ISERROR(MATCH(A226,'SegEnds_Xtal_Prot#'!B:B, 0)), "NoXtal", "Xtal")</f>
        <v>NoXtal</v>
      </c>
      <c r="AP226" s="3" t="str">
        <f t="shared" si="158"/>
        <v>-</v>
      </c>
      <c r="AQ226" s="3" t="str">
        <f t="shared" si="159"/>
        <v>-</v>
      </c>
      <c r="AR226" s="3" t="str">
        <f t="shared" si="160"/>
        <v>-</v>
      </c>
      <c r="AS226" s="3" t="str">
        <f t="shared" si="161"/>
        <v>-</v>
      </c>
      <c r="AT226" s="3">
        <f t="shared" si="162"/>
        <v>1</v>
      </c>
      <c r="AU226" s="3">
        <f t="shared" si="163"/>
        <v>1</v>
      </c>
      <c r="AV226" s="3">
        <f t="shared" si="164"/>
        <v>9</v>
      </c>
      <c r="AW226" s="3">
        <f t="shared" si="165"/>
        <v>10</v>
      </c>
      <c r="AX226" s="3">
        <f t="shared" si="166"/>
        <v>38</v>
      </c>
      <c r="AY226" s="3">
        <f t="shared" si="167"/>
        <v>6</v>
      </c>
      <c r="AZ226" s="3">
        <f t="shared" si="168"/>
        <v>1</v>
      </c>
      <c r="BA226" s="3">
        <f>IF(ISERROR(LEN(VLOOKUP(A226,Seqs!A:E,2,FALSE))-AL226),"-",LEN(VLOOKUP(A226,Seqs!A:E,2,FALSE))-AL226)</f>
        <v>142</v>
      </c>
      <c r="BB226" s="16">
        <f t="shared" si="169"/>
        <v>30</v>
      </c>
      <c r="BC226" s="9">
        <f t="shared" si="170"/>
        <v>20</v>
      </c>
      <c r="BD226" s="3">
        <f t="shared" si="171"/>
        <v>30</v>
      </c>
      <c r="BE226" s="3">
        <f t="shared" si="17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1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7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317</v>
      </c>
      <c r="AM227" s="28" t="str">
        <f>VLOOKUP(A227,Classification!A:B,2,FALSE)</f>
        <v>A</v>
      </c>
      <c r="AN227" s="28" t="b">
        <f t="shared" si="173"/>
        <v>1</v>
      </c>
      <c r="AO227" s="3" t="str">
        <f>IF(ISERROR(MATCH(A227,'SegEnds_Xtal_Prot#'!B:B, 0)), "NoXtal", "Xtal")</f>
        <v>NoXtal</v>
      </c>
      <c r="AP227" s="3">
        <f t="shared" si="158"/>
        <v>2</v>
      </c>
      <c r="AQ227" s="3">
        <f t="shared" si="159"/>
        <v>1</v>
      </c>
      <c r="AR227" s="3">
        <f t="shared" si="160"/>
        <v>3</v>
      </c>
      <c r="AS227" s="3">
        <f t="shared" si="161"/>
        <v>1</v>
      </c>
      <c r="AT227" s="3">
        <f t="shared" si="162"/>
        <v>1</v>
      </c>
      <c r="AU227" s="3">
        <f t="shared" si="163"/>
        <v>1</v>
      </c>
      <c r="AV227" s="3">
        <f t="shared" si="164"/>
        <v>12</v>
      </c>
      <c r="AW227" s="3">
        <f t="shared" si="165"/>
        <v>11</v>
      </c>
      <c r="AX227" s="3">
        <f t="shared" si="166"/>
        <v>7</v>
      </c>
      <c r="AY227" s="3">
        <f t="shared" si="167"/>
        <v>7</v>
      </c>
      <c r="AZ227" s="3">
        <f t="shared" si="168"/>
        <v>1</v>
      </c>
      <c r="BA227" s="3">
        <f>IF(ISERROR(LEN(VLOOKUP(A227,Seqs!A:E,2,FALSE))-AL227),"-",LEN(VLOOKUP(A227,Seqs!A:E,2,FALSE))-AL227)</f>
        <v>42</v>
      </c>
      <c r="BB227" s="16">
        <f t="shared" si="169"/>
        <v>33</v>
      </c>
      <c r="BC227" s="9">
        <f t="shared" si="170"/>
        <v>20</v>
      </c>
      <c r="BD227" s="3">
        <f t="shared" si="171"/>
        <v>33</v>
      </c>
      <c r="BE227" s="3">
        <f t="shared" si="17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c5ar1_human</v>
      </c>
      <c r="C228" s="3">
        <f>VLOOKUP($A228,'SegEnds_NonXtal_BW#'!$A:$Z,3,FALSE)+D228-50</f>
        <v>10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1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7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305</v>
      </c>
      <c r="AM228" s="28" t="str">
        <f>VLOOKUP(A228,Classification!A:B,2,FALSE)</f>
        <v>A</v>
      </c>
      <c r="AN228" s="28" t="b">
        <f t="shared" si="173"/>
        <v>1</v>
      </c>
      <c r="AO228" s="3" t="str">
        <f>IF(ISERROR(MATCH(A228,'SegEnds_Xtal_Prot#'!B:B, 0)), "NoXtal", "Xtal")</f>
        <v>NoXtal</v>
      </c>
      <c r="AP228" s="3" t="str">
        <f t="shared" si="158"/>
        <v>-</v>
      </c>
      <c r="AQ228" s="3" t="str">
        <f t="shared" si="159"/>
        <v>-</v>
      </c>
      <c r="AR228" s="3" t="str">
        <f t="shared" si="160"/>
        <v>-</v>
      </c>
      <c r="AS228" s="3" t="str">
        <f t="shared" si="161"/>
        <v>-</v>
      </c>
      <c r="AT228" s="3">
        <f t="shared" si="162"/>
        <v>1</v>
      </c>
      <c r="AU228" s="3">
        <f t="shared" si="163"/>
        <v>1</v>
      </c>
      <c r="AV228" s="3">
        <f t="shared" si="164"/>
        <v>12</v>
      </c>
      <c r="AW228" s="3">
        <f t="shared" si="165"/>
        <v>6</v>
      </c>
      <c r="AX228" s="3">
        <f t="shared" si="166"/>
        <v>9</v>
      </c>
      <c r="AY228" s="3">
        <f t="shared" si="167"/>
        <v>5</v>
      </c>
      <c r="AZ228" s="3">
        <f t="shared" si="168"/>
        <v>1</v>
      </c>
      <c r="BA228" s="3">
        <f>IF(ISERROR(LEN(VLOOKUP(A228,Seqs!A:E,2,FALSE))-AL228),"-",LEN(VLOOKUP(A228,Seqs!A:E,2,FALSE))-AL228)</f>
        <v>81</v>
      </c>
      <c r="BB228" s="16">
        <f t="shared" si="169"/>
        <v>29</v>
      </c>
      <c r="BC228" s="9">
        <f t="shared" si="170"/>
        <v>20</v>
      </c>
      <c r="BD228" s="3">
        <f t="shared" si="171"/>
        <v>29</v>
      </c>
      <c r="BE228" s="3">
        <f t="shared" si="17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7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1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7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73"/>
        <v>1</v>
      </c>
      <c r="AO229" s="3" t="str">
        <f>IF(ISERROR(MATCH(A229,'SegEnds_Xtal_Prot#'!B:B, 0)), "NoXtal", "Xtal")</f>
        <v>NoXtal</v>
      </c>
      <c r="AP229" s="3" t="str">
        <f t="shared" si="158"/>
        <v>-</v>
      </c>
      <c r="AQ229" s="3" t="str">
        <f t="shared" si="159"/>
        <v>-</v>
      </c>
      <c r="AR229" s="3">
        <f t="shared" si="160"/>
        <v>3</v>
      </c>
      <c r="AS229" s="3">
        <f t="shared" si="161"/>
        <v>1</v>
      </c>
      <c r="AT229" s="3">
        <f t="shared" si="162"/>
        <v>1</v>
      </c>
      <c r="AU229" s="3">
        <f t="shared" si="163"/>
        <v>1</v>
      </c>
      <c r="AV229" s="3">
        <f t="shared" si="164"/>
        <v>17</v>
      </c>
      <c r="AW229" s="3">
        <f t="shared" si="165"/>
        <v>5</v>
      </c>
      <c r="AX229" s="3">
        <f t="shared" si="166"/>
        <v>5</v>
      </c>
      <c r="AY229" s="3">
        <f t="shared" si="167"/>
        <v>6</v>
      </c>
      <c r="AZ229" s="3">
        <f t="shared" si="168"/>
        <v>1</v>
      </c>
      <c r="BA229" s="3">
        <f>IF(ISERROR(LEN(VLOOKUP(A229,Seqs!A:E,2,FALSE))-AL229),"-",LEN(VLOOKUP(A229,Seqs!A:E,2,FALSE))-AL229)</f>
        <v>31</v>
      </c>
      <c r="BB229" s="16">
        <f t="shared" si="169"/>
        <v>28</v>
      </c>
      <c r="BC229" s="9">
        <f t="shared" si="170"/>
        <v>20</v>
      </c>
      <c r="BD229" s="3">
        <f t="shared" si="171"/>
        <v>28</v>
      </c>
      <c r="BE229" s="3">
        <f t="shared" si="17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7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1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78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73"/>
        <v>1</v>
      </c>
      <c r="AO230" s="3" t="str">
        <f>IF(ISERROR(MATCH(A230,'SegEnds_Xtal_Prot#'!B:B, 0)), "NoXtal", "Xtal")</f>
        <v>NoXtal</v>
      </c>
      <c r="AP230" s="3" t="str">
        <f t="shared" si="158"/>
        <v>-</v>
      </c>
      <c r="AQ230" s="3" t="str">
        <f t="shared" si="159"/>
        <v>-</v>
      </c>
      <c r="AR230" s="3">
        <f t="shared" si="160"/>
        <v>3</v>
      </c>
      <c r="AS230" s="3">
        <f t="shared" si="161"/>
        <v>1</v>
      </c>
      <c r="AT230" s="3">
        <f t="shared" si="162"/>
        <v>1</v>
      </c>
      <c r="AU230" s="3">
        <f t="shared" si="163"/>
        <v>1</v>
      </c>
      <c r="AV230" s="3">
        <f t="shared" si="164"/>
        <v>17</v>
      </c>
      <c r="AW230" s="3">
        <f t="shared" si="165"/>
        <v>3</v>
      </c>
      <c r="AX230" s="3">
        <f t="shared" si="166"/>
        <v>5</v>
      </c>
      <c r="AY230" s="3">
        <f t="shared" si="167"/>
        <v>6</v>
      </c>
      <c r="AZ230" s="3">
        <f t="shared" si="168"/>
        <v>1</v>
      </c>
      <c r="BA230" s="3">
        <f>IF(ISERROR(LEN(VLOOKUP(A230,Seqs!A:E,2,FALSE))-AL230),"-",LEN(VLOOKUP(A230,Seqs!A:E,2,FALSE))-AL230)</f>
        <v>35</v>
      </c>
      <c r="BB230" s="16">
        <f t="shared" si="169"/>
        <v>30</v>
      </c>
      <c r="BC230" s="9">
        <f t="shared" si="170"/>
        <v>20</v>
      </c>
      <c r="BD230" s="3">
        <f t="shared" si="171"/>
        <v>30</v>
      </c>
      <c r="BE230" s="3">
        <f t="shared" si="17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80">G231-2</f>
        <v>74</v>
      </c>
      <c r="G231" s="3">
        <v>76</v>
      </c>
      <c r="H231" s="3">
        <f t="shared" ref="H231:I238" si="181">G231+1</f>
        <v>77</v>
      </c>
      <c r="I231" s="3">
        <f t="shared" si="18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7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1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7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73"/>
        <v>1</v>
      </c>
      <c r="AO231" s="3" t="str">
        <f>IF(ISERROR(MATCH(A231,'SegEnds_Xtal_Prot#'!B:B, 0)), "NoXtal", "Xtal")</f>
        <v>NoXtal</v>
      </c>
      <c r="AP231" s="3">
        <f t="shared" si="158"/>
        <v>1</v>
      </c>
      <c r="AQ231" s="3">
        <f t="shared" si="159"/>
        <v>1</v>
      </c>
      <c r="AR231" s="3">
        <f t="shared" si="160"/>
        <v>1</v>
      </c>
      <c r="AS231" s="3">
        <f t="shared" si="161"/>
        <v>1</v>
      </c>
      <c r="AT231" s="3">
        <f t="shared" si="162"/>
        <v>1</v>
      </c>
      <c r="AU231" s="3">
        <f t="shared" si="163"/>
        <v>1</v>
      </c>
      <c r="AV231" s="3">
        <f t="shared" si="164"/>
        <v>17</v>
      </c>
      <c r="AW231" s="3">
        <f t="shared" si="165"/>
        <v>6</v>
      </c>
      <c r="AX231" s="3">
        <f t="shared" si="166"/>
        <v>9</v>
      </c>
      <c r="AY231" s="3">
        <f t="shared" si="167"/>
        <v>8</v>
      </c>
      <c r="AZ231" s="3">
        <f t="shared" si="168"/>
        <v>1</v>
      </c>
      <c r="BA231" s="3">
        <f>IF(ISERROR(LEN(VLOOKUP(A231,Seqs!A:E,2,FALSE))-AL231),"-",LEN(VLOOKUP(A231,Seqs!A:E,2,FALSE))-AL231)</f>
        <v>84</v>
      </c>
      <c r="BB231" s="16">
        <f t="shared" si="169"/>
        <v>28</v>
      </c>
      <c r="BC231" s="9">
        <f t="shared" si="170"/>
        <v>20</v>
      </c>
      <c r="BD231" s="3">
        <f t="shared" si="171"/>
        <v>28</v>
      </c>
      <c r="BE231" s="3">
        <f t="shared" si="17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80"/>
        <v>69</v>
      </c>
      <c r="G232" s="3">
        <v>71</v>
      </c>
      <c r="H232" s="3">
        <f t="shared" si="181"/>
        <v>72</v>
      </c>
      <c r="I232" s="3">
        <f t="shared" si="18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7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1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7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73"/>
        <v>1</v>
      </c>
      <c r="AO232" s="3" t="str">
        <f>IF(ISERROR(MATCH(A232,'SegEnds_Xtal_Prot#'!B:B, 0)), "NoXtal", "Xtal")</f>
        <v>NoXtal</v>
      </c>
      <c r="AP232" s="3">
        <f t="shared" si="158"/>
        <v>2</v>
      </c>
      <c r="AQ232" s="3">
        <f t="shared" si="159"/>
        <v>1</v>
      </c>
      <c r="AR232" s="3">
        <f t="shared" si="160"/>
        <v>3</v>
      </c>
      <c r="AS232" s="3">
        <f t="shared" si="161"/>
        <v>1</v>
      </c>
      <c r="AT232" s="3">
        <f t="shared" si="162"/>
        <v>1</v>
      </c>
      <c r="AU232" s="3">
        <f t="shared" si="163"/>
        <v>1</v>
      </c>
      <c r="AV232" s="3">
        <f t="shared" si="164"/>
        <v>11</v>
      </c>
      <c r="AW232" s="3">
        <f t="shared" si="165"/>
        <v>7</v>
      </c>
      <c r="AX232" s="3">
        <f t="shared" si="166"/>
        <v>6</v>
      </c>
      <c r="AY232" s="3">
        <f t="shared" si="167"/>
        <v>5</v>
      </c>
      <c r="AZ232" s="3">
        <f t="shared" si="168"/>
        <v>1</v>
      </c>
      <c r="BA232" s="3">
        <f>IF(ISERROR(LEN(VLOOKUP(A232,Seqs!A:E,2,FALSE))-AL232),"-",LEN(VLOOKUP(A232,Seqs!A:E,2,FALSE))-AL232)</f>
        <v>47</v>
      </c>
      <c r="BB232" s="16">
        <f t="shared" si="169"/>
        <v>30</v>
      </c>
      <c r="BC232" s="9">
        <f t="shared" si="170"/>
        <v>20</v>
      </c>
      <c r="BD232" s="3">
        <f t="shared" si="171"/>
        <v>30</v>
      </c>
      <c r="BE232" s="3">
        <f t="shared" si="17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80"/>
        <v>75</v>
      </c>
      <c r="G233" s="3">
        <v>77</v>
      </c>
      <c r="H233" s="3">
        <f t="shared" si="181"/>
        <v>78</v>
      </c>
      <c r="I233" s="3">
        <f t="shared" si="18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7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1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73"/>
        <v>1</v>
      </c>
      <c r="AO233" s="3" t="str">
        <f>IF(ISERROR(MATCH(A233,'SegEnds_Xtal_Prot#'!B:B, 0)), "NoXtal", "Xtal")</f>
        <v>NoXtal</v>
      </c>
      <c r="AP233" s="3">
        <f t="shared" si="158"/>
        <v>1</v>
      </c>
      <c r="AQ233" s="3">
        <f t="shared" si="159"/>
        <v>1</v>
      </c>
      <c r="AR233" s="3">
        <f t="shared" si="160"/>
        <v>2</v>
      </c>
      <c r="AS233" s="3">
        <f t="shared" si="161"/>
        <v>1</v>
      </c>
      <c r="AT233" s="3">
        <f t="shared" si="162"/>
        <v>1</v>
      </c>
      <c r="AU233" s="3">
        <f t="shared" si="163"/>
        <v>1</v>
      </c>
      <c r="AV233" s="3" t="str">
        <f t="shared" si="164"/>
        <v>-</v>
      </c>
      <c r="AW233" s="3" t="str">
        <f t="shared" si="165"/>
        <v>-</v>
      </c>
      <c r="AX233" s="3">
        <f t="shared" si="166"/>
        <v>6</v>
      </c>
      <c r="AY233" s="3">
        <f t="shared" si="167"/>
        <v>7</v>
      </c>
      <c r="AZ233" s="3">
        <f t="shared" si="168"/>
        <v>1</v>
      </c>
      <c r="BA233" s="3">
        <f>IF(ISERROR(LEN(VLOOKUP(A233,Seqs!A:E,2,FALSE))-AL233),"-",LEN(VLOOKUP(A233,Seqs!A:E,2,FALSE))-AL233)</f>
        <v>61</v>
      </c>
      <c r="BB233" s="16">
        <f t="shared" si="169"/>
        <v>28</v>
      </c>
      <c r="BC233" s="9">
        <f t="shared" si="170"/>
        <v>20</v>
      </c>
      <c r="BD233" s="3">
        <f t="shared" si="171"/>
        <v>28</v>
      </c>
      <c r="BE233" s="3">
        <f t="shared" si="17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80"/>
        <v>87</v>
      </c>
      <c r="G234" s="3">
        <v>89</v>
      </c>
      <c r="H234" s="3">
        <f t="shared" si="181"/>
        <v>90</v>
      </c>
      <c r="I234" s="3">
        <f t="shared" si="18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82">M234-1</f>
        <v>122</v>
      </c>
      <c r="M234" s="3">
        <v>123</v>
      </c>
      <c r="N234" s="3">
        <f t="shared" ref="N234:N251" si="183">M234+2</f>
        <v>125</v>
      </c>
      <c r="O234" s="3">
        <f t="shared" si="17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1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8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73"/>
        <v>1</v>
      </c>
      <c r="AO234" s="3" t="str">
        <f>IF(ISERROR(MATCH(A234,'SegEnds_Xtal_Prot#'!B:B, 0)), "NoXtal", "Xtal")</f>
        <v>NoXtal</v>
      </c>
      <c r="AP234" s="3">
        <f t="shared" si="158"/>
        <v>1</v>
      </c>
      <c r="AQ234" s="3">
        <f t="shared" si="159"/>
        <v>1</v>
      </c>
      <c r="AR234" s="3">
        <f t="shared" si="160"/>
        <v>2</v>
      </c>
      <c r="AS234" s="3">
        <f t="shared" si="161"/>
        <v>1</v>
      </c>
      <c r="AT234" s="3">
        <f t="shared" si="162"/>
        <v>1</v>
      </c>
      <c r="AU234" s="3">
        <f t="shared" si="163"/>
        <v>1</v>
      </c>
      <c r="AV234" s="3">
        <f t="shared" si="164"/>
        <v>12</v>
      </c>
      <c r="AW234" s="3">
        <f t="shared" si="165"/>
        <v>5</v>
      </c>
      <c r="AX234" s="3">
        <f t="shared" si="166"/>
        <v>6</v>
      </c>
      <c r="AY234" s="3">
        <f t="shared" si="167"/>
        <v>5</v>
      </c>
      <c r="AZ234" s="3">
        <f t="shared" si="168"/>
        <v>1</v>
      </c>
      <c r="BA234" s="3">
        <f>IF(ISERROR(LEN(VLOOKUP(A234,Seqs!A:E,2,FALSE))-AL234),"-",LEN(VLOOKUP(A234,Seqs!A:E,2,FALSE))-AL234)</f>
        <v>52</v>
      </c>
      <c r="BB234" s="16">
        <f t="shared" si="169"/>
        <v>28</v>
      </c>
      <c r="BC234" s="9">
        <f t="shared" si="170"/>
        <v>20</v>
      </c>
      <c r="BD234" s="3">
        <f t="shared" si="171"/>
        <v>28</v>
      </c>
      <c r="BE234" s="3">
        <f t="shared" si="17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80"/>
        <v>72</v>
      </c>
      <c r="G235" s="3">
        <v>74</v>
      </c>
      <c r="H235" s="3">
        <f t="shared" si="181"/>
        <v>75</v>
      </c>
      <c r="I235" s="3">
        <f t="shared" si="18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82"/>
        <v>107</v>
      </c>
      <c r="M235" s="3">
        <v>108</v>
      </c>
      <c r="N235" s="3">
        <f t="shared" si="183"/>
        <v>110</v>
      </c>
      <c r="O235" s="3">
        <f t="shared" si="17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1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8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73"/>
        <v>1</v>
      </c>
      <c r="AO235" s="3" t="str">
        <f>IF(ISERROR(MATCH(A235,'SegEnds_Xtal_Prot#'!B:B, 0)), "NoXtal", "Xtal")</f>
        <v>NoXtal</v>
      </c>
      <c r="AP235" s="3">
        <f t="shared" si="158"/>
        <v>1</v>
      </c>
      <c r="AQ235" s="3">
        <f t="shared" si="159"/>
        <v>1</v>
      </c>
      <c r="AR235" s="3">
        <f t="shared" si="160"/>
        <v>2</v>
      </c>
      <c r="AS235" s="3">
        <f t="shared" si="161"/>
        <v>1</v>
      </c>
      <c r="AT235" s="3">
        <f t="shared" si="162"/>
        <v>1</v>
      </c>
      <c r="AU235" s="3">
        <f t="shared" si="163"/>
        <v>1</v>
      </c>
      <c r="AV235" s="3">
        <f t="shared" si="164"/>
        <v>12</v>
      </c>
      <c r="AW235" s="3">
        <f t="shared" si="165"/>
        <v>5</v>
      </c>
      <c r="AX235" s="3">
        <f t="shared" si="166"/>
        <v>6</v>
      </c>
      <c r="AY235" s="3">
        <f t="shared" si="167"/>
        <v>5</v>
      </c>
      <c r="AZ235" s="3">
        <f t="shared" si="168"/>
        <v>1</v>
      </c>
      <c r="BA235" s="3">
        <f>IF(ISERROR(LEN(VLOOKUP(A235,Seqs!A:E,2,FALSE))-AL235),"-",LEN(VLOOKUP(A235,Seqs!A:E,2,FALSE))-AL235)</f>
        <v>41</v>
      </c>
      <c r="BB235" s="16">
        <f t="shared" si="169"/>
        <v>28</v>
      </c>
      <c r="BC235" s="9">
        <f t="shared" si="170"/>
        <v>20</v>
      </c>
      <c r="BD235" s="3">
        <f t="shared" si="171"/>
        <v>28</v>
      </c>
      <c r="BE235" s="3">
        <f t="shared" si="17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80"/>
        <v>73</v>
      </c>
      <c r="G236" s="3">
        <v>75</v>
      </c>
      <c r="H236" s="3">
        <f t="shared" si="181"/>
        <v>76</v>
      </c>
      <c r="I236" s="3">
        <f t="shared" si="18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82"/>
        <v>108</v>
      </c>
      <c r="M236" s="3">
        <v>109</v>
      </c>
      <c r="N236" s="3">
        <f t="shared" si="183"/>
        <v>111</v>
      </c>
      <c r="O236" s="3">
        <f t="shared" si="17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1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8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73"/>
        <v>1</v>
      </c>
      <c r="AO236" s="3" t="str">
        <f>IF(ISERROR(MATCH(A236,'SegEnds_Xtal_Prot#'!B:B, 0)), "NoXtal", "Xtal")</f>
        <v>NoXtal</v>
      </c>
      <c r="AP236" s="3">
        <f t="shared" si="158"/>
        <v>1</v>
      </c>
      <c r="AQ236" s="3">
        <f t="shared" si="159"/>
        <v>1</v>
      </c>
      <c r="AR236" s="3">
        <f t="shared" si="160"/>
        <v>2</v>
      </c>
      <c r="AS236" s="3">
        <f t="shared" si="161"/>
        <v>1</v>
      </c>
      <c r="AT236" s="3">
        <f t="shared" si="162"/>
        <v>1</v>
      </c>
      <c r="AU236" s="3">
        <f t="shared" si="163"/>
        <v>1</v>
      </c>
      <c r="AV236" s="3">
        <f t="shared" si="164"/>
        <v>9</v>
      </c>
      <c r="AW236" s="3">
        <f t="shared" si="165"/>
        <v>5</v>
      </c>
      <c r="AX236" s="3">
        <f t="shared" si="166"/>
        <v>6</v>
      </c>
      <c r="AY236" s="3">
        <f t="shared" si="167"/>
        <v>5</v>
      </c>
      <c r="AZ236" s="3">
        <f t="shared" si="168"/>
        <v>1</v>
      </c>
      <c r="BA236" s="3">
        <f>IF(ISERROR(LEN(VLOOKUP(A236,Seqs!A:E,2,FALSE))-AL236),"-",LEN(VLOOKUP(A236,Seqs!A:E,2,FALSE))-AL236)</f>
        <v>89</v>
      </c>
      <c r="BB236" s="16">
        <f t="shared" si="169"/>
        <v>28</v>
      </c>
      <c r="BC236" s="9">
        <f t="shared" si="170"/>
        <v>20</v>
      </c>
      <c r="BD236" s="3">
        <f t="shared" si="171"/>
        <v>28</v>
      </c>
      <c r="BE236" s="3">
        <f t="shared" si="17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80"/>
        <v>76</v>
      </c>
      <c r="G237" s="3">
        <v>78</v>
      </c>
      <c r="H237" s="3">
        <f t="shared" si="181"/>
        <v>79</v>
      </c>
      <c r="I237" s="3">
        <f t="shared" si="18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82"/>
        <v>111</v>
      </c>
      <c r="M237" s="3">
        <v>112</v>
      </c>
      <c r="N237" s="3">
        <f t="shared" si="183"/>
        <v>114</v>
      </c>
      <c r="O237" s="3">
        <f t="shared" si="17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1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8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73"/>
        <v>1</v>
      </c>
      <c r="AO237" s="3" t="str">
        <f>IF(ISERROR(MATCH(A237,'SegEnds_Xtal_Prot#'!B:B, 0)), "NoXtal", "Xtal")</f>
        <v>NoXtal</v>
      </c>
      <c r="AP237" s="3">
        <f t="shared" si="158"/>
        <v>1</v>
      </c>
      <c r="AQ237" s="3">
        <f t="shared" si="159"/>
        <v>1</v>
      </c>
      <c r="AR237" s="3">
        <f t="shared" si="160"/>
        <v>2</v>
      </c>
      <c r="AS237" s="3">
        <f t="shared" si="161"/>
        <v>1</v>
      </c>
      <c r="AT237" s="3">
        <f t="shared" si="162"/>
        <v>1</v>
      </c>
      <c r="AU237" s="3">
        <f t="shared" si="163"/>
        <v>1</v>
      </c>
      <c r="AV237" s="3">
        <f t="shared" si="164"/>
        <v>13</v>
      </c>
      <c r="AW237" s="3">
        <f t="shared" si="165"/>
        <v>4</v>
      </c>
      <c r="AX237" s="3">
        <f t="shared" si="166"/>
        <v>6</v>
      </c>
      <c r="AY237" s="3">
        <f t="shared" si="167"/>
        <v>5</v>
      </c>
      <c r="AZ237" s="3">
        <f t="shared" si="168"/>
        <v>1</v>
      </c>
      <c r="BA237" s="3">
        <f>IF(ISERROR(LEN(VLOOKUP(A237,Seqs!A:E,2,FALSE))-AL237),"-",LEN(VLOOKUP(A237,Seqs!A:E,2,FALSE))-AL237)</f>
        <v>60</v>
      </c>
      <c r="BB237" s="16">
        <f t="shared" si="169"/>
        <v>28</v>
      </c>
      <c r="BC237" s="9">
        <f t="shared" si="170"/>
        <v>20</v>
      </c>
      <c r="BD237" s="3">
        <f t="shared" si="171"/>
        <v>28</v>
      </c>
      <c r="BE237" s="3">
        <f t="shared" si="17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80"/>
        <v>69</v>
      </c>
      <c r="G238" s="3">
        <v>71</v>
      </c>
      <c r="H238" s="3">
        <f t="shared" si="181"/>
        <v>72</v>
      </c>
      <c r="I238" s="3">
        <f t="shared" si="18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82"/>
        <v>104</v>
      </c>
      <c r="M238" s="3">
        <v>105</v>
      </c>
      <c r="N238" s="3">
        <f t="shared" si="183"/>
        <v>107</v>
      </c>
      <c r="O238" s="3">
        <f t="shared" si="17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1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8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73"/>
        <v>1</v>
      </c>
      <c r="AO238" s="3" t="str">
        <f>IF(ISERROR(MATCH(A238,'SegEnds_Xtal_Prot#'!B:B, 0)), "NoXtal", "Xtal")</f>
        <v>NoXtal</v>
      </c>
      <c r="AP238" s="3">
        <f t="shared" si="158"/>
        <v>1</v>
      </c>
      <c r="AQ238" s="3">
        <f t="shared" si="159"/>
        <v>1</v>
      </c>
      <c r="AR238" s="3">
        <f t="shared" si="160"/>
        <v>2</v>
      </c>
      <c r="AS238" s="3">
        <f t="shared" si="161"/>
        <v>1</v>
      </c>
      <c r="AT238" s="3">
        <f t="shared" si="162"/>
        <v>1</v>
      </c>
      <c r="AU238" s="3">
        <f t="shared" si="163"/>
        <v>1</v>
      </c>
      <c r="AV238" s="3">
        <f t="shared" si="164"/>
        <v>8</v>
      </c>
      <c r="AW238" s="3">
        <f t="shared" si="165"/>
        <v>5</v>
      </c>
      <c r="AX238" s="3">
        <f t="shared" si="166"/>
        <v>7</v>
      </c>
      <c r="AY238" s="3">
        <f t="shared" si="167"/>
        <v>5</v>
      </c>
      <c r="AZ238" s="3">
        <f t="shared" si="168"/>
        <v>1</v>
      </c>
      <c r="BA238" s="3">
        <f>IF(ISERROR(LEN(VLOOKUP(A238,Seqs!A:E,2,FALSE))-AL238),"-",LEN(VLOOKUP(A238,Seqs!A:E,2,FALSE))-AL238)</f>
        <v>44</v>
      </c>
      <c r="BB238" s="16">
        <f t="shared" si="169"/>
        <v>28</v>
      </c>
      <c r="BC238" s="9">
        <f t="shared" si="170"/>
        <v>20</v>
      </c>
      <c r="BD238" s="3">
        <f t="shared" si="171"/>
        <v>28</v>
      </c>
      <c r="BE238" s="3">
        <f t="shared" si="17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82"/>
        <v>87</v>
      </c>
      <c r="M239" s="3">
        <v>88</v>
      </c>
      <c r="N239" s="3">
        <f t="shared" si="183"/>
        <v>90</v>
      </c>
      <c r="O239" s="3">
        <f t="shared" si="17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1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8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73"/>
        <v>1</v>
      </c>
      <c r="AO239" s="3" t="str">
        <f>IF(ISERROR(MATCH(A239,'SegEnds_Xtal_Prot#'!B:B, 0)), "NoXtal", "Xtal")</f>
        <v>NoXtal</v>
      </c>
      <c r="AP239" s="3" t="str">
        <f t="shared" si="158"/>
        <v>-</v>
      </c>
      <c r="AQ239" s="3" t="str">
        <f t="shared" si="159"/>
        <v>-</v>
      </c>
      <c r="AR239" s="3">
        <f t="shared" si="160"/>
        <v>2</v>
      </c>
      <c r="AS239" s="3">
        <f t="shared" si="161"/>
        <v>1</v>
      </c>
      <c r="AT239" s="3">
        <f t="shared" si="162"/>
        <v>1</v>
      </c>
      <c r="AU239" s="3">
        <f t="shared" si="163"/>
        <v>1</v>
      </c>
      <c r="AV239" s="3">
        <f t="shared" si="164"/>
        <v>11</v>
      </c>
      <c r="AW239" s="3">
        <f t="shared" si="165"/>
        <v>7</v>
      </c>
      <c r="AX239" s="3">
        <f t="shared" si="166"/>
        <v>4</v>
      </c>
      <c r="AY239" s="3">
        <f t="shared" si="167"/>
        <v>5</v>
      </c>
      <c r="AZ239" s="3">
        <f t="shared" si="168"/>
        <v>1</v>
      </c>
      <c r="BA239" s="3">
        <f>IF(ISERROR(LEN(VLOOKUP(A239,Seqs!A:E,2,FALSE))-AL239),"-",LEN(VLOOKUP(A239,Seqs!A:E,2,FALSE))-AL239)</f>
        <v>23</v>
      </c>
      <c r="BB239" s="16">
        <f t="shared" si="169"/>
        <v>28</v>
      </c>
      <c r="BC239" s="9">
        <f t="shared" si="170"/>
        <v>20</v>
      </c>
      <c r="BD239" s="3">
        <f t="shared" si="171"/>
        <v>28</v>
      </c>
      <c r="BE239" s="3">
        <f t="shared" si="172"/>
        <v>48</v>
      </c>
      <c r="BF239" s="3">
        <f t="shared" ref="BF239:BF247" si="18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82"/>
        <v>94</v>
      </c>
      <c r="M240" s="3">
        <v>95</v>
      </c>
      <c r="N240" s="3">
        <f t="shared" si="183"/>
        <v>97</v>
      </c>
      <c r="O240" s="3">
        <f t="shared" si="17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1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8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73"/>
        <v>1</v>
      </c>
      <c r="AO240" s="3" t="str">
        <f>IF(ISERROR(MATCH(A240,'SegEnds_Xtal_Prot#'!B:B, 0)), "NoXtal", "Xtal")</f>
        <v>NoXtal</v>
      </c>
      <c r="AP240" s="3" t="str">
        <f t="shared" si="158"/>
        <v>-</v>
      </c>
      <c r="AQ240" s="3" t="str">
        <f t="shared" si="159"/>
        <v>-</v>
      </c>
      <c r="AR240" s="3">
        <f t="shared" si="160"/>
        <v>3</v>
      </c>
      <c r="AS240" s="3">
        <f t="shared" si="161"/>
        <v>1</v>
      </c>
      <c r="AT240" s="3">
        <f t="shared" si="162"/>
        <v>1</v>
      </c>
      <c r="AU240" s="3">
        <f t="shared" si="163"/>
        <v>1</v>
      </c>
      <c r="AV240" s="3">
        <f t="shared" si="164"/>
        <v>9</v>
      </c>
      <c r="AW240" s="3">
        <f t="shared" si="165"/>
        <v>18</v>
      </c>
      <c r="AX240" s="3">
        <f t="shared" si="166"/>
        <v>4</v>
      </c>
      <c r="AY240" s="3">
        <f t="shared" si="167"/>
        <v>5</v>
      </c>
      <c r="AZ240" s="3">
        <f t="shared" si="168"/>
        <v>1</v>
      </c>
      <c r="BA240" s="3">
        <f>IF(ISERROR(LEN(VLOOKUP(A240,Seqs!A:E,2,FALSE))-AL240),"-",LEN(VLOOKUP(A240,Seqs!A:E,2,FALSE))-AL240)</f>
        <v>18</v>
      </c>
      <c r="BB240" s="16">
        <f t="shared" si="169"/>
        <v>32</v>
      </c>
      <c r="BC240" s="9">
        <f t="shared" si="170"/>
        <v>20</v>
      </c>
      <c r="BD240" s="3">
        <f t="shared" si="171"/>
        <v>32</v>
      </c>
      <c r="BE240" s="3">
        <f t="shared" si="172"/>
        <v>42</v>
      </c>
      <c r="BF240" s="3">
        <f t="shared" si="18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86">G241-2</f>
        <v>52</v>
      </c>
      <c r="G241" s="3">
        <v>54</v>
      </c>
      <c r="H241" s="3">
        <f t="shared" ref="H241:I262" si="187">G241+1</f>
        <v>55</v>
      </c>
      <c r="I241" s="3">
        <f t="shared" si="18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82"/>
        <v>88</v>
      </c>
      <c r="M241" s="3">
        <v>89</v>
      </c>
      <c r="N241" s="3">
        <f t="shared" si="183"/>
        <v>91</v>
      </c>
      <c r="O241" s="3">
        <f t="shared" si="17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1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8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73"/>
        <v>1</v>
      </c>
      <c r="AO241" s="3" t="str">
        <f>IF(ISERROR(MATCH(A241,'SegEnds_Xtal_Prot#'!B:B, 0)), "NoXtal", "Xtal")</f>
        <v>NoXtal</v>
      </c>
      <c r="AP241" s="3">
        <f t="shared" si="158"/>
        <v>1</v>
      </c>
      <c r="AQ241" s="3">
        <f t="shared" si="159"/>
        <v>1</v>
      </c>
      <c r="AR241" s="3">
        <f t="shared" si="160"/>
        <v>1</v>
      </c>
      <c r="AS241" s="3">
        <f t="shared" si="161"/>
        <v>1</v>
      </c>
      <c r="AT241" s="3">
        <f t="shared" si="162"/>
        <v>1</v>
      </c>
      <c r="AU241" s="3">
        <f t="shared" si="163"/>
        <v>1</v>
      </c>
      <c r="AV241" s="3">
        <f t="shared" si="164"/>
        <v>22</v>
      </c>
      <c r="AW241" s="3">
        <f t="shared" si="165"/>
        <v>3</v>
      </c>
      <c r="AX241" s="3">
        <f t="shared" si="166"/>
        <v>11</v>
      </c>
      <c r="AY241" s="3">
        <f t="shared" si="167"/>
        <v>5</v>
      </c>
      <c r="AZ241" s="3">
        <f t="shared" si="168"/>
        <v>1</v>
      </c>
      <c r="BA241" s="3">
        <f>IF(ISERROR(LEN(VLOOKUP(A241,Seqs!A:E,2,FALSE))-AL241),"-",LEN(VLOOKUP(A241,Seqs!A:E,2,FALSE))-AL241)</f>
        <v>19</v>
      </c>
      <c r="BB241" s="16">
        <f t="shared" si="169"/>
        <v>28</v>
      </c>
      <c r="BC241" s="9">
        <f t="shared" si="170"/>
        <v>20</v>
      </c>
      <c r="BD241" s="3">
        <f t="shared" si="171"/>
        <v>28</v>
      </c>
      <c r="BE241" s="3">
        <f t="shared" si="172"/>
        <v>64</v>
      </c>
      <c r="BF241" s="3">
        <f t="shared" si="18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86"/>
        <v>72</v>
      </c>
      <c r="G242" s="3">
        <v>74</v>
      </c>
      <c r="H242" s="3">
        <f t="shared" si="187"/>
        <v>75</v>
      </c>
      <c r="I242" s="3">
        <f t="shared" si="18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82"/>
        <v>108</v>
      </c>
      <c r="M242" s="3">
        <v>109</v>
      </c>
      <c r="N242" s="3">
        <f t="shared" si="183"/>
        <v>111</v>
      </c>
      <c r="O242" s="3">
        <f t="shared" si="17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1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8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73"/>
        <v>1</v>
      </c>
      <c r="AO242" s="3" t="str">
        <f>IF(ISERROR(MATCH(A242,'SegEnds_Xtal_Prot#'!B:B, 0)), "NoXtal", "Xtal")</f>
        <v>NoXtal</v>
      </c>
      <c r="AP242" s="3">
        <f t="shared" si="158"/>
        <v>1</v>
      </c>
      <c r="AQ242" s="3">
        <f t="shared" si="159"/>
        <v>1</v>
      </c>
      <c r="AR242" s="3">
        <f t="shared" si="160"/>
        <v>1</v>
      </c>
      <c r="AS242" s="3">
        <f t="shared" si="161"/>
        <v>1</v>
      </c>
      <c r="AT242" s="3">
        <f t="shared" si="162"/>
        <v>1</v>
      </c>
      <c r="AU242" s="3">
        <f t="shared" si="163"/>
        <v>1</v>
      </c>
      <c r="AV242" s="3">
        <f t="shared" si="164"/>
        <v>21</v>
      </c>
      <c r="AW242" s="3">
        <f t="shared" si="165"/>
        <v>3</v>
      </c>
      <c r="AX242" s="3">
        <f t="shared" si="166"/>
        <v>5</v>
      </c>
      <c r="AY242" s="3">
        <f t="shared" si="167"/>
        <v>5</v>
      </c>
      <c r="AZ242" s="3">
        <f t="shared" si="168"/>
        <v>1</v>
      </c>
      <c r="BA242" s="3">
        <f>IF(ISERROR(LEN(VLOOKUP(A242,Seqs!A:E,2,FALSE))-AL242),"-",LEN(VLOOKUP(A242,Seqs!A:E,2,FALSE))-AL242)</f>
        <v>20</v>
      </c>
      <c r="BB242" s="16">
        <f t="shared" si="169"/>
        <v>28</v>
      </c>
      <c r="BC242" s="9">
        <f t="shared" si="170"/>
        <v>20</v>
      </c>
      <c r="BD242" s="3">
        <f t="shared" si="171"/>
        <v>28</v>
      </c>
      <c r="BE242" s="3">
        <f t="shared" si="172"/>
        <v>56</v>
      </c>
      <c r="BF242" s="3">
        <f t="shared" si="18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86"/>
        <v>60</v>
      </c>
      <c r="G243" s="3">
        <v>62</v>
      </c>
      <c r="H243" s="3">
        <f t="shared" si="187"/>
        <v>63</v>
      </c>
      <c r="I243" s="3">
        <f t="shared" si="18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82"/>
        <v>96</v>
      </c>
      <c r="M243" s="3">
        <v>97</v>
      </c>
      <c r="N243" s="3">
        <f t="shared" si="183"/>
        <v>99</v>
      </c>
      <c r="O243" s="3">
        <f t="shared" si="17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1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8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73"/>
        <v>1</v>
      </c>
      <c r="AO243" s="3" t="str">
        <f>IF(ISERROR(MATCH(A243,'SegEnds_Xtal_Prot#'!B:B, 0)), "NoXtal", "Xtal")</f>
        <v>NoXtal</v>
      </c>
      <c r="AP243" s="3">
        <f t="shared" si="158"/>
        <v>1</v>
      </c>
      <c r="AQ243" s="3">
        <f t="shared" si="159"/>
        <v>1</v>
      </c>
      <c r="AR243" s="3">
        <f t="shared" si="160"/>
        <v>1</v>
      </c>
      <c r="AS243" s="3">
        <f t="shared" si="161"/>
        <v>1</v>
      </c>
      <c r="AT243" s="3">
        <f t="shared" si="162"/>
        <v>1</v>
      </c>
      <c r="AU243" s="3">
        <f t="shared" si="163"/>
        <v>1</v>
      </c>
      <c r="AV243" s="3">
        <f t="shared" si="164"/>
        <v>21</v>
      </c>
      <c r="AW243" s="3">
        <f t="shared" si="165"/>
        <v>3</v>
      </c>
      <c r="AX243" s="3">
        <f t="shared" si="166"/>
        <v>9</v>
      </c>
      <c r="AY243" s="3">
        <f t="shared" si="167"/>
        <v>5</v>
      </c>
      <c r="AZ243" s="3">
        <f t="shared" si="168"/>
        <v>1</v>
      </c>
      <c r="BA243" s="3">
        <f>IF(ISERROR(LEN(VLOOKUP(A243,Seqs!A:E,2,FALSE))-AL243),"-",LEN(VLOOKUP(A243,Seqs!A:E,2,FALSE))-AL243)</f>
        <v>18</v>
      </c>
      <c r="BB243" s="16">
        <f t="shared" si="169"/>
        <v>28</v>
      </c>
      <c r="BC243" s="9">
        <f t="shared" si="170"/>
        <v>20</v>
      </c>
      <c r="BD243" s="3">
        <f t="shared" si="171"/>
        <v>28</v>
      </c>
      <c r="BE243" s="3">
        <f t="shared" si="172"/>
        <v>62</v>
      </c>
      <c r="BF243" s="3">
        <f t="shared" si="18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86"/>
        <v>63</v>
      </c>
      <c r="G244" s="3">
        <v>65</v>
      </c>
      <c r="H244" s="3">
        <f t="shared" si="187"/>
        <v>66</v>
      </c>
      <c r="I244" s="3">
        <f t="shared" si="18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82"/>
        <v>99</v>
      </c>
      <c r="M244" s="3">
        <v>100</v>
      </c>
      <c r="N244" s="3">
        <f t="shared" si="183"/>
        <v>102</v>
      </c>
      <c r="O244" s="3">
        <f t="shared" si="17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1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8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73"/>
        <v>1</v>
      </c>
      <c r="AO244" s="3" t="str">
        <f>IF(ISERROR(MATCH(A244,'SegEnds_Xtal_Prot#'!B:B, 0)), "NoXtal", "Xtal")</f>
        <v>NoXtal</v>
      </c>
      <c r="AP244" s="3">
        <f t="shared" si="158"/>
        <v>1</v>
      </c>
      <c r="AQ244" s="3">
        <f t="shared" si="159"/>
        <v>1</v>
      </c>
      <c r="AR244" s="3">
        <f t="shared" si="160"/>
        <v>1</v>
      </c>
      <c r="AS244" s="3">
        <f t="shared" si="161"/>
        <v>1</v>
      </c>
      <c r="AT244" s="3">
        <f t="shared" si="162"/>
        <v>1</v>
      </c>
      <c r="AU244" s="3">
        <f t="shared" si="163"/>
        <v>1</v>
      </c>
      <c r="AV244" s="3">
        <f t="shared" si="164"/>
        <v>20</v>
      </c>
      <c r="AW244" s="3">
        <f t="shared" si="165"/>
        <v>2</v>
      </c>
      <c r="AX244" s="3">
        <f t="shared" si="166"/>
        <v>5</v>
      </c>
      <c r="AY244" s="3">
        <f t="shared" si="167"/>
        <v>5</v>
      </c>
      <c r="AZ244" s="3">
        <f t="shared" si="168"/>
        <v>1</v>
      </c>
      <c r="BA244" s="3">
        <f>IF(ISERROR(LEN(VLOOKUP(A244,Seqs!A:E,2,FALSE))-AL244),"-",LEN(VLOOKUP(A244,Seqs!A:E,2,FALSE))-AL244)</f>
        <v>17</v>
      </c>
      <c r="BB244" s="16">
        <f t="shared" si="169"/>
        <v>28</v>
      </c>
      <c r="BC244" s="9">
        <f t="shared" si="170"/>
        <v>20</v>
      </c>
      <c r="BD244" s="3">
        <f t="shared" si="171"/>
        <v>28</v>
      </c>
      <c r="BE244" s="3">
        <f t="shared" si="172"/>
        <v>56</v>
      </c>
      <c r="BF244" s="3">
        <f t="shared" si="18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86"/>
        <v>61</v>
      </c>
      <c r="G245" s="3">
        <v>63</v>
      </c>
      <c r="H245" s="3">
        <f t="shared" si="187"/>
        <v>64</v>
      </c>
      <c r="I245" s="3">
        <f t="shared" si="18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82"/>
        <v>97</v>
      </c>
      <c r="M245" s="3">
        <v>98</v>
      </c>
      <c r="N245" s="3">
        <f t="shared" si="183"/>
        <v>100</v>
      </c>
      <c r="O245" s="3">
        <f t="shared" si="17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1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8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73"/>
        <v>1</v>
      </c>
      <c r="AO245" s="3" t="str">
        <f>IF(ISERROR(MATCH(A245,'SegEnds_Xtal_Prot#'!B:B, 0)), "NoXtal", "Xtal")</f>
        <v>NoXtal</v>
      </c>
      <c r="AP245" s="3">
        <f t="shared" si="158"/>
        <v>1</v>
      </c>
      <c r="AQ245" s="3">
        <f t="shared" si="159"/>
        <v>1</v>
      </c>
      <c r="AR245" s="3">
        <f t="shared" si="160"/>
        <v>1</v>
      </c>
      <c r="AS245" s="3">
        <f t="shared" si="161"/>
        <v>1</v>
      </c>
      <c r="AT245" s="3">
        <f t="shared" si="162"/>
        <v>1</v>
      </c>
      <c r="AU245" s="3">
        <f t="shared" si="163"/>
        <v>1</v>
      </c>
      <c r="AV245" s="3">
        <f t="shared" si="164"/>
        <v>20</v>
      </c>
      <c r="AW245" s="3">
        <f t="shared" si="165"/>
        <v>2</v>
      </c>
      <c r="AX245" s="3">
        <f t="shared" si="166"/>
        <v>11</v>
      </c>
      <c r="AY245" s="3">
        <f t="shared" si="167"/>
        <v>5</v>
      </c>
      <c r="AZ245" s="3">
        <f t="shared" si="168"/>
        <v>1</v>
      </c>
      <c r="BA245" s="3">
        <f>IF(ISERROR(LEN(VLOOKUP(A245,Seqs!A:E,2,FALSE))-AL245),"-",LEN(VLOOKUP(A245,Seqs!A:E,2,FALSE))-AL245)</f>
        <v>19</v>
      </c>
      <c r="BB245" s="16">
        <f t="shared" si="169"/>
        <v>28</v>
      </c>
      <c r="BC245" s="9">
        <f t="shared" si="170"/>
        <v>20</v>
      </c>
      <c r="BD245" s="3">
        <f t="shared" si="171"/>
        <v>28</v>
      </c>
      <c r="BE245" s="3">
        <f t="shared" si="172"/>
        <v>64</v>
      </c>
      <c r="BF245" s="3">
        <f t="shared" si="18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86"/>
        <v>60</v>
      </c>
      <c r="G246" s="3">
        <v>62</v>
      </c>
      <c r="H246" s="3">
        <f t="shared" si="187"/>
        <v>63</v>
      </c>
      <c r="I246" s="3">
        <f t="shared" si="18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82"/>
        <v>96</v>
      </c>
      <c r="M246" s="3">
        <v>97</v>
      </c>
      <c r="N246" s="3">
        <f t="shared" si="183"/>
        <v>99</v>
      </c>
      <c r="O246" s="3">
        <f t="shared" si="17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1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8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73"/>
        <v>1</v>
      </c>
      <c r="AO246" s="3" t="str">
        <f>IF(ISERROR(MATCH(A246,'SegEnds_Xtal_Prot#'!B:B, 0)), "NoXtal", "Xtal")</f>
        <v>NoXtal</v>
      </c>
      <c r="AP246" s="3">
        <f t="shared" si="158"/>
        <v>1</v>
      </c>
      <c r="AQ246" s="3">
        <f t="shared" si="159"/>
        <v>1</v>
      </c>
      <c r="AR246" s="3">
        <f t="shared" si="160"/>
        <v>1</v>
      </c>
      <c r="AS246" s="3">
        <f t="shared" si="161"/>
        <v>1</v>
      </c>
      <c r="AT246" s="3">
        <f t="shared" si="162"/>
        <v>1</v>
      </c>
      <c r="AU246" s="3">
        <f t="shared" si="163"/>
        <v>1</v>
      </c>
      <c r="AV246" s="3">
        <f t="shared" si="164"/>
        <v>20</v>
      </c>
      <c r="AW246" s="3">
        <f t="shared" si="165"/>
        <v>2</v>
      </c>
      <c r="AX246" s="3">
        <f t="shared" si="166"/>
        <v>11</v>
      </c>
      <c r="AY246" s="3">
        <f t="shared" si="167"/>
        <v>5</v>
      </c>
      <c r="AZ246" s="3">
        <f t="shared" si="168"/>
        <v>1</v>
      </c>
      <c r="BA246" s="3">
        <f>IF(ISERROR(LEN(VLOOKUP(A246,Seqs!A:E,2,FALSE))-AL246),"-",LEN(VLOOKUP(A246,Seqs!A:E,2,FALSE))-AL246)</f>
        <v>17</v>
      </c>
      <c r="BB246" s="16">
        <f t="shared" si="169"/>
        <v>28</v>
      </c>
      <c r="BC246" s="9">
        <f t="shared" si="170"/>
        <v>20</v>
      </c>
      <c r="BD246" s="3">
        <f t="shared" si="171"/>
        <v>28</v>
      </c>
      <c r="BE246" s="3">
        <f t="shared" si="172"/>
        <v>64</v>
      </c>
      <c r="BF246" s="3">
        <f t="shared" si="18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86"/>
        <v>61</v>
      </c>
      <c r="G247" s="3">
        <v>63</v>
      </c>
      <c r="H247" s="3">
        <f t="shared" si="187"/>
        <v>64</v>
      </c>
      <c r="I247" s="3">
        <f t="shared" si="18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82"/>
        <v>97</v>
      </c>
      <c r="M247" s="3">
        <v>98</v>
      </c>
      <c r="N247" s="3">
        <f t="shared" si="183"/>
        <v>100</v>
      </c>
      <c r="O247" s="3">
        <f t="shared" si="17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1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8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73"/>
        <v>1</v>
      </c>
      <c r="AO247" s="3" t="str">
        <f>IF(ISERROR(MATCH(A247,'SegEnds_Xtal_Prot#'!B:B, 0)), "NoXtal", "Xtal")</f>
        <v>NoXtal</v>
      </c>
      <c r="AP247" s="3">
        <f t="shared" si="158"/>
        <v>1</v>
      </c>
      <c r="AQ247" s="3">
        <f t="shared" si="159"/>
        <v>1</v>
      </c>
      <c r="AR247" s="3">
        <f t="shared" si="160"/>
        <v>1</v>
      </c>
      <c r="AS247" s="3">
        <f t="shared" si="161"/>
        <v>1</v>
      </c>
      <c r="AT247" s="3">
        <f t="shared" si="162"/>
        <v>1</v>
      </c>
      <c r="AU247" s="3">
        <f t="shared" si="163"/>
        <v>1</v>
      </c>
      <c r="AV247" s="3">
        <f t="shared" si="164"/>
        <v>20</v>
      </c>
      <c r="AW247" s="3">
        <f t="shared" si="165"/>
        <v>2</v>
      </c>
      <c r="AX247" s="3">
        <f t="shared" si="166"/>
        <v>11</v>
      </c>
      <c r="AY247" s="3">
        <f t="shared" si="167"/>
        <v>5</v>
      </c>
      <c r="AZ247" s="3">
        <f t="shared" si="168"/>
        <v>1</v>
      </c>
      <c r="BA247" s="3">
        <f>IF(ISERROR(LEN(VLOOKUP(A247,Seqs!A:E,2,FALSE))-AL247),"-",LEN(VLOOKUP(A247,Seqs!A:E,2,FALSE))-AL247)</f>
        <v>22</v>
      </c>
      <c r="BB247" s="16">
        <f t="shared" si="169"/>
        <v>28</v>
      </c>
      <c r="BC247" s="9">
        <f t="shared" si="170"/>
        <v>20</v>
      </c>
      <c r="BD247" s="3">
        <f t="shared" si="171"/>
        <v>28</v>
      </c>
      <c r="BE247" s="3">
        <f t="shared" si="172"/>
        <v>64</v>
      </c>
      <c r="BF247" s="3">
        <f t="shared" si="18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86"/>
        <v>54</v>
      </c>
      <c r="G248" s="3">
        <v>56</v>
      </c>
      <c r="H248" s="3">
        <f t="shared" si="187"/>
        <v>57</v>
      </c>
      <c r="I248" s="3">
        <f t="shared" si="18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82"/>
        <v>90</v>
      </c>
      <c r="M248" s="3">
        <v>91</v>
      </c>
      <c r="N248" s="3">
        <f t="shared" si="183"/>
        <v>93</v>
      </c>
      <c r="O248" s="3">
        <f t="shared" si="17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1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8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73"/>
        <v>1</v>
      </c>
      <c r="AO248" s="3" t="str">
        <f>IF(ISERROR(MATCH(A248,'SegEnds_Xtal_Prot#'!B:B, 0)), "NoXtal", "Xtal")</f>
        <v>NoXtal</v>
      </c>
      <c r="AP248" s="3">
        <f t="shared" si="158"/>
        <v>1</v>
      </c>
      <c r="AQ248" s="3">
        <f t="shared" si="159"/>
        <v>1</v>
      </c>
      <c r="AR248" s="3">
        <f t="shared" si="160"/>
        <v>3</v>
      </c>
      <c r="AS248" s="3">
        <f t="shared" si="161"/>
        <v>1</v>
      </c>
      <c r="AT248" s="3">
        <f t="shared" si="162"/>
        <v>1</v>
      </c>
      <c r="AU248" s="3">
        <f t="shared" si="163"/>
        <v>1</v>
      </c>
      <c r="AV248" s="3">
        <f t="shared" si="164"/>
        <v>15</v>
      </c>
      <c r="AW248" s="3">
        <f t="shared" si="165"/>
        <v>3</v>
      </c>
      <c r="AX248" s="3">
        <f t="shared" si="166"/>
        <v>26</v>
      </c>
      <c r="AY248" s="3">
        <f t="shared" si="167"/>
        <v>6</v>
      </c>
      <c r="AZ248" s="3">
        <f t="shared" si="168"/>
        <v>1</v>
      </c>
      <c r="BA248" s="3">
        <f>IF(ISERROR(LEN(VLOOKUP(A248,Seqs!A:E,2,FALSE))-AL248),"-",LEN(VLOOKUP(A248,Seqs!A:E,2,FALSE))-AL248)</f>
        <v>62</v>
      </c>
      <c r="BB248" s="16">
        <f t="shared" si="169"/>
        <v>28</v>
      </c>
      <c r="BC248" s="9">
        <f t="shared" si="170"/>
        <v>20</v>
      </c>
      <c r="BD248" s="3">
        <f t="shared" si="171"/>
        <v>28</v>
      </c>
      <c r="BE248" s="3">
        <f t="shared" si="17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86"/>
        <v>444</v>
      </c>
      <c r="G249" s="3">
        <v>446</v>
      </c>
      <c r="H249" s="3">
        <f t="shared" si="187"/>
        <v>447</v>
      </c>
      <c r="I249" s="3">
        <f t="shared" si="18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82"/>
        <v>487</v>
      </c>
      <c r="M249" s="3">
        <v>488</v>
      </c>
      <c r="N249" s="3">
        <f t="shared" si="183"/>
        <v>490</v>
      </c>
      <c r="O249" s="3">
        <f t="shared" si="17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1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8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73"/>
        <v>1</v>
      </c>
      <c r="AO249" s="3" t="str">
        <f>IF(ISERROR(MATCH(A249,'SegEnds_Xtal_Prot#'!B:B, 0)), "NoXtal", "Xtal")</f>
        <v>NoXtal</v>
      </c>
      <c r="AP249" s="3">
        <f t="shared" si="158"/>
        <v>2</v>
      </c>
      <c r="AQ249" s="3">
        <f t="shared" si="159"/>
        <v>1</v>
      </c>
      <c r="AR249" s="3">
        <f t="shared" si="160"/>
        <v>10</v>
      </c>
      <c r="AS249" s="3">
        <f t="shared" si="161"/>
        <v>1</v>
      </c>
      <c r="AT249" s="3">
        <f t="shared" si="162"/>
        <v>1</v>
      </c>
      <c r="AU249" s="3">
        <f t="shared" si="163"/>
        <v>1</v>
      </c>
      <c r="AV249" s="3">
        <f t="shared" si="164"/>
        <v>10</v>
      </c>
      <c r="AW249" s="3">
        <f t="shared" si="165"/>
        <v>6</v>
      </c>
      <c r="AX249" s="3">
        <f t="shared" si="166"/>
        <v>5</v>
      </c>
      <c r="AY249" s="3">
        <f t="shared" si="167"/>
        <v>6</v>
      </c>
      <c r="AZ249" s="3">
        <f t="shared" si="168"/>
        <v>1</v>
      </c>
      <c r="BA249" s="3">
        <f>IF(ISERROR(LEN(VLOOKUP(A249,Seqs!A:E,2,FALSE))-AL249),"-",LEN(VLOOKUP(A249,Seqs!A:E,2,FALSE))-AL249)</f>
        <v>60</v>
      </c>
      <c r="BB249" s="16">
        <f t="shared" si="169"/>
        <v>28</v>
      </c>
      <c r="BC249" s="9">
        <f t="shared" si="170"/>
        <v>20</v>
      </c>
      <c r="BD249" s="3">
        <f t="shared" si="171"/>
        <v>28</v>
      </c>
      <c r="BE249" s="3">
        <f t="shared" si="17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86"/>
        <v>67</v>
      </c>
      <c r="G250" s="3">
        <v>69</v>
      </c>
      <c r="H250" s="3">
        <f t="shared" si="187"/>
        <v>70</v>
      </c>
      <c r="I250" s="3">
        <f t="shared" si="18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82"/>
        <v>102</v>
      </c>
      <c r="M250" s="3">
        <v>103</v>
      </c>
      <c r="N250" s="3">
        <f t="shared" si="183"/>
        <v>105</v>
      </c>
      <c r="O250" s="3">
        <f t="shared" si="17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1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8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73"/>
        <v>1</v>
      </c>
      <c r="AO250" s="3" t="str">
        <f>IF(ISERROR(MATCH(A250,'SegEnds_Xtal_Prot#'!B:B, 0)), "NoXtal", "Xtal")</f>
        <v>NoXtal</v>
      </c>
      <c r="AP250" s="3">
        <f t="shared" si="158"/>
        <v>2</v>
      </c>
      <c r="AQ250" s="3">
        <f t="shared" si="159"/>
        <v>1</v>
      </c>
      <c r="AR250" s="3">
        <f t="shared" si="160"/>
        <v>1</v>
      </c>
      <c r="AS250" s="3">
        <f t="shared" si="161"/>
        <v>1</v>
      </c>
      <c r="AT250" s="3">
        <f t="shared" si="162"/>
        <v>1</v>
      </c>
      <c r="AU250" s="3">
        <f t="shared" si="163"/>
        <v>1</v>
      </c>
      <c r="AV250" s="3">
        <f t="shared" si="164"/>
        <v>14</v>
      </c>
      <c r="AW250" s="3">
        <f t="shared" si="165"/>
        <v>5</v>
      </c>
      <c r="AX250" s="3">
        <f t="shared" si="166"/>
        <v>17</v>
      </c>
      <c r="AY250" s="3">
        <f t="shared" si="167"/>
        <v>6</v>
      </c>
      <c r="AZ250" s="3">
        <f t="shared" si="168"/>
        <v>1</v>
      </c>
      <c r="BA250" s="3">
        <f>IF(ISERROR(LEN(VLOOKUP(A250,Seqs!A:E,2,FALSE))-AL250),"-",LEN(VLOOKUP(A250,Seqs!A:E,2,FALSE))-AL250)</f>
        <v>31</v>
      </c>
      <c r="BB250" s="16">
        <f t="shared" si="169"/>
        <v>30</v>
      </c>
      <c r="BC250" s="9">
        <f t="shared" si="170"/>
        <v>20</v>
      </c>
      <c r="BD250" s="3">
        <f t="shared" si="171"/>
        <v>30</v>
      </c>
      <c r="BE250" s="3">
        <f t="shared" si="17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86"/>
        <v>60</v>
      </c>
      <c r="G251" s="3">
        <v>62</v>
      </c>
      <c r="H251" s="3">
        <f t="shared" si="187"/>
        <v>63</v>
      </c>
      <c r="I251" s="3">
        <f t="shared" si="18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82"/>
        <v>94</v>
      </c>
      <c r="M251" s="3">
        <v>95</v>
      </c>
      <c r="N251" s="3">
        <f t="shared" si="183"/>
        <v>97</v>
      </c>
      <c r="O251" s="3">
        <f t="shared" si="17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1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8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73"/>
        <v>1</v>
      </c>
      <c r="AO251" s="3" t="str">
        <f>IF(ISERROR(MATCH(A251,'SegEnds_Xtal_Prot#'!B:B, 0)), "NoXtal", "Xtal")</f>
        <v>NoXtal</v>
      </c>
      <c r="AP251" s="3">
        <f t="shared" si="158"/>
        <v>1</v>
      </c>
      <c r="AQ251" s="3">
        <f t="shared" si="159"/>
        <v>1</v>
      </c>
      <c r="AR251" s="3">
        <f t="shared" si="160"/>
        <v>1</v>
      </c>
      <c r="AS251" s="3">
        <f t="shared" si="161"/>
        <v>1</v>
      </c>
      <c r="AT251" s="3">
        <f t="shared" si="162"/>
        <v>1</v>
      </c>
      <c r="AU251" s="3">
        <f t="shared" si="163"/>
        <v>1</v>
      </c>
      <c r="AV251" s="3">
        <f t="shared" si="164"/>
        <v>7</v>
      </c>
      <c r="AW251" s="3">
        <f t="shared" si="165"/>
        <v>5</v>
      </c>
      <c r="AX251" s="3">
        <f t="shared" si="166"/>
        <v>5</v>
      </c>
      <c r="AY251" s="3">
        <f t="shared" si="167"/>
        <v>4</v>
      </c>
      <c r="AZ251" s="3">
        <f t="shared" si="168"/>
        <v>1</v>
      </c>
      <c r="BA251" s="3">
        <f>IF(ISERROR(LEN(VLOOKUP(A251,Seqs!A:E,2,FALSE))-AL251),"-",LEN(VLOOKUP(A251,Seqs!A:E,2,FALSE))-AL251)</f>
        <v>30</v>
      </c>
      <c r="BB251" s="16">
        <f t="shared" si="169"/>
        <v>28</v>
      </c>
      <c r="BC251" s="9">
        <f t="shared" si="170"/>
        <v>20</v>
      </c>
      <c r="BD251" s="3">
        <f t="shared" si="171"/>
        <v>28</v>
      </c>
      <c r="BE251" s="3">
        <f t="shared" si="17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86"/>
        <v>67</v>
      </c>
      <c r="G252" s="3">
        <v>69</v>
      </c>
      <c r="H252" s="3">
        <f t="shared" si="187"/>
        <v>70</v>
      </c>
      <c r="I252" s="3">
        <f t="shared" si="18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1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8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73"/>
        <v>1</v>
      </c>
      <c r="AO252" s="3" t="str">
        <f>IF(ISERROR(MATCH(A252,'SegEnds_Xtal_Prot#'!B:B, 0)), "NoXtal", "Xtal")</f>
        <v>NoXtal</v>
      </c>
      <c r="AP252" s="3">
        <f t="shared" si="158"/>
        <v>1</v>
      </c>
      <c r="AQ252" s="3">
        <f t="shared" si="159"/>
        <v>1</v>
      </c>
      <c r="AR252" s="3" t="str">
        <f t="shared" si="160"/>
        <v>-</v>
      </c>
      <c r="AS252" s="3" t="str">
        <f t="shared" si="161"/>
        <v>-</v>
      </c>
      <c r="AT252" s="3">
        <f t="shared" si="162"/>
        <v>1</v>
      </c>
      <c r="AU252" s="3">
        <f t="shared" si="163"/>
        <v>1</v>
      </c>
      <c r="AV252" s="3">
        <f t="shared" si="164"/>
        <v>11</v>
      </c>
      <c r="AW252" s="3">
        <f t="shared" si="165"/>
        <v>9</v>
      </c>
      <c r="AX252" s="3">
        <f t="shared" si="166"/>
        <v>4</v>
      </c>
      <c r="AY252" s="3">
        <f t="shared" si="167"/>
        <v>4</v>
      </c>
      <c r="AZ252" s="3">
        <f t="shared" si="168"/>
        <v>1</v>
      </c>
      <c r="BA252" s="3">
        <f>IF(ISERROR(LEN(VLOOKUP(A252,Seqs!A:E,2,FALSE))-AL252),"-",LEN(VLOOKUP(A252,Seqs!A:E,2,FALSE))-AL252)</f>
        <v>28</v>
      </c>
      <c r="BB252" s="16">
        <f t="shared" si="169"/>
        <v>28</v>
      </c>
      <c r="BC252" s="9">
        <f t="shared" si="170"/>
        <v>21</v>
      </c>
      <c r="BD252" s="3">
        <f t="shared" si="171"/>
        <v>28</v>
      </c>
      <c r="BE252" s="3">
        <f t="shared" si="172"/>
        <v>41</v>
      </c>
      <c r="BF252" s="3">
        <f t="shared" ref="BF252:BF257" si="18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86"/>
        <v>63</v>
      </c>
      <c r="G253" s="3">
        <v>65</v>
      </c>
      <c r="H253" s="3">
        <f t="shared" si="187"/>
        <v>66</v>
      </c>
      <c r="I253" s="3">
        <f t="shared" si="18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1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8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73"/>
        <v>1</v>
      </c>
      <c r="AO253" s="3" t="str">
        <f>IF(ISERROR(MATCH(A253,'SegEnds_Xtal_Prot#'!B:B, 0)), "NoXtal", "Xtal")</f>
        <v>Xtal</v>
      </c>
      <c r="AP253" s="3">
        <f t="shared" si="158"/>
        <v>1</v>
      </c>
      <c r="AQ253" s="3">
        <f t="shared" si="159"/>
        <v>1</v>
      </c>
      <c r="AR253" s="3">
        <f t="shared" si="160"/>
        <v>1</v>
      </c>
      <c r="AS253" s="3">
        <f t="shared" si="161"/>
        <v>1</v>
      </c>
      <c r="AT253" s="3">
        <f t="shared" si="162"/>
        <v>1</v>
      </c>
      <c r="AU253" s="3">
        <f t="shared" si="163"/>
        <v>1</v>
      </c>
      <c r="AV253" s="3">
        <f t="shared" si="164"/>
        <v>10</v>
      </c>
      <c r="AW253" s="3">
        <f t="shared" si="165"/>
        <v>2</v>
      </c>
      <c r="AX253" s="3">
        <f t="shared" si="166"/>
        <v>136</v>
      </c>
      <c r="AY253" s="3">
        <f t="shared" si="167"/>
        <v>5</v>
      </c>
      <c r="AZ253" s="3">
        <f t="shared" si="168"/>
        <v>1</v>
      </c>
      <c r="BA253" s="3">
        <f>IF(ISERROR(LEN(VLOOKUP(A253,Seqs!A:E,2,FALSE))-AL253),"-",LEN(VLOOKUP(A253,Seqs!A:E,2,FALSE))-AL253)</f>
        <v>1</v>
      </c>
      <c r="BB253" s="16">
        <f t="shared" si="169"/>
        <v>28</v>
      </c>
      <c r="BC253" s="9">
        <f t="shared" si="170"/>
        <v>21</v>
      </c>
      <c r="BD253" s="3">
        <f t="shared" si="171"/>
        <v>28</v>
      </c>
      <c r="BE253" s="3">
        <f t="shared" si="172"/>
        <v>187</v>
      </c>
      <c r="BF253" s="3">
        <f t="shared" si="18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86"/>
        <v>47</v>
      </c>
      <c r="G254" s="3">
        <v>49</v>
      </c>
      <c r="H254" s="3">
        <f t="shared" si="187"/>
        <v>50</v>
      </c>
      <c r="I254" s="3">
        <f t="shared" si="18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1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8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73"/>
        <v>1</v>
      </c>
      <c r="AO254" s="3" t="str">
        <f>IF(ISERROR(MATCH(A254,'SegEnds_Xtal_Prot#'!B:B, 0)), "NoXtal", "Xtal")</f>
        <v>NoXtal</v>
      </c>
      <c r="AP254" s="3">
        <f t="shared" si="158"/>
        <v>1</v>
      </c>
      <c r="AQ254" s="3">
        <f t="shared" si="159"/>
        <v>1</v>
      </c>
      <c r="AR254" s="3" t="str">
        <f t="shared" si="160"/>
        <v>-</v>
      </c>
      <c r="AS254" s="3" t="str">
        <f t="shared" si="161"/>
        <v>-</v>
      </c>
      <c r="AT254" s="3">
        <f t="shared" si="162"/>
        <v>1</v>
      </c>
      <c r="AU254" s="3">
        <f t="shared" si="163"/>
        <v>1</v>
      </c>
      <c r="AV254" s="3">
        <f t="shared" si="164"/>
        <v>9</v>
      </c>
      <c r="AW254" s="3">
        <f t="shared" si="165"/>
        <v>1</v>
      </c>
      <c r="AX254" s="3">
        <f t="shared" si="166"/>
        <v>58</v>
      </c>
      <c r="AY254" s="3">
        <f t="shared" si="167"/>
        <v>6</v>
      </c>
      <c r="AZ254" s="3">
        <f t="shared" si="168"/>
        <v>1</v>
      </c>
      <c r="BA254" s="3">
        <f>IF(ISERROR(LEN(VLOOKUP(A254,Seqs!A:E,2,FALSE))-AL254),"-",LEN(VLOOKUP(A254,Seqs!A:E,2,FALSE))-AL254)</f>
        <v>22</v>
      </c>
      <c r="BB254" s="16">
        <f t="shared" si="169"/>
        <v>28</v>
      </c>
      <c r="BC254" s="9">
        <f t="shared" si="170"/>
        <v>21</v>
      </c>
      <c r="BD254" s="3">
        <f t="shared" si="171"/>
        <v>28</v>
      </c>
      <c r="BE254" s="3">
        <f t="shared" si="172"/>
        <v>110</v>
      </c>
      <c r="BF254" s="3">
        <f t="shared" si="18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86"/>
        <v>63</v>
      </c>
      <c r="G255" s="3">
        <v>65</v>
      </c>
      <c r="H255" s="3">
        <f t="shared" si="187"/>
        <v>66</v>
      </c>
      <c r="I255" s="3">
        <f t="shared" si="18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89">M255-1</f>
        <v>99</v>
      </c>
      <c r="M255" s="3">
        <v>100</v>
      </c>
      <c r="N255" s="3">
        <f t="shared" ref="N255:N262" si="190">M255+2</f>
        <v>102</v>
      </c>
      <c r="O255" s="3">
        <f t="shared" ref="O255:O262" si="19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1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8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73"/>
        <v>1</v>
      </c>
      <c r="AO255" s="3" t="str">
        <f>IF(ISERROR(MATCH(A255,'SegEnds_Xtal_Prot#'!B:B, 0)), "NoXtal", "Xtal")</f>
        <v>NoXtal</v>
      </c>
      <c r="AP255" s="3">
        <f t="shared" si="158"/>
        <v>1</v>
      </c>
      <c r="AQ255" s="3">
        <f t="shared" si="159"/>
        <v>1</v>
      </c>
      <c r="AR255" s="3">
        <f t="shared" si="160"/>
        <v>2</v>
      </c>
      <c r="AS255" s="3">
        <f t="shared" si="161"/>
        <v>1</v>
      </c>
      <c r="AT255" s="3">
        <f t="shared" si="162"/>
        <v>1</v>
      </c>
      <c r="AU255" s="3">
        <f t="shared" si="163"/>
        <v>1</v>
      </c>
      <c r="AV255" s="3">
        <f t="shared" si="164"/>
        <v>15</v>
      </c>
      <c r="AW255" s="3">
        <f t="shared" si="165"/>
        <v>5</v>
      </c>
      <c r="AX255" s="3">
        <f t="shared" si="166"/>
        <v>112</v>
      </c>
      <c r="AY255" s="3">
        <f t="shared" si="167"/>
        <v>6</v>
      </c>
      <c r="AZ255" s="3">
        <f t="shared" si="168"/>
        <v>1</v>
      </c>
      <c r="BA255" s="3">
        <f>IF(ISERROR(LEN(VLOOKUP(A255,Seqs!A:E,2,FALSE))-AL255),"-",LEN(VLOOKUP(A255,Seqs!A:E,2,FALSE))-AL255)</f>
        <v>17</v>
      </c>
      <c r="BB255" s="16">
        <f t="shared" si="169"/>
        <v>28</v>
      </c>
      <c r="BC255" s="9">
        <f t="shared" si="170"/>
        <v>21</v>
      </c>
      <c r="BD255" s="3">
        <f t="shared" si="171"/>
        <v>28</v>
      </c>
      <c r="BE255" s="3">
        <f t="shared" si="172"/>
        <v>163</v>
      </c>
      <c r="BF255" s="3">
        <f t="shared" si="18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86"/>
        <v>44</v>
      </c>
      <c r="G256" s="3">
        <v>46</v>
      </c>
      <c r="H256" s="3">
        <f t="shared" si="187"/>
        <v>47</v>
      </c>
      <c r="I256" s="3">
        <f t="shared" si="18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89"/>
        <v>79</v>
      </c>
      <c r="M256" s="3">
        <v>80</v>
      </c>
      <c r="N256" s="3">
        <f t="shared" si="190"/>
        <v>82</v>
      </c>
      <c r="O256" s="3">
        <f t="shared" si="19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1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8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73"/>
        <v>1</v>
      </c>
      <c r="AO256" s="3" t="str">
        <f>IF(ISERROR(MATCH(A256,'SegEnds_Xtal_Prot#'!B:B, 0)), "NoXtal", "Xtal")</f>
        <v>NoXtal</v>
      </c>
      <c r="AP256" s="3">
        <f t="shared" si="158"/>
        <v>1</v>
      </c>
      <c r="AQ256" s="3">
        <f t="shared" si="159"/>
        <v>1</v>
      </c>
      <c r="AR256" s="3">
        <f t="shared" si="160"/>
        <v>2</v>
      </c>
      <c r="AS256" s="3">
        <f t="shared" si="161"/>
        <v>1</v>
      </c>
      <c r="AT256" s="3">
        <f t="shared" si="162"/>
        <v>1</v>
      </c>
      <c r="AU256" s="3">
        <f t="shared" si="163"/>
        <v>1</v>
      </c>
      <c r="AV256" s="3">
        <f t="shared" si="164"/>
        <v>11</v>
      </c>
      <c r="AW256" s="3">
        <f t="shared" si="165"/>
        <v>5</v>
      </c>
      <c r="AX256" s="3">
        <f t="shared" si="166"/>
        <v>80</v>
      </c>
      <c r="AY256" s="3">
        <f t="shared" si="167"/>
        <v>7</v>
      </c>
      <c r="AZ256" s="3">
        <f t="shared" si="168"/>
        <v>1</v>
      </c>
      <c r="BA256" s="3">
        <f>IF(ISERROR(LEN(VLOOKUP(A256,Seqs!A:E,2,FALSE))-AL256),"-",LEN(VLOOKUP(A256,Seqs!A:E,2,FALSE))-AL256)</f>
        <v>17</v>
      </c>
      <c r="BB256" s="16">
        <f t="shared" si="169"/>
        <v>28</v>
      </c>
      <c r="BC256" s="9">
        <f t="shared" si="170"/>
        <v>21</v>
      </c>
      <c r="BD256" s="3">
        <f t="shared" si="171"/>
        <v>28</v>
      </c>
      <c r="BE256" s="3">
        <f t="shared" si="172"/>
        <v>132</v>
      </c>
      <c r="BF256" s="3">
        <f t="shared" si="18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86"/>
        <v>55</v>
      </c>
      <c r="G257" s="3">
        <v>57</v>
      </c>
      <c r="H257" s="3">
        <f t="shared" si="187"/>
        <v>58</v>
      </c>
      <c r="I257" s="3">
        <f t="shared" si="18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89"/>
        <v>91</v>
      </c>
      <c r="M257" s="3">
        <v>92</v>
      </c>
      <c r="N257" s="3">
        <f t="shared" si="190"/>
        <v>94</v>
      </c>
      <c r="O257" s="3">
        <f t="shared" si="19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1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8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73"/>
        <v>1</v>
      </c>
      <c r="AO257" s="3" t="str">
        <f>IF(ISERROR(MATCH(A257,'SegEnds_Xtal_Prot#'!B:B, 0)), "NoXtal", "Xtal")</f>
        <v>NoXtal</v>
      </c>
      <c r="AP257" s="3">
        <f t="shared" si="158"/>
        <v>1</v>
      </c>
      <c r="AQ257" s="3">
        <f t="shared" si="159"/>
        <v>1</v>
      </c>
      <c r="AR257" s="3">
        <f t="shared" si="160"/>
        <v>3</v>
      </c>
      <c r="AS257" s="3">
        <f t="shared" si="161"/>
        <v>1</v>
      </c>
      <c r="AT257" s="3">
        <f t="shared" si="162"/>
        <v>1</v>
      </c>
      <c r="AU257" s="3">
        <f t="shared" si="163"/>
        <v>1</v>
      </c>
      <c r="AV257" s="3">
        <f t="shared" si="164"/>
        <v>11</v>
      </c>
      <c r="AW257" s="3">
        <f t="shared" si="165"/>
        <v>7</v>
      </c>
      <c r="AX257" s="3">
        <f t="shared" si="166"/>
        <v>7</v>
      </c>
      <c r="AY257" s="3">
        <f t="shared" si="167"/>
        <v>4</v>
      </c>
      <c r="AZ257" s="3">
        <f t="shared" si="168"/>
        <v>1</v>
      </c>
      <c r="BA257" s="3">
        <f>IF(ISERROR(LEN(VLOOKUP(A257,Seqs!A:E,2,FALSE))-AL257),"-",LEN(VLOOKUP(A257,Seqs!A:E,2,FALSE))-AL257)</f>
        <v>11</v>
      </c>
      <c r="BB257" s="16">
        <f t="shared" si="169"/>
        <v>28</v>
      </c>
      <c r="BC257" s="9">
        <f t="shared" si="170"/>
        <v>21</v>
      </c>
      <c r="BD257" s="3">
        <f t="shared" si="171"/>
        <v>28</v>
      </c>
      <c r="BE257" s="3">
        <f t="shared" si="172"/>
        <v>50</v>
      </c>
      <c r="BF257" s="3">
        <f t="shared" si="18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86"/>
        <v>75</v>
      </c>
      <c r="G258" s="3">
        <v>77</v>
      </c>
      <c r="H258" s="3">
        <f t="shared" si="187"/>
        <v>78</v>
      </c>
      <c r="I258" s="3">
        <f t="shared" si="18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89"/>
        <v>110</v>
      </c>
      <c r="M258" s="3">
        <v>111</v>
      </c>
      <c r="N258" s="3">
        <f t="shared" si="190"/>
        <v>113</v>
      </c>
      <c r="O258" s="3">
        <f t="shared" si="19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1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8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73"/>
        <v>1</v>
      </c>
      <c r="AO258" s="3" t="str">
        <f>IF(ISERROR(MATCH(A258,'SegEnds_Xtal_Prot#'!B:B, 0)), "NoXtal", "Xtal")</f>
        <v>NoXtal</v>
      </c>
      <c r="AP258" s="3">
        <f t="shared" si="158"/>
        <v>1</v>
      </c>
      <c r="AQ258" s="3">
        <f t="shared" si="159"/>
        <v>1</v>
      </c>
      <c r="AR258" s="3">
        <f t="shared" si="160"/>
        <v>2</v>
      </c>
      <c r="AS258" s="3">
        <f t="shared" si="161"/>
        <v>1</v>
      </c>
      <c r="AT258" s="3">
        <f t="shared" si="162"/>
        <v>1</v>
      </c>
      <c r="AU258" s="3">
        <f t="shared" si="163"/>
        <v>2</v>
      </c>
      <c r="AV258" s="3">
        <f t="shared" si="164"/>
        <v>11</v>
      </c>
      <c r="AW258" s="3">
        <f t="shared" si="165"/>
        <v>10</v>
      </c>
      <c r="AX258" s="3">
        <f t="shared" si="166"/>
        <v>5</v>
      </c>
      <c r="AY258" s="3">
        <f t="shared" si="167"/>
        <v>3</v>
      </c>
      <c r="AZ258" s="3">
        <f t="shared" si="168"/>
        <v>1</v>
      </c>
      <c r="BA258" s="3">
        <f>IF(ISERROR(LEN(VLOOKUP(A258,Seqs!A:E,2,FALSE))-AL258),"-",LEN(VLOOKUP(A258,Seqs!A:E,2,FALSE))-AL258)</f>
        <v>34</v>
      </c>
      <c r="BB258" s="16">
        <f t="shared" si="169"/>
        <v>28</v>
      </c>
      <c r="BC258" s="9">
        <f t="shared" si="170"/>
        <v>22</v>
      </c>
      <c r="BD258" s="3">
        <f t="shared" si="171"/>
        <v>28</v>
      </c>
      <c r="BE258" s="3">
        <f t="shared" si="17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86"/>
        <v>87</v>
      </c>
      <c r="G259" s="3">
        <v>89</v>
      </c>
      <c r="H259" s="3">
        <f t="shared" si="187"/>
        <v>90</v>
      </c>
      <c r="I259" s="3">
        <f t="shared" si="18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89"/>
        <v>121</v>
      </c>
      <c r="M259" s="3">
        <v>122</v>
      </c>
      <c r="N259" s="3">
        <f t="shared" si="190"/>
        <v>124</v>
      </c>
      <c r="O259" s="3">
        <f t="shared" si="19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1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8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73"/>
        <v>1</v>
      </c>
      <c r="AO259" s="3" t="str">
        <f>IF(ISERROR(MATCH(A259,'SegEnds_Xtal_Prot#'!B:B, 0)), "NoXtal", "Xtal")</f>
        <v>NoXtal</v>
      </c>
      <c r="AP259" s="3">
        <f t="shared" si="158"/>
        <v>1</v>
      </c>
      <c r="AQ259" s="3">
        <f t="shared" si="159"/>
        <v>1</v>
      </c>
      <c r="AR259" s="3">
        <f t="shared" si="160"/>
        <v>1</v>
      </c>
      <c r="AS259" s="3">
        <f t="shared" si="161"/>
        <v>1</v>
      </c>
      <c r="AT259" s="3">
        <f t="shared" si="162"/>
        <v>1</v>
      </c>
      <c r="AU259" s="3">
        <f t="shared" si="163"/>
        <v>2</v>
      </c>
      <c r="AV259" s="3">
        <f t="shared" si="164"/>
        <v>13</v>
      </c>
      <c r="AW259" s="3">
        <f t="shared" si="165"/>
        <v>6</v>
      </c>
      <c r="AX259" s="3">
        <f t="shared" si="166"/>
        <v>5</v>
      </c>
      <c r="AY259" s="3">
        <f t="shared" si="167"/>
        <v>4</v>
      </c>
      <c r="AZ259" s="3">
        <f t="shared" si="168"/>
        <v>1</v>
      </c>
      <c r="BA259" s="3">
        <f>IF(ISERROR(LEN(VLOOKUP(A259,Seqs!A:E,2,FALSE))-AL259),"-",LEN(VLOOKUP(A259,Seqs!A:E,2,FALSE))-AL259)</f>
        <v>28</v>
      </c>
      <c r="BB259" s="16">
        <f t="shared" si="169"/>
        <v>28</v>
      </c>
      <c r="BC259" s="9">
        <f t="shared" si="170"/>
        <v>22</v>
      </c>
      <c r="BD259" s="3">
        <f t="shared" si="171"/>
        <v>28</v>
      </c>
      <c r="BE259" s="3">
        <f t="shared" si="17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86"/>
        <v>77</v>
      </c>
      <c r="G260" s="3">
        <v>79</v>
      </c>
      <c r="H260" s="3">
        <f t="shared" si="187"/>
        <v>80</v>
      </c>
      <c r="I260" s="3">
        <f t="shared" si="18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89"/>
        <v>111</v>
      </c>
      <c r="M260" s="3">
        <v>112</v>
      </c>
      <c r="N260" s="3">
        <f t="shared" si="190"/>
        <v>114</v>
      </c>
      <c r="O260" s="3">
        <f t="shared" si="19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1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8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73"/>
        <v>1</v>
      </c>
      <c r="AO260" s="3" t="str">
        <f>IF(ISERROR(MATCH(A260,'SegEnds_Xtal_Prot#'!B:B, 0)), "NoXtal", "Xtal")</f>
        <v>Xtal</v>
      </c>
      <c r="AP260" s="3">
        <f t="shared" ref="AP260:AP323" si="192">IF(ISERROR(F260-E260),"-",F260-E260)</f>
        <v>1</v>
      </c>
      <c r="AQ260" s="3">
        <f t="shared" ref="AQ260:AQ323" si="193">IF(ISERROR(I260-H260),"-",I260-H260)</f>
        <v>1</v>
      </c>
      <c r="AR260" s="3">
        <f t="shared" ref="AR260:AR323" si="194">IF(ISERROR(L260-K260),"-",L260-K260)</f>
        <v>1</v>
      </c>
      <c r="AS260" s="3">
        <f t="shared" ref="AS260:AS323" si="195">IF(ISERROR(O260-N260),"-",O260-N260)</f>
        <v>1</v>
      </c>
      <c r="AT260" s="3">
        <f t="shared" ref="AT260:AT323" si="196">IF(ISERROR(R260-Q260),"-",R260-Q260)</f>
        <v>1</v>
      </c>
      <c r="AU260" s="3">
        <f t="shared" ref="AU260:AU323" si="197">IF(ISERROR(U260-T260),"-",U260-T260)</f>
        <v>1</v>
      </c>
      <c r="AV260" s="3">
        <f t="shared" ref="AV260:AV323" si="198">IF(ISERROR(X260-W260),"-",X260-W260)</f>
        <v>11</v>
      </c>
      <c r="AW260" s="3">
        <f t="shared" ref="AW260:AW323" si="199">IF(ISERROR(AA260-Z260),"-",AA260-Z260)</f>
        <v>9</v>
      </c>
      <c r="AX260" s="3">
        <f t="shared" ref="AX260:AX323" si="200">IF(ISERROR(AD260-AC260),"-",AD260-AC260)</f>
        <v>5</v>
      </c>
      <c r="AY260" s="3">
        <f t="shared" ref="AY260:AY323" si="201">IF(ISERROR(AG260-AF260),"-",AG260-AF260)</f>
        <v>4</v>
      </c>
      <c r="AZ260" s="3">
        <f t="shared" ref="AZ260:AZ323" si="20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3" si="203">J260-D260</f>
        <v>28</v>
      </c>
      <c r="BC260" s="9">
        <f t="shared" ref="BC260:BC323" si="204">IF(ISERROR(V260-S260),"-",V260-S260)</f>
        <v>22</v>
      </c>
      <c r="BD260" s="3">
        <f t="shared" ref="BD260:BD323" si="205">J260-D260</f>
        <v>28</v>
      </c>
      <c r="BE260" s="3">
        <f t="shared" ref="BE260:BE323" si="20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86"/>
        <v>60</v>
      </c>
      <c r="G261" s="3">
        <v>62</v>
      </c>
      <c r="H261" s="3">
        <f t="shared" si="187"/>
        <v>63</v>
      </c>
      <c r="I261" s="3">
        <f t="shared" si="18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89"/>
        <v>94</v>
      </c>
      <c r="M261" s="3">
        <v>95</v>
      </c>
      <c r="N261" s="3">
        <f t="shared" si="190"/>
        <v>97</v>
      </c>
      <c r="O261" s="3">
        <f t="shared" si="19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1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8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4" si="20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92"/>
        <v>1</v>
      </c>
      <c r="AQ261" s="3">
        <f t="shared" si="193"/>
        <v>1</v>
      </c>
      <c r="AR261" s="3">
        <f t="shared" si="194"/>
        <v>1</v>
      </c>
      <c r="AS261" s="3">
        <f t="shared" si="195"/>
        <v>1</v>
      </c>
      <c r="AT261" s="3">
        <f t="shared" si="196"/>
        <v>1</v>
      </c>
      <c r="AU261" s="3">
        <f t="shared" si="197"/>
        <v>2</v>
      </c>
      <c r="AV261" s="3">
        <f t="shared" si="198"/>
        <v>10</v>
      </c>
      <c r="AW261" s="3">
        <f t="shared" si="199"/>
        <v>4</v>
      </c>
      <c r="AX261" s="3">
        <f t="shared" si="200"/>
        <v>5</v>
      </c>
      <c r="AY261" s="3">
        <f t="shared" si="201"/>
        <v>6</v>
      </c>
      <c r="AZ261" s="3">
        <f t="shared" si="202"/>
        <v>1</v>
      </c>
      <c r="BA261" s="3">
        <f>IF(ISERROR(LEN(VLOOKUP(A261,Seqs!A:E,2,FALSE))-AL261),"-",LEN(VLOOKUP(A261,Seqs!A:E,2,FALSE))-AL261)</f>
        <v>30</v>
      </c>
      <c r="BB261" s="16">
        <f t="shared" si="203"/>
        <v>28</v>
      </c>
      <c r="BC261" s="9">
        <f t="shared" si="204"/>
        <v>22</v>
      </c>
      <c r="BD261" s="3">
        <f t="shared" si="205"/>
        <v>28</v>
      </c>
      <c r="BE261" s="3">
        <f t="shared" si="20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86"/>
        <v>58</v>
      </c>
      <c r="G262" s="3">
        <v>60</v>
      </c>
      <c r="H262" s="3">
        <f t="shared" si="187"/>
        <v>61</v>
      </c>
      <c r="I262" s="3">
        <f t="shared" si="18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89"/>
        <v>95</v>
      </c>
      <c r="M262" s="3">
        <v>96</v>
      </c>
      <c r="N262" s="3">
        <f t="shared" si="190"/>
        <v>98</v>
      </c>
      <c r="O262" s="3">
        <f t="shared" si="19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1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8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207"/>
        <v>1</v>
      </c>
      <c r="AO262" s="3" t="str">
        <f>IF(ISERROR(MATCH(A262,'SegEnds_Xtal_Prot#'!B:B, 0)), "NoXtal", "Xtal")</f>
        <v>Xtal</v>
      </c>
      <c r="AP262" s="3">
        <f t="shared" si="192"/>
        <v>1</v>
      </c>
      <c r="AQ262" s="3">
        <f t="shared" si="193"/>
        <v>1</v>
      </c>
      <c r="AR262" s="3">
        <f t="shared" si="194"/>
        <v>3</v>
      </c>
      <c r="AS262" s="3">
        <f t="shared" si="195"/>
        <v>1</v>
      </c>
      <c r="AT262" s="3">
        <f t="shared" si="196"/>
        <v>1</v>
      </c>
      <c r="AU262" s="3">
        <f t="shared" si="197"/>
        <v>3</v>
      </c>
      <c r="AV262" s="3">
        <f t="shared" si="198"/>
        <v>10</v>
      </c>
      <c r="AW262" s="3">
        <f t="shared" si="199"/>
        <v>2</v>
      </c>
      <c r="AX262" s="3">
        <f t="shared" si="200"/>
        <v>92</v>
      </c>
      <c r="AY262" s="3">
        <f t="shared" si="201"/>
        <v>7</v>
      </c>
      <c r="AZ262" s="3">
        <f t="shared" si="202"/>
        <v>1</v>
      </c>
      <c r="BA262" s="3">
        <f>IF(ISERROR(LEN(VLOOKUP(A262,Seqs!A:E,2,FALSE))-AL262),"-",LEN(VLOOKUP(A262,Seqs!A:E,2,FALSE))-AL262)</f>
        <v>1</v>
      </c>
      <c r="BB262" s="16">
        <f t="shared" si="203"/>
        <v>28</v>
      </c>
      <c r="BC262" s="9">
        <f t="shared" si="204"/>
        <v>23</v>
      </c>
      <c r="BD262" s="3">
        <f t="shared" si="205"/>
        <v>28</v>
      </c>
      <c r="BE262" s="3">
        <f t="shared" si="20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1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8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207"/>
        <v>1</v>
      </c>
      <c r="AO263" s="3" t="str">
        <f>IF(ISERROR(MATCH(A263,'SegEnds_Xtal_Prot#'!B:B, 0)), "NoXtal", "Xtal")</f>
        <v>NoXtal</v>
      </c>
      <c r="AP263" s="3" t="str">
        <f t="shared" si="192"/>
        <v>-</v>
      </c>
      <c r="AQ263" s="3" t="str">
        <f t="shared" si="193"/>
        <v>-</v>
      </c>
      <c r="AR263" s="3" t="str">
        <f t="shared" si="194"/>
        <v>-</v>
      </c>
      <c r="AS263" s="3" t="str">
        <f t="shared" si="195"/>
        <v>-</v>
      </c>
      <c r="AT263" s="3" t="str">
        <f t="shared" si="196"/>
        <v>-</v>
      </c>
      <c r="AU263" s="3" t="str">
        <f t="shared" si="197"/>
        <v>-</v>
      </c>
      <c r="AV263" s="3">
        <f t="shared" si="198"/>
        <v>7</v>
      </c>
      <c r="AW263" s="3">
        <f t="shared" si="199"/>
        <v>2</v>
      </c>
      <c r="AX263" s="3">
        <f t="shared" si="200"/>
        <v>7</v>
      </c>
      <c r="AY263" s="3">
        <f t="shared" si="201"/>
        <v>6</v>
      </c>
      <c r="AZ263" s="3">
        <f t="shared" si="202"/>
        <v>1</v>
      </c>
      <c r="BA263" s="3">
        <f>IF(ISERROR(LEN(VLOOKUP(A263,Seqs!A:E,2,FALSE))-AL263),"-",LEN(VLOOKUP(A263,Seqs!A:E,2,FALSE))-AL263)</f>
        <v>19</v>
      </c>
      <c r="BB263" s="16">
        <f t="shared" si="203"/>
        <v>30</v>
      </c>
      <c r="BC263" s="9" t="str">
        <f t="shared" si="204"/>
        <v>-</v>
      </c>
      <c r="BD263" s="3">
        <f t="shared" si="205"/>
        <v>30</v>
      </c>
      <c r="BE263" s="3">
        <f t="shared" si="20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208">G264+1</f>
        <v>76</v>
      </c>
      <c r="I264" s="3">
        <f t="shared" si="20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1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8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207"/>
        <v>1</v>
      </c>
      <c r="AO264" s="3" t="str">
        <f>IF(ISERROR(MATCH(A264,'SegEnds_Xtal_Prot#'!B:B, 0)), "NoXtal", "Xtal")</f>
        <v>NoXtal</v>
      </c>
      <c r="AP264" s="3">
        <f t="shared" si="192"/>
        <v>1</v>
      </c>
      <c r="AQ264" s="3">
        <f t="shared" si="193"/>
        <v>1</v>
      </c>
      <c r="AR264" s="3">
        <f t="shared" si="194"/>
        <v>3</v>
      </c>
      <c r="AS264" s="3">
        <f t="shared" si="195"/>
        <v>1</v>
      </c>
      <c r="AT264" s="3" t="str">
        <f t="shared" si="196"/>
        <v>-</v>
      </c>
      <c r="AU264" s="3" t="str">
        <f t="shared" si="197"/>
        <v>-</v>
      </c>
      <c r="AV264" s="3">
        <f t="shared" si="198"/>
        <v>13</v>
      </c>
      <c r="AW264" s="3">
        <f t="shared" si="199"/>
        <v>10</v>
      </c>
      <c r="AX264" s="3">
        <f t="shared" si="200"/>
        <v>5</v>
      </c>
      <c r="AY264" s="3">
        <f t="shared" si="201"/>
        <v>5</v>
      </c>
      <c r="AZ264" s="3">
        <f t="shared" si="202"/>
        <v>1</v>
      </c>
      <c r="BA264" s="3">
        <f>IF(ISERROR(LEN(VLOOKUP(A264,Seqs!A:E,2,FALSE))-AL264),"-",LEN(VLOOKUP(A264,Seqs!A:E,2,FALSE))-AL264)</f>
        <v>29</v>
      </c>
      <c r="BB264" s="16">
        <f t="shared" si="203"/>
        <v>28</v>
      </c>
      <c r="BC264" s="9" t="str">
        <f t="shared" si="204"/>
        <v>-</v>
      </c>
      <c r="BD264" s="3">
        <f t="shared" si="205"/>
        <v>28</v>
      </c>
      <c r="BE264" s="3">
        <f t="shared" si="20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208"/>
        <v>73</v>
      </c>
      <c r="I265" s="3">
        <f t="shared" si="20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1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8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207"/>
        <v>1</v>
      </c>
      <c r="AO265" s="3" t="str">
        <f>IF(ISERROR(MATCH(A265,'SegEnds_Xtal_Prot#'!B:B, 0)), "NoXtal", "Xtal")</f>
        <v>NoXtal</v>
      </c>
      <c r="AP265" s="3">
        <f t="shared" si="192"/>
        <v>1</v>
      </c>
      <c r="AQ265" s="3">
        <f t="shared" si="193"/>
        <v>1</v>
      </c>
      <c r="AR265" s="3">
        <f t="shared" si="194"/>
        <v>1</v>
      </c>
      <c r="AS265" s="3">
        <f t="shared" si="195"/>
        <v>1</v>
      </c>
      <c r="AT265" s="3" t="str">
        <f t="shared" si="196"/>
        <v>-</v>
      </c>
      <c r="AU265" s="3" t="str">
        <f t="shared" si="197"/>
        <v>-</v>
      </c>
      <c r="AV265" s="3">
        <f t="shared" si="198"/>
        <v>8</v>
      </c>
      <c r="AW265" s="3">
        <f t="shared" si="199"/>
        <v>9</v>
      </c>
      <c r="AX265" s="3">
        <f t="shared" si="200"/>
        <v>5</v>
      </c>
      <c r="AY265" s="3">
        <f t="shared" si="201"/>
        <v>5</v>
      </c>
      <c r="AZ265" s="3">
        <f t="shared" si="202"/>
        <v>1</v>
      </c>
      <c r="BA265" s="3">
        <f>IF(ISERROR(LEN(VLOOKUP(A265,Seqs!A:E,2,FALSE))-AL265),"-",LEN(VLOOKUP(A265,Seqs!A:E,2,FALSE))-AL265)</f>
        <v>23</v>
      </c>
      <c r="BB265" s="16">
        <f t="shared" si="203"/>
        <v>28</v>
      </c>
      <c r="BC265" s="9" t="str">
        <f t="shared" si="204"/>
        <v>-</v>
      </c>
      <c r="BD265" s="3">
        <f t="shared" si="205"/>
        <v>28</v>
      </c>
      <c r="BE265" s="3">
        <f t="shared" si="20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208"/>
        <v>73</v>
      </c>
      <c r="I266" s="3">
        <f t="shared" si="20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1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8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207"/>
        <v>1</v>
      </c>
      <c r="AO266" s="3" t="str">
        <f>IF(ISERROR(MATCH(A266,'SegEnds_Xtal_Prot#'!B:B, 0)), "NoXtal", "Xtal")</f>
        <v>NoXtal</v>
      </c>
      <c r="AP266" s="3">
        <f t="shared" si="192"/>
        <v>1</v>
      </c>
      <c r="AQ266" s="3">
        <f t="shared" si="193"/>
        <v>1</v>
      </c>
      <c r="AR266" s="3">
        <f t="shared" si="194"/>
        <v>1</v>
      </c>
      <c r="AS266" s="3">
        <f t="shared" si="195"/>
        <v>1</v>
      </c>
      <c r="AT266" s="3" t="str">
        <f t="shared" si="196"/>
        <v>-</v>
      </c>
      <c r="AU266" s="3" t="str">
        <f t="shared" si="197"/>
        <v>-</v>
      </c>
      <c r="AV266" s="3">
        <f t="shared" si="198"/>
        <v>11</v>
      </c>
      <c r="AW266" s="3">
        <f t="shared" si="199"/>
        <v>9</v>
      </c>
      <c r="AX266" s="3">
        <f t="shared" si="200"/>
        <v>5</v>
      </c>
      <c r="AY266" s="3">
        <f t="shared" si="201"/>
        <v>4</v>
      </c>
      <c r="AZ266" s="3">
        <f t="shared" si="202"/>
        <v>1</v>
      </c>
      <c r="BA266" s="3">
        <f>IF(ISERROR(LEN(VLOOKUP(A266,Seqs!A:E,2,FALSE))-AL266),"-",LEN(VLOOKUP(A266,Seqs!A:E,2,FALSE))-AL266)</f>
        <v>28</v>
      </c>
      <c r="BB266" s="16">
        <f t="shared" si="203"/>
        <v>29</v>
      </c>
      <c r="BC266" s="9" t="str">
        <f t="shared" si="204"/>
        <v>-</v>
      </c>
      <c r="BD266" s="3">
        <f t="shared" si="205"/>
        <v>29</v>
      </c>
      <c r="BE266" s="3">
        <f t="shared" si="20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1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8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207"/>
        <v>1</v>
      </c>
      <c r="AO267" s="3" t="str">
        <f>IF(ISERROR(MATCH(A267,'SegEnds_Xtal_Prot#'!B:B, 0)), "NoXtal", "Xtal")</f>
        <v>NoXtal</v>
      </c>
      <c r="AP267" s="3" t="str">
        <f t="shared" si="192"/>
        <v>-</v>
      </c>
      <c r="AQ267" s="3" t="str">
        <f t="shared" si="193"/>
        <v>-</v>
      </c>
      <c r="AR267" s="3">
        <f t="shared" si="194"/>
        <v>3</v>
      </c>
      <c r="AS267" s="3">
        <f t="shared" si="195"/>
        <v>1</v>
      </c>
      <c r="AT267" s="3" t="str">
        <f t="shared" si="196"/>
        <v>-</v>
      </c>
      <c r="AU267" s="3" t="str">
        <f t="shared" si="197"/>
        <v>-</v>
      </c>
      <c r="AV267" s="3">
        <f t="shared" si="198"/>
        <v>5</v>
      </c>
      <c r="AW267" s="3">
        <f t="shared" si="199"/>
        <v>5</v>
      </c>
      <c r="AX267" s="3">
        <f t="shared" si="200"/>
        <v>5</v>
      </c>
      <c r="AY267" s="3">
        <f t="shared" si="201"/>
        <v>8</v>
      </c>
      <c r="AZ267" s="3">
        <f t="shared" si="202"/>
        <v>1</v>
      </c>
      <c r="BA267" s="3">
        <f>IF(ISERROR(LEN(VLOOKUP(A267,Seqs!A:E,2,FALSE))-AL267),"-",LEN(VLOOKUP(A267,Seqs!A:E,2,FALSE))-AL267)</f>
        <v>56</v>
      </c>
      <c r="BB267" s="16">
        <f t="shared" si="203"/>
        <v>28</v>
      </c>
      <c r="BC267" s="9" t="str">
        <f t="shared" si="204"/>
        <v>-</v>
      </c>
      <c r="BD267" s="3">
        <f t="shared" si="205"/>
        <v>28</v>
      </c>
      <c r="BE267" s="3">
        <f t="shared" si="20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1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8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311</v>
      </c>
      <c r="AD268" s="3">
        <f>IF(ISERROR(VLOOKUP($A268,'SegEnds_NonXtal_BW#'!$A:$Z,21,FALSE)+VLOOKUP($A268,A:AL,31,FALSE)-50),"-",(VLOOKUP($A268,'SegEnds_NonXtal_BW#'!$A:$Z,21,FALSE)+VLOOKUP($A268,A:AL,31,FALSE)-50))</f>
        <v>320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207"/>
        <v>1</v>
      </c>
      <c r="AO268" s="3" t="str">
        <f>IF(ISERROR(MATCH(A268,'SegEnds_Xtal_Prot#'!B:B, 0)), "NoXtal", "Xtal")</f>
        <v>NoXtal</v>
      </c>
      <c r="AP268" s="3">
        <f t="shared" si="192"/>
        <v>1</v>
      </c>
      <c r="AQ268" s="3">
        <f t="shared" si="193"/>
        <v>1</v>
      </c>
      <c r="AR268" s="3" t="str">
        <f t="shared" si="194"/>
        <v>-</v>
      </c>
      <c r="AS268" s="3" t="str">
        <f t="shared" si="195"/>
        <v>-</v>
      </c>
      <c r="AT268" s="3" t="str">
        <f t="shared" si="196"/>
        <v>-</v>
      </c>
      <c r="AU268" s="3" t="str">
        <f t="shared" si="197"/>
        <v>-</v>
      </c>
      <c r="AV268" s="3">
        <f t="shared" si="198"/>
        <v>14</v>
      </c>
      <c r="AW268" s="3">
        <f t="shared" si="199"/>
        <v>7</v>
      </c>
      <c r="AX268" s="3">
        <f t="shared" si="200"/>
        <v>9</v>
      </c>
      <c r="AY268" s="3">
        <f t="shared" si="201"/>
        <v>5</v>
      </c>
      <c r="AZ268" s="3">
        <f t="shared" si="202"/>
        <v>1</v>
      </c>
      <c r="BA268" s="3">
        <f>IF(ISERROR(LEN(VLOOKUP(A268,Seqs!A:E,2,FALSE))-AL268),"-",LEN(VLOOKUP(A268,Seqs!A:E,2,FALSE))-AL268)</f>
        <v>92</v>
      </c>
      <c r="BB268" s="16">
        <f t="shared" si="203"/>
        <v>28</v>
      </c>
      <c r="BC268" s="9" t="str">
        <f t="shared" si="204"/>
        <v>-</v>
      </c>
      <c r="BD268" s="3">
        <f t="shared" si="205"/>
        <v>28</v>
      </c>
      <c r="BE268" s="3">
        <f t="shared" si="20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1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207"/>
        <v>1</v>
      </c>
      <c r="AO269" s="3" t="str">
        <f>IF(ISERROR(MATCH(A269,'SegEnds_Xtal_Prot#'!B:B, 0)), "NoXtal", "Xtal")</f>
        <v>NoXtal</v>
      </c>
      <c r="AP269" s="3" t="str">
        <f t="shared" si="192"/>
        <v>-</v>
      </c>
      <c r="AQ269" s="3" t="str">
        <f t="shared" si="193"/>
        <v>-</v>
      </c>
      <c r="AR269" s="3">
        <f t="shared" si="194"/>
        <v>3</v>
      </c>
      <c r="AS269" s="3">
        <f t="shared" si="195"/>
        <v>1</v>
      </c>
      <c r="AT269" s="3" t="str">
        <f t="shared" si="196"/>
        <v>-</v>
      </c>
      <c r="AU269" s="3" t="str">
        <f t="shared" si="197"/>
        <v>-</v>
      </c>
      <c r="AV269" s="3" t="str">
        <f t="shared" si="198"/>
        <v>-</v>
      </c>
      <c r="AW269" s="3" t="str">
        <f t="shared" si="199"/>
        <v>-</v>
      </c>
      <c r="AX269" s="3">
        <f t="shared" si="200"/>
        <v>5</v>
      </c>
      <c r="AY269" s="3">
        <f t="shared" si="201"/>
        <v>5</v>
      </c>
      <c r="AZ269" s="3">
        <f t="shared" si="202"/>
        <v>1</v>
      </c>
      <c r="BA269" s="3">
        <f>IF(ISERROR(LEN(VLOOKUP(A269,Seqs!A:E,2,FALSE))-AL269),"-",LEN(VLOOKUP(A269,Seqs!A:E,2,FALSE))-AL269)</f>
        <v>19</v>
      </c>
      <c r="BB269" s="16">
        <f t="shared" si="203"/>
        <v>33</v>
      </c>
      <c r="BC269" s="9" t="str">
        <f t="shared" si="204"/>
        <v>-</v>
      </c>
      <c r="BD269" s="3">
        <f t="shared" si="205"/>
        <v>33</v>
      </c>
      <c r="BE269" s="3">
        <f t="shared" si="20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1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207"/>
        <v>1</v>
      </c>
      <c r="AO270" s="3" t="str">
        <f>IF(ISERROR(MATCH(A270,'SegEnds_Xtal_Prot#'!B:B, 0)), "NoXtal", "Xtal")</f>
        <v>NoXtal</v>
      </c>
      <c r="AP270" s="3" t="str">
        <f t="shared" si="192"/>
        <v>-</v>
      </c>
      <c r="AQ270" s="3" t="str">
        <f t="shared" si="193"/>
        <v>-</v>
      </c>
      <c r="AR270" s="3">
        <f t="shared" si="194"/>
        <v>8</v>
      </c>
      <c r="AS270" s="3">
        <f t="shared" si="195"/>
        <v>1</v>
      </c>
      <c r="AT270" s="3" t="str">
        <f t="shared" si="196"/>
        <v>-</v>
      </c>
      <c r="AU270" s="3" t="str">
        <f t="shared" si="197"/>
        <v>-</v>
      </c>
      <c r="AV270" s="3" t="str">
        <f t="shared" si="198"/>
        <v>-</v>
      </c>
      <c r="AW270" s="3" t="str">
        <f t="shared" si="199"/>
        <v>-</v>
      </c>
      <c r="AX270" s="3">
        <f t="shared" si="200"/>
        <v>62</v>
      </c>
      <c r="AY270" s="3">
        <f t="shared" si="201"/>
        <v>5</v>
      </c>
      <c r="AZ270" s="3">
        <f t="shared" si="202"/>
        <v>1</v>
      </c>
      <c r="BA270" s="3">
        <f>IF(ISERROR(LEN(VLOOKUP(A270,Seqs!A:E,2,FALSE))-AL270),"-",LEN(VLOOKUP(A270,Seqs!A:E,2,FALSE))-AL270)</f>
        <v>353</v>
      </c>
      <c r="BB270" s="16">
        <f t="shared" si="203"/>
        <v>29</v>
      </c>
      <c r="BC270" s="9" t="str">
        <f t="shared" si="204"/>
        <v>-</v>
      </c>
      <c r="BD270" s="3">
        <f t="shared" si="205"/>
        <v>29</v>
      </c>
      <c r="BE270" s="3">
        <f t="shared" si="20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1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20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207"/>
        <v>1</v>
      </c>
      <c r="AO271" s="3" t="str">
        <f>IF(ISERROR(MATCH(A271,'SegEnds_Xtal_Prot#'!B:B, 0)), "NoXtal", "Xtal")</f>
        <v>NoXtal</v>
      </c>
      <c r="AP271" s="3" t="str">
        <f t="shared" si="192"/>
        <v>-</v>
      </c>
      <c r="AQ271" s="3" t="str">
        <f t="shared" si="193"/>
        <v>-</v>
      </c>
      <c r="AR271" s="3" t="str">
        <f t="shared" si="194"/>
        <v>-</v>
      </c>
      <c r="AS271" s="3" t="str">
        <f t="shared" si="195"/>
        <v>-</v>
      </c>
      <c r="AT271" s="3" t="str">
        <f t="shared" si="196"/>
        <v>-</v>
      </c>
      <c r="AU271" s="3" t="str">
        <f t="shared" si="197"/>
        <v>-</v>
      </c>
      <c r="AV271" s="3">
        <f t="shared" si="198"/>
        <v>34</v>
      </c>
      <c r="AW271" s="3">
        <f t="shared" si="199"/>
        <v>8</v>
      </c>
      <c r="AX271" s="3">
        <f t="shared" si="200"/>
        <v>13</v>
      </c>
      <c r="AY271" s="3">
        <f t="shared" si="201"/>
        <v>6</v>
      </c>
      <c r="AZ271" s="3">
        <f t="shared" si="202"/>
        <v>1</v>
      </c>
      <c r="BA271" s="3">
        <f>IF(ISERROR(LEN(VLOOKUP(A271,Seqs!A:E,2,FALSE))-AL271),"-",LEN(VLOOKUP(A271,Seqs!A:E,2,FALSE))-AL271)</f>
        <v>67</v>
      </c>
      <c r="BB271" s="16">
        <f t="shared" si="203"/>
        <v>33</v>
      </c>
      <c r="BC271" s="9" t="str">
        <f t="shared" si="204"/>
        <v>-</v>
      </c>
      <c r="BD271" s="3">
        <f t="shared" si="205"/>
        <v>33</v>
      </c>
      <c r="BE271" s="3">
        <f t="shared" si="20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1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20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207"/>
        <v>1</v>
      </c>
      <c r="AO272" s="3" t="str">
        <f>IF(ISERROR(MATCH(A272,'SegEnds_Xtal_Prot#'!B:B, 0)), "NoXtal", "Xtal")</f>
        <v>NoXtal</v>
      </c>
      <c r="AP272" s="3" t="str">
        <f t="shared" si="192"/>
        <v>-</v>
      </c>
      <c r="AQ272" s="3" t="str">
        <f t="shared" si="193"/>
        <v>-</v>
      </c>
      <c r="AR272" s="3" t="str">
        <f t="shared" si="194"/>
        <v>-</v>
      </c>
      <c r="AS272" s="3" t="str">
        <f t="shared" si="195"/>
        <v>-</v>
      </c>
      <c r="AT272" s="3" t="str">
        <f t="shared" si="196"/>
        <v>-</v>
      </c>
      <c r="AU272" s="3" t="str">
        <f t="shared" si="197"/>
        <v>-</v>
      </c>
      <c r="AV272" s="3">
        <f t="shared" si="198"/>
        <v>14</v>
      </c>
      <c r="AW272" s="3">
        <f t="shared" si="199"/>
        <v>5</v>
      </c>
      <c r="AX272" s="3">
        <f t="shared" si="200"/>
        <v>9</v>
      </c>
      <c r="AY272" s="3">
        <f t="shared" si="201"/>
        <v>5</v>
      </c>
      <c r="AZ272" s="3">
        <f t="shared" si="202"/>
        <v>1</v>
      </c>
      <c r="BA272" s="3">
        <f>IF(ISERROR(LEN(VLOOKUP(A272,Seqs!A:E,2,FALSE))-AL272),"-",LEN(VLOOKUP(A272,Seqs!A:E,2,FALSE))-AL272)</f>
        <v>28</v>
      </c>
      <c r="BB272" s="16">
        <f t="shared" si="203"/>
        <v>27</v>
      </c>
      <c r="BC272" s="9" t="str">
        <f t="shared" si="204"/>
        <v>-</v>
      </c>
      <c r="BD272" s="3">
        <f t="shared" si="205"/>
        <v>27</v>
      </c>
      <c r="BE272" s="3">
        <f t="shared" si="20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210">G273+1</f>
        <v>73</v>
      </c>
      <c r="I273" s="3">
        <f t="shared" si="21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1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20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207"/>
        <v>1</v>
      </c>
      <c r="AO273" s="3" t="str">
        <f>IF(ISERROR(MATCH(A273,'SegEnds_Xtal_Prot#'!B:B, 0)), "NoXtal", "Xtal")</f>
        <v>NoXtal</v>
      </c>
      <c r="AP273" s="3">
        <f t="shared" si="192"/>
        <v>1</v>
      </c>
      <c r="AQ273" s="3">
        <f t="shared" si="193"/>
        <v>1</v>
      </c>
      <c r="AR273" s="3">
        <f t="shared" si="194"/>
        <v>4</v>
      </c>
      <c r="AS273" s="3">
        <f t="shared" si="195"/>
        <v>1</v>
      </c>
      <c r="AT273" s="3" t="str">
        <f t="shared" si="196"/>
        <v>-</v>
      </c>
      <c r="AU273" s="3" t="str">
        <f t="shared" si="197"/>
        <v>-</v>
      </c>
      <c r="AV273" s="3">
        <f t="shared" si="198"/>
        <v>11</v>
      </c>
      <c r="AW273" s="3">
        <f t="shared" si="199"/>
        <v>5</v>
      </c>
      <c r="AX273" s="3">
        <f t="shared" si="200"/>
        <v>11</v>
      </c>
      <c r="AY273" s="3">
        <f t="shared" si="201"/>
        <v>6</v>
      </c>
      <c r="AZ273" s="3">
        <f t="shared" si="202"/>
        <v>1</v>
      </c>
      <c r="BA273" s="3">
        <f>IF(ISERROR(LEN(VLOOKUP(A273,Seqs!A:E,2,FALSE))-AL273),"-",LEN(VLOOKUP(A273,Seqs!A:E,2,FALSE))-AL273)</f>
        <v>180</v>
      </c>
      <c r="BB273" s="16">
        <f t="shared" si="203"/>
        <v>28</v>
      </c>
      <c r="BC273" s="9" t="str">
        <f t="shared" si="204"/>
        <v>-</v>
      </c>
      <c r="BD273" s="3">
        <f t="shared" si="205"/>
        <v>28</v>
      </c>
      <c r="BE273" s="3">
        <f t="shared" si="20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210"/>
        <v>46</v>
      </c>
      <c r="I274" s="3">
        <f t="shared" si="21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1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20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207"/>
        <v>1</v>
      </c>
      <c r="AO274" s="3" t="str">
        <f>IF(ISERROR(MATCH(A274,'SegEnds_Xtal_Prot#'!B:B, 0)), "NoXtal", "Xtal")</f>
        <v>NoXtal</v>
      </c>
      <c r="AP274" s="3">
        <f t="shared" si="192"/>
        <v>1</v>
      </c>
      <c r="AQ274" s="3">
        <f t="shared" si="193"/>
        <v>1</v>
      </c>
      <c r="AR274" s="3" t="str">
        <f t="shared" si="194"/>
        <v>-</v>
      </c>
      <c r="AS274" s="3" t="str">
        <f t="shared" si="195"/>
        <v>-</v>
      </c>
      <c r="AT274" s="3" t="str">
        <f t="shared" si="196"/>
        <v>-</v>
      </c>
      <c r="AU274" s="3" t="str">
        <f t="shared" si="197"/>
        <v>-</v>
      </c>
      <c r="AV274" s="3">
        <f t="shared" si="198"/>
        <v>10</v>
      </c>
      <c r="AW274" s="3">
        <f t="shared" si="199"/>
        <v>4</v>
      </c>
      <c r="AX274" s="3">
        <f t="shared" si="200"/>
        <v>10</v>
      </c>
      <c r="AY274" s="3">
        <f t="shared" si="201"/>
        <v>5</v>
      </c>
      <c r="AZ274" s="3">
        <f t="shared" si="202"/>
        <v>1</v>
      </c>
      <c r="BA274" s="3">
        <f>IF(ISERROR(LEN(VLOOKUP(A274,Seqs!A:E,2,FALSE))-AL274),"-",LEN(VLOOKUP(A274,Seqs!A:E,2,FALSE))-AL274)</f>
        <v>34</v>
      </c>
      <c r="BB274" s="16">
        <f t="shared" si="203"/>
        <v>29</v>
      </c>
      <c r="BC274" s="9" t="str">
        <f t="shared" si="204"/>
        <v>-</v>
      </c>
      <c r="BD274" s="3">
        <f t="shared" si="205"/>
        <v>29</v>
      </c>
      <c r="BE274" s="3">
        <f t="shared" si="20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210"/>
        <v>66</v>
      </c>
      <c r="I275" s="3">
        <f t="shared" si="21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1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20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07"/>
        <v>1</v>
      </c>
      <c r="AO275" s="3" t="str">
        <f>IF(ISERROR(MATCH(A275,'SegEnds_Xtal_Prot#'!B:B, 0)), "NoXtal", "Xtal")</f>
        <v>NoXtal</v>
      </c>
      <c r="AP275" s="3">
        <f t="shared" si="192"/>
        <v>1</v>
      </c>
      <c r="AQ275" s="3">
        <f t="shared" si="193"/>
        <v>1</v>
      </c>
      <c r="AR275" s="3">
        <f t="shared" si="194"/>
        <v>1</v>
      </c>
      <c r="AS275" s="3">
        <f t="shared" si="195"/>
        <v>1</v>
      </c>
      <c r="AT275" s="3" t="str">
        <f t="shared" si="196"/>
        <v>-</v>
      </c>
      <c r="AU275" s="3" t="str">
        <f t="shared" si="197"/>
        <v>-</v>
      </c>
      <c r="AV275" s="3">
        <f t="shared" si="198"/>
        <v>14</v>
      </c>
      <c r="AW275" s="3">
        <f t="shared" si="199"/>
        <v>8</v>
      </c>
      <c r="AX275" s="3">
        <f t="shared" si="200"/>
        <v>23</v>
      </c>
      <c r="AY275" s="3">
        <f t="shared" si="201"/>
        <v>6</v>
      </c>
      <c r="AZ275" s="3">
        <f t="shared" si="202"/>
        <v>1</v>
      </c>
      <c r="BA275" s="3">
        <f>IF(ISERROR(LEN(VLOOKUP(A275,Seqs!A:E,2,FALSE))-AL275),"-",LEN(VLOOKUP(A275,Seqs!A:E,2,FALSE))-AL275)</f>
        <v>32</v>
      </c>
      <c r="BB275" s="16">
        <f t="shared" si="203"/>
        <v>28</v>
      </c>
      <c r="BC275" s="9" t="str">
        <f t="shared" si="204"/>
        <v>-</v>
      </c>
      <c r="BD275" s="3">
        <f t="shared" si="205"/>
        <v>28</v>
      </c>
      <c r="BE275" s="3">
        <f t="shared" si="20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1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20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207"/>
        <v>1</v>
      </c>
      <c r="AO276" s="3" t="str">
        <f>IF(ISERROR(MATCH(A276,'SegEnds_Xtal_Prot#'!B:B, 0)), "NoXtal", "Xtal")</f>
        <v>NoXtal</v>
      </c>
      <c r="AP276" s="3" t="str">
        <f t="shared" si="192"/>
        <v>-</v>
      </c>
      <c r="AQ276" s="3" t="str">
        <f t="shared" si="193"/>
        <v>-</v>
      </c>
      <c r="AR276" s="3" t="str">
        <f t="shared" si="194"/>
        <v>-</v>
      </c>
      <c r="AS276" s="3" t="str">
        <f t="shared" si="195"/>
        <v>-</v>
      </c>
      <c r="AT276" s="3" t="str">
        <f t="shared" si="196"/>
        <v>-</v>
      </c>
      <c r="AU276" s="3" t="str">
        <f t="shared" si="197"/>
        <v>-</v>
      </c>
      <c r="AV276" s="3">
        <f t="shared" si="198"/>
        <v>12</v>
      </c>
      <c r="AW276" s="3">
        <f t="shared" si="199"/>
        <v>5</v>
      </c>
      <c r="AX276" s="3">
        <f t="shared" si="200"/>
        <v>20</v>
      </c>
      <c r="AY276" s="3">
        <f t="shared" si="201"/>
        <v>8</v>
      </c>
      <c r="AZ276" s="3">
        <f t="shared" si="202"/>
        <v>1</v>
      </c>
      <c r="BA276" s="3">
        <f>IF(ISERROR(LEN(VLOOKUP(A276,Seqs!A:E,2,FALSE))-AL276),"-",LEN(VLOOKUP(A276,Seqs!A:E,2,FALSE))-AL276)</f>
        <v>62</v>
      </c>
      <c r="BB276" s="16">
        <f t="shared" si="203"/>
        <v>26</v>
      </c>
      <c r="BC276" s="9" t="str">
        <f t="shared" si="204"/>
        <v>-</v>
      </c>
      <c r="BD276" s="3">
        <f t="shared" si="205"/>
        <v>26</v>
      </c>
      <c r="BE276" s="3">
        <f t="shared" si="20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3" si="211">G277-2</f>
        <v>110</v>
      </c>
      <c r="G277" s="3">
        <v>112</v>
      </c>
      <c r="H277" s="3">
        <f t="shared" ref="H277:I296" si="212">G277+1</f>
        <v>113</v>
      </c>
      <c r="I277" s="3">
        <f t="shared" si="21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1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20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207"/>
        <v>1</v>
      </c>
      <c r="AO277" s="3" t="str">
        <f>IF(ISERROR(MATCH(A277,'SegEnds_Xtal_Prot#'!B:B, 0)), "NoXtal", "Xtal")</f>
        <v>NoXtal</v>
      </c>
      <c r="AP277" s="3">
        <f t="shared" si="192"/>
        <v>1</v>
      </c>
      <c r="AQ277" s="3">
        <f t="shared" si="193"/>
        <v>1</v>
      </c>
      <c r="AR277" s="3">
        <f t="shared" si="194"/>
        <v>1</v>
      </c>
      <c r="AS277" s="3">
        <f t="shared" si="195"/>
        <v>1</v>
      </c>
      <c r="AT277" s="3" t="str">
        <f t="shared" si="196"/>
        <v>-</v>
      </c>
      <c r="AU277" s="3" t="str">
        <f t="shared" si="197"/>
        <v>-</v>
      </c>
      <c r="AV277" s="3">
        <f t="shared" si="198"/>
        <v>9</v>
      </c>
      <c r="AW277" s="3">
        <f t="shared" si="199"/>
        <v>8</v>
      </c>
      <c r="AX277" s="3">
        <f t="shared" si="200"/>
        <v>23</v>
      </c>
      <c r="AY277" s="3">
        <f t="shared" si="201"/>
        <v>6</v>
      </c>
      <c r="AZ277" s="3">
        <f t="shared" si="202"/>
        <v>1</v>
      </c>
      <c r="BA277" s="3">
        <f>IF(ISERROR(LEN(VLOOKUP(A277,Seqs!A:E,2,FALSE))-AL277),"-",LEN(VLOOKUP(A277,Seqs!A:E,2,FALSE))-AL277)</f>
        <v>31</v>
      </c>
      <c r="BB277" s="16">
        <f t="shared" si="203"/>
        <v>28</v>
      </c>
      <c r="BC277" s="9" t="str">
        <f t="shared" si="204"/>
        <v>-</v>
      </c>
      <c r="BD277" s="3">
        <f t="shared" si="205"/>
        <v>28</v>
      </c>
      <c r="BE277" s="3">
        <f t="shared" si="20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211"/>
        <v>73</v>
      </c>
      <c r="G278" s="3">
        <v>75</v>
      </c>
      <c r="H278" s="3">
        <f t="shared" si="212"/>
        <v>76</v>
      </c>
      <c r="I278" s="3">
        <f t="shared" si="21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1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20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207"/>
        <v>1</v>
      </c>
      <c r="AO278" s="3" t="str">
        <f>IF(ISERROR(MATCH(A278,'SegEnds_Xtal_Prot#'!B:B, 0)), "NoXtal", "Xtal")</f>
        <v>NoXtal</v>
      </c>
      <c r="AP278" s="3">
        <f t="shared" si="192"/>
        <v>3</v>
      </c>
      <c r="AQ278" s="3">
        <f t="shared" si="193"/>
        <v>1</v>
      </c>
      <c r="AR278" s="3" t="str">
        <f t="shared" si="194"/>
        <v>-</v>
      </c>
      <c r="AS278" s="3" t="str">
        <f t="shared" si="195"/>
        <v>-</v>
      </c>
      <c r="AT278" s="3" t="str">
        <f t="shared" si="196"/>
        <v>-</v>
      </c>
      <c r="AU278" s="3" t="str">
        <f t="shared" si="197"/>
        <v>-</v>
      </c>
      <c r="AV278" s="3">
        <f t="shared" si="198"/>
        <v>8</v>
      </c>
      <c r="AW278" s="3">
        <f t="shared" si="199"/>
        <v>8</v>
      </c>
      <c r="AX278" s="3">
        <f t="shared" si="200"/>
        <v>70</v>
      </c>
      <c r="AY278" s="3">
        <f t="shared" si="201"/>
        <v>7</v>
      </c>
      <c r="AZ278" s="3">
        <f t="shared" si="202"/>
        <v>1</v>
      </c>
      <c r="BA278" s="3">
        <f>IF(ISERROR(LEN(VLOOKUP(A278,Seqs!A:E,2,FALSE))-AL278),"-",LEN(VLOOKUP(A278,Seqs!A:E,2,FALSE))-AL278)</f>
        <v>148</v>
      </c>
      <c r="BB278" s="16">
        <f t="shared" si="203"/>
        <v>30</v>
      </c>
      <c r="BC278" s="9" t="str">
        <f t="shared" si="204"/>
        <v>-</v>
      </c>
      <c r="BD278" s="3">
        <f t="shared" si="205"/>
        <v>30</v>
      </c>
      <c r="BE278" s="3">
        <f t="shared" si="20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211"/>
        <v>100</v>
      </c>
      <c r="G279" s="3">
        <v>102</v>
      </c>
      <c r="H279" s="3">
        <f t="shared" si="212"/>
        <v>103</v>
      </c>
      <c r="I279" s="3">
        <f t="shared" si="21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213">M279-1</f>
        <v>136</v>
      </c>
      <c r="M279" s="3">
        <v>137</v>
      </c>
      <c r="N279" s="3">
        <f t="shared" ref="N279:N296" si="214">M279+2</f>
        <v>139</v>
      </c>
      <c r="O279" s="3">
        <f t="shared" ref="O279:O296" si="21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1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20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207"/>
        <v>1</v>
      </c>
      <c r="AO279" s="3" t="str">
        <f>IF(ISERROR(MATCH(A279,'SegEnds_Xtal_Prot#'!B:B, 0)), "NoXtal", "Xtal")</f>
        <v>NoXtal</v>
      </c>
      <c r="AP279" s="3">
        <f t="shared" si="192"/>
        <v>1</v>
      </c>
      <c r="AQ279" s="3">
        <f t="shared" si="193"/>
        <v>1</v>
      </c>
      <c r="AR279" s="3">
        <f t="shared" si="194"/>
        <v>1</v>
      </c>
      <c r="AS279" s="3">
        <f t="shared" si="195"/>
        <v>1</v>
      </c>
      <c r="AT279" s="3" t="str">
        <f t="shared" si="196"/>
        <v>-</v>
      </c>
      <c r="AU279" s="3" t="str">
        <f t="shared" si="197"/>
        <v>-</v>
      </c>
      <c r="AV279" s="3">
        <f t="shared" si="198"/>
        <v>16</v>
      </c>
      <c r="AW279" s="3">
        <f t="shared" si="199"/>
        <v>8</v>
      </c>
      <c r="AX279" s="3">
        <f t="shared" si="200"/>
        <v>5</v>
      </c>
      <c r="AY279" s="3">
        <f t="shared" si="201"/>
        <v>5</v>
      </c>
      <c r="AZ279" s="3">
        <f t="shared" si="202"/>
        <v>1</v>
      </c>
      <c r="BA279" s="3">
        <f>IF(ISERROR(LEN(VLOOKUP(A279,Seqs!A:E,2,FALSE))-AL279),"-",LEN(VLOOKUP(A279,Seqs!A:E,2,FALSE))-AL279)</f>
        <v>63</v>
      </c>
      <c r="BB279" s="16">
        <f t="shared" si="203"/>
        <v>28</v>
      </c>
      <c r="BC279" s="9" t="str">
        <f t="shared" si="204"/>
        <v>-</v>
      </c>
      <c r="BD279" s="3">
        <f t="shared" si="205"/>
        <v>28</v>
      </c>
      <c r="BE279" s="3">
        <f t="shared" si="20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211"/>
        <v>61</v>
      </c>
      <c r="G280" s="3">
        <v>63</v>
      </c>
      <c r="H280" s="3">
        <f t="shared" si="212"/>
        <v>64</v>
      </c>
      <c r="I280" s="3">
        <f t="shared" si="21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213"/>
        <v>97</v>
      </c>
      <c r="M280" s="3">
        <v>98</v>
      </c>
      <c r="N280" s="3">
        <f t="shared" si="214"/>
        <v>100</v>
      </c>
      <c r="O280" s="3">
        <f t="shared" si="21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1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20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207"/>
        <v>1</v>
      </c>
      <c r="AO280" s="3" t="str">
        <f>IF(ISERROR(MATCH(A280,'SegEnds_Xtal_Prot#'!B:B, 0)), "NoXtal", "Xtal")</f>
        <v>NoXtal</v>
      </c>
      <c r="AP280" s="3">
        <f t="shared" si="192"/>
        <v>1</v>
      </c>
      <c r="AQ280" s="3">
        <f t="shared" si="193"/>
        <v>1</v>
      </c>
      <c r="AR280" s="3">
        <f t="shared" si="194"/>
        <v>1</v>
      </c>
      <c r="AS280" s="3">
        <f t="shared" si="195"/>
        <v>1</v>
      </c>
      <c r="AT280" s="3" t="str">
        <f t="shared" si="196"/>
        <v>-</v>
      </c>
      <c r="AU280" s="3" t="str">
        <f t="shared" si="197"/>
        <v>-</v>
      </c>
      <c r="AV280" s="3">
        <f t="shared" si="198"/>
        <v>11</v>
      </c>
      <c r="AW280" s="3">
        <f t="shared" si="199"/>
        <v>9</v>
      </c>
      <c r="AX280" s="3">
        <f t="shared" si="200"/>
        <v>4</v>
      </c>
      <c r="AY280" s="3">
        <f t="shared" si="201"/>
        <v>6</v>
      </c>
      <c r="AZ280" s="3">
        <f t="shared" si="202"/>
        <v>1</v>
      </c>
      <c r="BA280" s="3">
        <f>IF(ISERROR(LEN(VLOOKUP(A280,Seqs!A:E,2,FALSE))-AL280),"-",LEN(VLOOKUP(A280,Seqs!A:E,2,FALSE))-AL280)</f>
        <v>87</v>
      </c>
      <c r="BB280" s="16">
        <f t="shared" si="203"/>
        <v>28</v>
      </c>
      <c r="BC280" s="9" t="str">
        <f t="shared" si="204"/>
        <v>-</v>
      </c>
      <c r="BD280" s="3">
        <f t="shared" si="205"/>
        <v>28</v>
      </c>
      <c r="BE280" s="3">
        <f t="shared" si="20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211"/>
        <v>62</v>
      </c>
      <c r="G281" s="3">
        <v>64</v>
      </c>
      <c r="H281" s="3">
        <f t="shared" si="212"/>
        <v>65</v>
      </c>
      <c r="I281" s="3">
        <f t="shared" si="21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213"/>
        <v>98</v>
      </c>
      <c r="M281" s="3">
        <v>99</v>
      </c>
      <c r="N281" s="3">
        <f t="shared" si="214"/>
        <v>101</v>
      </c>
      <c r="O281" s="3">
        <f t="shared" si="21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1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20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207"/>
        <v>1</v>
      </c>
      <c r="AO281" s="3" t="str">
        <f>IF(ISERROR(MATCH(A281,'SegEnds_Xtal_Prot#'!B:B, 0)), "NoXtal", "Xtal")</f>
        <v>NoXtal</v>
      </c>
      <c r="AP281" s="3">
        <f t="shared" si="192"/>
        <v>1</v>
      </c>
      <c r="AQ281" s="3">
        <f t="shared" si="193"/>
        <v>1</v>
      </c>
      <c r="AR281" s="3">
        <f t="shared" si="194"/>
        <v>2</v>
      </c>
      <c r="AS281" s="3">
        <f t="shared" si="195"/>
        <v>1</v>
      </c>
      <c r="AT281" s="3" t="str">
        <f t="shared" si="196"/>
        <v>-</v>
      </c>
      <c r="AU281" s="3" t="str">
        <f t="shared" si="197"/>
        <v>-</v>
      </c>
      <c r="AV281" s="3">
        <f t="shared" si="198"/>
        <v>11</v>
      </c>
      <c r="AW281" s="3">
        <f t="shared" si="199"/>
        <v>8</v>
      </c>
      <c r="AX281" s="3">
        <f t="shared" si="200"/>
        <v>5</v>
      </c>
      <c r="AY281" s="3">
        <f t="shared" si="201"/>
        <v>6</v>
      </c>
      <c r="AZ281" s="3">
        <f t="shared" si="202"/>
        <v>1</v>
      </c>
      <c r="BA281" s="3">
        <f>IF(ISERROR(LEN(VLOOKUP(A281,Seqs!A:E,2,FALSE))-AL281),"-",LEN(VLOOKUP(A281,Seqs!A:E,2,FALSE))-AL281)</f>
        <v>76</v>
      </c>
      <c r="BB281" s="16">
        <f t="shared" si="203"/>
        <v>28</v>
      </c>
      <c r="BC281" s="9" t="str">
        <f t="shared" si="204"/>
        <v>-</v>
      </c>
      <c r="BD281" s="3">
        <f t="shared" si="205"/>
        <v>28</v>
      </c>
      <c r="BE281" s="3">
        <f t="shared" si="20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211"/>
        <v>114</v>
      </c>
      <c r="G282" s="3">
        <v>116</v>
      </c>
      <c r="H282" s="3">
        <f t="shared" si="212"/>
        <v>117</v>
      </c>
      <c r="I282" s="3">
        <f t="shared" si="21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213"/>
        <v>150</v>
      </c>
      <c r="M282" s="3">
        <v>151</v>
      </c>
      <c r="N282" s="3">
        <f t="shared" si="214"/>
        <v>153</v>
      </c>
      <c r="O282" s="3">
        <f t="shared" si="21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1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20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207"/>
        <v>1</v>
      </c>
      <c r="AO282" s="3" t="str">
        <f>IF(ISERROR(MATCH(A282,'SegEnds_Xtal_Prot#'!B:B, 0)), "NoXtal", "Xtal")</f>
        <v>NoXtal</v>
      </c>
      <c r="AP282" s="3">
        <f t="shared" si="192"/>
        <v>1</v>
      </c>
      <c r="AQ282" s="3">
        <f t="shared" si="193"/>
        <v>1</v>
      </c>
      <c r="AR282" s="3">
        <f t="shared" si="194"/>
        <v>1</v>
      </c>
      <c r="AS282" s="3">
        <f t="shared" si="195"/>
        <v>1</v>
      </c>
      <c r="AT282" s="3" t="str">
        <f t="shared" si="196"/>
        <v>-</v>
      </c>
      <c r="AU282" s="3" t="str">
        <f t="shared" si="197"/>
        <v>-</v>
      </c>
      <c r="AV282" s="3">
        <f t="shared" si="198"/>
        <v>11</v>
      </c>
      <c r="AW282" s="3">
        <f t="shared" si="199"/>
        <v>7</v>
      </c>
      <c r="AX282" s="3">
        <f t="shared" si="200"/>
        <v>4</v>
      </c>
      <c r="AY282" s="3">
        <f t="shared" si="201"/>
        <v>6</v>
      </c>
      <c r="AZ282" s="3">
        <f t="shared" si="202"/>
        <v>1</v>
      </c>
      <c r="BA282" s="3">
        <f>IF(ISERROR(LEN(VLOOKUP(A282,Seqs!A:E,2,FALSE))-AL282),"-",LEN(VLOOKUP(A282,Seqs!A:E,2,FALSE))-AL282)</f>
        <v>94</v>
      </c>
      <c r="BB282" s="16">
        <f t="shared" si="203"/>
        <v>28</v>
      </c>
      <c r="BC282" s="9" t="str">
        <f t="shared" si="204"/>
        <v>-</v>
      </c>
      <c r="BD282" s="3">
        <f t="shared" si="205"/>
        <v>28</v>
      </c>
      <c r="BE282" s="3">
        <f t="shared" si="20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211"/>
        <v>66</v>
      </c>
      <c r="G283" s="3">
        <v>68</v>
      </c>
      <c r="H283" s="3">
        <f t="shared" si="212"/>
        <v>69</v>
      </c>
      <c r="I283" s="3">
        <f t="shared" si="21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213"/>
        <v>101</v>
      </c>
      <c r="M283" s="3">
        <v>102</v>
      </c>
      <c r="N283" s="3">
        <f t="shared" si="214"/>
        <v>104</v>
      </c>
      <c r="O283" s="3">
        <f t="shared" si="21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1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20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207"/>
        <v>1</v>
      </c>
      <c r="AO283" s="3" t="str">
        <f>IF(ISERROR(MATCH(A283,'SegEnds_Xtal_Prot#'!B:B, 0)), "NoXtal", "Xtal")</f>
        <v>NoXtal</v>
      </c>
      <c r="AP283" s="3">
        <f t="shared" si="192"/>
        <v>1</v>
      </c>
      <c r="AQ283" s="3">
        <f t="shared" si="193"/>
        <v>1</v>
      </c>
      <c r="AR283" s="3">
        <f t="shared" si="194"/>
        <v>2</v>
      </c>
      <c r="AS283" s="3">
        <f t="shared" si="195"/>
        <v>1</v>
      </c>
      <c r="AT283" s="3" t="str">
        <f t="shared" si="196"/>
        <v>-</v>
      </c>
      <c r="AU283" s="3" t="str">
        <f t="shared" si="197"/>
        <v>-</v>
      </c>
      <c r="AV283" s="3">
        <f t="shared" si="198"/>
        <v>11</v>
      </c>
      <c r="AW283" s="3">
        <f t="shared" si="199"/>
        <v>5</v>
      </c>
      <c r="AX283" s="3">
        <f t="shared" si="200"/>
        <v>6</v>
      </c>
      <c r="AY283" s="3">
        <f t="shared" si="201"/>
        <v>5</v>
      </c>
      <c r="AZ283" s="3">
        <f t="shared" si="202"/>
        <v>1</v>
      </c>
      <c r="BA283" s="3">
        <f>IF(ISERROR(LEN(VLOOKUP(A283,Seqs!A:E,2,FALSE))-AL283),"-",LEN(VLOOKUP(A283,Seqs!A:E,2,FALSE))-AL283)</f>
        <v>5</v>
      </c>
      <c r="BB283" s="16">
        <f t="shared" si="203"/>
        <v>28</v>
      </c>
      <c r="BC283" s="9" t="str">
        <f t="shared" si="204"/>
        <v>-</v>
      </c>
      <c r="BD283" s="3">
        <f t="shared" si="205"/>
        <v>28</v>
      </c>
      <c r="BE283" s="3">
        <f t="shared" si="20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211"/>
        <v>74</v>
      </c>
      <c r="G284" s="3">
        <v>76</v>
      </c>
      <c r="H284" s="3">
        <f t="shared" si="212"/>
        <v>77</v>
      </c>
      <c r="I284" s="3">
        <f t="shared" si="21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213"/>
        <v>109</v>
      </c>
      <c r="M284" s="3">
        <v>110</v>
      </c>
      <c r="N284" s="3">
        <f t="shared" si="214"/>
        <v>112</v>
      </c>
      <c r="O284" s="3">
        <f t="shared" si="21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1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20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207"/>
        <v>1</v>
      </c>
      <c r="AO284" s="3" t="str">
        <f>IF(ISERROR(MATCH(A284,'SegEnds_Xtal_Prot#'!B:B, 0)), "NoXtal", "Xtal")</f>
        <v>NoXtal</v>
      </c>
      <c r="AP284" s="3">
        <f t="shared" si="192"/>
        <v>1</v>
      </c>
      <c r="AQ284" s="3">
        <f t="shared" si="193"/>
        <v>1</v>
      </c>
      <c r="AR284" s="3">
        <f t="shared" si="194"/>
        <v>2</v>
      </c>
      <c r="AS284" s="3">
        <f t="shared" si="195"/>
        <v>1</v>
      </c>
      <c r="AT284" s="3" t="str">
        <f t="shared" si="196"/>
        <v>-</v>
      </c>
      <c r="AU284" s="3" t="str">
        <f t="shared" si="197"/>
        <v>-</v>
      </c>
      <c r="AV284" s="3">
        <f t="shared" si="198"/>
        <v>12</v>
      </c>
      <c r="AW284" s="3">
        <f t="shared" si="199"/>
        <v>6</v>
      </c>
      <c r="AX284" s="3">
        <f t="shared" si="200"/>
        <v>6</v>
      </c>
      <c r="AY284" s="3">
        <f t="shared" si="201"/>
        <v>5</v>
      </c>
      <c r="AZ284" s="3">
        <f t="shared" si="202"/>
        <v>1</v>
      </c>
      <c r="BA284" s="3">
        <f>IF(ISERROR(LEN(VLOOKUP(A284,Seqs!A:E,2,FALSE))-AL284),"-",LEN(VLOOKUP(A284,Seqs!A:E,2,FALSE))-AL284)</f>
        <v>0</v>
      </c>
      <c r="BB284" s="16">
        <f t="shared" si="203"/>
        <v>28</v>
      </c>
      <c r="BC284" s="9" t="str">
        <f t="shared" si="204"/>
        <v>-</v>
      </c>
      <c r="BD284" s="3">
        <f t="shared" si="205"/>
        <v>28</v>
      </c>
      <c r="BE284" s="3">
        <f t="shared" si="20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211"/>
        <v>72</v>
      </c>
      <c r="G285" s="3">
        <v>74</v>
      </c>
      <c r="H285" s="3">
        <f t="shared" si="212"/>
        <v>75</v>
      </c>
      <c r="I285" s="3">
        <f t="shared" si="21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213"/>
        <v>108</v>
      </c>
      <c r="M285" s="3">
        <v>109</v>
      </c>
      <c r="N285" s="3">
        <f t="shared" si="214"/>
        <v>111</v>
      </c>
      <c r="O285" s="3">
        <f t="shared" si="21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1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20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250</v>
      </c>
      <c r="AD285" s="3">
        <f>IF(ISERROR(VLOOKUP($A285,'SegEnds_NonXtal_BW#'!$A:$Z,21,FALSE)+VLOOKUP($A285,A:AL,31,FALSE)-50),"-",(VLOOKUP($A285,'SegEnds_NonXtal_BW#'!$A:$Z,21,FALSE)+VLOOKUP($A285,A:AL,31,FALSE)-50))</f>
        <v>259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207"/>
        <v>1</v>
      </c>
      <c r="AO285" s="3" t="str">
        <f>IF(ISERROR(MATCH(A285,'SegEnds_Xtal_Prot#'!B:B, 0)), "NoXtal", "Xtal")</f>
        <v>NoXtal</v>
      </c>
      <c r="AP285" s="3">
        <f t="shared" si="192"/>
        <v>1</v>
      </c>
      <c r="AQ285" s="3">
        <f t="shared" si="193"/>
        <v>1</v>
      </c>
      <c r="AR285" s="3">
        <f t="shared" si="194"/>
        <v>2</v>
      </c>
      <c r="AS285" s="3">
        <f t="shared" si="195"/>
        <v>1</v>
      </c>
      <c r="AT285" s="3" t="str">
        <f t="shared" si="196"/>
        <v>-</v>
      </c>
      <c r="AU285" s="3" t="str">
        <f t="shared" si="197"/>
        <v>-</v>
      </c>
      <c r="AV285" s="3">
        <f t="shared" si="198"/>
        <v>23</v>
      </c>
      <c r="AW285" s="3">
        <f t="shared" si="199"/>
        <v>5</v>
      </c>
      <c r="AX285" s="3">
        <f t="shared" si="200"/>
        <v>9</v>
      </c>
      <c r="AY285" s="3">
        <f t="shared" si="201"/>
        <v>8</v>
      </c>
      <c r="AZ285" s="3">
        <f t="shared" si="202"/>
        <v>1</v>
      </c>
      <c r="BA285" s="3">
        <f>IF(ISERROR(LEN(VLOOKUP(A285,Seqs!A:E,2,FALSE))-AL285),"-",LEN(VLOOKUP(A285,Seqs!A:E,2,FALSE))-AL285)</f>
        <v>86</v>
      </c>
      <c r="BB285" s="16">
        <f t="shared" si="203"/>
        <v>28</v>
      </c>
      <c r="BC285" s="9" t="str">
        <f t="shared" si="204"/>
        <v>-</v>
      </c>
      <c r="BD285" s="3">
        <f t="shared" si="205"/>
        <v>28</v>
      </c>
      <c r="BE285" s="3">
        <f t="shared" si="20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211"/>
        <v>176</v>
      </c>
      <c r="G286" s="3">
        <v>178</v>
      </c>
      <c r="H286" s="3">
        <f t="shared" si="212"/>
        <v>179</v>
      </c>
      <c r="I286" s="3">
        <f t="shared" si="21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213"/>
        <v>212</v>
      </c>
      <c r="M286" s="3">
        <v>213</v>
      </c>
      <c r="N286" s="3">
        <f t="shared" si="214"/>
        <v>215</v>
      </c>
      <c r="O286" s="3">
        <f t="shared" si="21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1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20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207"/>
        <v>1</v>
      </c>
      <c r="AO286" s="3" t="str">
        <f>IF(ISERROR(MATCH(A286,'SegEnds_Xtal_Prot#'!B:B, 0)), "NoXtal", "Xtal")</f>
        <v>NoXtal</v>
      </c>
      <c r="AP286" s="3">
        <f t="shared" si="192"/>
        <v>1</v>
      </c>
      <c r="AQ286" s="3">
        <f t="shared" si="193"/>
        <v>1</v>
      </c>
      <c r="AR286" s="3">
        <f t="shared" si="194"/>
        <v>2</v>
      </c>
      <c r="AS286" s="3">
        <f t="shared" si="195"/>
        <v>1</v>
      </c>
      <c r="AT286" s="3" t="str">
        <f t="shared" si="196"/>
        <v>-</v>
      </c>
      <c r="AU286" s="3" t="str">
        <f t="shared" si="197"/>
        <v>-</v>
      </c>
      <c r="AV286" s="3">
        <f t="shared" si="198"/>
        <v>24</v>
      </c>
      <c r="AW286" s="3">
        <f t="shared" si="199"/>
        <v>5</v>
      </c>
      <c r="AX286" s="3">
        <f t="shared" si="200"/>
        <v>9</v>
      </c>
      <c r="AY286" s="3">
        <f t="shared" si="201"/>
        <v>8</v>
      </c>
      <c r="AZ286" s="3">
        <f t="shared" si="202"/>
        <v>1</v>
      </c>
      <c r="BA286" s="3">
        <f>IF(ISERROR(LEN(VLOOKUP(A286,Seqs!A:E,2,FALSE))-AL286),"-",LEN(VLOOKUP(A286,Seqs!A:E,2,FALSE))-AL286)</f>
        <v>72</v>
      </c>
      <c r="BB286" s="16">
        <f t="shared" si="203"/>
        <v>28</v>
      </c>
      <c r="BC286" s="9" t="str">
        <f t="shared" si="204"/>
        <v>-</v>
      </c>
      <c r="BD286" s="3">
        <f t="shared" si="205"/>
        <v>28</v>
      </c>
      <c r="BE286" s="3">
        <f t="shared" si="20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ox1r_human</v>
      </c>
      <c r="C287" s="3">
        <f>VLOOKUP($A287,'SegEnds_NonXtal_BW#'!$A:$Z,3,FALSE)+D287-50</f>
        <v>40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211"/>
        <v>69</v>
      </c>
      <c r="G287" s="3">
        <v>71</v>
      </c>
      <c r="H287" s="3">
        <f t="shared" si="212"/>
        <v>72</v>
      </c>
      <c r="I287" s="3">
        <f t="shared" si="212"/>
        <v>73</v>
      </c>
      <c r="J287" s="3">
        <v>86</v>
      </c>
      <c r="K287" s="3">
        <f>VLOOKUP($A287,'SegEnds_NonXtal_BW#'!$A:$Z,8,FALSE)+VLOOKUP($A287,A:AL,10,FALSE)-50</f>
        <v>103</v>
      </c>
      <c r="L287" s="3">
        <f t="shared" si="213"/>
        <v>105</v>
      </c>
      <c r="M287" s="3">
        <v>106</v>
      </c>
      <c r="N287" s="3">
        <f t="shared" si="214"/>
        <v>108</v>
      </c>
      <c r="O287" s="3">
        <f t="shared" si="21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1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209"/>
        <v>200</v>
      </c>
      <c r="AA287" s="3">
        <f>IF(ISERROR(VLOOKUP($A287,'SegEnds_NonXtal_BW#'!$A:$Z,19,FALSE)+VLOOKUP($A287,A:AL,28,FALSE)-50),"-",(VLOOKUP($A287,'SegEnds_NonXtal_BW#'!$A:$Z,19,FALSE)+VLOOKUP($A287,A:AL,28,FALSE)-50))</f>
        <v>205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207"/>
        <v>1</v>
      </c>
      <c r="AO287" s="3" t="str">
        <f>IF(ISERROR(MATCH(A287,'SegEnds_Xtal_Prot#'!B:B, 0)), "NoXtal", "Xtal")</f>
        <v>NoXtal</v>
      </c>
      <c r="AP287" s="3">
        <f t="shared" si="192"/>
        <v>1</v>
      </c>
      <c r="AQ287" s="3">
        <f t="shared" si="193"/>
        <v>1</v>
      </c>
      <c r="AR287" s="3">
        <f t="shared" si="194"/>
        <v>2</v>
      </c>
      <c r="AS287" s="3">
        <f t="shared" si="195"/>
        <v>1</v>
      </c>
      <c r="AT287" s="3" t="str">
        <f t="shared" si="196"/>
        <v>-</v>
      </c>
      <c r="AU287" s="3" t="str">
        <f t="shared" si="197"/>
        <v>-</v>
      </c>
      <c r="AV287" s="3">
        <f t="shared" si="198"/>
        <v>21</v>
      </c>
      <c r="AW287" s="3">
        <f t="shared" si="199"/>
        <v>5</v>
      </c>
      <c r="AX287" s="3">
        <f t="shared" si="200"/>
        <v>4</v>
      </c>
      <c r="AY287" s="3">
        <f t="shared" si="201"/>
        <v>6</v>
      </c>
      <c r="AZ287" s="3">
        <f t="shared" si="202"/>
        <v>1</v>
      </c>
      <c r="BA287" s="3">
        <f>IF(ISERROR(LEN(VLOOKUP(A287,Seqs!A:E,2,FALSE))-AL287),"-",LEN(VLOOKUP(A287,Seqs!A:E,2,FALSE))-AL287)</f>
        <v>49</v>
      </c>
      <c r="BB287" s="16">
        <f t="shared" si="203"/>
        <v>28</v>
      </c>
      <c r="BC287" s="9" t="str">
        <f t="shared" si="204"/>
        <v>-</v>
      </c>
      <c r="BD287" s="3">
        <f t="shared" si="205"/>
        <v>28</v>
      </c>
      <c r="BE287" s="3">
        <f t="shared" si="20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211"/>
        <v>79</v>
      </c>
      <c r="G288" s="3">
        <v>81</v>
      </c>
      <c r="H288" s="3">
        <f t="shared" si="212"/>
        <v>82</v>
      </c>
      <c r="I288" s="3">
        <f t="shared" si="21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213"/>
        <v>115</v>
      </c>
      <c r="M288" s="3">
        <v>116</v>
      </c>
      <c r="N288" s="3">
        <f t="shared" si="214"/>
        <v>118</v>
      </c>
      <c r="O288" s="3">
        <f t="shared" si="21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1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20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207"/>
        <v>1</v>
      </c>
      <c r="AO288" s="3" t="str">
        <f>IF(ISERROR(MATCH(A288,'SegEnds_Xtal_Prot#'!B:B, 0)), "NoXtal", "Xtal")</f>
        <v>NoXtal</v>
      </c>
      <c r="AP288" s="3">
        <f t="shared" si="192"/>
        <v>1</v>
      </c>
      <c r="AQ288" s="3">
        <f t="shared" si="193"/>
        <v>1</v>
      </c>
      <c r="AR288" s="3">
        <f t="shared" si="194"/>
        <v>1</v>
      </c>
      <c r="AS288" s="3">
        <f t="shared" si="195"/>
        <v>1</v>
      </c>
      <c r="AT288" s="3" t="str">
        <f t="shared" si="196"/>
        <v>-</v>
      </c>
      <c r="AU288" s="3" t="str">
        <f t="shared" si="197"/>
        <v>-</v>
      </c>
      <c r="AV288" s="3">
        <f t="shared" si="198"/>
        <v>16</v>
      </c>
      <c r="AW288" s="3">
        <f t="shared" si="199"/>
        <v>9</v>
      </c>
      <c r="AX288" s="3">
        <f t="shared" si="200"/>
        <v>4</v>
      </c>
      <c r="AY288" s="3">
        <f t="shared" si="201"/>
        <v>6</v>
      </c>
      <c r="AZ288" s="3">
        <f t="shared" si="202"/>
        <v>1</v>
      </c>
      <c r="BA288" s="3">
        <f>IF(ISERROR(LEN(VLOOKUP(A288,Seqs!A:E,2,FALSE))-AL288),"-",LEN(VLOOKUP(A288,Seqs!A:E,2,FALSE))-AL288)</f>
        <v>41</v>
      </c>
      <c r="BB288" s="16">
        <f t="shared" si="203"/>
        <v>28</v>
      </c>
      <c r="BC288" s="9" t="str">
        <f t="shared" si="204"/>
        <v>-</v>
      </c>
      <c r="BD288" s="3">
        <f t="shared" si="205"/>
        <v>28</v>
      </c>
      <c r="BE288" s="3">
        <f t="shared" si="20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ox2r_human</v>
      </c>
      <c r="C289" s="3">
        <f>VLOOKUP($A289,'SegEnds_NonXtal_BW#'!$A:$Z,3,FALSE)+D289-50</f>
        <v>40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211"/>
        <v>70</v>
      </c>
      <c r="G289" s="3">
        <v>72</v>
      </c>
      <c r="H289" s="3">
        <f t="shared" si="212"/>
        <v>73</v>
      </c>
      <c r="I289" s="3">
        <f t="shared" si="21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213"/>
        <v>106</v>
      </c>
      <c r="M289" s="3">
        <v>107</v>
      </c>
      <c r="N289" s="3">
        <f t="shared" si="214"/>
        <v>109</v>
      </c>
      <c r="O289" s="3">
        <f t="shared" si="21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1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209"/>
        <v>203</v>
      </c>
      <c r="AA289" s="3">
        <f>IF(ISERROR(VLOOKUP($A289,'SegEnds_NonXtal_BW#'!$A:$Z,19,FALSE)+VLOOKUP($A289,A:AL,28,FALSE)-50),"-",(VLOOKUP($A289,'SegEnds_NonXtal_BW#'!$A:$Z,19,FALSE)+VLOOKUP($A289,A:AL,28,FALSE)-50))</f>
        <v>209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207"/>
        <v>1</v>
      </c>
      <c r="AO289" s="3" t="str">
        <f>IF(ISERROR(MATCH(A289,'SegEnds_Xtal_Prot#'!B:B, 0)), "NoXtal", "Xtal")</f>
        <v>NoXtal</v>
      </c>
      <c r="AP289" s="3">
        <f t="shared" si="192"/>
        <v>1</v>
      </c>
      <c r="AQ289" s="3">
        <f t="shared" si="193"/>
        <v>1</v>
      </c>
      <c r="AR289" s="3">
        <f t="shared" si="194"/>
        <v>1</v>
      </c>
      <c r="AS289" s="3">
        <f t="shared" si="195"/>
        <v>1</v>
      </c>
      <c r="AT289" s="3" t="str">
        <f t="shared" si="196"/>
        <v>-</v>
      </c>
      <c r="AU289" s="3" t="str">
        <f t="shared" si="197"/>
        <v>-</v>
      </c>
      <c r="AV289" s="3">
        <f t="shared" si="198"/>
        <v>23</v>
      </c>
      <c r="AW289" s="3">
        <f t="shared" si="199"/>
        <v>6</v>
      </c>
      <c r="AX289" s="3">
        <f t="shared" si="200"/>
        <v>6</v>
      </c>
      <c r="AY289" s="3">
        <f t="shared" si="201"/>
        <v>6</v>
      </c>
      <c r="AZ289" s="3">
        <f t="shared" si="202"/>
        <v>1</v>
      </c>
      <c r="BA289" s="3">
        <f>IF(ISERROR(LEN(VLOOKUP(A289,Seqs!A:E,2,FALSE))-AL289),"-",LEN(VLOOKUP(A289,Seqs!A:E,2,FALSE))-AL289)</f>
        <v>38</v>
      </c>
      <c r="BB289" s="16">
        <f t="shared" si="203"/>
        <v>28</v>
      </c>
      <c r="BC289" s="9" t="str">
        <f t="shared" si="204"/>
        <v>-</v>
      </c>
      <c r="BD289" s="3">
        <f t="shared" si="205"/>
        <v>28</v>
      </c>
      <c r="BE289" s="3">
        <f t="shared" si="20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ox2r_human</v>
      </c>
      <c r="C290" s="3">
        <f>VLOOKUP($A290,'SegEnds_NonXtal_BW#'!$A:$Z,3,FALSE)+D290-50</f>
        <v>40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211"/>
        <v>70</v>
      </c>
      <c r="G290" s="3">
        <v>72</v>
      </c>
      <c r="H290" s="3">
        <f t="shared" si="212"/>
        <v>73</v>
      </c>
      <c r="I290" s="3">
        <f t="shared" si="21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213"/>
        <v>106</v>
      </c>
      <c r="M290" s="3">
        <v>107</v>
      </c>
      <c r="N290" s="3">
        <f t="shared" si="214"/>
        <v>109</v>
      </c>
      <c r="O290" s="3">
        <f t="shared" si="21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1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209"/>
        <v>200</v>
      </c>
      <c r="AA290" s="3">
        <f>IF(ISERROR(VLOOKUP($A290,'SegEnds_NonXtal_BW#'!$A:$Z,19,FALSE)+VLOOKUP($A290,A:AL,28,FALSE)-50),"-",(VLOOKUP($A290,'SegEnds_NonXtal_BW#'!$A:$Z,19,FALSE)+VLOOKUP($A290,A:AL,28,FALSE)-50))</f>
        <v>206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207"/>
        <v>1</v>
      </c>
      <c r="AO290" s="3" t="str">
        <f>IF(ISERROR(MATCH(A290,'SegEnds_Xtal_Prot#'!B:B, 0)), "NoXtal", "Xtal")</f>
        <v>NoXtal</v>
      </c>
      <c r="AP290" s="3">
        <f t="shared" si="192"/>
        <v>1</v>
      </c>
      <c r="AQ290" s="3">
        <f t="shared" si="193"/>
        <v>1</v>
      </c>
      <c r="AR290" s="3">
        <f t="shared" si="194"/>
        <v>1</v>
      </c>
      <c r="AS290" s="3">
        <f t="shared" si="195"/>
        <v>1</v>
      </c>
      <c r="AT290" s="3" t="str">
        <f t="shared" si="196"/>
        <v>-</v>
      </c>
      <c r="AU290" s="3" t="str">
        <f t="shared" si="197"/>
        <v>-</v>
      </c>
      <c r="AV290" s="3">
        <f t="shared" si="198"/>
        <v>20</v>
      </c>
      <c r="AW290" s="3">
        <f t="shared" si="199"/>
        <v>6</v>
      </c>
      <c r="AX290" s="3">
        <f t="shared" si="200"/>
        <v>108</v>
      </c>
      <c r="AY290" s="3">
        <f t="shared" si="201"/>
        <v>6</v>
      </c>
      <c r="AZ290" s="3">
        <f t="shared" si="202"/>
        <v>1</v>
      </c>
      <c r="BA290" s="3">
        <f>IF(ISERROR(LEN(VLOOKUP(A290,Seqs!A:E,2,FALSE))-AL290),"-",LEN(VLOOKUP(A290,Seqs!A:E,2,FALSE))-AL290)</f>
        <v>5</v>
      </c>
      <c r="BB290" s="16">
        <f t="shared" si="203"/>
        <v>28</v>
      </c>
      <c r="BC290" s="9" t="str">
        <f t="shared" si="204"/>
        <v>-</v>
      </c>
      <c r="BD290" s="3">
        <f t="shared" si="205"/>
        <v>28</v>
      </c>
      <c r="BE290" s="3">
        <f t="shared" si="20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ox2r_human</v>
      </c>
      <c r="C291" s="3">
        <f>VLOOKUP($A291,'SegEnds_NonXtal_BW#'!$A:$Z,3,FALSE)+D291-50</f>
        <v>34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211"/>
        <v>65</v>
      </c>
      <c r="G291" s="3">
        <v>67</v>
      </c>
      <c r="H291" s="3">
        <f t="shared" si="212"/>
        <v>68</v>
      </c>
      <c r="I291" s="3">
        <f t="shared" si="21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213"/>
        <v>101</v>
      </c>
      <c r="M291" s="3">
        <v>102</v>
      </c>
      <c r="N291" s="3">
        <f t="shared" si="214"/>
        <v>104</v>
      </c>
      <c r="O291" s="3">
        <f t="shared" si="21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1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207"/>
        <v>#VALUE!</v>
      </c>
      <c r="AO291" s="3" t="str">
        <f>IF(ISERROR(MATCH(A291,'SegEnds_Xtal_Prot#'!B:B, 0)), "NoXtal", "Xtal")</f>
        <v>NoXtal</v>
      </c>
      <c r="AP291" s="3">
        <f t="shared" si="192"/>
        <v>2</v>
      </c>
      <c r="AQ291" s="3">
        <f t="shared" si="193"/>
        <v>1</v>
      </c>
      <c r="AR291" s="3">
        <f t="shared" si="194"/>
        <v>1</v>
      </c>
      <c r="AS291" s="3">
        <f t="shared" si="195"/>
        <v>1</v>
      </c>
      <c r="AT291" s="3" t="str">
        <f t="shared" si="196"/>
        <v>-</v>
      </c>
      <c r="AU291" s="3" t="str">
        <f t="shared" si="197"/>
        <v>-</v>
      </c>
      <c r="AV291" s="3" t="str">
        <f t="shared" si="198"/>
        <v>-</v>
      </c>
      <c r="AW291" s="3" t="str">
        <f t="shared" si="199"/>
        <v>-</v>
      </c>
      <c r="AX291" s="3">
        <f t="shared" si="200"/>
        <v>4</v>
      </c>
      <c r="AY291" s="3" t="str">
        <f t="shared" si="201"/>
        <v>-</v>
      </c>
      <c r="AZ291" s="3" t="str">
        <f t="shared" si="202"/>
        <v>-</v>
      </c>
      <c r="BA291" s="3" t="str">
        <f>IF(ISERROR(LEN(VLOOKUP(A291,Seqs!A:E,2,FALSE))-AL291),"-",LEN(VLOOKUP(A291,Seqs!A:E,2,FALSE))-AL291)</f>
        <v>-</v>
      </c>
      <c r="BB291" s="16">
        <f t="shared" si="203"/>
        <v>29</v>
      </c>
      <c r="BC291" s="9" t="str">
        <f t="shared" si="204"/>
        <v>-</v>
      </c>
      <c r="BD291" s="3">
        <f t="shared" si="205"/>
        <v>29</v>
      </c>
      <c r="BE291" s="3">
        <f t="shared" si="20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1"/>
        <v>70</v>
      </c>
      <c r="G292" s="3">
        <v>72</v>
      </c>
      <c r="H292" s="3">
        <f t="shared" si="212"/>
        <v>73</v>
      </c>
      <c r="I292" s="3">
        <f t="shared" si="21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213"/>
        <v>106</v>
      </c>
      <c r="M292" s="3">
        <v>107</v>
      </c>
      <c r="N292" s="3">
        <f t="shared" si="214"/>
        <v>109</v>
      </c>
      <c r="O292" s="3">
        <f t="shared" si="21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1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3" si="21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207"/>
        <v>1</v>
      </c>
      <c r="AO292" s="3" t="str">
        <f>IF(ISERROR(MATCH(A292,'SegEnds_Xtal_Prot#'!B:B, 0)), "NoXtal", "Xtal")</f>
        <v>NoXtal</v>
      </c>
      <c r="AP292" s="3">
        <f t="shared" si="192"/>
        <v>1</v>
      </c>
      <c r="AQ292" s="3">
        <f t="shared" si="193"/>
        <v>1</v>
      </c>
      <c r="AR292" s="3">
        <f t="shared" si="194"/>
        <v>2</v>
      </c>
      <c r="AS292" s="3">
        <f t="shared" si="195"/>
        <v>1</v>
      </c>
      <c r="AT292" s="3" t="str">
        <f t="shared" si="196"/>
        <v>-</v>
      </c>
      <c r="AU292" s="3" t="str">
        <f t="shared" si="197"/>
        <v>-</v>
      </c>
      <c r="AV292" s="3">
        <f t="shared" si="198"/>
        <v>14</v>
      </c>
      <c r="AW292" s="3">
        <f t="shared" si="199"/>
        <v>8</v>
      </c>
      <c r="AX292" s="3">
        <f t="shared" si="200"/>
        <v>5</v>
      </c>
      <c r="AY292" s="3">
        <f t="shared" si="201"/>
        <v>6</v>
      </c>
      <c r="AZ292" s="3">
        <f t="shared" si="202"/>
        <v>1</v>
      </c>
      <c r="BA292" s="3">
        <f>IF(ISERROR(LEN(VLOOKUP(A292,Seqs!A:E,2,FALSE))-AL292),"-",LEN(VLOOKUP(A292,Seqs!A:E,2,FALSE))-AL292)</f>
        <v>77</v>
      </c>
      <c r="BB292" s="16">
        <f t="shared" si="203"/>
        <v>28</v>
      </c>
      <c r="BC292" s="9" t="str">
        <f t="shared" si="204"/>
        <v>-</v>
      </c>
      <c r="BD292" s="3">
        <f t="shared" si="205"/>
        <v>28</v>
      </c>
      <c r="BE292" s="3">
        <f t="shared" si="20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211"/>
        <v>68</v>
      </c>
      <c r="G293" s="3">
        <v>70</v>
      </c>
      <c r="H293" s="3">
        <f t="shared" si="212"/>
        <v>71</v>
      </c>
      <c r="I293" s="3">
        <f t="shared" si="21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213"/>
        <v>102</v>
      </c>
      <c r="M293" s="3">
        <v>103</v>
      </c>
      <c r="N293" s="3">
        <f t="shared" si="214"/>
        <v>105</v>
      </c>
      <c r="O293" s="3">
        <f t="shared" si="21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1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21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207"/>
        <v>1</v>
      </c>
      <c r="AO293" s="3" t="str">
        <f>IF(ISERROR(MATCH(A293,'SegEnds_Xtal_Prot#'!B:B, 0)), "NoXtal", "Xtal")</f>
        <v>NoXtal</v>
      </c>
      <c r="AP293" s="3">
        <f t="shared" si="192"/>
        <v>1</v>
      </c>
      <c r="AQ293" s="3">
        <f t="shared" si="193"/>
        <v>1</v>
      </c>
      <c r="AR293" s="3">
        <f t="shared" si="194"/>
        <v>1</v>
      </c>
      <c r="AS293" s="3">
        <f t="shared" si="195"/>
        <v>1</v>
      </c>
      <c r="AT293" s="3" t="str">
        <f t="shared" si="196"/>
        <v>-</v>
      </c>
      <c r="AU293" s="3" t="str">
        <f t="shared" si="197"/>
        <v>-</v>
      </c>
      <c r="AV293" s="3">
        <f t="shared" si="198"/>
        <v>12</v>
      </c>
      <c r="AW293" s="3">
        <f t="shared" si="199"/>
        <v>6</v>
      </c>
      <c r="AX293" s="3">
        <f t="shared" si="200"/>
        <v>26</v>
      </c>
      <c r="AY293" s="3">
        <f t="shared" si="201"/>
        <v>6</v>
      </c>
      <c r="AZ293" s="3">
        <f t="shared" si="202"/>
        <v>1</v>
      </c>
      <c r="BA293" s="3">
        <f>IF(ISERROR(LEN(VLOOKUP(A293,Seqs!A:E,2,FALSE))-AL293),"-",LEN(VLOOKUP(A293,Seqs!A:E,2,FALSE))-AL293)</f>
        <v>45</v>
      </c>
      <c r="BB293" s="16">
        <f t="shared" si="203"/>
        <v>28</v>
      </c>
      <c r="BC293" s="9" t="str">
        <f t="shared" si="204"/>
        <v>-</v>
      </c>
      <c r="BD293" s="3">
        <f t="shared" si="205"/>
        <v>28</v>
      </c>
      <c r="BE293" s="3">
        <f t="shared" si="20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211"/>
        <v>91</v>
      </c>
      <c r="G294" s="3">
        <v>93</v>
      </c>
      <c r="H294" s="3">
        <f t="shared" si="212"/>
        <v>94</v>
      </c>
      <c r="I294" s="3">
        <f t="shared" si="21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213"/>
        <v>129</v>
      </c>
      <c r="M294" s="3">
        <v>130</v>
      </c>
      <c r="N294" s="3">
        <f t="shared" si="214"/>
        <v>132</v>
      </c>
      <c r="O294" s="3">
        <f t="shared" si="21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1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21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207"/>
        <v>1</v>
      </c>
      <c r="AO294" s="3" t="str">
        <f>IF(ISERROR(MATCH(A294,'SegEnds_Xtal_Prot#'!B:B, 0)), "NoXtal", "Xtal")</f>
        <v>NoXtal</v>
      </c>
      <c r="AP294" s="3">
        <f t="shared" si="192"/>
        <v>1</v>
      </c>
      <c r="AQ294" s="3">
        <f t="shared" si="193"/>
        <v>1</v>
      </c>
      <c r="AR294" s="3">
        <f t="shared" si="194"/>
        <v>4</v>
      </c>
      <c r="AS294" s="3">
        <f t="shared" si="195"/>
        <v>1</v>
      </c>
      <c r="AT294" s="3" t="str">
        <f t="shared" si="196"/>
        <v>-</v>
      </c>
      <c r="AU294" s="3" t="str">
        <f t="shared" si="197"/>
        <v>-</v>
      </c>
      <c r="AV294" s="3">
        <f t="shared" si="198"/>
        <v>16</v>
      </c>
      <c r="AW294" s="3">
        <f t="shared" si="199"/>
        <v>7</v>
      </c>
      <c r="AX294" s="3">
        <f t="shared" si="200"/>
        <v>4</v>
      </c>
      <c r="AY294" s="3">
        <f t="shared" si="201"/>
        <v>7</v>
      </c>
      <c r="AZ294" s="3">
        <f t="shared" si="202"/>
        <v>2</v>
      </c>
      <c r="BA294" s="3">
        <f>IF(ISERROR(LEN(VLOOKUP(A294,Seqs!A:E,2,FALSE))-AL294),"-",LEN(VLOOKUP(A294,Seqs!A:E,2,FALSE))-AL294)</f>
        <v>35</v>
      </c>
      <c r="BB294" s="16">
        <f t="shared" si="203"/>
        <v>28</v>
      </c>
      <c r="BC294" s="9" t="str">
        <f t="shared" si="204"/>
        <v>-</v>
      </c>
      <c r="BD294" s="3">
        <f t="shared" si="205"/>
        <v>28</v>
      </c>
      <c r="BE294" s="3">
        <f t="shared" si="20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ox1r_human</v>
      </c>
      <c r="C295" s="3">
        <f>VLOOKUP($A295,'SegEnds_NonXtal_BW#'!$A:$Z,3,FALSE)+D295-50</f>
        <v>53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211"/>
        <v>82</v>
      </c>
      <c r="G295" s="3">
        <v>84</v>
      </c>
      <c r="H295" s="3">
        <f t="shared" si="212"/>
        <v>85</v>
      </c>
      <c r="I295" s="3">
        <f t="shared" si="212"/>
        <v>86</v>
      </c>
      <c r="J295" s="3">
        <v>99</v>
      </c>
      <c r="K295" s="3">
        <f>VLOOKUP($A295,'SegEnds_NonXtal_BW#'!$A:$Z,8,FALSE)+VLOOKUP($A295,A:AL,10,FALSE)-50</f>
        <v>116</v>
      </c>
      <c r="L295" s="3">
        <f t="shared" si="213"/>
        <v>120</v>
      </c>
      <c r="M295" s="3">
        <v>121</v>
      </c>
      <c r="N295" s="3">
        <f t="shared" si="214"/>
        <v>123</v>
      </c>
      <c r="O295" s="3">
        <f t="shared" si="21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1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216"/>
        <v>210</v>
      </c>
      <c r="AA295" s="3">
        <f>IF(ISERROR(VLOOKUP($A295,'SegEnds_NonXtal_BW#'!$A:$Z,19,FALSE)+VLOOKUP($A295,A:AL,28,FALSE)-50),"-",(VLOOKUP($A295,'SegEnds_NonXtal_BW#'!$A:$Z,19,FALSE)+VLOOKUP($A295,A:AL,28,FALSE)-50))</f>
        <v>217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207"/>
        <v>1</v>
      </c>
      <c r="AO295" s="3" t="str">
        <f>IF(ISERROR(MATCH(A295,'SegEnds_Xtal_Prot#'!B:B, 0)), "NoXtal", "Xtal")</f>
        <v>NoXtal</v>
      </c>
      <c r="AP295" s="3">
        <f t="shared" si="192"/>
        <v>1</v>
      </c>
      <c r="AQ295" s="3">
        <f t="shared" si="193"/>
        <v>1</v>
      </c>
      <c r="AR295" s="3">
        <f t="shared" si="194"/>
        <v>4</v>
      </c>
      <c r="AS295" s="3">
        <f t="shared" si="195"/>
        <v>1</v>
      </c>
      <c r="AT295" s="3" t="str">
        <f t="shared" si="196"/>
        <v>-</v>
      </c>
      <c r="AU295" s="3" t="str">
        <f t="shared" si="197"/>
        <v>-</v>
      </c>
      <c r="AV295" s="3">
        <f t="shared" si="198"/>
        <v>16</v>
      </c>
      <c r="AW295" s="3">
        <f t="shared" si="199"/>
        <v>7</v>
      </c>
      <c r="AX295" s="3">
        <f t="shared" si="200"/>
        <v>4</v>
      </c>
      <c r="AY295" s="3">
        <f t="shared" si="201"/>
        <v>7</v>
      </c>
      <c r="AZ295" s="3">
        <f t="shared" si="202"/>
        <v>2</v>
      </c>
      <c r="BA295" s="3">
        <f>IF(ISERROR(LEN(VLOOKUP(A295,Seqs!A:E,2,FALSE))-AL295),"-",LEN(VLOOKUP(A295,Seqs!A:E,2,FALSE))-AL295)</f>
        <v>35</v>
      </c>
      <c r="BB295" s="16">
        <f t="shared" si="203"/>
        <v>28</v>
      </c>
      <c r="BC295" s="9" t="str">
        <f t="shared" si="204"/>
        <v>-</v>
      </c>
      <c r="BD295" s="3">
        <f t="shared" si="205"/>
        <v>28</v>
      </c>
      <c r="BE295" s="3">
        <f t="shared" si="20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211"/>
        <v>110</v>
      </c>
      <c r="G296" s="3">
        <v>112</v>
      </c>
      <c r="H296" s="3">
        <f t="shared" si="212"/>
        <v>113</v>
      </c>
      <c r="I296" s="3">
        <f t="shared" si="21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213"/>
        <v>147</v>
      </c>
      <c r="M296" s="3">
        <v>148</v>
      </c>
      <c r="N296" s="3">
        <f t="shared" si="214"/>
        <v>150</v>
      </c>
      <c r="O296" s="3">
        <f t="shared" si="21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1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21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207"/>
        <v>1</v>
      </c>
      <c r="AO296" s="3" t="str">
        <f>IF(ISERROR(MATCH(A296,'SegEnds_Xtal_Prot#'!B:B, 0)), "NoXtal", "Xtal")</f>
        <v>NoXtal</v>
      </c>
      <c r="AP296" s="3">
        <f t="shared" si="192"/>
        <v>1</v>
      </c>
      <c r="AQ296" s="3">
        <f t="shared" si="193"/>
        <v>1</v>
      </c>
      <c r="AR296" s="3">
        <f t="shared" si="194"/>
        <v>3</v>
      </c>
      <c r="AS296" s="3">
        <f t="shared" si="195"/>
        <v>1</v>
      </c>
      <c r="AT296" s="3" t="str">
        <f t="shared" si="196"/>
        <v>-</v>
      </c>
      <c r="AU296" s="3" t="str">
        <f t="shared" si="197"/>
        <v>-</v>
      </c>
      <c r="AV296" s="3">
        <f t="shared" si="198"/>
        <v>11</v>
      </c>
      <c r="AW296" s="3">
        <f t="shared" si="199"/>
        <v>14</v>
      </c>
      <c r="AX296" s="3">
        <f t="shared" si="200"/>
        <v>9</v>
      </c>
      <c r="AY296" s="3">
        <f t="shared" si="201"/>
        <v>5</v>
      </c>
      <c r="AZ296" s="3">
        <f t="shared" si="202"/>
        <v>1</v>
      </c>
      <c r="BA296" s="3">
        <f>IF(ISERROR(LEN(VLOOKUP(A296,Seqs!A:E,2,FALSE))-AL296),"-",LEN(VLOOKUP(A296,Seqs!A:E,2,FALSE))-AL296)</f>
        <v>62</v>
      </c>
      <c r="BB296" s="16">
        <f t="shared" si="203"/>
        <v>29</v>
      </c>
      <c r="BC296" s="9" t="str">
        <f t="shared" si="204"/>
        <v>-</v>
      </c>
      <c r="BD296" s="3">
        <f t="shared" si="205"/>
        <v>29</v>
      </c>
      <c r="BE296" s="3">
        <f t="shared" si="20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26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211"/>
        <v>62</v>
      </c>
      <c r="G297" s="3">
        <v>64</v>
      </c>
      <c r="H297" s="3">
        <f t="shared" ref="H297:I313" si="217">G297+1</f>
        <v>65</v>
      </c>
      <c r="I297" s="3">
        <f t="shared" si="21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103</v>
      </c>
      <c r="P297" s="3">
        <v>129</v>
      </c>
      <c r="Q297" s="3">
        <f>VLOOKUP($A297,'SegEnds_NonXtal_BW#'!$A:$Z,12,FALSE)+VLOOKUP($A297,A:AL,16,FALSE)-50</f>
        <v>135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1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165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216"/>
        <v>175</v>
      </c>
      <c r="AA297" s="3">
        <f>IF(ISERROR(VLOOKUP($A297,'SegEnds_NonXtal_BW#'!$A:$Z,19,FALSE)+VLOOKUP($A297,A:AL,28,FALSE)-50),"-",(VLOOKUP($A297,'SegEnds_NonXtal_BW#'!$A:$Z,19,FALSE)+VLOOKUP($A297,A:AL,28,FALSE)-50))</f>
        <v>182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207"/>
        <v>1</v>
      </c>
      <c r="AO297" s="3" t="str">
        <f>IF(ISERROR(MATCH(A297,'SegEnds_Xtal_Prot#'!B:B, 0)), "NoXtal", "Xtal")</f>
        <v>Xtal</v>
      </c>
      <c r="AP297" s="3">
        <f t="shared" si="192"/>
        <v>1</v>
      </c>
      <c r="AQ297" s="3">
        <f t="shared" si="193"/>
        <v>1</v>
      </c>
      <c r="AR297" s="3" t="str">
        <f t="shared" si="194"/>
        <v>-</v>
      </c>
      <c r="AS297" s="3" t="str">
        <f t="shared" si="195"/>
        <v>-</v>
      </c>
      <c r="AT297" s="3" t="str">
        <f t="shared" si="196"/>
        <v>-</v>
      </c>
      <c r="AU297" s="3" t="str">
        <f t="shared" si="197"/>
        <v>-</v>
      </c>
      <c r="AV297" s="3">
        <f t="shared" si="198"/>
        <v>8</v>
      </c>
      <c r="AW297" s="3">
        <f t="shared" si="199"/>
        <v>7</v>
      </c>
      <c r="AX297" s="3">
        <f t="shared" si="200"/>
        <v>4</v>
      </c>
      <c r="AY297" s="3">
        <f t="shared" si="201"/>
        <v>5</v>
      </c>
      <c r="AZ297" s="3">
        <f t="shared" si="202"/>
        <v>1</v>
      </c>
      <c r="BA297" s="3">
        <f>IF(ISERROR(LEN(VLOOKUP(A297,Seqs!A:E,2,FALSE))-AL297),"-",LEN(VLOOKUP(A297,Seqs!A:E,2,FALSE))-AL297)</f>
        <v>44</v>
      </c>
      <c r="BB297" s="16">
        <f t="shared" si="203"/>
        <v>28</v>
      </c>
      <c r="BC297" s="9" t="str">
        <f t="shared" si="204"/>
        <v>-</v>
      </c>
      <c r="BD297" s="3">
        <f t="shared" si="205"/>
        <v>28</v>
      </c>
      <c r="BE297" s="3">
        <f t="shared" si="206"/>
        <v>43</v>
      </c>
    </row>
    <row r="298" spans="1:59" s="3" customFormat="1" x14ac:dyDescent="0.2">
      <c r="A298" s="3" t="s">
        <v>401</v>
      </c>
      <c r="B298" s="3" t="str">
        <f>LOWER(VLOOKUP(A298,Xtal_Templ!A:B,2,FALSE))</f>
        <v>calcr_human</v>
      </c>
      <c r="C298" s="3">
        <f>VLOOKUP($A298,'SegEnds_NonXtal_BW#'!$A:$Z,3,FALSE)+D298-50</f>
        <v>132</v>
      </c>
      <c r="D298" s="3">
        <v>163</v>
      </c>
      <c r="E298" s="3">
        <f>IF(ISERROR(VLOOKUP($A298,'SegEnds_NonXtal_BW#'!$A:$Z,4,FALSE)+VLOOKUP($A298,A:AL,4,FALSE)-50),"-",(VLOOKUP($A298,'SegEnds_NonXtal_BW#'!$A:$Z,4,FALSE)+VLOOKUP($A298,A:AL,4,FALSE)-50))</f>
        <v>173</v>
      </c>
      <c r="F298" s="3">
        <f t="shared" si="211"/>
        <v>174</v>
      </c>
      <c r="G298" s="3">
        <v>176</v>
      </c>
      <c r="H298" s="3">
        <f t="shared" si="217"/>
        <v>177</v>
      </c>
      <c r="I298" s="3">
        <f t="shared" si="217"/>
        <v>178</v>
      </c>
      <c r="J298" s="3">
        <v>191</v>
      </c>
      <c r="K298" s="3">
        <f>VLOOKUP($A298,'SegEnds_NonXtal_BW#'!$A:$Z,8,FALSE)+VLOOKUP($A298,A:AL,10,FALSE)-50</f>
        <v>205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215</v>
      </c>
      <c r="P298" s="3">
        <v>244</v>
      </c>
      <c r="Q298" s="3">
        <f>VLOOKUP($A298,'SegEnds_NonXtal_BW#'!$A:$Z,12,FALSE)+VLOOKUP($A298,A:AL,16,FALSE)-50</f>
        <v>250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1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258</v>
      </c>
      <c r="V298" s="3">
        <v>267</v>
      </c>
      <c r="W298" s="3">
        <f>IF(ISERROR(VLOOKUP($A298,'SegEnds_NonXtal_BW#'!$A:$Z,16,FALSE)+VLOOKUP($A298,A:AL,22,FALSE)-50),"-",(VLOOKUP($A298,'SegEnds_NonXtal_BW#'!$A:$Z,16,FALSE)+VLOOKUP($A298,A:AL,22,FALSE)-50))</f>
        <v>285</v>
      </c>
      <c r="X298" s="3">
        <f>IF(ISERROR(VLOOKUP($A298,'SegEnds_NonXtal_BW#'!$A:$Z,17,FALSE)+VLOOKUP($A298,A:AL,25,FALSE)-50),"-",(VLOOKUP($A298,'SegEnds_NonXtal_BW#'!$A:$Z,17,FALSE)+VLOOKUP($A298,A:AL,25,FALSE)-50))</f>
        <v>289</v>
      </c>
      <c r="Y298" s="3">
        <v>289</v>
      </c>
      <c r="Z298" s="3">
        <f t="shared" si="216"/>
        <v>291</v>
      </c>
      <c r="AA298" s="3">
        <f>IF(ISERROR(VLOOKUP($A298,'SegEnds_NonXtal_BW#'!$A:$Z,19,FALSE)+VLOOKUP($A298,A:AL,28,FALSE)-50),"-",(VLOOKUP($A298,'SegEnds_NonXtal_BW#'!$A:$Z,19,FALSE)+VLOOKUP($A298,A:AL,28,FALSE)-50))</f>
        <v>298</v>
      </c>
      <c r="AB298" s="3">
        <v>308</v>
      </c>
      <c r="AC298" s="3">
        <f>IF(ISERROR((VLOOKUP($A298,'SegEnds_NonXtal_BW#'!$A:$Z,20,FALSE)+VLOOKUP($A298,A:AL,28,FALSE)-50)),"-",(VLOOKUP($A298,'SegEnds_NonXtal_BW#'!$A:$Z,20,FALSE)+VLOOKUP($A298,A:AL,28,FALSE)-50))</f>
        <v>328</v>
      </c>
      <c r="AD298" s="3">
        <f>IF(ISERROR(VLOOKUP($A298,'SegEnds_NonXtal_BW#'!$A:$Z,21,FALSE)+VLOOKUP($A298,A:AL,31,FALSE)-50),"-",(VLOOKUP($A298,'SegEnds_NonXtal_BW#'!$A:$Z,21,FALSE)+VLOOKUP($A298,A:AL,31,FALSE)-50))</f>
        <v>338</v>
      </c>
      <c r="AE298" s="3">
        <v>358</v>
      </c>
      <c r="AF298" s="3">
        <f>IF(ISERROR((VLOOKUP($A298,'SegEnds_NonXtal_BW#'!$A:$Z,22,FALSE)+VLOOKUP($A298,A:AL,31,FALSE)-50)),"-",(VLOOKUP($A298,'SegEnds_NonXtal_BW#'!$A:$Z,22,FALSE)+VLOOKUP($A298,A:AL,31,FALSE)-50))</f>
        <v>361</v>
      </c>
      <c r="AG298" s="3">
        <f>IF(ISERROR(VLOOKUP($A298,'SegEnds_NonXtal_BW#'!$A:$Z,23,FALSE)+VLOOKUP($A298,A:AL,34,FALSE)-50),"-",(VLOOKUP($A298,'SegEnds_NonXtal_BW#'!$A:$Z,23,FALSE)+VLOOKUP($A298,A:AL,34,FALSE)-50))</f>
        <v>366</v>
      </c>
      <c r="AH298" s="3">
        <v>388</v>
      </c>
      <c r="AI298" s="3">
        <f>IF(ISERROR((VLOOKUP($A298,'SegEnds_NonXtal_BW#'!$A:$Z,24,FALSE)+VLOOKUP($A298,A:AL,34,FALSE)-50)),"-",(VLOOKUP($A298,'SegEnds_NonXtal_BW#'!$A:$Z,24,FALSE)+VLOOKUP($A298,A:AL,34,FALSE)-50))</f>
        <v>394</v>
      </c>
      <c r="AJ298" s="3">
        <f>IF(ISERROR(VLOOKUP($A298,'SegEnds_NonXtal_BW#'!$A:$Z,25,FALSE)+VLOOKUP($A298,A:AL,37,FALSE)-50),"-",(VLOOKUP($A298,'SegEnds_NonXtal_BW#'!$A:$Z,25,FALSE)+VLOOKUP($A298,A:AL,37,FALSE)-50))</f>
        <v>395</v>
      </c>
      <c r="AK298" s="3">
        <v>398</v>
      </c>
      <c r="AL298" s="3">
        <f>IF(ISERROR((VLOOKUP($A298,'SegEnds_NonXtal_BW#'!$A:$Z,26,FALSE)+VLOOKUP($A298,A:AL,37,FALSE)-50)),"-",(VLOOKUP($A298,'SegEnds_NonXtal_BW#'!$A:$Z,26,FALSE)+VLOOKUP($A298,A:AL,37,FALSE)-50))</f>
        <v>420</v>
      </c>
      <c r="AM298" s="28" t="str">
        <f>VLOOKUP(A298,Classification!A:B,2,FALSE)</f>
        <v>B1</v>
      </c>
      <c r="AN298" s="28" t="b">
        <f t="shared" si="207"/>
        <v>1</v>
      </c>
      <c r="AO298" s="3" t="str">
        <f>IF(ISERROR(MATCH(A298,'SegEnds_Xtal_Prot#'!B:B, 0)), "NoXtal", "Xtal")</f>
        <v>Xtal</v>
      </c>
      <c r="AP298" s="3">
        <f t="shared" si="192"/>
        <v>1</v>
      </c>
      <c r="AQ298" s="3">
        <f t="shared" si="193"/>
        <v>1</v>
      </c>
      <c r="AR298" s="3" t="str">
        <f t="shared" si="194"/>
        <v>-</v>
      </c>
      <c r="AS298" s="3" t="str">
        <f t="shared" si="195"/>
        <v>-</v>
      </c>
      <c r="AT298" s="3" t="str">
        <f t="shared" si="196"/>
        <v>-</v>
      </c>
      <c r="AU298" s="3" t="str">
        <f t="shared" si="197"/>
        <v>-</v>
      </c>
      <c r="AV298" s="3">
        <f t="shared" si="198"/>
        <v>4</v>
      </c>
      <c r="AW298" s="3">
        <f t="shared" si="199"/>
        <v>7</v>
      </c>
      <c r="AX298" s="3">
        <f t="shared" si="200"/>
        <v>10</v>
      </c>
      <c r="AY298" s="3">
        <f t="shared" si="201"/>
        <v>5</v>
      </c>
      <c r="AZ298" s="3">
        <f t="shared" si="202"/>
        <v>1</v>
      </c>
      <c r="BA298" s="3">
        <f>IF(ISERROR(LEN(VLOOKUP(A298,Seqs!A:E,2,FALSE))-AL298),"-",LEN(VLOOKUP(A298,Seqs!A:E,2,FALSE))-AL298)</f>
        <v>54</v>
      </c>
      <c r="BB298" s="16">
        <f t="shared" si="203"/>
        <v>28</v>
      </c>
      <c r="BC298" s="9" t="str">
        <f t="shared" si="204"/>
        <v>-</v>
      </c>
      <c r="BD298" s="3">
        <f t="shared" si="205"/>
        <v>28</v>
      </c>
      <c r="BE298" s="3">
        <f t="shared" si="206"/>
        <v>50</v>
      </c>
    </row>
    <row r="299" spans="1:59" s="3" customFormat="1" ht="17" customHeight="1" x14ac:dyDescent="0.2">
      <c r="A299" s="3" t="s">
        <v>402</v>
      </c>
      <c r="B299" s="3" t="str">
        <f>LOWER(VLOOKUP(A299,Xtal_Templ!A:B,2,FALSE))</f>
        <v>calcr_human</v>
      </c>
      <c r="C299" s="3">
        <f>VLOOKUP($A299,'SegEnds_NonXtal_BW#'!$A:$Z,3,FALSE)+D299-50</f>
        <v>125</v>
      </c>
      <c r="D299" s="3">
        <v>156</v>
      </c>
      <c r="E299" s="3">
        <f>IF(ISERROR(VLOOKUP($A299,'SegEnds_NonXtal_BW#'!$A:$Z,4,FALSE)+VLOOKUP($A299,A:AL,4,FALSE)-50),"-",(VLOOKUP($A299,'SegEnds_NonXtal_BW#'!$A:$Z,4,FALSE)+VLOOKUP($A299,A:AL,4,FALSE)-50))</f>
        <v>166</v>
      </c>
      <c r="F299" s="3">
        <f t="shared" si="211"/>
        <v>167</v>
      </c>
      <c r="G299" s="3">
        <v>169</v>
      </c>
      <c r="H299" s="3">
        <f t="shared" si="217"/>
        <v>170</v>
      </c>
      <c r="I299" s="3">
        <f t="shared" si="217"/>
        <v>171</v>
      </c>
      <c r="J299" s="3">
        <v>184</v>
      </c>
      <c r="K299" s="3">
        <f>VLOOKUP($A299,'SegEnds_NonXtal_BW#'!$A:$Z,8,FALSE)+VLOOKUP($A299,A:AL,10,FALSE)-50</f>
        <v>198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208</v>
      </c>
      <c r="P299" s="3">
        <v>237</v>
      </c>
      <c r="Q299" s="3">
        <f>VLOOKUP($A299,'SegEnds_NonXtal_BW#'!$A:$Z,12,FALSE)+VLOOKUP($A299,A:AL,16,FALSE)-50</f>
        <v>243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1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251</v>
      </c>
      <c r="V299" s="3">
        <v>260</v>
      </c>
      <c r="W299" s="3">
        <f>IF(ISERROR(VLOOKUP($A299,'SegEnds_NonXtal_BW#'!$A:$Z,16,FALSE)+VLOOKUP($A299,A:AL,22,FALSE)-50),"-",(VLOOKUP($A299,'SegEnds_NonXtal_BW#'!$A:$Z,16,FALSE)+VLOOKUP($A299,A:AL,22,FALSE)-50))</f>
        <v>278</v>
      </c>
      <c r="X299" s="3">
        <f>IF(ISERROR(VLOOKUP($A299,'SegEnds_NonXtal_BW#'!$A:$Z,17,FALSE)+VLOOKUP($A299,A:AL,25,FALSE)-50),"-",(VLOOKUP($A299,'SegEnds_NonXtal_BW#'!$A:$Z,17,FALSE)+VLOOKUP($A299,A:AL,25,FALSE)-50))</f>
        <v>282</v>
      </c>
      <c r="Y299" s="3">
        <v>282</v>
      </c>
      <c r="Z299" s="3">
        <f t="shared" si="216"/>
        <v>284</v>
      </c>
      <c r="AA299" s="3">
        <f>IF(ISERROR(VLOOKUP($A299,'SegEnds_NonXtal_BW#'!$A:$Z,19,FALSE)+VLOOKUP($A299,A:AL,28,FALSE)-50),"-",(VLOOKUP($A299,'SegEnds_NonXtal_BW#'!$A:$Z,19,FALSE)+VLOOKUP($A299,A:AL,28,FALSE)-50))</f>
        <v>290</v>
      </c>
      <c r="AB299" s="3">
        <v>301</v>
      </c>
      <c r="AC299" s="3">
        <f>IF(ISERROR((VLOOKUP($A299,'SegEnds_NonXtal_BW#'!$A:$Z,20,FALSE)+VLOOKUP($A299,A:AL,28,FALSE)-50)),"-",(VLOOKUP($A299,'SegEnds_NonXtal_BW#'!$A:$Z,20,FALSE)+VLOOKUP($A299,A:AL,28,FALSE)-50))</f>
        <v>321</v>
      </c>
      <c r="AD299" s="3">
        <f>IF(ISERROR(VLOOKUP($A299,'SegEnds_NonXtal_BW#'!$A:$Z,21,FALSE)+VLOOKUP($A299,A:AL,31,FALSE)-50),"-",(VLOOKUP($A299,'SegEnds_NonXtal_BW#'!$A:$Z,21,FALSE)+VLOOKUP($A299,A:AL,31,FALSE)-50))</f>
        <v>331</v>
      </c>
      <c r="AE299" s="3">
        <v>351</v>
      </c>
      <c r="AF299" s="3">
        <f>IF(ISERROR((VLOOKUP($A299,'SegEnds_NonXtal_BW#'!$A:$Z,22,FALSE)+VLOOKUP($A299,A:AL,31,FALSE)-50)),"-",(VLOOKUP($A299,'SegEnds_NonXtal_BW#'!$A:$Z,22,FALSE)+VLOOKUP($A299,A:AL,31,FALSE)-50))</f>
        <v>354</v>
      </c>
      <c r="AG299" s="3">
        <f>IF(ISERROR(VLOOKUP($A299,'SegEnds_NonXtal_BW#'!$A:$Z,23,FALSE)+VLOOKUP($A299,A:AL,34,FALSE)-50),"-",(VLOOKUP($A299,'SegEnds_NonXtal_BW#'!$A:$Z,23,FALSE)+VLOOKUP($A299,A:AL,34,FALSE)-50))</f>
        <v>359</v>
      </c>
      <c r="AH299" s="3">
        <v>381</v>
      </c>
      <c r="AI299" s="3">
        <f>IF(ISERROR((VLOOKUP($A299,'SegEnds_NonXtal_BW#'!$A:$Z,24,FALSE)+VLOOKUP($A299,A:AL,34,FALSE)-50)),"-",(VLOOKUP($A299,'SegEnds_NonXtal_BW#'!$A:$Z,24,FALSE)+VLOOKUP($A299,A:AL,34,FALSE)-50))</f>
        <v>387</v>
      </c>
      <c r="AJ299" s="3">
        <f>IF(ISERROR(VLOOKUP($A299,'SegEnds_NonXtal_BW#'!$A:$Z,25,FALSE)+VLOOKUP($A299,A:AL,37,FALSE)-50),"-",(VLOOKUP($A299,'SegEnds_NonXtal_BW#'!$A:$Z,25,FALSE)+VLOOKUP($A299,A:AL,37,FALSE)-50))</f>
        <v>388</v>
      </c>
      <c r="AK299" s="3">
        <v>391</v>
      </c>
      <c r="AL299" s="3">
        <f>IF(ISERROR((VLOOKUP($A299,'SegEnds_NonXtal_BW#'!$A:$Z,26,FALSE)+VLOOKUP($A299,A:AL,37,FALSE)-50)),"-",(VLOOKUP($A299,'SegEnds_NonXtal_BW#'!$A:$Z,26,FALSE)+VLOOKUP($A299,A:AL,37,FALSE)-50))</f>
        <v>413</v>
      </c>
      <c r="AM299" s="28" t="str">
        <f>VLOOKUP(A299,Classification!A:B,2,FALSE)</f>
        <v>B1</v>
      </c>
      <c r="AN299" s="28" t="b">
        <f t="shared" si="207"/>
        <v>1</v>
      </c>
      <c r="AO299" s="3" t="str">
        <f>IF(ISERROR(MATCH(A299,'SegEnds_Xtal_Prot#'!B:B, 0)), "NoXtal", "Xtal")</f>
        <v>NoXtal</v>
      </c>
      <c r="AP299" s="3">
        <f t="shared" si="192"/>
        <v>1</v>
      </c>
      <c r="AQ299" s="3">
        <f t="shared" si="193"/>
        <v>1</v>
      </c>
      <c r="AR299" s="3" t="str">
        <f t="shared" si="194"/>
        <v>-</v>
      </c>
      <c r="AS299" s="3" t="str">
        <f t="shared" si="195"/>
        <v>-</v>
      </c>
      <c r="AT299" s="3" t="str">
        <f t="shared" si="196"/>
        <v>-</v>
      </c>
      <c r="AU299" s="3" t="str">
        <f t="shared" si="197"/>
        <v>-</v>
      </c>
      <c r="AV299" s="3">
        <f t="shared" si="198"/>
        <v>4</v>
      </c>
      <c r="AW299" s="3">
        <f t="shared" si="199"/>
        <v>6</v>
      </c>
      <c r="AX299" s="3">
        <f t="shared" si="200"/>
        <v>10</v>
      </c>
      <c r="AY299" s="3">
        <f t="shared" si="201"/>
        <v>5</v>
      </c>
      <c r="AZ299" s="3">
        <f t="shared" si="202"/>
        <v>1</v>
      </c>
      <c r="BA299" s="3">
        <f>IF(ISERROR(LEN(VLOOKUP(A299,Seqs!A:E,2,FALSE))-AL299),"-",LEN(VLOOKUP(A299,Seqs!A:E,2,FALSE))-AL299)</f>
        <v>48</v>
      </c>
      <c r="BB299" s="16">
        <f t="shared" si="203"/>
        <v>28</v>
      </c>
      <c r="BC299" s="9" t="str">
        <f t="shared" si="204"/>
        <v>-</v>
      </c>
      <c r="BD299" s="3">
        <f t="shared" si="205"/>
        <v>28</v>
      </c>
      <c r="BE299" s="3">
        <f t="shared" si="206"/>
        <v>50</v>
      </c>
    </row>
    <row r="300" spans="1:59" s="3" customFormat="1" x14ac:dyDescent="0.2">
      <c r="A300" s="3" t="s">
        <v>38</v>
      </c>
      <c r="B300" s="3" t="str">
        <f>LOWER(VLOOKUP(A300,Xtal_Templ!A:B,2,FALSE))</f>
        <v>crfr1_human</v>
      </c>
      <c r="C300" s="3">
        <f>VLOOKUP($A300,'SegEnds_NonXtal_BW#'!$A:$Z,3,FALSE)+D300-50</f>
        <v>103</v>
      </c>
      <c r="D300" s="3">
        <v>134</v>
      </c>
      <c r="E300" s="3">
        <f>IF(ISERROR(VLOOKUP($A300,'SegEnds_NonXtal_BW#'!$A:$Z,4,FALSE)+VLOOKUP($A300,A:AL,4,FALSE)-50),"-",(VLOOKUP($A300,'SegEnds_NonXtal_BW#'!$A:$Z,4,FALSE)+VLOOKUP($A300,A:AL,4,FALSE)-50))</f>
        <v>144</v>
      </c>
      <c r="F300" s="3">
        <f t="shared" si="211"/>
        <v>145</v>
      </c>
      <c r="G300" s="3">
        <v>147</v>
      </c>
      <c r="H300" s="3">
        <f t="shared" si="217"/>
        <v>148</v>
      </c>
      <c r="I300" s="3">
        <f t="shared" si="217"/>
        <v>149</v>
      </c>
      <c r="J300" s="3">
        <v>162</v>
      </c>
      <c r="K300" s="3">
        <f>VLOOKUP($A300,'SegEnds_NonXtal_BW#'!$A:$Z,8,FALSE)+VLOOKUP($A300,A:AL,10,FALSE)-50</f>
        <v>175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185</v>
      </c>
      <c r="P300" s="3">
        <v>213</v>
      </c>
      <c r="Q300" s="3">
        <f>VLOOKUP($A300,'SegEnds_NonXtal_BW#'!$A:$Z,12,FALSE)+VLOOKUP($A300,A:AL,16,FALSE)-50</f>
        <v>219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1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226</v>
      </c>
      <c r="V300" s="3">
        <v>236</v>
      </c>
      <c r="W300" s="3">
        <f>IF(ISERROR(VLOOKUP($A300,'SegEnds_NonXtal_BW#'!$A:$Z,16,FALSE)+VLOOKUP($A300,A:AL,22,FALSE)-50),"-",(VLOOKUP($A300,'SegEnds_NonXtal_BW#'!$A:$Z,16,FALSE)+VLOOKUP($A300,A:AL,22,FALSE)-50))</f>
        <v>254</v>
      </c>
      <c r="X300" s="3">
        <f>IF(ISERROR(VLOOKUP($A300,'SegEnds_NonXtal_BW#'!$A:$Z,17,FALSE)+VLOOKUP($A300,A:AL,25,FALSE)-50),"-",(VLOOKUP($A300,'SegEnds_NonXtal_BW#'!$A:$Z,17,FALSE)+VLOOKUP($A300,A:AL,25,FALSE)-50))</f>
        <v>258</v>
      </c>
      <c r="Y300" s="3">
        <v>258</v>
      </c>
      <c r="Z300" s="3">
        <f t="shared" si="216"/>
        <v>260</v>
      </c>
      <c r="AA300" s="3">
        <f>IF(ISERROR(VLOOKUP($A300,'SegEnds_NonXtal_BW#'!$A:$Z,19,FALSE)+AB300-50),"-",(VLOOKUP($A300,'SegEnds_NonXtal_BW#'!$A:$Z,19,FALSE)+AB300-50))</f>
        <v>268</v>
      </c>
      <c r="AB300" s="3">
        <v>279</v>
      </c>
      <c r="AC300" s="3">
        <f>IF(ISERROR((VLOOKUP($A300,'SegEnds_NonXtal_BW#'!$A:$Z,20,FALSE)+VLOOKUP($A300,A:AL,28,FALSE)-50)),"-",(VLOOKUP($A300,'SegEnds_NonXtal_BW#'!$A:$Z,20,FALSE)+VLOOKUP($A300,A:AL,28,FALSE)-50))</f>
        <v>298</v>
      </c>
      <c r="AD300" s="3">
        <f>IF(ISERROR(VLOOKUP($A300,'SegEnds_NonXtal_BW#'!$A:$Z,21,FALSE)+AE300-50),"-",(VLOOKUP($A300,'SegEnds_NonXtal_BW#'!$A:$Z,21,FALSE)+AE300-50))</f>
        <v>304</v>
      </c>
      <c r="AE300" s="3">
        <v>329</v>
      </c>
      <c r="AF300" s="3">
        <f>IF(ISERROR((VLOOKUP($A300,'SegEnds_NonXtal_BW#'!$A:$Z,22,FALSE)+AE300-50)),"-",(VLOOKUP($A300,'SegEnds_NonXtal_BW#'!$A:$Z,22,FALSE)+AE300-50))</f>
        <v>332</v>
      </c>
      <c r="AG300" s="3">
        <f>IF(ISERROR(VLOOKUP($A300,'SegEnds_NonXtal_BW#'!$A:$Z,23,FALSE)+VLOOKUP($A300,A:AL,34,FALSE)-50),"-",(VLOOKUP($A300,'SegEnds_NonXtal_BW#'!$A:$Z,23,FALSE)+VLOOKUP($A300,A:AL,34,FALSE)-50))</f>
        <v>339</v>
      </c>
      <c r="AH300" s="3">
        <v>360</v>
      </c>
      <c r="AI300" s="3">
        <f>IF(ISERROR((VLOOKUP($A300,'SegEnds_NonXtal_BW#'!$A:$Z,24,FALSE)+VLOOKUP($A300,A:AL,34,FALSE)-50)),"-",(VLOOKUP($A300,'SegEnds_NonXtal_BW#'!$A:$Z,24,FALSE)+VLOOKUP($A300,A:AL,34,FALSE)-50))</f>
        <v>366</v>
      </c>
      <c r="AJ300" s="3">
        <f>IF(ISERROR(VLOOKUP($A300,'SegEnds_NonXtal_BW#'!$A:$Z,25,FALSE)+VLOOKUP($A300,A:AL,37,FALSE)-50),"-",(VLOOKUP($A300,'SegEnds_NonXtal_BW#'!$A:$Z,25,FALSE)+VLOOKUP($A300,A:AL,37,FALSE)-50))</f>
        <v>367</v>
      </c>
      <c r="AK300" s="3">
        <v>370</v>
      </c>
      <c r="AL300" s="3">
        <f>IF(ISERROR((VLOOKUP($A300,'SegEnds_NonXtal_BW#'!$A:$Z,26,FALSE)+VLOOKUP($A300,A:AL,37,FALSE)-50)),"-",(VLOOKUP($A300,'SegEnds_NonXtal_BW#'!$A:$Z,26,FALSE)+VLOOKUP($A300,A:AL,37,FALSE)-50))</f>
        <v>392</v>
      </c>
      <c r="AM300" s="28" t="str">
        <f>VLOOKUP(A300,Classification!A:B,2,FALSE)</f>
        <v>B1</v>
      </c>
      <c r="AN300" s="28" t="b">
        <f t="shared" si="207"/>
        <v>1</v>
      </c>
      <c r="AO300" s="3" t="str">
        <f>IF(ISERROR(MATCH(A300,'SegEnds_Xtal_Prot#'!B:B, 0)), "NoXtal", "Xtal")</f>
        <v>Xtal</v>
      </c>
      <c r="AP300" s="3">
        <f t="shared" si="192"/>
        <v>1</v>
      </c>
      <c r="AQ300" s="3">
        <f t="shared" si="193"/>
        <v>1</v>
      </c>
      <c r="AR300" s="3" t="str">
        <f t="shared" si="194"/>
        <v>-</v>
      </c>
      <c r="AS300" s="3" t="str">
        <f t="shared" si="195"/>
        <v>-</v>
      </c>
      <c r="AT300" s="3" t="str">
        <f t="shared" si="196"/>
        <v>-</v>
      </c>
      <c r="AU300" s="3" t="str">
        <f t="shared" si="197"/>
        <v>-</v>
      </c>
      <c r="AV300" s="3">
        <f t="shared" si="198"/>
        <v>4</v>
      </c>
      <c r="AW300" s="3">
        <f t="shared" si="199"/>
        <v>8</v>
      </c>
      <c r="AX300" s="3">
        <f t="shared" si="200"/>
        <v>6</v>
      </c>
      <c r="AY300" s="3">
        <f t="shared" si="201"/>
        <v>7</v>
      </c>
      <c r="AZ300" s="3">
        <f t="shared" si="202"/>
        <v>1</v>
      </c>
      <c r="BA300" s="3">
        <f>IF(ISERROR(LEN(VLOOKUP(A300,Seqs!A:E,2,FALSE))-AL300),"-",LEN(VLOOKUP(A300,Seqs!A:E,2,FALSE))-AL300)</f>
        <v>23</v>
      </c>
      <c r="BB300" s="16">
        <f t="shared" si="203"/>
        <v>28</v>
      </c>
      <c r="BC300" s="9" t="str">
        <f t="shared" si="204"/>
        <v>-</v>
      </c>
      <c r="BD300" s="3">
        <f t="shared" si="205"/>
        <v>28</v>
      </c>
      <c r="BE300" s="3">
        <f t="shared" si="206"/>
        <v>50</v>
      </c>
      <c r="BF300" s="3">
        <f>AH300-AE300</f>
        <v>31</v>
      </c>
    </row>
    <row r="301" spans="1:59" s="3" customFormat="1" x14ac:dyDescent="0.2">
      <c r="A301" s="3" t="s">
        <v>403</v>
      </c>
      <c r="B301" s="3" t="str">
        <f>LOWER(VLOOKUP(A301,Xtal_Templ!A:B,2,FALSE))</f>
        <v>crfr1_human</v>
      </c>
      <c r="C301" s="3">
        <f>VLOOKUP($A301,'SegEnds_NonXtal_BW#'!$A:$Z,3,FALSE)+D301-50</f>
        <v>100</v>
      </c>
      <c r="D301" s="3">
        <v>131</v>
      </c>
      <c r="E301" s="3">
        <f>IF(ISERROR(VLOOKUP($A301,'SegEnds_NonXtal_BW#'!$A:$Z,4,FALSE)+VLOOKUP($A301,A:AL,4,FALSE)-50),"-",(VLOOKUP($A301,'SegEnds_NonXtal_BW#'!$A:$Z,4,FALSE)+VLOOKUP($A301,A:AL,4,FALSE)-50))</f>
        <v>141</v>
      </c>
      <c r="F301" s="3">
        <f t="shared" si="211"/>
        <v>142</v>
      </c>
      <c r="G301" s="3">
        <v>144</v>
      </c>
      <c r="H301" s="3">
        <f t="shared" si="217"/>
        <v>145</v>
      </c>
      <c r="I301" s="3">
        <f t="shared" si="217"/>
        <v>146</v>
      </c>
      <c r="J301" s="3">
        <v>159</v>
      </c>
      <c r="K301" s="3">
        <f>VLOOKUP($A301,'SegEnds_NonXtal_BW#'!$A:$Z,8,FALSE)+VLOOKUP($A301,A:AL,10,FALSE)-50</f>
        <v>172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181</v>
      </c>
      <c r="P301" s="3">
        <v>209</v>
      </c>
      <c r="Q301" s="3">
        <f>VLOOKUP($A301,'SegEnds_NonXtal_BW#'!$A:$Z,12,FALSE)+VLOOKUP($A301,A:AL,16,FALSE)-50</f>
        <v>215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1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222</v>
      </c>
      <c r="V301" s="3">
        <v>232</v>
      </c>
      <c r="W301" s="3">
        <f>IF(ISERROR(VLOOKUP($A301,'SegEnds_NonXtal_BW#'!$A:$Z,16,FALSE)+VLOOKUP($A301,A:AL,22,FALSE)-50),"-",(VLOOKUP($A301,'SegEnds_NonXtal_BW#'!$A:$Z,16,FALSE)+VLOOKUP($A301,A:AL,22,FALSE)-50))</f>
        <v>250</v>
      </c>
      <c r="X301" s="3">
        <f>IF(ISERROR(VLOOKUP($A301,'SegEnds_NonXtal_BW#'!$A:$Z,17,FALSE)+VLOOKUP($A301,A:AL,25,FALSE)-50),"-",(VLOOKUP($A301,'SegEnds_NonXtal_BW#'!$A:$Z,17,FALSE)+VLOOKUP($A301,A:AL,25,FALSE)-50))</f>
        <v>254</v>
      </c>
      <c r="Y301" s="3">
        <v>254</v>
      </c>
      <c r="Z301" s="3">
        <f t="shared" si="216"/>
        <v>256</v>
      </c>
      <c r="AA301" s="3">
        <f>IF(ISERROR(VLOOKUP($A301,'SegEnds_NonXtal_BW#'!$A:$Z,19,FALSE)+VLOOKUP($A301,A:AL,28,FALSE)-50),"-",(VLOOKUP($A301,'SegEnds_NonXtal_BW#'!$A:$Z,19,FALSE)+VLOOKUP($A301,A:AL,28,FALSE)-50))</f>
        <v>264</v>
      </c>
      <c r="AB301" s="3">
        <v>275</v>
      </c>
      <c r="AC301" s="3">
        <f>IF(ISERROR((VLOOKUP($A301,'SegEnds_NonXtal_BW#'!$A:$Z,20,FALSE)+VLOOKUP($A301,A:AL,28,FALSE)-50)),"-",(VLOOKUP($A301,'SegEnds_NonXtal_BW#'!$A:$Z,20,FALSE)+VLOOKUP($A301,A:AL,28,FALSE)-50))</f>
        <v>294</v>
      </c>
      <c r="AD301" s="3">
        <f>IF(ISERROR(VLOOKUP($A301,'SegEnds_NonXtal_BW#'!$A:$Z,21,FALSE)+VLOOKUP($A301,A:AL,31,FALSE)-50),"-",(VLOOKUP($A301,'SegEnds_NonXtal_BW#'!$A:$Z,21,FALSE)+VLOOKUP($A301,A:AL,31,FALSE)-50))</f>
        <v>300</v>
      </c>
      <c r="AE301" s="3">
        <v>325</v>
      </c>
      <c r="AF301" s="3">
        <f>IF(ISERROR((VLOOKUP($A301,'SegEnds_NonXtal_BW#'!$A:$Z,22,FALSE)+VLOOKUP($A301,A:AL,31,FALSE)-50)),"-",(VLOOKUP($A301,'SegEnds_NonXtal_BW#'!$A:$Z,22,FALSE)+VLOOKUP($A301,A:AL,31,FALSE)-50))</f>
        <v>328</v>
      </c>
      <c r="AG301" s="3">
        <f>IF(ISERROR(VLOOKUP($A301,'SegEnds_NonXtal_BW#'!$A:$Z,23,FALSE)+VLOOKUP($A301,A:AL,34,FALSE)-50),"-",(VLOOKUP($A301,'SegEnds_NonXtal_BW#'!$A:$Z,23,FALSE)+VLOOKUP($A301,A:AL,34,FALSE)-50))</f>
        <v>335</v>
      </c>
      <c r="AH301" s="3">
        <v>356</v>
      </c>
      <c r="AI301" s="3">
        <f>IF(ISERROR((VLOOKUP($A301,'SegEnds_NonXtal_BW#'!$A:$Z,24,FALSE)+VLOOKUP($A301,A:AL,34,FALSE)-50)),"-",(VLOOKUP($A301,'SegEnds_NonXtal_BW#'!$A:$Z,24,FALSE)+VLOOKUP($A301,A:AL,34,FALSE)-50))</f>
        <v>362</v>
      </c>
      <c r="AJ301" s="3">
        <f>IF(ISERROR(VLOOKUP($A301,'SegEnds_NonXtal_BW#'!$A:$Z,25,FALSE)+VLOOKUP($A301,A:AL,37,FALSE)-50),"-",(VLOOKUP($A301,'SegEnds_NonXtal_BW#'!$A:$Z,25,FALSE)+VLOOKUP($A301,A:AL,37,FALSE)-50))</f>
        <v>363</v>
      </c>
      <c r="AK301" s="3">
        <v>366</v>
      </c>
      <c r="AL301" s="3">
        <f>IF(ISERROR((VLOOKUP($A301,'SegEnds_NonXtal_BW#'!$A:$Z,26,FALSE)+VLOOKUP($A301,A:AL,37,FALSE)-50)),"-",(VLOOKUP($A301,'SegEnds_NonXtal_BW#'!$A:$Z,26,FALSE)+VLOOKUP($A301,A:AL,37,FALSE)-50))</f>
        <v>388</v>
      </c>
      <c r="AM301" s="28" t="str">
        <f>VLOOKUP(A301,Classification!A:B,2,FALSE)</f>
        <v>B1</v>
      </c>
      <c r="AN301" s="28" t="b">
        <f t="shared" si="207"/>
        <v>1</v>
      </c>
      <c r="AO301" s="3" t="str">
        <f>IF(ISERROR(MATCH(A301,'SegEnds_Xtal_Prot#'!B:B, 0)), "NoXtal", "Xtal")</f>
        <v>NoXtal</v>
      </c>
      <c r="AP301" s="3">
        <f t="shared" si="192"/>
        <v>1</v>
      </c>
      <c r="AQ301" s="3">
        <f t="shared" si="193"/>
        <v>1</v>
      </c>
      <c r="AR301" s="3" t="str">
        <f t="shared" si="194"/>
        <v>-</v>
      </c>
      <c r="AS301" s="3" t="str">
        <f t="shared" si="195"/>
        <v>-</v>
      </c>
      <c r="AT301" s="3" t="str">
        <f t="shared" si="196"/>
        <v>-</v>
      </c>
      <c r="AU301" s="3" t="str">
        <f t="shared" si="197"/>
        <v>-</v>
      </c>
      <c r="AV301" s="3">
        <f t="shared" si="198"/>
        <v>4</v>
      </c>
      <c r="AW301" s="3">
        <f t="shared" si="199"/>
        <v>8</v>
      </c>
      <c r="AX301" s="3">
        <f t="shared" si="200"/>
        <v>6</v>
      </c>
      <c r="AY301" s="3">
        <f t="shared" si="201"/>
        <v>7</v>
      </c>
      <c r="AZ301" s="3">
        <f t="shared" si="202"/>
        <v>1</v>
      </c>
      <c r="BA301" s="3">
        <f>IF(ISERROR(LEN(VLOOKUP(A301,Seqs!A:E,2,FALSE))-AL301),"-",LEN(VLOOKUP(A301,Seqs!A:E,2,FALSE))-AL301)</f>
        <v>23</v>
      </c>
      <c r="BB301" s="16">
        <f t="shared" si="203"/>
        <v>28</v>
      </c>
      <c r="BC301" s="9" t="str">
        <f t="shared" si="204"/>
        <v>-</v>
      </c>
      <c r="BD301" s="3">
        <f t="shared" si="205"/>
        <v>28</v>
      </c>
      <c r="BE301" s="3">
        <f t="shared" si="206"/>
        <v>50</v>
      </c>
      <c r="BF301" s="3">
        <f>AH301-AE301</f>
        <v>31</v>
      </c>
    </row>
    <row r="302" spans="1:59" s="3" customFormat="1" x14ac:dyDescent="0.2">
      <c r="A302" s="3" t="s">
        <v>1430</v>
      </c>
      <c r="B302" s="3" t="str">
        <f>LOWER(VLOOKUP(A302,Xtal_Templ!A:B,2,FALSE))</f>
        <v>g1sgd4_rabit</v>
      </c>
      <c r="C302" s="3">
        <f>VLOOKUP($A302,'SegEnds_NonXtal_BW#'!$A:$Z,3,FALSE)+D302-50</f>
        <v>137</v>
      </c>
      <c r="D302" s="3">
        <v>159</v>
      </c>
      <c r="E302" s="3">
        <f>IF(ISERROR(VLOOKUP($A302,'SegEnds_NonXtal_BW#'!$A:$Z,4,FALSE)+VLOOKUP($A302,A:AL,4,FALSE)-50),"-",(VLOOKUP($A302,'SegEnds_NonXtal_BW#'!$A:$Z,4,FALSE)+VLOOKUP($A302,A:AL,4,FALSE)-50))</f>
        <v>169</v>
      </c>
      <c r="F302" s="3">
        <f t="shared" si="211"/>
        <v>170</v>
      </c>
      <c r="G302" s="3">
        <v>172</v>
      </c>
      <c r="H302" s="3">
        <f t="shared" si="217"/>
        <v>173</v>
      </c>
      <c r="I302" s="3">
        <f t="shared" si="217"/>
        <v>174</v>
      </c>
      <c r="J302" s="3">
        <v>187</v>
      </c>
      <c r="K302" s="3">
        <f>VLOOKUP($A302,'SegEnds_NonXtal_BW#'!$A:$Z,8,FALSE)+VLOOKUP($A302,A:AL,10,FALSE)-50</f>
        <v>211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224</v>
      </c>
      <c r="P302" s="3">
        <v>251</v>
      </c>
      <c r="Q302" s="3">
        <f>VLOOKUP($A302,'SegEnds_NonXtal_BW#'!$A:$Z,12,FALSE)+VLOOKUP($A302,A:AL,16,FALSE)-50</f>
        <v>257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1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261</v>
      </c>
      <c r="V302" s="3">
        <v>274</v>
      </c>
      <c r="W302" s="3">
        <f>IF(ISERROR(VLOOKUP($A302,'SegEnds_NonXtal_BW#'!$A:$Z,16,FALSE)+VLOOKUP($A302,A:AL,22,FALSE)-50),"-",(VLOOKUP($A302,'SegEnds_NonXtal_BW#'!$A:$Z,16,FALSE)+VLOOKUP($A302,A:AL,22,FALSE)-50))</f>
        <v>292</v>
      </c>
      <c r="X302" s="3">
        <f>IF(ISERROR(VLOOKUP($A302,'SegEnds_NonXtal_BW#'!$A:$Z,17,FALSE)+VLOOKUP($A302,A:AL,25,FALSE)-50),"-",(VLOOKUP($A302,'SegEnds_NonXtal_BW#'!$A:$Z,17,FALSE)+VLOOKUP($A302,A:AL,25,FALSE)-50))</f>
        <v>296</v>
      </c>
      <c r="Y302" s="3">
        <v>296</v>
      </c>
      <c r="Z302" s="3">
        <f t="shared" si="216"/>
        <v>298</v>
      </c>
      <c r="AA302" s="3">
        <f>IF(ISERROR(VLOOKUP($A302,'SegEnds_NonXtal_BW#'!$A:$Z,19,FALSE)+VLOOKUP($A302,A:AL,28,FALSE)-50),"-",(VLOOKUP($A302,'SegEnds_NonXtal_BW#'!$A:$Z,19,FALSE)+VLOOKUP($A302,A:AL,28,FALSE)-50))</f>
        <v>305</v>
      </c>
      <c r="AB302" s="3">
        <v>316</v>
      </c>
      <c r="AC302" s="3">
        <f>IF(ISERROR((VLOOKUP($A302,'SegEnds_NonXtal_BW#'!$A:$Z,20,FALSE)+VLOOKUP($A302,A:AL,28,FALSE)-50)),"-",(VLOOKUP($A302,'SegEnds_NonXtal_BW#'!$A:$Z,20,FALSE)+VLOOKUP($A302,A:AL,28,FALSE)-50))</f>
        <v>337</v>
      </c>
      <c r="AD302" s="3">
        <f>IF(ISERROR(VLOOKUP($A302,'SegEnds_NonXtal_BW#'!$A:$Z,21,FALSE)+VLOOKUP($A302,A:AL,31,FALSE)-50),"-",(VLOOKUP($A302,'SegEnds_NonXtal_BW#'!$A:$Z,21,FALSE)+VLOOKUP($A302,A:AL,31,FALSE)-50))</f>
        <v>346</v>
      </c>
      <c r="AE302" s="3">
        <v>366</v>
      </c>
      <c r="AF302" s="3">
        <f>IF(ISERROR((VLOOKUP($A302,'SegEnds_NonXtal_BW#'!$A:$Z,22,FALSE)+VLOOKUP($A302,A:AL,31,FALSE)-50)),"-",(VLOOKUP($A302,'SegEnds_NonXtal_BW#'!$A:$Z,22,FALSE)+VLOOKUP($A302,A:AL,31,FALSE)-50))</f>
        <v>369</v>
      </c>
      <c r="AG302" s="3">
        <f>IF(ISERROR(VLOOKUP($A302,'SegEnds_NonXtal_BW#'!$A:$Z,23,FALSE)+VLOOKUP($A302,A:AL,34,FALSE)-50),"-",(VLOOKUP($A302,'SegEnds_NonXtal_BW#'!$A:$Z,23,FALSE)+VLOOKUP($A302,A:AL,34,FALSE)-50))</f>
        <v>379</v>
      </c>
      <c r="AH302" s="3">
        <v>399</v>
      </c>
      <c r="AI302" s="3">
        <f>IF(ISERROR((VLOOKUP($A302,'SegEnds_NonXtal_BW#'!$A:$Z,24,FALSE)+VLOOKUP($A302,A:AL,34,FALSE)-50)),"-",(VLOOKUP($A302,'SegEnds_NonXtal_BW#'!$A:$Z,24,FALSE)+VLOOKUP($A302,A:AL,34,FALSE)-50))</f>
        <v>405</v>
      </c>
      <c r="AJ302" s="3">
        <f>IF(ISERROR(VLOOKUP($A302,'SegEnds_NonXtal_BW#'!$A:$Z,25,FALSE)+VLOOKUP($A302,A:AL,37,FALSE)-50),"-",(VLOOKUP($A302,'SegEnds_NonXtal_BW#'!$A:$Z,25,FALSE)+VLOOKUP($A302,A:AL,37,FALSE)-50))</f>
        <v>406</v>
      </c>
      <c r="AK302" s="3">
        <v>409</v>
      </c>
      <c r="AL302" s="3">
        <f>IF(ISERROR((VLOOKUP($A302,'SegEnds_NonXtal_BW#'!$A:$Z,26,FALSE)+VLOOKUP($A302,A:AL,37,FALSE)-50)),"-",(VLOOKUP($A302,'SegEnds_NonXtal_BW#'!$A:$Z,26,FALSE)+VLOOKUP($A302,A:AL,37,FALSE)-50))</f>
        <v>431</v>
      </c>
      <c r="AM302" s="28" t="str">
        <f>VLOOKUP(A302,Classification!A:B,2,FALSE)</f>
        <v>B1</v>
      </c>
      <c r="AN302" s="28" t="b">
        <f t="shared" si="207"/>
        <v>1</v>
      </c>
      <c r="AO302" s="3" t="str">
        <f>IF(ISERROR(MATCH(A302,'SegEnds_Xtal_Prot#'!B:B, 0)), "NoXtal", "Xtal")</f>
        <v>Xtal</v>
      </c>
      <c r="AP302" s="3">
        <f t="shared" si="192"/>
        <v>1</v>
      </c>
      <c r="AQ302" s="3">
        <f t="shared" si="193"/>
        <v>1</v>
      </c>
      <c r="AR302" s="3" t="str">
        <f t="shared" si="194"/>
        <v>-</v>
      </c>
      <c r="AS302" s="3" t="str">
        <f t="shared" si="195"/>
        <v>-</v>
      </c>
      <c r="AT302" s="3" t="str">
        <f t="shared" si="196"/>
        <v>-</v>
      </c>
      <c r="AU302" s="3" t="str">
        <f t="shared" si="197"/>
        <v>-</v>
      </c>
      <c r="AV302" s="3">
        <f t="shared" si="198"/>
        <v>4</v>
      </c>
      <c r="AW302" s="3">
        <f t="shared" si="199"/>
        <v>7</v>
      </c>
      <c r="AX302" s="3">
        <f t="shared" si="200"/>
        <v>9</v>
      </c>
      <c r="AY302" s="3">
        <f t="shared" si="201"/>
        <v>10</v>
      </c>
      <c r="AZ302" s="3">
        <f t="shared" si="202"/>
        <v>1</v>
      </c>
      <c r="BA302" s="3">
        <f>IF(ISERROR(LEN(VLOOKUP(A302,Seqs!A:E,2,FALSE))-AL302),"-",LEN(VLOOKUP(A302,Seqs!A:E,2,FALSE))-AL302)</f>
        <v>31</v>
      </c>
      <c r="BB302" s="16">
        <f t="shared" si="203"/>
        <v>28</v>
      </c>
      <c r="BC302" s="9" t="str">
        <f t="shared" si="204"/>
        <v>-</v>
      </c>
      <c r="BD302" s="3">
        <f t="shared" si="205"/>
        <v>28</v>
      </c>
      <c r="BE302" s="3">
        <f t="shared" si="206"/>
        <v>50</v>
      </c>
    </row>
    <row r="303" spans="1:59" s="3" customFormat="1" x14ac:dyDescent="0.2">
      <c r="A303" s="3" t="s">
        <v>404</v>
      </c>
      <c r="B303" s="3" t="str">
        <f>LOWER(VLOOKUP(A303,Xtal_Templ!A:B,2,FALSE))</f>
        <v>glr_human</v>
      </c>
      <c r="C303" s="3">
        <f>VLOOKUP($A303,'SegEnds_NonXtal_BW#'!$A:$Z,3,FALSE)+D303-50</f>
        <v>119</v>
      </c>
      <c r="D303" s="3">
        <v>144</v>
      </c>
      <c r="E303" s="3">
        <f>IF(ISERROR(VLOOKUP($A303,'SegEnds_NonXtal_BW#'!$A:$Z,4,FALSE)+VLOOKUP($A303,A:AL,4,FALSE)-50),"-",(VLOOKUP($A303,'SegEnds_NonXtal_BW#'!$A:$Z,4,FALSE)+VLOOKUP($A303,A:AL,4,FALSE)-50))</f>
        <v>154</v>
      </c>
      <c r="F303" s="3">
        <f t="shared" si="211"/>
        <v>155</v>
      </c>
      <c r="G303" s="3">
        <v>157</v>
      </c>
      <c r="H303" s="3">
        <f t="shared" si="217"/>
        <v>158</v>
      </c>
      <c r="I303" s="3">
        <f t="shared" si="217"/>
        <v>159</v>
      </c>
      <c r="J303" s="3">
        <v>172</v>
      </c>
      <c r="K303" s="3">
        <f>VLOOKUP($A303,'SegEnds_NonXtal_BW#'!$A:$Z,8,FALSE)+VLOOKUP($A303,A:AL,10,FALSE)-50</f>
        <v>186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198</v>
      </c>
      <c r="P303" s="3">
        <v>227</v>
      </c>
      <c r="Q303" s="3">
        <f>VLOOKUP($A303,'SegEnds_NonXtal_BW#'!$A:$Z,12,FALSE)+VLOOKUP($A303,A:AL,16,FALSE)-50</f>
        <v>233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1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240</v>
      </c>
      <c r="V303" s="3">
        <v>250</v>
      </c>
      <c r="W303" s="3">
        <f>IF(ISERROR(VLOOKUP($A303,'SegEnds_NonXtal_BW#'!$A:$Z,16,FALSE)+VLOOKUP($A303,A:AL,22,FALSE)-50),"-",(VLOOKUP($A303,'SegEnds_NonXtal_BW#'!$A:$Z,16,FALSE)+VLOOKUP($A303,A:AL,22,FALSE)-50))</f>
        <v>268</v>
      </c>
      <c r="X303" s="3">
        <f>IF(ISERROR(VLOOKUP($A303,'SegEnds_NonXtal_BW#'!$A:$Z,17,FALSE)+VLOOKUP($A303,A:AL,25,FALSE)-50),"-",(VLOOKUP($A303,'SegEnds_NonXtal_BW#'!$A:$Z,17,FALSE)+VLOOKUP($A303,A:AL,25,FALSE)-50))</f>
        <v>272</v>
      </c>
      <c r="Y303" s="3">
        <v>272</v>
      </c>
      <c r="Z303" s="3">
        <f t="shared" si="216"/>
        <v>274</v>
      </c>
      <c r="AA303" s="3">
        <f>IF(ISERROR(VLOOKUP($A303,'SegEnds_NonXtal_BW#'!$A:$Z,19,FALSE)+VLOOKUP($A303,A:AL,28,FALSE)-50),"-",(VLOOKUP($A303,'SegEnds_NonXtal_BW#'!$A:$Z,19,FALSE)+VLOOKUP($A303,A:AL,28,FALSE)-50))</f>
        <v>281</v>
      </c>
      <c r="AB303" s="3">
        <v>292</v>
      </c>
      <c r="AC303" s="3">
        <f>IF(ISERROR((VLOOKUP($A303,'SegEnds_NonXtal_BW#'!$A:$Z,20,FALSE)+VLOOKUP($A303,A:AL,28,FALSE)-50)),"-",(VLOOKUP($A303,'SegEnds_NonXtal_BW#'!$A:$Z,20,FALSE)+VLOOKUP($A303,A:AL,28,FALSE)-50))</f>
        <v>311</v>
      </c>
      <c r="AD303" s="3">
        <f>IF(ISERROR(VLOOKUP($A303,'SegEnds_NonXtal_BW#'!$A:$Z,21,FALSE)+VLOOKUP($A303,A:AL,31,FALSE)-50),"-",(VLOOKUP($A303,'SegEnds_NonXtal_BW#'!$A:$Z,21,FALSE)+VLOOKUP($A303,A:AL,31,FALSE)-50))</f>
        <v>319</v>
      </c>
      <c r="AE303" s="3">
        <v>344</v>
      </c>
      <c r="AF303" s="3">
        <f>IF(ISERROR((VLOOKUP($A303,'SegEnds_NonXtal_BW#'!$A:$Z,22,FALSE)+VLOOKUP($A303,A:AL,31,FALSE)-50)),"-",(VLOOKUP($A303,'SegEnds_NonXtal_BW#'!$A:$Z,22,FALSE)+VLOOKUP($A303,A:AL,31,FALSE)-50))</f>
        <v>347</v>
      </c>
      <c r="AG303" s="3">
        <f>IF(ISERROR(VLOOKUP($A303,'SegEnds_NonXtal_BW#'!$A:$Z,23,FALSE)+VLOOKUP($A303,A:AL,34,FALSE)-50),"-",(VLOOKUP($A303,'SegEnds_NonXtal_BW#'!$A:$Z,23,FALSE)+VLOOKUP($A303,A:AL,34,FALSE)-50))</f>
        <v>354</v>
      </c>
      <c r="AH303" s="3">
        <v>373</v>
      </c>
      <c r="AI303" s="3">
        <f>IF(ISERROR((VLOOKUP($A303,'SegEnds_NonXtal_BW#'!$A:$Z,24,FALSE)+VLOOKUP($A303,A:AL,34,FALSE)-50)),"-",(VLOOKUP($A303,'SegEnds_NonXtal_BW#'!$A:$Z,24,FALSE)+VLOOKUP($A303,A:AL,34,FALSE)-50))</f>
        <v>379</v>
      </c>
      <c r="AJ303" s="3">
        <f>IF(ISERROR(VLOOKUP($A303,'SegEnds_NonXtal_BW#'!$A:$Z,25,FALSE)+VLOOKUP($A303,A:AL,37,FALSE)-50),"-",(VLOOKUP($A303,'SegEnds_NonXtal_BW#'!$A:$Z,25,FALSE)+VLOOKUP($A303,A:AL,37,FALSE)-50))</f>
        <v>380</v>
      </c>
      <c r="AK303" s="3">
        <v>383</v>
      </c>
      <c r="AL303" s="3">
        <f>IF(ISERROR((VLOOKUP($A303,'SegEnds_NonXtal_BW#'!$A:$Z,26,FALSE)+VLOOKUP($A303,A:AL,37,FALSE)-50)),"-",(VLOOKUP($A303,'SegEnds_NonXtal_BW#'!$A:$Z,26,FALSE)+VLOOKUP($A303,A:AL,37,FALSE)-50))</f>
        <v>405</v>
      </c>
      <c r="AM303" s="28" t="str">
        <f>VLOOKUP(A303,Classification!A:B,2,FALSE)</f>
        <v>B1</v>
      </c>
      <c r="AN303" s="28" t="b">
        <f t="shared" si="207"/>
        <v>1</v>
      </c>
      <c r="AO303" s="3" t="str">
        <f>IF(ISERROR(MATCH(A303,'SegEnds_Xtal_Prot#'!B:B, 0)), "NoXtal", "Xtal")</f>
        <v>NoXtal</v>
      </c>
      <c r="AP303" s="3">
        <f t="shared" si="192"/>
        <v>1</v>
      </c>
      <c r="AQ303" s="3">
        <f t="shared" si="193"/>
        <v>1</v>
      </c>
      <c r="AR303" s="3" t="str">
        <f t="shared" si="194"/>
        <v>-</v>
      </c>
      <c r="AS303" s="3" t="str">
        <f t="shared" si="195"/>
        <v>-</v>
      </c>
      <c r="AT303" s="3" t="str">
        <f t="shared" si="196"/>
        <v>-</v>
      </c>
      <c r="AU303" s="3" t="str">
        <f t="shared" si="197"/>
        <v>-</v>
      </c>
      <c r="AV303" s="3">
        <f t="shared" si="198"/>
        <v>4</v>
      </c>
      <c r="AW303" s="3">
        <f t="shared" si="199"/>
        <v>7</v>
      </c>
      <c r="AX303" s="3">
        <f t="shared" si="200"/>
        <v>8</v>
      </c>
      <c r="AY303" s="3">
        <f t="shared" si="201"/>
        <v>7</v>
      </c>
      <c r="AZ303" s="3">
        <f t="shared" si="202"/>
        <v>1</v>
      </c>
      <c r="BA303" s="3">
        <f>IF(ISERROR(LEN(VLOOKUP(A303,Seqs!A:E,2,FALSE))-AL303),"-",LEN(VLOOKUP(A303,Seqs!A:E,2,FALSE))-AL303)</f>
        <v>18</v>
      </c>
      <c r="BB303" s="16">
        <f t="shared" si="203"/>
        <v>28</v>
      </c>
      <c r="BC303" s="9" t="str">
        <f t="shared" si="204"/>
        <v>-</v>
      </c>
      <c r="BD303" s="3">
        <f t="shared" si="205"/>
        <v>28</v>
      </c>
      <c r="BE303" s="3">
        <f t="shared" si="206"/>
        <v>52</v>
      </c>
      <c r="BF303" s="3">
        <f>AH303-AE303</f>
        <v>29</v>
      </c>
    </row>
    <row r="304" spans="1:59" s="3" customFormat="1" x14ac:dyDescent="0.2">
      <c r="A304" s="3" t="s">
        <v>405</v>
      </c>
      <c r="B304" s="3" t="str">
        <f>LOWER(VLOOKUP(A304,Xtal_Templ!A:B,2,FALSE))</f>
        <v>glr_human</v>
      </c>
      <c r="C304" s="3">
        <f>VLOOKUP($A304,'SegEnds_NonXtal_BW#'!$A:$Z,3,FALSE)+D304-50</f>
        <v>127</v>
      </c>
      <c r="D304" s="3">
        <v>152</v>
      </c>
      <c r="E304" s="3">
        <f>IF(ISERROR(VLOOKUP($A304,'SegEnds_NonXtal_BW#'!$A:$Z,4,FALSE)+VLOOKUP($A304,A:AL,4,FALSE)-50),"-",(VLOOKUP($A304,'SegEnds_NonXtal_BW#'!$A:$Z,4,FALSE)+VLOOKUP($A304,A:AL,4,FALSE)-50))</f>
        <v>162</v>
      </c>
      <c r="F304" s="3">
        <f t="shared" si="211"/>
        <v>163</v>
      </c>
      <c r="G304" s="3">
        <v>165</v>
      </c>
      <c r="H304" s="3">
        <f t="shared" si="217"/>
        <v>166</v>
      </c>
      <c r="I304" s="3">
        <f t="shared" si="217"/>
        <v>167</v>
      </c>
      <c r="J304" s="3">
        <v>180</v>
      </c>
      <c r="K304" s="3">
        <f>VLOOKUP($A304,'SegEnds_NonXtal_BW#'!$A:$Z,8,FALSE)+VLOOKUP($A304,A:AL,10,FALSE)-50</f>
        <v>194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214</v>
      </c>
      <c r="P304" s="3">
        <v>241</v>
      </c>
      <c r="Q304" s="3">
        <f>VLOOKUP($A304,'SegEnds_NonXtal_BW#'!$A:$Z,12,FALSE)+VLOOKUP($A304,A:AL,16,FALSE)-50</f>
        <v>247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1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254</v>
      </c>
      <c r="V304" s="3">
        <v>264</v>
      </c>
      <c r="W304" s="3">
        <f>IF(ISERROR(VLOOKUP($A304,'SegEnds_NonXtal_BW#'!$A:$Z,16,FALSE)+VLOOKUP($A304,A:AL,22,FALSE)-50),"-",(VLOOKUP($A304,'SegEnds_NonXtal_BW#'!$A:$Z,16,FALSE)+VLOOKUP($A304,A:AL,22,FALSE)-50))</f>
        <v>282</v>
      </c>
      <c r="X304" s="3">
        <f>IF(ISERROR(VLOOKUP($A304,'SegEnds_NonXtal_BW#'!$A:$Z,17,FALSE)+VLOOKUP($A304,A:AL,25,FALSE)-50),"-",(VLOOKUP($A304,'SegEnds_NonXtal_BW#'!$A:$Z,17,FALSE)+VLOOKUP($A304,A:AL,25,FALSE)-50))</f>
        <v>286</v>
      </c>
      <c r="Y304" s="3">
        <v>286</v>
      </c>
      <c r="Z304" s="3">
        <f t="shared" si="216"/>
        <v>288</v>
      </c>
      <c r="AA304" s="3">
        <f>IF(ISERROR(VLOOKUP($A304,'SegEnds_NonXtal_BW#'!$A:$Z,19,FALSE)+VLOOKUP($A304,A:AL,28,FALSE)-50),"-",(VLOOKUP($A304,'SegEnds_NonXtal_BW#'!$A:$Z,19,FALSE)+VLOOKUP($A304,A:AL,28,FALSE)-50))</f>
        <v>295</v>
      </c>
      <c r="AB304" s="3">
        <v>306</v>
      </c>
      <c r="AC304" s="3">
        <f>IF(ISERROR((VLOOKUP($A304,'SegEnds_NonXtal_BW#'!$A:$Z,20,FALSE)+VLOOKUP($A304,A:AL,28,FALSE)-50)),"-",(VLOOKUP($A304,'SegEnds_NonXtal_BW#'!$A:$Z,20,FALSE)+VLOOKUP($A304,A:AL,28,FALSE)-50))</f>
        <v>327</v>
      </c>
      <c r="AD304" s="3">
        <f>IF(ISERROR(VLOOKUP($A304,'SegEnds_NonXtal_BW#'!$A:$Z,21,FALSE)+VLOOKUP($A304,A:AL,31,FALSE)-50),"-",(VLOOKUP($A304,'SegEnds_NonXtal_BW#'!$A:$Z,21,FALSE)+VLOOKUP($A304,A:AL,31,FALSE)-50))</f>
        <v>334</v>
      </c>
      <c r="AE304" s="3">
        <v>356</v>
      </c>
      <c r="AF304" s="3">
        <f>IF(ISERROR((VLOOKUP($A304,'SegEnds_NonXtal_BW#'!$A:$Z,22,FALSE)+VLOOKUP($A304,A:AL,31,FALSE)-50)),"-",(VLOOKUP($A304,'SegEnds_NonXtal_BW#'!$A:$Z,22,FALSE)+VLOOKUP($A304,A:AL,31,FALSE)-50))</f>
        <v>359</v>
      </c>
      <c r="AG304" s="3">
        <f>IF(ISERROR(VLOOKUP($A304,'SegEnds_NonXtal_BW#'!$A:$Z,23,FALSE)+VLOOKUP($A304,A:AL,34,FALSE)-50),"-",(VLOOKUP($A304,'SegEnds_NonXtal_BW#'!$A:$Z,23,FALSE)+VLOOKUP($A304,A:AL,34,FALSE)-50))</f>
        <v>367</v>
      </c>
      <c r="AH304" s="3">
        <v>389</v>
      </c>
      <c r="AI304" s="3">
        <f>IF(ISERROR((VLOOKUP($A304,'SegEnds_NonXtal_BW#'!$A:$Z,24,FALSE)+VLOOKUP($A304,A:AL,34,FALSE)-50)),"-",(VLOOKUP($A304,'SegEnds_NonXtal_BW#'!$A:$Z,24,FALSE)+VLOOKUP($A304,A:AL,34,FALSE)-50))</f>
        <v>395</v>
      </c>
      <c r="AJ304" s="3">
        <f>IF(ISERROR(VLOOKUP($A304,'SegEnds_NonXtal_BW#'!$A:$Z,25,FALSE)+VLOOKUP($A304,A:AL,37,FALSE)-50),"-",(VLOOKUP($A304,'SegEnds_NonXtal_BW#'!$A:$Z,25,FALSE)+VLOOKUP($A304,A:AL,37,FALSE)-50))</f>
        <v>396</v>
      </c>
      <c r="AK304" s="3">
        <v>399</v>
      </c>
      <c r="AL304" s="3">
        <f>IF(ISERROR((VLOOKUP($A304,'SegEnds_NonXtal_BW#'!$A:$Z,26,FALSE)+VLOOKUP($A304,A:AL,37,FALSE)-50)),"-",(VLOOKUP($A304,'SegEnds_NonXtal_BW#'!$A:$Z,26,FALSE)+VLOOKUP($A304,A:AL,37,FALSE)-50))</f>
        <v>421</v>
      </c>
      <c r="AM304" s="28" t="str">
        <f>VLOOKUP(A304,Classification!A:B,2,FALSE)</f>
        <v>B1</v>
      </c>
      <c r="AN304" s="28" t="b">
        <f t="shared" si="207"/>
        <v>1</v>
      </c>
      <c r="AO304" s="3" t="str">
        <f>IF(ISERROR(MATCH(A304,'SegEnds_Xtal_Prot#'!B:B, 0)), "NoXtal", "Xtal")</f>
        <v>NoXtal</v>
      </c>
      <c r="AP304" s="3">
        <f t="shared" si="192"/>
        <v>1</v>
      </c>
      <c r="AQ304" s="3">
        <f t="shared" si="193"/>
        <v>1</v>
      </c>
      <c r="AR304" s="3" t="str">
        <f t="shared" si="194"/>
        <v>-</v>
      </c>
      <c r="AS304" s="3" t="str">
        <f t="shared" si="195"/>
        <v>-</v>
      </c>
      <c r="AT304" s="3" t="str">
        <f t="shared" si="196"/>
        <v>-</v>
      </c>
      <c r="AU304" s="3" t="str">
        <f t="shared" si="197"/>
        <v>-</v>
      </c>
      <c r="AV304" s="3">
        <f t="shared" si="198"/>
        <v>4</v>
      </c>
      <c r="AW304" s="3">
        <f t="shared" si="199"/>
        <v>7</v>
      </c>
      <c r="AX304" s="3">
        <f t="shared" si="200"/>
        <v>7</v>
      </c>
      <c r="AY304" s="3">
        <f t="shared" si="201"/>
        <v>8</v>
      </c>
      <c r="AZ304" s="3">
        <f t="shared" si="202"/>
        <v>1</v>
      </c>
      <c r="BA304" s="3">
        <f>IF(ISERROR(LEN(VLOOKUP(A304,Seqs!A:E,2,FALSE))-AL304),"-",LEN(VLOOKUP(A304,Seqs!A:E,2,FALSE))-AL304)</f>
        <v>45</v>
      </c>
      <c r="BB304" s="16">
        <f t="shared" si="203"/>
        <v>28</v>
      </c>
      <c r="BC304" s="9" t="str">
        <f t="shared" si="204"/>
        <v>-</v>
      </c>
      <c r="BD304" s="3">
        <f t="shared" si="205"/>
        <v>28</v>
      </c>
      <c r="BE304" s="3">
        <f t="shared" si="206"/>
        <v>50</v>
      </c>
    </row>
    <row r="305" spans="1:58" s="3" customFormat="1" x14ac:dyDescent="0.2">
      <c r="A305" s="3" t="s">
        <v>406</v>
      </c>
      <c r="B305" s="3" t="str">
        <f>LOWER(VLOOKUP(A305,Xtal_Templ!A:B,2,FALSE))</f>
        <v>glp1r_human</v>
      </c>
      <c r="C305" s="3">
        <f>VLOOKUP($A305,'SegEnds_NonXtal_BW#'!$A:$Z,3,FALSE)+D305-50</f>
        <v>138</v>
      </c>
      <c r="D305" s="3">
        <v>159</v>
      </c>
      <c r="E305" s="3">
        <f>IF(ISERROR(VLOOKUP($A305,'SegEnds_NonXtal_BW#'!$A:$Z,4,FALSE)+VLOOKUP($A305,A:AL,4,FALSE)-50),"-",(VLOOKUP($A305,'SegEnds_NonXtal_BW#'!$A:$Z,4,FALSE)+VLOOKUP($A305,A:AL,4,FALSE)-50))</f>
        <v>169</v>
      </c>
      <c r="F305" s="3">
        <f t="shared" si="211"/>
        <v>170</v>
      </c>
      <c r="G305" s="3">
        <v>172</v>
      </c>
      <c r="H305" s="3">
        <f t="shared" si="217"/>
        <v>173</v>
      </c>
      <c r="I305" s="3">
        <f t="shared" si="217"/>
        <v>174</v>
      </c>
      <c r="J305" s="3">
        <v>187</v>
      </c>
      <c r="K305" s="3">
        <f>VLOOKUP($A305,'SegEnds_NonXtal_BW#'!$A:$Z,8,FALSE)+VLOOKUP($A305,A:AL,10,FALSE)-50</f>
        <v>201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224</v>
      </c>
      <c r="P305" s="3">
        <v>251</v>
      </c>
      <c r="Q305" s="3">
        <f>VLOOKUP($A305,'SegEnds_NonXtal_BW#'!$A:$Z,12,FALSE)+VLOOKUP($A305,A:AL,16,FALSE)-50</f>
        <v>257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1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262</v>
      </c>
      <c r="V305" s="3">
        <v>274</v>
      </c>
      <c r="W305" s="3">
        <f>IF(ISERROR(VLOOKUP($A305,'SegEnds_NonXtal_BW#'!$A:$Z,16,FALSE)+VLOOKUP($A305,A:AL,22,FALSE)-50),"-",(VLOOKUP($A305,'SegEnds_NonXtal_BW#'!$A:$Z,16,FALSE)+VLOOKUP($A305,A:AL,22,FALSE)-50))</f>
        <v>292</v>
      </c>
      <c r="X305" s="3">
        <f>IF(ISERROR(VLOOKUP($A305,'SegEnds_NonXtal_BW#'!$A:$Z,17,FALSE)+VLOOKUP($A305,A:AL,25,FALSE)-50),"-",(VLOOKUP($A305,'SegEnds_NonXtal_BW#'!$A:$Z,17,FALSE)+VLOOKUP($A305,A:AL,25,FALSE)-50))</f>
        <v>296</v>
      </c>
      <c r="Y305" s="3">
        <v>296</v>
      </c>
      <c r="Z305" s="3">
        <f t="shared" si="216"/>
        <v>298</v>
      </c>
      <c r="AA305" s="3">
        <f>IF(ISERROR(VLOOKUP($A305,'SegEnds_NonXtal_BW#'!$A:$Z,19,FALSE)+VLOOKUP($A305,A:AL,28,FALSE)-50),"-",(VLOOKUP($A305,'SegEnds_NonXtal_BW#'!$A:$Z,19,FALSE)+VLOOKUP($A305,A:AL,28,FALSE)-50))</f>
        <v>305</v>
      </c>
      <c r="AB305" s="3">
        <v>316</v>
      </c>
      <c r="AC305" s="3">
        <f>IF(ISERROR((VLOOKUP($A305,'SegEnds_NonXtal_BW#'!$A:$Z,20,FALSE)+VLOOKUP($A305,A:AL,28,FALSE)-50)),"-",(VLOOKUP($A305,'SegEnds_NonXtal_BW#'!$A:$Z,20,FALSE)+VLOOKUP($A305,A:AL,28,FALSE)-50))</f>
        <v>337</v>
      </c>
      <c r="AD305" s="3">
        <f>IF(ISERROR(VLOOKUP($A305,'SegEnds_NonXtal_BW#'!$A:$Z,21,FALSE)+VLOOKUP($A305,A:AL,31,FALSE)-50),"-",(VLOOKUP($A305,'SegEnds_NonXtal_BW#'!$A:$Z,21,FALSE)+VLOOKUP($A305,A:AL,31,FALSE)-50))</f>
        <v>344</v>
      </c>
      <c r="AE305" s="3">
        <v>366</v>
      </c>
      <c r="AF305" s="3">
        <f>IF(ISERROR((VLOOKUP($A305,'SegEnds_NonXtal_BW#'!$A:$Z,22,FALSE)+VLOOKUP($A305,A:AL,31,FALSE)-50)),"-",(VLOOKUP($A305,'SegEnds_NonXtal_BW#'!$A:$Z,22,FALSE)+VLOOKUP($A305,A:AL,31,FALSE)-50))</f>
        <v>369</v>
      </c>
      <c r="AG305" s="3">
        <f>IF(ISERROR(VLOOKUP($A305,'SegEnds_NonXtal_BW#'!$A:$Z,23,FALSE)+VLOOKUP($A305,A:AL,34,FALSE)-50),"-",(VLOOKUP($A305,'SegEnds_NonXtal_BW#'!$A:$Z,23,FALSE)+VLOOKUP($A305,A:AL,34,FALSE)-50))</f>
        <v>377</v>
      </c>
      <c r="AH305" s="3">
        <v>399</v>
      </c>
      <c r="AI305" s="3">
        <f>IF(ISERROR((VLOOKUP($A305,'SegEnds_NonXtal_BW#'!$A:$Z,24,FALSE)+VLOOKUP($A305,A:AL,34,FALSE)-50)),"-",(VLOOKUP($A305,'SegEnds_NonXtal_BW#'!$A:$Z,24,FALSE)+VLOOKUP($A305,A:AL,34,FALSE)-50))</f>
        <v>405</v>
      </c>
      <c r="AJ305" s="3">
        <f>IF(ISERROR(VLOOKUP($A305,'SegEnds_NonXtal_BW#'!$A:$Z,25,FALSE)+VLOOKUP($A305,A:AL,37,FALSE)-50),"-",(VLOOKUP($A305,'SegEnds_NonXtal_BW#'!$A:$Z,25,FALSE)+VLOOKUP($A305,A:AL,37,FALSE)-50))</f>
        <v>406</v>
      </c>
      <c r="AK305" s="3">
        <v>409</v>
      </c>
      <c r="AL305" s="3">
        <f>IF(ISERROR((VLOOKUP($A305,'SegEnds_NonXtal_BW#'!$A:$Z,26,FALSE)+VLOOKUP($A305,A:AL,37,FALSE)-50)),"-",(VLOOKUP($A305,'SegEnds_NonXtal_BW#'!$A:$Z,26,FALSE)+VLOOKUP($A305,A:AL,37,FALSE)-50))</f>
        <v>431</v>
      </c>
      <c r="AM305" s="28" t="str">
        <f>VLOOKUP(A305,Classification!A:B,2,FALSE)</f>
        <v>B1</v>
      </c>
      <c r="AN305" s="28" t="b">
        <f t="shared" si="207"/>
        <v>1</v>
      </c>
      <c r="AO305" s="3" t="str">
        <f>IF(ISERROR(MATCH(A305,'SegEnds_Xtal_Prot#'!B:B, 0)), "NoXtal", "Xtal")</f>
        <v>Xtal</v>
      </c>
      <c r="AP305" s="3">
        <f t="shared" si="192"/>
        <v>1</v>
      </c>
      <c r="AQ305" s="3">
        <f t="shared" si="193"/>
        <v>1</v>
      </c>
      <c r="AR305" s="3" t="str">
        <f t="shared" si="194"/>
        <v>-</v>
      </c>
      <c r="AS305" s="3" t="str">
        <f t="shared" si="195"/>
        <v>-</v>
      </c>
      <c r="AT305" s="3" t="str">
        <f t="shared" si="196"/>
        <v>-</v>
      </c>
      <c r="AU305" s="3" t="str">
        <f t="shared" si="197"/>
        <v>-</v>
      </c>
      <c r="AV305" s="3">
        <f t="shared" si="198"/>
        <v>4</v>
      </c>
      <c r="AW305" s="3">
        <f t="shared" si="199"/>
        <v>7</v>
      </c>
      <c r="AX305" s="3">
        <f t="shared" si="200"/>
        <v>7</v>
      </c>
      <c r="AY305" s="3">
        <f t="shared" si="201"/>
        <v>8</v>
      </c>
      <c r="AZ305" s="3">
        <f t="shared" si="202"/>
        <v>1</v>
      </c>
      <c r="BA305" s="3">
        <f>IF(ISERROR(LEN(VLOOKUP(A305,Seqs!A:E,2,FALSE))-AL305),"-",LEN(VLOOKUP(A305,Seqs!A:E,2,FALSE))-AL305)</f>
        <v>32</v>
      </c>
      <c r="BB305" s="16">
        <f t="shared" si="203"/>
        <v>28</v>
      </c>
      <c r="BC305" s="9" t="str">
        <f t="shared" si="204"/>
        <v>-</v>
      </c>
      <c r="BD305" s="3">
        <f t="shared" si="205"/>
        <v>28</v>
      </c>
      <c r="BE305" s="3">
        <f t="shared" si="206"/>
        <v>50</v>
      </c>
    </row>
    <row r="306" spans="1:58" s="3" customFormat="1" x14ac:dyDescent="0.2">
      <c r="A306" s="3" t="s">
        <v>407</v>
      </c>
      <c r="B306" s="3" t="str">
        <f>LOWER(VLOOKUP(A306,Xtal_Templ!A:B,2,FALSE))</f>
        <v>glr_human</v>
      </c>
      <c r="C306" s="3">
        <f>VLOOKUP($A306,'SegEnds_NonXtal_BW#'!$A:$Z,3,FALSE)+D306-50</f>
        <v>168</v>
      </c>
      <c r="D306" s="3">
        <v>193</v>
      </c>
      <c r="E306" s="3">
        <f>IF(ISERROR(VLOOKUP($A306,'SegEnds_NonXtal_BW#'!$A:$Z,4,FALSE)+VLOOKUP($A306,A:AL,4,FALSE)-50),"-",(VLOOKUP($A306,'SegEnds_NonXtal_BW#'!$A:$Z,4,FALSE)+VLOOKUP($A306,A:AL,4,FALSE)-50))</f>
        <v>203</v>
      </c>
      <c r="F306" s="3">
        <f t="shared" si="211"/>
        <v>204</v>
      </c>
      <c r="G306" s="3">
        <v>206</v>
      </c>
      <c r="H306" s="3">
        <f t="shared" si="217"/>
        <v>207</v>
      </c>
      <c r="I306" s="3">
        <f t="shared" si="217"/>
        <v>208</v>
      </c>
      <c r="J306" s="3">
        <v>221</v>
      </c>
      <c r="K306" s="3">
        <f>VLOOKUP($A306,'SegEnds_NonXtal_BW#'!$A:$Z,8,FALSE)+VLOOKUP($A306,A:AL,10,FALSE)-50</f>
        <v>235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258</v>
      </c>
      <c r="P306" s="3">
        <v>285</v>
      </c>
      <c r="Q306" s="3">
        <f>VLOOKUP($A306,'SegEnds_NonXtal_BW#'!$A:$Z,12,FALSE)+VLOOKUP($A306,A:AL,16,FALSE)-50</f>
        <v>291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1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298</v>
      </c>
      <c r="V306" s="3">
        <v>308</v>
      </c>
      <c r="W306" s="3">
        <f>IF(ISERROR(VLOOKUP($A306,'SegEnds_NonXtal_BW#'!$A:$Z,16,FALSE)+VLOOKUP($A306,A:AL,22,FALSE)-50),"-",(VLOOKUP($A306,'SegEnds_NonXtal_BW#'!$A:$Z,16,FALSE)+VLOOKUP($A306,A:AL,22,FALSE)-50))</f>
        <v>326</v>
      </c>
      <c r="X306" s="3">
        <f>IF(ISERROR(VLOOKUP($A306,'SegEnds_NonXtal_BW#'!$A:$Z,17,FALSE)+VLOOKUP($A306,A:AL,25,FALSE)-50),"-",(VLOOKUP($A306,'SegEnds_NonXtal_BW#'!$A:$Z,17,FALSE)+VLOOKUP($A306,A:AL,25,FALSE)-50))</f>
        <v>330</v>
      </c>
      <c r="Y306" s="3">
        <v>330</v>
      </c>
      <c r="Z306" s="3">
        <f t="shared" si="216"/>
        <v>332</v>
      </c>
      <c r="AA306" s="3">
        <f>IF(ISERROR(VLOOKUP($A306,'SegEnds_NonXtal_BW#'!$A:$Z,19,FALSE)+VLOOKUP($A306,A:AL,28,FALSE)-50),"-",(VLOOKUP($A306,'SegEnds_NonXtal_BW#'!$A:$Z,19,FALSE)+VLOOKUP($A306,A:AL,28,FALSE)-50))</f>
        <v>339</v>
      </c>
      <c r="AB306" s="3">
        <v>350</v>
      </c>
      <c r="AC306" s="3">
        <f>IF(ISERROR((VLOOKUP($A306,'SegEnds_NonXtal_BW#'!$A:$Z,20,FALSE)+VLOOKUP($A306,A:AL,28,FALSE)-50)),"-",(VLOOKUP($A306,'SegEnds_NonXtal_BW#'!$A:$Z,20,FALSE)+VLOOKUP($A306,A:AL,28,FALSE)-50))</f>
        <v>371</v>
      </c>
      <c r="AD306" s="3">
        <f>IF(ISERROR(VLOOKUP($A306,'SegEnds_NonXtal_BW#'!$A:$Z,21,FALSE)+VLOOKUP($A306,A:AL,31,FALSE)-50),"-",(VLOOKUP($A306,'SegEnds_NonXtal_BW#'!$A:$Z,21,FALSE)+VLOOKUP($A306,A:AL,31,FALSE)-50))</f>
        <v>378</v>
      </c>
      <c r="AE306" s="3">
        <v>400</v>
      </c>
      <c r="AF306" s="3">
        <f>IF(ISERROR((VLOOKUP($A306,'SegEnds_NonXtal_BW#'!$A:$Z,22,FALSE)+VLOOKUP($A306,A:AL,31,FALSE)-50)),"-",(VLOOKUP($A306,'SegEnds_NonXtal_BW#'!$A:$Z,22,FALSE)+VLOOKUP($A306,A:AL,31,FALSE)-50))</f>
        <v>403</v>
      </c>
      <c r="AG306" s="3">
        <f>IF(ISERROR(VLOOKUP($A306,'SegEnds_NonXtal_BW#'!$A:$Z,23,FALSE)+VLOOKUP($A306,A:AL,34,FALSE)-50),"-",(VLOOKUP($A306,'SegEnds_NonXtal_BW#'!$A:$Z,23,FALSE)+VLOOKUP($A306,A:AL,34,FALSE)-50))</f>
        <v>411</v>
      </c>
      <c r="AH306" s="3">
        <v>433</v>
      </c>
      <c r="AI306" s="3">
        <f>IF(ISERROR((VLOOKUP($A306,'SegEnds_NonXtal_BW#'!$A:$Z,24,FALSE)+VLOOKUP($A306,A:AL,34,FALSE)-50)),"-",(VLOOKUP($A306,'SegEnds_NonXtal_BW#'!$A:$Z,24,FALSE)+VLOOKUP($A306,A:AL,34,FALSE)-50))</f>
        <v>439</v>
      </c>
      <c r="AJ306" s="3">
        <f>IF(ISERROR(VLOOKUP($A306,'SegEnds_NonXtal_BW#'!$A:$Z,25,FALSE)+VLOOKUP($A306,A:AL,37,FALSE)-50),"-",(VLOOKUP($A306,'SegEnds_NonXtal_BW#'!$A:$Z,25,FALSE)+VLOOKUP($A306,A:AL,37,FALSE)-50))</f>
        <v>440</v>
      </c>
      <c r="AK306" s="3">
        <v>443</v>
      </c>
      <c r="AL306" s="3">
        <f>IF(ISERROR((VLOOKUP($A306,'SegEnds_NonXtal_BW#'!$A:$Z,26,FALSE)+VLOOKUP($A306,A:AL,37,FALSE)-50)),"-",(VLOOKUP($A306,'SegEnds_NonXtal_BW#'!$A:$Z,26,FALSE)+VLOOKUP($A306,A:AL,37,FALSE)-50))</f>
        <v>465</v>
      </c>
      <c r="AM306" s="28" t="str">
        <f>VLOOKUP(A306,Classification!A:B,2,FALSE)</f>
        <v>B1</v>
      </c>
      <c r="AN306" s="28" t="b">
        <f t="shared" si="207"/>
        <v>1</v>
      </c>
      <c r="AO306" s="3" t="str">
        <f>IF(ISERROR(MATCH(A306,'SegEnds_Xtal_Prot#'!B:B, 0)), "NoXtal", "Xtal")</f>
        <v>NoXtal</v>
      </c>
      <c r="AP306" s="3">
        <f t="shared" si="192"/>
        <v>1</v>
      </c>
      <c r="AQ306" s="3">
        <f t="shared" si="193"/>
        <v>1</v>
      </c>
      <c r="AR306" s="3" t="str">
        <f t="shared" si="194"/>
        <v>-</v>
      </c>
      <c r="AS306" s="3" t="str">
        <f t="shared" si="195"/>
        <v>-</v>
      </c>
      <c r="AT306" s="3" t="str">
        <f t="shared" si="196"/>
        <v>-</v>
      </c>
      <c r="AU306" s="3" t="str">
        <f t="shared" si="197"/>
        <v>-</v>
      </c>
      <c r="AV306" s="3">
        <f t="shared" si="198"/>
        <v>4</v>
      </c>
      <c r="AW306" s="3">
        <f t="shared" si="199"/>
        <v>7</v>
      </c>
      <c r="AX306" s="3">
        <f t="shared" si="200"/>
        <v>7</v>
      </c>
      <c r="AY306" s="3">
        <f t="shared" si="201"/>
        <v>8</v>
      </c>
      <c r="AZ306" s="3">
        <f t="shared" si="202"/>
        <v>1</v>
      </c>
      <c r="BA306" s="3">
        <f>IF(ISERROR(LEN(VLOOKUP(A306,Seqs!A:E,2,FALSE))-AL306),"-",LEN(VLOOKUP(A306,Seqs!A:E,2,FALSE))-AL306)</f>
        <v>88</v>
      </c>
      <c r="BB306" s="16">
        <f t="shared" si="203"/>
        <v>28</v>
      </c>
      <c r="BC306" s="9" t="str">
        <f t="shared" si="204"/>
        <v>-</v>
      </c>
      <c r="BD306" s="3">
        <f t="shared" si="205"/>
        <v>28</v>
      </c>
      <c r="BE306" s="3">
        <f t="shared" si="206"/>
        <v>50</v>
      </c>
    </row>
    <row r="307" spans="1:58" s="3" customFormat="1" x14ac:dyDescent="0.2">
      <c r="A307" s="3" t="s">
        <v>32</v>
      </c>
      <c r="B307" s="3" t="str">
        <f>LOWER(VLOOKUP(A307,Xtal_Templ!A:B,2,FALSE))</f>
        <v>glr_human</v>
      </c>
      <c r="C307" s="3">
        <f>VLOOKUP($A307,'SegEnds_NonXtal_BW#'!$A:$Z,3,FALSE)+D307-50</f>
        <v>131</v>
      </c>
      <c r="D307" s="3">
        <v>156</v>
      </c>
      <c r="E307" s="3">
        <f>IF(ISERROR(VLOOKUP($A307,'SegEnds_NonXtal_BW#'!$A:$Z,4,FALSE)+VLOOKUP($A307,A:AL,4,FALSE)-50),"-",(VLOOKUP($A307,'SegEnds_NonXtal_BW#'!$A:$Z,4,FALSE)+VLOOKUP($A307,A:AL,4,FALSE)-50))</f>
        <v>166</v>
      </c>
      <c r="F307" s="3">
        <f t="shared" si="211"/>
        <v>167</v>
      </c>
      <c r="G307" s="3">
        <v>169</v>
      </c>
      <c r="H307" s="3">
        <f t="shared" si="217"/>
        <v>170</v>
      </c>
      <c r="I307" s="3">
        <f t="shared" si="217"/>
        <v>171</v>
      </c>
      <c r="J307" s="3">
        <v>184</v>
      </c>
      <c r="K307" s="3">
        <f>VLOOKUP($A307,'SegEnds_NonXtal_BW#'!$A:$Z,8,FALSE)+VLOOKUP($A307,A:AL,10,FALSE)-50</f>
        <v>203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220</v>
      </c>
      <c r="P307" s="3">
        <v>249</v>
      </c>
      <c r="Q307" s="3">
        <f>VLOOKUP($A307,'SegEnds_NonXtal_BW#'!$A:$Z,12,FALSE)+VLOOKUP($A307,A:AL,16,FALSE)-50</f>
        <v>255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1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272</v>
      </c>
      <c r="W307" s="3">
        <f>IF(ISERROR(VLOOKUP($A307,'SegEnds_NonXtal_BW#'!$A:$Z,16,FALSE)+VLOOKUP($A307,A:AL,22,FALSE)-50),"-",(VLOOKUP($A307,'SegEnds_NonXtal_BW#'!$A:$Z,16,FALSE)+VLOOKUP($A307,A:AL,22,FALSE)-50))</f>
        <v>290</v>
      </c>
      <c r="X307" s="3">
        <f>IF(ISERROR(VLOOKUP($A307,'SegEnds_NonXtal_BW#'!$A:$Z,17,FALSE)+VLOOKUP($A307,A:AL,25,FALSE)-50),"-",(VLOOKUP($A307,'SegEnds_NonXtal_BW#'!$A:$Z,17,FALSE)+VLOOKUP($A307,A:AL,25,FALSE)-50))</f>
        <v>294</v>
      </c>
      <c r="Y307" s="3">
        <v>294</v>
      </c>
      <c r="Z307" s="3">
        <f t="shared" si="216"/>
        <v>296</v>
      </c>
      <c r="AA307" s="3">
        <f>IF(ISERROR(VLOOKUP($A307,'SegEnds_NonXtal_BW#'!$A:$Z,19,FALSE)+VLOOKUP($A307,A:AL,28,FALSE)-50),"-",(VLOOKUP($A307,'SegEnds_NonXtal_BW#'!$A:$Z,19,FALSE)+VLOOKUP($A307,A:AL,28,FALSE)-50))</f>
        <v>300</v>
      </c>
      <c r="AB307" s="3">
        <v>314</v>
      </c>
      <c r="AC307" s="3">
        <f>IF(ISERROR((VLOOKUP($A307,'SegEnds_NonXtal_BW#'!$A:$Z,20,FALSE)+VLOOKUP($A307,A:AL,28,FALSE)-50)),"-",(VLOOKUP($A307,'SegEnds_NonXtal_BW#'!$A:$Z,20,FALSE)+VLOOKUP($A307,A:AL,28,FALSE)-50))</f>
        <v>335</v>
      </c>
      <c r="AD307" s="3">
        <f>IF(ISERROR(VLOOKUP($A307,'SegEnds_NonXtal_BW#'!$A:$Z,21,FALSE)+VLOOKUP($A307,A:AL,31,FALSE)-50),"-",(VLOOKUP($A307,'SegEnds_NonXtal_BW#'!$A:$Z,21,FALSE)+VLOOKUP($A307,A:AL,31,FALSE)-50))</f>
        <v>342</v>
      </c>
      <c r="AE307" s="3">
        <v>364</v>
      </c>
      <c r="AF307" s="3">
        <f>IF(ISERROR((VLOOKUP($A307,'SegEnds_NonXtal_BW#'!$A:$Z,22,FALSE)+VLOOKUP($A307,A:AL,31,FALSE)-50)),"-",(VLOOKUP($A307,'SegEnds_NonXtal_BW#'!$A:$Z,22,FALSE)+VLOOKUP($A307,A:AL,31,FALSE)-50))</f>
        <v>367</v>
      </c>
      <c r="AG307" s="3">
        <f>IF(ISERROR(VLOOKUP($A307,'SegEnds_NonXtal_BW#'!$A:$Z,23,FALSE)+VLOOKUP($A307,A:AL,34,FALSE)-50),"-",(VLOOKUP($A307,'SegEnds_NonXtal_BW#'!$A:$Z,23,FALSE)+VLOOKUP($A307,A:AL,34,FALSE)-50))</f>
        <v>374</v>
      </c>
      <c r="AH307" s="3">
        <v>397</v>
      </c>
      <c r="AI307" s="3">
        <f>IF(ISERROR((VLOOKUP($A307,'SegEnds_NonXtal_BW#'!$A:$Z,24,FALSE)+VLOOKUP($A307,A:AL,34,FALSE)-50)),"-",(VLOOKUP($A307,'SegEnds_NonXtal_BW#'!$A:$Z,24,FALSE)+VLOOKUP($A307,A:AL,34,FALSE)-50))</f>
        <v>403</v>
      </c>
      <c r="AJ307" s="3">
        <f>IF(ISERROR(VLOOKUP($A307,'SegEnds_NonXtal_BW#'!$A:$Z,25,FALSE)+VLOOKUP($A307,A:AL,37,FALSE)-50),"-",(VLOOKUP($A307,'SegEnds_NonXtal_BW#'!$A:$Z,25,FALSE)+VLOOKUP($A307,A:AL,37,FALSE)-50))</f>
        <v>404</v>
      </c>
      <c r="AK307" s="3">
        <v>407</v>
      </c>
      <c r="AL307" s="3">
        <f>IF(ISERROR((VLOOKUP($A307,'SegEnds_NonXtal_BW#'!$A:$Z,26,FALSE)+VLOOKUP($A307,A:AL,37,FALSE)-50)),"-",(VLOOKUP($A307,'SegEnds_NonXtal_BW#'!$A:$Z,26,FALSE)+VLOOKUP($A307,A:AL,37,FALSE)-50))</f>
        <v>429</v>
      </c>
      <c r="AM307" s="28" t="str">
        <f>VLOOKUP(A307,Classification!A:B,2,FALSE)</f>
        <v>B1</v>
      </c>
      <c r="AN307" s="28" t="b">
        <f t="shared" si="207"/>
        <v>1</v>
      </c>
      <c r="AO307" s="3" t="str">
        <f>IF(ISERROR(MATCH(A307,'SegEnds_Xtal_Prot#'!B:B, 0)), "NoXtal", "Xtal")</f>
        <v>Xtal</v>
      </c>
      <c r="AP307" s="3">
        <f t="shared" si="192"/>
        <v>1</v>
      </c>
      <c r="AQ307" s="3">
        <f t="shared" si="193"/>
        <v>1</v>
      </c>
      <c r="AR307" s="3" t="str">
        <f t="shared" si="194"/>
        <v>-</v>
      </c>
      <c r="AS307" s="3" t="str">
        <f t="shared" si="195"/>
        <v>-</v>
      </c>
      <c r="AT307" s="3" t="str">
        <f t="shared" si="196"/>
        <v>-</v>
      </c>
      <c r="AU307" s="3" t="str">
        <f t="shared" si="197"/>
        <v>-</v>
      </c>
      <c r="AV307" s="3">
        <f t="shared" si="198"/>
        <v>4</v>
      </c>
      <c r="AW307" s="3">
        <f t="shared" si="199"/>
        <v>4</v>
      </c>
      <c r="AX307" s="3">
        <f t="shared" si="200"/>
        <v>7</v>
      </c>
      <c r="AY307" s="3">
        <f t="shared" si="201"/>
        <v>7</v>
      </c>
      <c r="AZ307" s="3">
        <f t="shared" si="202"/>
        <v>1</v>
      </c>
      <c r="BA307" s="3">
        <f>IF(ISERROR(LEN(VLOOKUP(A307,Seqs!A:E,2,FALSE))-AL307),"-",LEN(VLOOKUP(A307,Seqs!A:E,2,FALSE))-AL307)</f>
        <v>48</v>
      </c>
      <c r="BB307" s="16">
        <f t="shared" si="203"/>
        <v>28</v>
      </c>
      <c r="BC307" s="9" t="str">
        <f t="shared" si="204"/>
        <v>-</v>
      </c>
      <c r="BD307" s="3">
        <f t="shared" si="205"/>
        <v>28</v>
      </c>
      <c r="BE307" s="3">
        <f t="shared" si="206"/>
        <v>50</v>
      </c>
    </row>
    <row r="308" spans="1:58" s="3" customFormat="1" x14ac:dyDescent="0.2">
      <c r="A308" s="3" t="s">
        <v>408</v>
      </c>
      <c r="B308" s="3" t="str">
        <f>LOWER(VLOOKUP(A308,Xtal_Templ!A:B,2,FALSE))</f>
        <v>glr_human</v>
      </c>
      <c r="C308" s="3">
        <f>VLOOKUP($A308,'SegEnds_NonXtal_BW#'!$A:$Z,3,FALSE)+D308-50</f>
        <v>143</v>
      </c>
      <c r="D308" s="3">
        <v>168</v>
      </c>
      <c r="E308" s="3">
        <f>IF(ISERROR(VLOOKUP($A308,'SegEnds_NonXtal_BW#'!$A:$Z,4,FALSE)+VLOOKUP($A308,A:AL,4,FALSE)-50),"-",(VLOOKUP($A308,'SegEnds_NonXtal_BW#'!$A:$Z,4,FALSE)+VLOOKUP($A308,A:AL,4,FALSE)-50))</f>
        <v>178</v>
      </c>
      <c r="F308" s="3">
        <f t="shared" si="211"/>
        <v>179</v>
      </c>
      <c r="G308" s="3">
        <v>181</v>
      </c>
      <c r="H308" s="3">
        <f t="shared" si="217"/>
        <v>182</v>
      </c>
      <c r="I308" s="3">
        <f t="shared" si="217"/>
        <v>183</v>
      </c>
      <c r="J308" s="3">
        <v>196</v>
      </c>
      <c r="K308" s="3">
        <f>VLOOKUP($A308,'SegEnds_NonXtal_BW#'!$A:$Z,8,FALSE)+VLOOKUP($A308,A:AL,10,FALSE)-50</f>
        <v>210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222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1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264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16"/>
        <v>298</v>
      </c>
      <c r="AA308" s="3">
        <f>IF(ISERROR(VLOOKUP($A308,'SegEnds_NonXtal_BW#'!$A:$Z,19,FALSE)+VLOOKUP($A308,A:AL,28,FALSE)-50),"-",(VLOOKUP($A308,'SegEnds_NonXtal_BW#'!$A:$Z,19,FALSE)+VLOOKUP($A308,A:AL,28,FALSE)-50))</f>
        <v>305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343</v>
      </c>
      <c r="AE308" s="3">
        <v>368</v>
      </c>
      <c r="AF308" s="3">
        <f>IF(ISERROR((VLOOKUP($A308,'SegEnds_NonXtal_BW#'!$A:$Z,22,FALSE)+VLOOKUP($A308,A:AL,31,FALSE)-50)),"-",(VLOOKUP($A308,'SegEnds_NonXtal_BW#'!$A:$Z,22,FALSE)+VLOOKUP($A308,A:AL,31,FALSE)-50))</f>
        <v>371</v>
      </c>
      <c r="AG308" s="3">
        <f>IF(ISERROR(VLOOKUP($A308,'SegEnds_NonXtal_BW#'!$A:$Z,23,FALSE)+VLOOKUP($A308,A:AL,34,FALSE)-50),"-",(VLOOKUP($A308,'SegEnds_NonXtal_BW#'!$A:$Z,23,FALSE)+VLOOKUP($A308,A:AL,34,FALSE)-50))</f>
        <v>378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207"/>
        <v>1</v>
      </c>
      <c r="AO308" s="3" t="str">
        <f>IF(ISERROR(MATCH(A308,'SegEnds_Xtal_Prot#'!B:B, 0)), "NoXtal", "Xtal")</f>
        <v>NoXtal</v>
      </c>
      <c r="AP308" s="3">
        <f t="shared" si="192"/>
        <v>1</v>
      </c>
      <c r="AQ308" s="3">
        <f t="shared" si="193"/>
        <v>1</v>
      </c>
      <c r="AR308" s="3" t="str">
        <f t="shared" si="194"/>
        <v>-</v>
      </c>
      <c r="AS308" s="3" t="str">
        <f t="shared" si="195"/>
        <v>-</v>
      </c>
      <c r="AT308" s="3" t="str">
        <f t="shared" si="196"/>
        <v>-</v>
      </c>
      <c r="AU308" s="3" t="str">
        <f t="shared" si="197"/>
        <v>-</v>
      </c>
      <c r="AV308" s="3">
        <f t="shared" si="198"/>
        <v>4</v>
      </c>
      <c r="AW308" s="3">
        <f t="shared" si="199"/>
        <v>7</v>
      </c>
      <c r="AX308" s="3">
        <f t="shared" si="200"/>
        <v>8</v>
      </c>
      <c r="AY308" s="3">
        <f t="shared" si="201"/>
        <v>7</v>
      </c>
      <c r="AZ308" s="3">
        <f t="shared" si="202"/>
        <v>1</v>
      </c>
      <c r="BA308" s="3">
        <f>IF(ISERROR(LEN(VLOOKUP(A308,Seqs!A:E,2,FALSE))-AL308),"-",LEN(VLOOKUP(A308,Seqs!A:E,2,FALSE))-AL308)</f>
        <v>39</v>
      </c>
      <c r="BB308" s="16">
        <f t="shared" si="203"/>
        <v>28</v>
      </c>
      <c r="BC308" s="9" t="str">
        <f t="shared" si="204"/>
        <v>-</v>
      </c>
      <c r="BD308" s="3">
        <f t="shared" si="205"/>
        <v>28</v>
      </c>
      <c r="BE308" s="3">
        <f t="shared" si="206"/>
        <v>52</v>
      </c>
    </row>
    <row r="309" spans="1:58" s="3" customFormat="1" x14ac:dyDescent="0.2">
      <c r="A309" s="3" t="s">
        <v>409</v>
      </c>
      <c r="B309" s="3" t="str">
        <f>LOWER(VLOOKUP(A309,Xtal_Templ!A:B,2,FALSE))</f>
        <v>glp1r_human</v>
      </c>
      <c r="C309" s="3">
        <f>VLOOKUP($A309,'SegEnds_NonXtal_BW#'!$A:$Z,3,FALSE)+D309-50</f>
        <v>181</v>
      </c>
      <c r="D309" s="3">
        <v>202</v>
      </c>
      <c r="E309" s="3">
        <f>IF(ISERROR(VLOOKUP($A309,'SegEnds_NonXtal_BW#'!$A:$Z,4,FALSE)+VLOOKUP($A309,A:AL,4,FALSE)-50),"-",(VLOOKUP($A309,'SegEnds_NonXtal_BW#'!$A:$Z,4,FALSE)+VLOOKUP($A309,A:AL,4,FALSE)-50))</f>
        <v>212</v>
      </c>
      <c r="F309" s="3">
        <f t="shared" si="211"/>
        <v>213</v>
      </c>
      <c r="G309" s="3">
        <v>215</v>
      </c>
      <c r="H309" s="3">
        <f t="shared" si="217"/>
        <v>216</v>
      </c>
      <c r="I309" s="3">
        <f t="shared" si="217"/>
        <v>217</v>
      </c>
      <c r="J309" s="3">
        <v>230</v>
      </c>
      <c r="K309" s="3">
        <f>VLOOKUP($A309,'SegEnds_NonXtal_BW#'!$A:$Z,8,FALSE)+VLOOKUP($A309,A:AL,10,FALSE)-50</f>
        <v>249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277</v>
      </c>
      <c r="P309" s="3">
        <v>306</v>
      </c>
      <c r="Q309" s="3">
        <f>VLOOKUP($A309,'SegEnds_NonXtal_BW#'!$A:$Z,12,FALSE)+VLOOKUP($A309,A:AL,16,FALSE)-50</f>
        <v>312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1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317</v>
      </c>
      <c r="V309" s="3">
        <v>329</v>
      </c>
      <c r="W309" s="3">
        <f>IF(ISERROR(VLOOKUP($A309,'SegEnds_NonXtal_BW#'!$A:$Z,16,FALSE)+VLOOKUP($A309,A:AL,22,FALSE)-50),"-",(VLOOKUP($A309,'SegEnds_NonXtal_BW#'!$A:$Z,16,FALSE)+VLOOKUP($A309,A:AL,22,FALSE)-50))</f>
        <v>347</v>
      </c>
      <c r="X309" s="3">
        <f>IF(ISERROR(VLOOKUP($A309,'SegEnds_NonXtal_BW#'!$A:$Z,17,FALSE)+VLOOKUP($A309,A:AL,25,FALSE)-50),"-",(VLOOKUP($A309,'SegEnds_NonXtal_BW#'!$A:$Z,17,FALSE)+VLOOKUP($A309,A:AL,25,FALSE)-50))</f>
        <v>351</v>
      </c>
      <c r="Y309" s="3">
        <v>351</v>
      </c>
      <c r="Z309" s="3">
        <f t="shared" si="216"/>
        <v>353</v>
      </c>
      <c r="AA309" s="3">
        <f>IF(ISERROR(VLOOKUP($A309,'SegEnds_NonXtal_BW#'!$A:$Z,19,FALSE)+VLOOKUP($A309,A:AL,28,FALSE)-50),"-",(VLOOKUP($A309,'SegEnds_NonXtal_BW#'!$A:$Z,19,FALSE)+VLOOKUP($A309,A:AL,28,FALSE)-50))</f>
        <v>359</v>
      </c>
      <c r="AB309" s="3">
        <v>370</v>
      </c>
      <c r="AC309" s="3">
        <f>IF(ISERROR((VLOOKUP($A309,'SegEnds_NonXtal_BW#'!$A:$Z,20,FALSE)+VLOOKUP($A309,A:AL,28,FALSE)-50)),"-",(VLOOKUP($A309,'SegEnds_NonXtal_BW#'!$A:$Z,20,FALSE)+VLOOKUP($A309,A:AL,28,FALSE)-50))</f>
        <v>389</v>
      </c>
      <c r="AD309" s="3">
        <f>IF(ISERROR(VLOOKUP($A309,'SegEnds_NonXtal_BW#'!$A:$Z,21,FALSE)+VLOOKUP($A309,A:AL,31,FALSE)-50),"-",(VLOOKUP($A309,'SegEnds_NonXtal_BW#'!$A:$Z,21,FALSE)+VLOOKUP($A309,A:AL,31,FALSE)-50))</f>
        <v>398</v>
      </c>
      <c r="AE309" s="3">
        <v>423</v>
      </c>
      <c r="AF309" s="3">
        <f>IF(ISERROR((VLOOKUP($A309,'SegEnds_NonXtal_BW#'!$A:$Z,22,FALSE)+VLOOKUP($A309,A:AL,31,FALSE)-50)),"-",(VLOOKUP($A309,'SegEnds_NonXtal_BW#'!$A:$Z,22,FALSE)+VLOOKUP($A309,A:AL,31,FALSE)-50))</f>
        <v>426</v>
      </c>
      <c r="AG309" s="3">
        <f>IF(ISERROR(VLOOKUP($A309,'SegEnds_NonXtal_BW#'!$A:$Z,23,FALSE)+VLOOKUP($A309,A:AL,34,FALSE)-50),"-",(VLOOKUP($A309,'SegEnds_NonXtal_BW#'!$A:$Z,23,FALSE)+VLOOKUP($A309,A:AL,34,FALSE)-50))</f>
        <v>434</v>
      </c>
      <c r="AH309" s="3">
        <v>456</v>
      </c>
      <c r="AI309" s="3">
        <f>IF(ISERROR((VLOOKUP($A309,'SegEnds_NonXtal_BW#'!$A:$Z,24,FALSE)+VLOOKUP($A309,A:AL,34,FALSE)-50)),"-",(VLOOKUP($A309,'SegEnds_NonXtal_BW#'!$A:$Z,24,FALSE)+VLOOKUP($A309,A:AL,34,FALSE)-50))</f>
        <v>462</v>
      </c>
      <c r="AJ309" s="3">
        <f>IF(ISERROR(VLOOKUP($A309,'SegEnds_NonXtal_BW#'!$A:$Z,25,FALSE)+VLOOKUP($A309,A:AL,37,FALSE)-50),"-",(VLOOKUP($A309,'SegEnds_NonXtal_BW#'!$A:$Z,25,FALSE)+VLOOKUP($A309,A:AL,37,FALSE)-50))</f>
        <v>463</v>
      </c>
      <c r="AK309" s="3">
        <v>466</v>
      </c>
      <c r="AL309" s="3">
        <f>IF(ISERROR((VLOOKUP($A309,'SegEnds_NonXtal_BW#'!$A:$Z,26,FALSE)+VLOOKUP($A309,A:AL,37,FALSE)-50)),"-",(VLOOKUP($A309,'SegEnds_NonXtal_BW#'!$A:$Z,26,FALSE)+VLOOKUP($A309,A:AL,37,FALSE)-50))</f>
        <v>488</v>
      </c>
      <c r="AM309" s="28" t="str">
        <f>VLOOKUP(A309,Classification!A:B,2,FALSE)</f>
        <v>B1</v>
      </c>
      <c r="AN309" s="28" t="b">
        <f t="shared" si="207"/>
        <v>1</v>
      </c>
      <c r="AO309" s="3" t="str">
        <f>IF(ISERROR(MATCH(A309,'SegEnds_Xtal_Prot#'!B:B, 0)), "NoXtal", "Xtal")</f>
        <v>NoXtal</v>
      </c>
      <c r="AP309" s="3">
        <f t="shared" si="192"/>
        <v>1</v>
      </c>
      <c r="AQ309" s="3">
        <f t="shared" si="193"/>
        <v>1</v>
      </c>
      <c r="AR309" s="3" t="str">
        <f t="shared" si="194"/>
        <v>-</v>
      </c>
      <c r="AS309" s="3" t="str">
        <f t="shared" si="195"/>
        <v>-</v>
      </c>
      <c r="AT309" s="3" t="str">
        <f t="shared" si="196"/>
        <v>-</v>
      </c>
      <c r="AU309" s="3" t="str">
        <f t="shared" si="197"/>
        <v>-</v>
      </c>
      <c r="AV309" s="3">
        <f t="shared" si="198"/>
        <v>4</v>
      </c>
      <c r="AW309" s="3">
        <f t="shared" si="199"/>
        <v>6</v>
      </c>
      <c r="AX309" s="3">
        <f t="shared" si="200"/>
        <v>9</v>
      </c>
      <c r="AY309" s="3">
        <f t="shared" si="201"/>
        <v>8</v>
      </c>
      <c r="AZ309" s="3">
        <f t="shared" si="202"/>
        <v>1</v>
      </c>
      <c r="BA309" s="3">
        <f>IF(ISERROR(LEN(VLOOKUP(A309,Seqs!A:E,2,FALSE))-AL309),"-",LEN(VLOOKUP(A309,Seqs!A:E,2,FALSE))-AL309)</f>
        <v>105</v>
      </c>
      <c r="BB309" s="16">
        <f t="shared" si="203"/>
        <v>28</v>
      </c>
      <c r="BC309" s="9" t="str">
        <f t="shared" si="204"/>
        <v>-</v>
      </c>
      <c r="BD309" s="3">
        <f t="shared" si="205"/>
        <v>28</v>
      </c>
      <c r="BE309" s="3">
        <f t="shared" si="206"/>
        <v>53</v>
      </c>
    </row>
    <row r="310" spans="1:58" s="3" customFormat="1" x14ac:dyDescent="0.2">
      <c r="A310" s="3" t="s">
        <v>410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211"/>
        <v>170</v>
      </c>
      <c r="G310" s="3">
        <v>172</v>
      </c>
      <c r="H310" s="3">
        <f t="shared" si="217"/>
        <v>173</v>
      </c>
      <c r="I310" s="3">
        <f t="shared" si="217"/>
        <v>174</v>
      </c>
      <c r="J310" s="3">
        <v>187</v>
      </c>
      <c r="K310" s="3">
        <f>VLOOKUP($A310,'SegEnds_NonXtal_BW#'!$A:$Z,8,FALSE)+VLOOKUP($A310,A:AL,10,FALSE)-50</f>
        <v>206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232</v>
      </c>
      <c r="P310" s="3">
        <v>261</v>
      </c>
      <c r="Q310" s="3">
        <f>VLOOKUP($A310,'SegEnds_NonXtal_BW#'!$A:$Z,12,FALSE)+VLOOKUP($A310,A:AL,16,FALSE)-50</f>
        <v>267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1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272</v>
      </c>
      <c r="V310" s="3">
        <v>284</v>
      </c>
      <c r="W310" s="3">
        <f>IF(ISERROR(VLOOKUP($A310,'SegEnds_NonXtal_BW#'!$A:$Z,16,FALSE)+VLOOKUP($A310,A:AL,22,FALSE)-50),"-",(VLOOKUP($A310,'SegEnds_NonXtal_BW#'!$A:$Z,16,FALSE)+VLOOKUP($A310,A:AL,22,FALSE)-50))</f>
        <v>302</v>
      </c>
      <c r="X310" s="3">
        <f>IF(ISERROR(VLOOKUP($A310,'SegEnds_NonXtal_BW#'!$A:$Z,17,FALSE)+VLOOKUP($A310,A:AL,25,FALSE)-50),"-",(VLOOKUP($A310,'SegEnds_NonXtal_BW#'!$A:$Z,17,FALSE)+VLOOKUP($A310,A:AL,25,FALSE)-50))</f>
        <v>306</v>
      </c>
      <c r="Y310" s="3">
        <v>306</v>
      </c>
      <c r="Z310" s="3">
        <f t="shared" si="216"/>
        <v>308</v>
      </c>
      <c r="AA310" s="3">
        <f>IF(ISERROR(VLOOKUP($A310,'SegEnds_NonXtal_BW#'!$A:$Z,19,FALSE)+VLOOKUP($A310,A:AL,28,FALSE)-50),"-",(VLOOKUP($A310,'SegEnds_NonXtal_BW#'!$A:$Z,19,FALSE)+VLOOKUP($A310,A:AL,28,FALSE)-50))</f>
        <v>314</v>
      </c>
      <c r="AB310" s="3">
        <v>325</v>
      </c>
      <c r="AC310" s="3">
        <f>IF(ISERROR((VLOOKUP($A310,'SegEnds_NonXtal_BW#'!$A:$Z,20,FALSE)+VLOOKUP($A310,A:AL,28,FALSE)-50)),"-",(VLOOKUP($A310,'SegEnds_NonXtal_BW#'!$A:$Z,20,FALSE)+VLOOKUP($A310,A:AL,28,FALSE)-50))</f>
        <v>344</v>
      </c>
      <c r="AD310" s="3">
        <f>IF(ISERROR(VLOOKUP($A310,'SegEnds_NonXtal_BW#'!$A:$Z,21,FALSE)+VLOOKUP($A310,A:AL,31,FALSE)-50),"-",(VLOOKUP($A310,'SegEnds_NonXtal_BW#'!$A:$Z,21,FALSE)+VLOOKUP($A310,A:AL,31,FALSE)-50))</f>
        <v>353</v>
      </c>
      <c r="AE310" s="3">
        <v>378</v>
      </c>
      <c r="AF310" s="3">
        <f>IF(ISERROR((VLOOKUP($A310,'SegEnds_NonXtal_BW#'!$A:$Z,22,FALSE)+VLOOKUP($A310,A:AL,31,FALSE)-50)),"-",(VLOOKUP($A310,'SegEnds_NonXtal_BW#'!$A:$Z,22,FALSE)+VLOOKUP($A310,A:AL,31,FALSE)-50))</f>
        <v>381</v>
      </c>
      <c r="AG310" s="3">
        <f>IF(ISERROR(VLOOKUP($A310,'SegEnds_NonXtal_BW#'!$A:$Z,23,FALSE)+VLOOKUP($A310,A:AL,34,FALSE)-50),"-",(VLOOKUP($A310,'SegEnds_NonXtal_BW#'!$A:$Z,23,FALSE)+VLOOKUP($A310,A:AL,34,FALSE)-50))</f>
        <v>388</v>
      </c>
      <c r="AH310" s="3">
        <v>410</v>
      </c>
      <c r="AI310" s="3">
        <f>IF(ISERROR((VLOOKUP($A310,'SegEnds_NonXtal_BW#'!$A:$Z,24,FALSE)+VLOOKUP($A310,A:AL,34,FALSE)-50)),"-",(VLOOKUP($A310,'SegEnds_NonXtal_BW#'!$A:$Z,24,FALSE)+VLOOKUP($A310,A:AL,34,FALSE)-50))</f>
        <v>416</v>
      </c>
      <c r="AJ310" s="3">
        <f>IF(ISERROR(VLOOKUP($A310,'SegEnds_NonXtal_BW#'!$A:$Z,25,FALSE)+VLOOKUP($A310,A:AL,37,FALSE)-50),"-",(VLOOKUP($A310,'SegEnds_NonXtal_BW#'!$A:$Z,25,FALSE)+VLOOKUP($A310,A:AL,37,FALSE)-50))</f>
        <v>417</v>
      </c>
      <c r="AK310" s="3">
        <v>420</v>
      </c>
      <c r="AL310" s="3">
        <f>IF(ISERROR((VLOOKUP($A310,'SegEnds_NonXtal_BW#'!$A:$Z,26,FALSE)+VLOOKUP($A310,A:AL,37,FALSE)-50)),"-",(VLOOKUP($A310,'SegEnds_NonXtal_BW#'!$A:$Z,26,FALSE)+VLOOKUP($A310,A:AL,37,FALSE)-50))</f>
        <v>442</v>
      </c>
      <c r="AM310" s="28" t="str">
        <f>VLOOKUP(A310,Classification!A:B,2,FALSE)</f>
        <v>B1</v>
      </c>
      <c r="AN310" s="28" t="b">
        <f t="shared" si="207"/>
        <v>1</v>
      </c>
      <c r="AO310" s="3" t="str">
        <f>IF(ISERROR(MATCH(A310,'SegEnds_Xtal_Prot#'!B:B, 0)), "NoXtal", "Xtal")</f>
        <v>NoXtal</v>
      </c>
      <c r="AP310" s="3">
        <f t="shared" si="192"/>
        <v>1</v>
      </c>
      <c r="AQ310" s="3">
        <f t="shared" si="193"/>
        <v>1</v>
      </c>
      <c r="AR310" s="3" t="str">
        <f t="shared" si="194"/>
        <v>-</v>
      </c>
      <c r="AS310" s="3" t="str">
        <f t="shared" si="195"/>
        <v>-</v>
      </c>
      <c r="AT310" s="3" t="str">
        <f t="shared" si="196"/>
        <v>-</v>
      </c>
      <c r="AU310" s="3" t="str">
        <f t="shared" si="197"/>
        <v>-</v>
      </c>
      <c r="AV310" s="3">
        <f t="shared" si="198"/>
        <v>4</v>
      </c>
      <c r="AW310" s="3">
        <f t="shared" si="199"/>
        <v>6</v>
      </c>
      <c r="AX310" s="3">
        <f t="shared" si="200"/>
        <v>9</v>
      </c>
      <c r="AY310" s="3">
        <f t="shared" si="201"/>
        <v>7</v>
      </c>
      <c r="AZ310" s="3">
        <f t="shared" si="202"/>
        <v>1</v>
      </c>
      <c r="BA310" s="3">
        <f>IF(ISERROR(LEN(VLOOKUP(A310,Seqs!A:E,2,FALSE))-AL310),"-",LEN(VLOOKUP(A310,Seqs!A:E,2,FALSE))-AL310)</f>
        <v>108</v>
      </c>
      <c r="BB310" s="16">
        <f t="shared" si="203"/>
        <v>28</v>
      </c>
      <c r="BC310" s="9" t="str">
        <f t="shared" si="204"/>
        <v>-</v>
      </c>
      <c r="BD310" s="3">
        <f t="shared" si="205"/>
        <v>28</v>
      </c>
      <c r="BE310" s="3">
        <f t="shared" si="206"/>
        <v>53</v>
      </c>
    </row>
    <row r="311" spans="1:58" s="3" customFormat="1" x14ac:dyDescent="0.2">
      <c r="A311" s="3" t="s">
        <v>411</v>
      </c>
      <c r="B311" s="3" t="str">
        <f>LOWER(VLOOKUP(A311,Xtal_Templ!A:B,2,FALSE))</f>
        <v>glp1r_human</v>
      </c>
      <c r="C311" s="3">
        <f>VLOOKUP($A311,'SegEnds_NonXtal_BW#'!$A:$Z,3,FALSE)+D311-50</f>
        <v>136</v>
      </c>
      <c r="D311" s="3">
        <v>157</v>
      </c>
      <c r="E311" s="3">
        <f>IF(ISERROR(VLOOKUP($A311,'SegEnds_NonXtal_BW#'!$A:$Z,4,FALSE)+VLOOKUP($A311,A:AL,4,FALSE)-50),"-",(VLOOKUP($A311,'SegEnds_NonXtal_BW#'!$A:$Z,4,FALSE)+VLOOKUP($A311,A:AL,4,FALSE)-50))</f>
        <v>167</v>
      </c>
      <c r="F311" s="3">
        <f t="shared" si="211"/>
        <v>168</v>
      </c>
      <c r="G311" s="3">
        <v>170</v>
      </c>
      <c r="H311" s="3">
        <f t="shared" si="217"/>
        <v>171</v>
      </c>
      <c r="I311" s="3">
        <f t="shared" si="217"/>
        <v>172</v>
      </c>
      <c r="J311" s="3">
        <v>185</v>
      </c>
      <c r="K311" s="3">
        <f>VLOOKUP($A311,'SegEnds_NonXtal_BW#'!$A:$Z,8,FALSE)+VLOOKUP($A311,A:AL,10,FALSE)-50</f>
        <v>199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211</v>
      </c>
      <c r="P311" s="3">
        <v>240</v>
      </c>
      <c r="Q311" s="3">
        <f>VLOOKUP($A311,'SegEnds_NonXtal_BW#'!$A:$Z,12,FALSE)+VLOOKUP($A311,A:AL,16,FALSE)-50</f>
        <v>246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1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251</v>
      </c>
      <c r="V311" s="3">
        <v>263</v>
      </c>
      <c r="W311" s="3">
        <f>IF(ISERROR(VLOOKUP($A311,'SegEnds_NonXtal_BW#'!$A:$Z,16,FALSE)+VLOOKUP($A311,A:AL,22,FALSE)-50),"-",(VLOOKUP($A311,'SegEnds_NonXtal_BW#'!$A:$Z,16,FALSE)+VLOOKUP($A311,A:AL,22,FALSE)-50))</f>
        <v>281</v>
      </c>
      <c r="X311" s="3">
        <f>IF(ISERROR(VLOOKUP($A311,'SegEnds_NonXtal_BW#'!$A:$Z,17,FALSE)+VLOOKUP($A311,A:AL,25,FALSE)-50),"-",(VLOOKUP($A311,'SegEnds_NonXtal_BW#'!$A:$Z,17,FALSE)+VLOOKUP($A311,A:AL,25,FALSE)-50))</f>
        <v>285</v>
      </c>
      <c r="Y311" s="3">
        <v>285</v>
      </c>
      <c r="Z311" s="3">
        <f t="shared" si="216"/>
        <v>287</v>
      </c>
      <c r="AA311" s="3">
        <f>IF(ISERROR(VLOOKUP($A311,'SegEnds_NonXtal_BW#'!$A:$Z,19,FALSE)+VLOOKUP($A311,A:AL,28,FALSE)-50),"-",(VLOOKUP($A311,'SegEnds_NonXtal_BW#'!$A:$Z,19,FALSE)+VLOOKUP($A311,A:AL,28,FALSE)-50))</f>
        <v>294</v>
      </c>
      <c r="AB311" s="3">
        <v>305</v>
      </c>
      <c r="AC311" s="3">
        <f>IF(ISERROR((VLOOKUP($A311,'SegEnds_NonXtal_BW#'!$A:$Z,20,FALSE)+VLOOKUP($A311,A:AL,28,FALSE)-50)),"-",(VLOOKUP($A311,'SegEnds_NonXtal_BW#'!$A:$Z,20,FALSE)+VLOOKUP($A311,A:AL,28,FALSE)-50))</f>
        <v>324</v>
      </c>
      <c r="AD311" s="3">
        <f>IF(ISERROR(VLOOKUP($A311,'SegEnds_NonXtal_BW#'!$A:$Z,21,FALSE)+VLOOKUP($A311,A:AL,31,FALSE)-50),"-",(VLOOKUP($A311,'SegEnds_NonXtal_BW#'!$A:$Z,21,FALSE)+VLOOKUP($A311,A:AL,31,FALSE)-50))</f>
        <v>332</v>
      </c>
      <c r="AE311" s="3">
        <v>357</v>
      </c>
      <c r="AF311" s="3">
        <f>IF(ISERROR((VLOOKUP($A311,'SegEnds_NonXtal_BW#'!$A:$Z,22,FALSE)+VLOOKUP($A311,A:AL,31,FALSE)-50)),"-",(VLOOKUP($A311,'SegEnds_NonXtal_BW#'!$A:$Z,22,FALSE)+VLOOKUP($A311,A:AL,31,FALSE)-50))</f>
        <v>360</v>
      </c>
      <c r="AG311" s="3">
        <f>IF(ISERROR(VLOOKUP($A311,'SegEnds_NonXtal_BW#'!$A:$Z,23,FALSE)+VLOOKUP($A311,A:AL,34,FALSE)-50),"-",(VLOOKUP($A311,'SegEnds_NonXtal_BW#'!$A:$Z,23,FALSE)+VLOOKUP($A311,A:AL,34,FALSE)-50))</f>
        <v>366</v>
      </c>
      <c r="AH311" s="3">
        <v>385</v>
      </c>
      <c r="AI311" s="3">
        <f>IF(ISERROR((VLOOKUP($A311,'SegEnds_NonXtal_BW#'!$A:$Z,24,FALSE)+VLOOKUP($A311,A:AL,34,FALSE)-50)),"-",(VLOOKUP($A311,'SegEnds_NonXtal_BW#'!$A:$Z,24,FALSE)+VLOOKUP($A311,A:AL,34,FALSE)-50))</f>
        <v>391</v>
      </c>
      <c r="AJ311" s="3">
        <f>IF(ISERROR(VLOOKUP($A311,'SegEnds_NonXtal_BW#'!$A:$Z,25,FALSE)+VLOOKUP($A311,A:AL,37,FALSE)-50),"-",(VLOOKUP($A311,'SegEnds_NonXtal_BW#'!$A:$Z,25,FALSE)+VLOOKUP($A311,A:AL,37,FALSE)-50))</f>
        <v>392</v>
      </c>
      <c r="AK311" s="3">
        <v>395</v>
      </c>
      <c r="AL311" s="3">
        <f>IF(ISERROR((VLOOKUP($A311,'SegEnds_NonXtal_BW#'!$A:$Z,26,FALSE)+VLOOKUP($A311,A:AL,37,FALSE)-50)),"-",(VLOOKUP($A311,'SegEnds_NonXtal_BW#'!$A:$Z,26,FALSE)+VLOOKUP($A311,A:AL,37,FALSE)-50))</f>
        <v>417</v>
      </c>
      <c r="AM311" s="28" t="str">
        <f>VLOOKUP(A311,Classification!A:B,2,FALSE)</f>
        <v>B1</v>
      </c>
      <c r="AN311" s="28" t="b">
        <f t="shared" si="207"/>
        <v>1</v>
      </c>
      <c r="AO311" s="3" t="str">
        <f>IF(ISERROR(MATCH(A311,'SegEnds_Xtal_Prot#'!B:B, 0)), "NoXtal", "Xtal")</f>
        <v>NoXtal</v>
      </c>
      <c r="AP311" s="3">
        <f t="shared" si="192"/>
        <v>1</v>
      </c>
      <c r="AQ311" s="3">
        <f t="shared" si="193"/>
        <v>1</v>
      </c>
      <c r="AR311" s="3" t="str">
        <f t="shared" si="194"/>
        <v>-</v>
      </c>
      <c r="AS311" s="3" t="str">
        <f t="shared" si="195"/>
        <v>-</v>
      </c>
      <c r="AT311" s="3" t="str">
        <f t="shared" si="196"/>
        <v>-</v>
      </c>
      <c r="AU311" s="3" t="str">
        <f t="shared" si="197"/>
        <v>-</v>
      </c>
      <c r="AV311" s="3">
        <f t="shared" si="198"/>
        <v>4</v>
      </c>
      <c r="AW311" s="3">
        <f t="shared" si="199"/>
        <v>7</v>
      </c>
      <c r="AX311" s="3">
        <f t="shared" si="200"/>
        <v>8</v>
      </c>
      <c r="AY311" s="3">
        <f t="shared" si="201"/>
        <v>6</v>
      </c>
      <c r="AZ311" s="3">
        <f t="shared" si="202"/>
        <v>1</v>
      </c>
      <c r="BA311" s="3">
        <f>IF(ISERROR(LEN(VLOOKUP(A311,Seqs!A:E,2,FALSE))-AL311),"-",LEN(VLOOKUP(A311,Seqs!A:E,2,FALSE))-AL311)</f>
        <v>23</v>
      </c>
      <c r="BB311" s="16">
        <f t="shared" si="203"/>
        <v>28</v>
      </c>
      <c r="BC311" s="9" t="str">
        <f t="shared" si="204"/>
        <v>-</v>
      </c>
      <c r="BD311" s="3">
        <f t="shared" si="205"/>
        <v>28</v>
      </c>
      <c r="BE311" s="3">
        <f t="shared" si="206"/>
        <v>52</v>
      </c>
      <c r="BF311" s="3">
        <f>AH311-AE311</f>
        <v>28</v>
      </c>
    </row>
    <row r="312" spans="1:58" s="3" customFormat="1" x14ac:dyDescent="0.2">
      <c r="A312" s="3" t="s">
        <v>412</v>
      </c>
      <c r="B312" s="3" t="str">
        <f>LOWER(VLOOKUP(A312,Xtal_Templ!A:B,2,FALSE))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211"/>
        <v>168</v>
      </c>
      <c r="G312" s="3">
        <v>170</v>
      </c>
      <c r="H312" s="3">
        <f t="shared" si="217"/>
        <v>171</v>
      </c>
      <c r="I312" s="3">
        <f t="shared" si="21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1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216"/>
        <v>287</v>
      </c>
      <c r="AA312" s="3">
        <f>IF(ISERROR(VLOOKUP($A312,'SegEnds_NonXtal_BW#'!$A:$Z,19,FALSE)+VLOOKUP($A312,A:AL,28,FALSE)-50),"-",(VLOOKUP($A312,'SegEnds_NonXtal_BW#'!$A:$Z,19,FALSE)+VLOOKUP($A312,A:AL,28,FALSE)-50))</f>
        <v>293</v>
      </c>
      <c r="AB312" s="3">
        <v>304</v>
      </c>
      <c r="AC312" s="3">
        <f>IF(ISERROR((VLOOKUP($A312,'SegEnds_NonXtal_BW#'!$A:$Z,20,FALSE)+VLOOKUP($A312,A:AL,28,FALSE)-50)),"-",(VLOOKUP($A312,'SegEnds_NonXtal_BW#'!$A:$Z,20,FALSE)+VLOOKUP($A312,A:AL,28,FALSE)-50))</f>
        <v>323</v>
      </c>
      <c r="AD312" s="3">
        <f>IF(ISERROR(VLOOKUP($A312,'SegEnds_NonXtal_BW#'!$A:$Z,21,FALSE)+VLOOKUP($A312,A:AL,31,FALSE)-50),"-",(VLOOKUP($A312,'SegEnds_NonXtal_BW#'!$A:$Z,21,FALSE)+VLOOKUP($A312,A:AL,31,FALSE)-50))</f>
        <v>331</v>
      </c>
      <c r="AE312" s="3">
        <v>356</v>
      </c>
      <c r="AF312" s="3">
        <f>IF(ISERROR((VLOOKUP($A312,'SegEnds_NonXtal_BW#'!$A:$Z,22,FALSE)+VLOOKUP($A312,A:AL,31,FALSE)-50)),"-",(VLOOKUP($A312,'SegEnds_NonXtal_BW#'!$A:$Z,22,FALSE)+VLOOKUP($A312,A:AL,31,FALSE)-50))</f>
        <v>359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207"/>
        <v>1</v>
      </c>
      <c r="AO312" s="3" t="str">
        <f>IF(ISERROR(MATCH(A312,'SegEnds_Xtal_Prot#'!B:B, 0)), "NoXtal", "Xtal")</f>
        <v>NoXtal</v>
      </c>
      <c r="AP312" s="3">
        <f t="shared" si="192"/>
        <v>1</v>
      </c>
      <c r="AQ312" s="3">
        <f t="shared" si="193"/>
        <v>1</v>
      </c>
      <c r="AR312" s="3" t="str">
        <f t="shared" si="194"/>
        <v>-</v>
      </c>
      <c r="AS312" s="3" t="str">
        <f t="shared" si="195"/>
        <v>-</v>
      </c>
      <c r="AT312" s="3" t="str">
        <f t="shared" si="196"/>
        <v>-</v>
      </c>
      <c r="AU312" s="3" t="str">
        <f t="shared" si="197"/>
        <v>-</v>
      </c>
      <c r="AV312" s="3">
        <f t="shared" si="198"/>
        <v>4</v>
      </c>
      <c r="AW312" s="3">
        <f t="shared" si="199"/>
        <v>6</v>
      </c>
      <c r="AX312" s="3">
        <f t="shared" si="200"/>
        <v>8</v>
      </c>
      <c r="AY312" s="3">
        <f t="shared" si="201"/>
        <v>7</v>
      </c>
      <c r="AZ312" s="3">
        <f t="shared" si="202"/>
        <v>1</v>
      </c>
      <c r="BA312" s="3">
        <f>IF(ISERROR(LEN(VLOOKUP(A312,Seqs!A:E,2,FALSE))-AL312),"-",LEN(VLOOKUP(A312,Seqs!A:E,2,FALSE))-AL312)</f>
        <v>40</v>
      </c>
      <c r="BB312" s="16">
        <f t="shared" si="203"/>
        <v>28</v>
      </c>
      <c r="BC312" s="9" t="str">
        <f t="shared" si="204"/>
        <v>-</v>
      </c>
      <c r="BD312" s="3">
        <f t="shared" si="205"/>
        <v>28</v>
      </c>
      <c r="BE312" s="3">
        <f t="shared" si="206"/>
        <v>52</v>
      </c>
    </row>
    <row r="313" spans="1:58" s="3" customFormat="1" x14ac:dyDescent="0.2">
      <c r="A313" s="3" t="s">
        <v>413</v>
      </c>
      <c r="B313" s="3" t="str">
        <f>LOWER(VLOOKUP(A313,Xtal_Templ!A:B,2,FALSE))</f>
        <v>glr_human</v>
      </c>
      <c r="C313" s="3">
        <f>VLOOKUP($A313,'SegEnds_NonXtal_BW#'!$A:$Z,3,FALSE)+D313-50</f>
        <v>116</v>
      </c>
      <c r="D313" s="3">
        <v>141</v>
      </c>
      <c r="E313" s="3">
        <f>IF(ISERROR(VLOOKUP($A313,'SegEnds_NonXtal_BW#'!$A:$Z,4,FALSE)+VLOOKUP($A313,A:AL,4,FALSE)-50),"-",(VLOOKUP($A313,'SegEnds_NonXtal_BW#'!$A:$Z,4,FALSE)+VLOOKUP($A313,A:AL,4,FALSE)-50))</f>
        <v>151</v>
      </c>
      <c r="F313" s="3">
        <f t="shared" si="211"/>
        <v>152</v>
      </c>
      <c r="G313" s="3">
        <v>154</v>
      </c>
      <c r="H313" s="3">
        <f t="shared" si="217"/>
        <v>155</v>
      </c>
      <c r="I313" s="3">
        <f t="shared" si="217"/>
        <v>156</v>
      </c>
      <c r="J313" s="3">
        <v>169</v>
      </c>
      <c r="K313" s="3">
        <f>VLOOKUP($A313,'SegEnds_NonXtal_BW#'!$A:$Z,8,FALSE)+VLOOKUP($A313,A:AL,10,FALSE)-50</f>
        <v>183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200</v>
      </c>
      <c r="P313" s="3">
        <v>227</v>
      </c>
      <c r="Q313" s="3">
        <f>VLOOKUP($A313,'SegEnds_NonXtal_BW#'!$A:$Z,12,FALSE)+VLOOKUP($A313,A:AL,16,FALSE)-50</f>
        <v>233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1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239</v>
      </c>
      <c r="V313" s="3">
        <v>249</v>
      </c>
      <c r="W313" s="3">
        <f>IF(ISERROR(VLOOKUP($A313,'SegEnds_NonXtal_BW#'!$A:$Z,16,FALSE)+VLOOKUP($A313,A:AL,22,FALSE)-50),"-",(VLOOKUP($A313,'SegEnds_NonXtal_BW#'!$A:$Z,16,FALSE)+VLOOKUP($A313,A:AL,22,FALSE)-50))</f>
        <v>267</v>
      </c>
      <c r="X313" s="3">
        <f>IF(ISERROR(VLOOKUP($A313,'SegEnds_NonXtal_BW#'!$A:$Z,17,FALSE)+VLOOKUP($A313,A:AL,25,FALSE)-50),"-",(VLOOKUP($A313,'SegEnds_NonXtal_BW#'!$A:$Z,17,FALSE)+VLOOKUP($A313,A:AL,25,FALSE)-50))</f>
        <v>271</v>
      </c>
      <c r="Y313" s="3">
        <v>271</v>
      </c>
      <c r="Z313" s="3">
        <f t="shared" si="216"/>
        <v>273</v>
      </c>
      <c r="AA313" s="3">
        <f>IF(ISERROR(VLOOKUP($A313,'SegEnds_NonXtal_BW#'!$A:$Z,19,FALSE)+VLOOKUP($A313,A:AL,28,FALSE)-50),"-",(VLOOKUP($A313,'SegEnds_NonXtal_BW#'!$A:$Z,19,FALSE)+VLOOKUP($A313,A:AL,28,FALSE)-50))</f>
        <v>280</v>
      </c>
      <c r="AB313" s="3">
        <v>291</v>
      </c>
      <c r="AC313" s="3">
        <f>IF(ISERROR((VLOOKUP($A313,'SegEnds_NonXtal_BW#'!$A:$Z,20,FALSE)+VLOOKUP($A313,A:AL,28,FALSE)-50)),"-",(VLOOKUP($A313,'SegEnds_NonXtal_BW#'!$A:$Z,20,FALSE)+VLOOKUP($A313,A:AL,28,FALSE)-50))</f>
        <v>310</v>
      </c>
      <c r="AD313" s="3">
        <f>IF(ISERROR(VLOOKUP($A313,'SegEnds_NonXtal_BW#'!$A:$Z,21,FALSE)+VLOOKUP($A313,A:AL,31,FALSE)-50),"-",(VLOOKUP($A313,'SegEnds_NonXtal_BW#'!$A:$Z,21,FALSE)+VLOOKUP($A313,A:AL,31,FALSE)-50))</f>
        <v>318</v>
      </c>
      <c r="AE313" s="3">
        <v>343</v>
      </c>
      <c r="AF313" s="3">
        <f>IF(ISERROR((VLOOKUP($A313,'SegEnds_NonXtal_BW#'!$A:$Z,22,FALSE)+VLOOKUP($A313,A:AL,31,FALSE)-50)),"-",(VLOOKUP($A313,'SegEnds_NonXtal_BW#'!$A:$Z,22,FALSE)+VLOOKUP($A313,A:AL,31,FALSE)-50))</f>
        <v>346</v>
      </c>
      <c r="AG313" s="3">
        <f>IF(ISERROR(VLOOKUP($A313,'SegEnds_NonXtal_BW#'!$A:$Z,23,FALSE)+VLOOKUP($A313,A:AL,34,FALSE)-50),"-",(VLOOKUP($A313,'SegEnds_NonXtal_BW#'!$A:$Z,23,FALSE)+VLOOKUP($A313,A:AL,34,FALSE)-50))</f>
        <v>353</v>
      </c>
      <c r="AH313" s="3">
        <v>372</v>
      </c>
      <c r="AI313" s="3">
        <f>IF(ISERROR((VLOOKUP($A313,'SegEnds_NonXtal_BW#'!$A:$Z,24,FALSE)+VLOOKUP($A313,A:AL,34,FALSE)-50)),"-",(VLOOKUP($A313,'SegEnds_NonXtal_BW#'!$A:$Z,24,FALSE)+VLOOKUP($A313,A:AL,34,FALSE)-50))</f>
        <v>378</v>
      </c>
      <c r="AJ313" s="3">
        <f>IF(ISERROR(VLOOKUP($A313,'SegEnds_NonXtal_BW#'!$A:$Z,25,FALSE)+VLOOKUP($A313,A:AL,37,FALSE)-50),"-",(VLOOKUP($A313,'SegEnds_NonXtal_BW#'!$A:$Z,25,FALSE)+VLOOKUP($A313,A:AL,37,FALSE)-50))</f>
        <v>379</v>
      </c>
      <c r="AK313" s="3">
        <v>382</v>
      </c>
      <c r="AL313" s="3">
        <f>IF(ISERROR((VLOOKUP($A313,'SegEnds_NonXtal_BW#'!$A:$Z,26,FALSE)+VLOOKUP($A313,A:AL,37,FALSE)-50)),"-",(VLOOKUP($A313,'SegEnds_NonXtal_BW#'!$A:$Z,26,FALSE)+VLOOKUP($A313,A:AL,37,FALSE)-50))</f>
        <v>404</v>
      </c>
      <c r="AM313" s="28" t="str">
        <f>VLOOKUP(A313,Classification!A:B,2,FALSE)</f>
        <v>B1</v>
      </c>
      <c r="AN313" s="28" t="b">
        <f t="shared" si="207"/>
        <v>1</v>
      </c>
      <c r="AO313" s="3" t="str">
        <f>IF(ISERROR(MATCH(A313,'SegEnds_Xtal_Prot#'!B:B, 0)), "NoXtal", "Xtal")</f>
        <v>NoXtal</v>
      </c>
      <c r="AP313" s="3">
        <f t="shared" si="192"/>
        <v>1</v>
      </c>
      <c r="AQ313" s="3">
        <f t="shared" si="193"/>
        <v>1</v>
      </c>
      <c r="AR313" s="3" t="str">
        <f t="shared" si="194"/>
        <v>-</v>
      </c>
      <c r="AS313" s="3" t="str">
        <f t="shared" si="195"/>
        <v>-</v>
      </c>
      <c r="AT313" s="3" t="str">
        <f t="shared" si="196"/>
        <v>-</v>
      </c>
      <c r="AU313" s="3" t="str">
        <f t="shared" si="197"/>
        <v>-</v>
      </c>
      <c r="AV313" s="3">
        <f t="shared" si="198"/>
        <v>4</v>
      </c>
      <c r="AW313" s="3">
        <f t="shared" si="199"/>
        <v>7</v>
      </c>
      <c r="AX313" s="3">
        <f t="shared" si="200"/>
        <v>8</v>
      </c>
      <c r="AY313" s="3">
        <f t="shared" si="201"/>
        <v>7</v>
      </c>
      <c r="AZ313" s="3">
        <f t="shared" si="202"/>
        <v>1</v>
      </c>
      <c r="BA313" s="3">
        <f>IF(ISERROR(LEN(VLOOKUP(A313,Seqs!A:E,2,FALSE))-AL313),"-",LEN(VLOOKUP(A313,Seqs!A:E,2,FALSE))-AL313)</f>
        <v>34</v>
      </c>
      <c r="BB313" s="16">
        <f t="shared" si="203"/>
        <v>28</v>
      </c>
      <c r="BC313" s="9" t="str">
        <f t="shared" si="204"/>
        <v>-</v>
      </c>
      <c r="BD313" s="3">
        <f t="shared" si="205"/>
        <v>28</v>
      </c>
      <c r="BE313" s="3">
        <f t="shared" si="206"/>
        <v>52</v>
      </c>
    </row>
    <row r="314" spans="1:58" s="3" customFormat="1" x14ac:dyDescent="0.2">
      <c r="A314" s="3" t="s">
        <v>1177</v>
      </c>
      <c r="B314" s="3" t="str">
        <f>LOWER(VLOOKUP(A314,Xtal_Templ!A:B,2,FALSE))</f>
        <v>crfr1_human</v>
      </c>
      <c r="C314" s="3">
        <f>VLOOKUP($A314,'SegEnds_NonXtal_BW#'!$A:$Z,3,FALSE)+D314-50</f>
        <v>8</v>
      </c>
      <c r="D314" s="3">
        <v>35</v>
      </c>
      <c r="E314" s="3">
        <f>IF(ISERROR(VLOOKUP($A314,'SegEnds_NonXtal_BW#'!$A:$Z,4,FALSE)+VLOOKUP($A314,A:AL,4,FALSE)-50),"-",(VLOOKUP($A314,'SegEnds_NonXtal_BW#'!$A:$Z,4,FALSE)+VLOOKUP($A314,A:AL,4,FALSE)-50))</f>
        <v>45</v>
      </c>
      <c r="F314" s="3" t="s">
        <v>23</v>
      </c>
      <c r="G314" s="3" t="s">
        <v>23</v>
      </c>
      <c r="H314" s="3" t="s">
        <v>23</v>
      </c>
      <c r="I314" s="3">
        <f>VLOOKUP($A314,'SegEnds_NonXtal_BW#'!$A:$Z,7,FALSE)+J314-50</f>
        <v>48</v>
      </c>
      <c r="J314" s="3">
        <v>61</v>
      </c>
      <c r="K314" s="3">
        <f>VLOOKUP($A314,'SegEnds_NonXtal_BW#'!$A:$Z,8,FALSE)+VLOOKUP($A314,A:AL,10,FALSE)-50</f>
        <v>74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81</v>
      </c>
      <c r="P314" s="3">
        <v>108</v>
      </c>
      <c r="Q314" s="3">
        <f>VLOOKUP($A314,'SegEnds_NonXtal_BW#'!$A:$Z,12,FALSE)+VLOOKUP($A314,A:AL,16,FALSE)-50</f>
        <v>114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1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130</v>
      </c>
      <c r="V314" s="3">
        <v>140</v>
      </c>
      <c r="W314" s="3">
        <f>IF(ISERROR(VLOOKUP($A314,'SegEnds_NonXtal_BW#'!$A:$Z,16,FALSE)+VLOOKUP($A314,A:AL,22,FALSE)-50),"-",(VLOOKUP($A314,'SegEnds_NonXtal_BW#'!$A:$Z,16,FALSE)+VLOOKUP($A314,A:AL,22,FALSE)-50))</f>
        <v>158</v>
      </c>
      <c r="X314" s="3">
        <f>IF(ISERROR(VLOOKUP($A314,'SegEnds_NonXtal_BW#'!$A:$Z,17,FALSE)+VLOOKUP($A314,A:AL,25,FALSE)-50),"-",(VLOOKUP($A314,'SegEnds_NonXtal_BW#'!$A:$Z,17,FALSE)+VLOOKUP($A314,A:AL,25,FALSE)-50))</f>
        <v>168</v>
      </c>
      <c r="Y314" s="3">
        <v>168</v>
      </c>
      <c r="Z314" s="3">
        <f t="shared" si="216"/>
        <v>170</v>
      </c>
      <c r="AA314" s="3">
        <f>IF(ISERROR(VLOOKUP($A314,'SegEnds_NonXtal_BW#'!$A:$Z,19,FALSE)+VLOOKUP($A314,A:AL,28,FALSE)-50),"-",(VLOOKUP($A314,'SegEnds_NonXtal_BW#'!$A:$Z,19,FALSE)+VLOOKUP($A314,A:AL,28,FALSE)-50))</f>
        <v>172</v>
      </c>
      <c r="AB314" s="3">
        <v>186</v>
      </c>
      <c r="AC314" s="3">
        <f>IF(ISERROR((VLOOKUP($A314,'SegEnds_NonXtal_BW#'!$A:$Z,20,FALSE)+VLOOKUP($A314,A:AL,28,FALSE)-50)),"-",(VLOOKUP($A314,'SegEnds_NonXtal_BW#'!$A:$Z,20,FALSE)+VLOOKUP($A314,A:AL,28,FALSE)-50))</f>
        <v>205</v>
      </c>
      <c r="AD314" s="3">
        <f>IF(ISERROR(VLOOKUP($A314,'SegEnds_NonXtal_BW#'!$A:$Z,21,FALSE)+VLOOKUP($A314,A:AL,31,FALSE)-50),"-",(VLOOKUP($A314,'SegEnds_NonXtal_BW#'!$A:$Z,21,FALSE)+VLOOKUP($A314,A:AL,31,FALSE)-50))</f>
        <v>251</v>
      </c>
      <c r="AE314" s="3">
        <v>272</v>
      </c>
      <c r="AF314" s="3">
        <f>IF(ISERROR((VLOOKUP($A314,'SegEnds_NonXtal_BW#'!$A:$Z,22,FALSE)+VLOOKUP($A314,A:AL,31,FALSE)-50)),"-",(VLOOKUP($A314,'SegEnds_NonXtal_BW#'!$A:$Z,22,FALSE)+VLOOKUP($A314,A:AL,31,FALSE)-50))</f>
        <v>275</v>
      </c>
      <c r="AG314" s="3">
        <f>IF(ISERROR(VLOOKUP($A314,'SegEnds_NonXtal_BW#'!$A:$Z,23,FALSE)+VLOOKUP($A314,A:AL,34,FALSE)-50),"-",(VLOOKUP($A314,'SegEnds_NonXtal_BW#'!$A:$Z,23,FALSE)+VLOOKUP($A314,A:AL,34,FALSE)-50))</f>
        <v>282</v>
      </c>
      <c r="AH314" s="3">
        <v>303</v>
      </c>
      <c r="AI314" s="3">
        <f>IF(ISERROR((VLOOKUP($A314,'SegEnds_NonXtal_BW#'!$A:$Z,24,FALSE)+VLOOKUP($A314,A:AL,34,FALSE)-50)),"-",(VLOOKUP($A314,'SegEnds_NonXtal_BW#'!$A:$Z,24,FALSE)+VLOOKUP($A314,A:AL,34,FALSE)-50))</f>
        <v>309</v>
      </c>
      <c r="AJ314" s="3">
        <f>IF(ISERROR(VLOOKUP($A314,'SegEnds_NonXtal_BW#'!$A:$Z,25,FALSE)+VLOOKUP($A314,A:AL,37,FALSE)-50),"-",(VLOOKUP($A314,'SegEnds_NonXtal_BW#'!$A:$Z,25,FALSE)+VLOOKUP($A314,A:AL,37,FALSE)-50))</f>
        <v>310</v>
      </c>
      <c r="AK314" s="3">
        <v>313</v>
      </c>
      <c r="AL314" s="3">
        <f>IF(ISERROR((VLOOKUP($A314,'SegEnds_NonXtal_BW#'!$A:$Z,26,FALSE)+VLOOKUP($A314,A:AL,37,FALSE)-50)),"-",(VLOOKUP($A314,'SegEnds_NonXtal_BW#'!$A:$Z,26,FALSE)+VLOOKUP($A314,A:AL,37,FALSE)-50))</f>
        <v>326</v>
      </c>
      <c r="AM314" s="28" t="str">
        <f>VLOOKUP(A314,Classification!A:B,2,FALSE)</f>
        <v>B2</v>
      </c>
      <c r="AN314" s="28" t="b">
        <f t="shared" si="207"/>
        <v>1</v>
      </c>
      <c r="AO314" s="3" t="str">
        <f>IF(ISERROR(MATCH(A314,'SegEnds_Xtal_Prot#'!B:B, 0)), "NoXtal", "Xtal")</f>
        <v>NoXtal</v>
      </c>
      <c r="AP314" s="3" t="str">
        <f t="shared" si="192"/>
        <v>-</v>
      </c>
      <c r="AQ314" s="3" t="str">
        <f t="shared" si="193"/>
        <v>-</v>
      </c>
      <c r="AR314" s="3" t="str">
        <f t="shared" si="194"/>
        <v>-</v>
      </c>
      <c r="AS314" s="3" t="str">
        <f t="shared" si="195"/>
        <v>-</v>
      </c>
      <c r="AT314" s="3" t="str">
        <f t="shared" si="196"/>
        <v>-</v>
      </c>
      <c r="AU314" s="3" t="str">
        <f t="shared" si="197"/>
        <v>-</v>
      </c>
      <c r="AV314" s="3">
        <f t="shared" si="198"/>
        <v>10</v>
      </c>
      <c r="AW314" s="3">
        <f t="shared" si="199"/>
        <v>2</v>
      </c>
      <c r="AX314" s="3">
        <f t="shared" si="200"/>
        <v>46</v>
      </c>
      <c r="AY314" s="3">
        <f t="shared" si="201"/>
        <v>7</v>
      </c>
      <c r="AZ314" s="3">
        <f t="shared" si="202"/>
        <v>1</v>
      </c>
      <c r="BA314" s="3">
        <f>IF(ISERROR(LEN(VLOOKUP(A314,Seqs!A:E,2,FALSE))-AL314),"-",LEN(VLOOKUP(A314,Seqs!A:E,2,FALSE))-AL314)</f>
        <v>234</v>
      </c>
      <c r="BB314" s="16">
        <f t="shared" si="203"/>
        <v>26</v>
      </c>
      <c r="BC314" s="9" t="str">
        <f t="shared" si="204"/>
        <v>-</v>
      </c>
      <c r="BD314" s="3">
        <f t="shared" si="205"/>
        <v>26</v>
      </c>
      <c r="BE314" s="3">
        <f t="shared" si="206"/>
        <v>86</v>
      </c>
    </row>
    <row r="315" spans="1:58" s="3" customFormat="1" x14ac:dyDescent="0.2">
      <c r="A315" s="3" t="s">
        <v>1178</v>
      </c>
      <c r="B315" s="3" t="str">
        <f>LOWER(VLOOKUP(A315,Xtal_Templ!A:B,2,FALSE))</f>
        <v>crfr1_human</v>
      </c>
      <c r="C315" s="3">
        <f>VLOOKUP($A315,'SegEnds_NonXtal_BW#'!$A:$Z,3,FALSE)+D315-50</f>
        <v>760</v>
      </c>
      <c r="D315" s="3">
        <v>787</v>
      </c>
      <c r="E315" s="3">
        <f>IF(ISERROR(VLOOKUP($A315,'SegEnds_NonXtal_BW#'!$A:$Z,4,FALSE)+VLOOKUP($A315,A:AL,4,FALSE)-50),"-",(VLOOKUP($A315,'SegEnds_NonXtal_BW#'!$A:$Z,4,FALSE)+VLOOKUP($A315,A:AL,4,FALSE)-50))</f>
        <v>797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800</v>
      </c>
      <c r="J315" s="3">
        <v>813</v>
      </c>
      <c r="K315" s="3">
        <f>VLOOKUP($A315,'SegEnds_NonXtal_BW#'!$A:$Z,8,FALSE)+VLOOKUP($A315,A:AL,10,FALSE)-50</f>
        <v>826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833</v>
      </c>
      <c r="P315" s="3">
        <v>860</v>
      </c>
      <c r="Q315" s="3">
        <f>VLOOKUP($A315,'SegEnds_NonXtal_BW#'!$A:$Z,12,FALSE)+VLOOKUP($A315,A:AL,16,FALSE)-50</f>
        <v>866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1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882</v>
      </c>
      <c r="V315" s="3">
        <v>892</v>
      </c>
      <c r="W315" s="3">
        <f>IF(ISERROR(VLOOKUP($A315,'SegEnds_NonXtal_BW#'!$A:$Z,16,FALSE)+VLOOKUP($A315,A:AL,22,FALSE)-50),"-",(VLOOKUP($A315,'SegEnds_NonXtal_BW#'!$A:$Z,16,FALSE)+VLOOKUP($A315,A:AL,22,FALSE)-50))</f>
        <v>910</v>
      </c>
      <c r="X315" s="3">
        <f>IF(ISERROR(VLOOKUP($A315,'SegEnds_NonXtal_BW#'!$A:$Z,17,FALSE)+VLOOKUP($A315,A:AL,25,FALSE)-50),"-",(VLOOKUP($A315,'SegEnds_NonXtal_BW#'!$A:$Z,17,FALSE)+VLOOKUP($A315,A:AL,25,FALSE)-50))</f>
        <v>917</v>
      </c>
      <c r="Y315" s="3">
        <v>917</v>
      </c>
      <c r="Z315" s="3">
        <f t="shared" si="216"/>
        <v>919</v>
      </c>
      <c r="AA315" s="3">
        <f>IF(ISERROR(VLOOKUP($A315,'SegEnds_NonXtal_BW#'!$A:$Z,19,FALSE)+VLOOKUP($A315,A:AL,28,FALSE)-50),"-",(VLOOKUP($A315,'SegEnds_NonXtal_BW#'!$A:$Z,19,FALSE)+VLOOKUP($A315,A:AL,28,FALSE)-50))</f>
        <v>921</v>
      </c>
      <c r="AB315" s="3">
        <v>935</v>
      </c>
      <c r="AC315" s="3">
        <f>IF(ISERROR((VLOOKUP($A315,'SegEnds_NonXtal_BW#'!$A:$Z,20,FALSE)+VLOOKUP($A315,A:AL,28,FALSE)-50)),"-",(VLOOKUP($A315,'SegEnds_NonXtal_BW#'!$A:$Z,20,FALSE)+VLOOKUP($A315,A:AL,28,FALSE)-50))</f>
        <v>954</v>
      </c>
      <c r="AD315" s="3">
        <f>IF(ISERROR(VLOOKUP($A315,'SegEnds_NonXtal_BW#'!$A:$Z,21,FALSE)+VLOOKUP($A315,A:AL,31,FALSE)-50),"-",(VLOOKUP($A315,'SegEnds_NonXtal_BW#'!$A:$Z,21,FALSE)+VLOOKUP($A315,A:AL,31,FALSE)-50))</f>
        <v>1014</v>
      </c>
      <c r="AE315" s="3">
        <v>1035</v>
      </c>
      <c r="AF315" s="3">
        <f>IF(ISERROR((VLOOKUP($A315,'SegEnds_NonXtal_BW#'!$A:$Z,22,FALSE)+VLOOKUP($A315,A:AL,31,FALSE)-50)),"-",(VLOOKUP($A315,'SegEnds_NonXtal_BW#'!$A:$Z,22,FALSE)+VLOOKUP($A315,A:AL,31,FALSE)-50))</f>
        <v>1038</v>
      </c>
      <c r="AG315" s="3">
        <f>IF(ISERROR(VLOOKUP($A315,'SegEnds_NonXtal_BW#'!$A:$Z,23,FALSE)+VLOOKUP($A315,A:AL,34,FALSE)-50),"-",(VLOOKUP($A315,'SegEnds_NonXtal_BW#'!$A:$Z,23,FALSE)+VLOOKUP($A315,A:AL,34,FALSE)-50))</f>
        <v>1045</v>
      </c>
      <c r="AH315" s="3">
        <v>1066</v>
      </c>
      <c r="AI315" s="3">
        <f>IF(ISERROR((VLOOKUP($A315,'SegEnds_NonXtal_BW#'!$A:$Z,24,FALSE)+VLOOKUP($A315,A:AL,34,FALSE)-50)),"-",(VLOOKUP($A315,'SegEnds_NonXtal_BW#'!$A:$Z,24,FALSE)+VLOOKUP($A315,A:AL,34,FALSE)-50))</f>
        <v>1072</v>
      </c>
      <c r="AJ315" s="3">
        <f>IF(ISERROR(VLOOKUP($A315,'SegEnds_NonXtal_BW#'!$A:$Z,25,FALSE)+VLOOKUP($A315,A:AL,37,FALSE)-50),"-",(VLOOKUP($A315,'SegEnds_NonXtal_BW#'!$A:$Z,25,FALSE)+VLOOKUP($A315,A:AL,37,FALSE)-50))</f>
        <v>1073</v>
      </c>
      <c r="AK315" s="3">
        <v>1076</v>
      </c>
      <c r="AL315" s="3">
        <f>IF(ISERROR((VLOOKUP($A315,'SegEnds_NonXtal_BW#'!$A:$Z,26,FALSE)+VLOOKUP($A315,A:AL,37,FALSE)-50)),"-",(VLOOKUP($A315,'SegEnds_NonXtal_BW#'!$A:$Z,26,FALSE)+VLOOKUP($A315,A:AL,37,FALSE)-50))</f>
        <v>1089</v>
      </c>
      <c r="AM315" s="28" t="str">
        <f>VLOOKUP(A315,Classification!A:B,2,FALSE)</f>
        <v>B2</v>
      </c>
      <c r="AN315" s="28" t="b">
        <f t="shared" si="207"/>
        <v>1</v>
      </c>
      <c r="AO315" s="3" t="str">
        <f>IF(ISERROR(MATCH(A315,'SegEnds_Xtal_Prot#'!B:B, 0)), "NoXtal", "Xtal")</f>
        <v>NoXtal</v>
      </c>
      <c r="AP315" s="3" t="str">
        <f t="shared" si="192"/>
        <v>-</v>
      </c>
      <c r="AQ315" s="3" t="str">
        <f t="shared" si="193"/>
        <v>-</v>
      </c>
      <c r="AR315" s="3" t="str">
        <f t="shared" si="194"/>
        <v>-</v>
      </c>
      <c r="AS315" s="3" t="str">
        <f t="shared" si="195"/>
        <v>-</v>
      </c>
      <c r="AT315" s="3" t="str">
        <f t="shared" si="196"/>
        <v>-</v>
      </c>
      <c r="AU315" s="3" t="str">
        <f t="shared" si="197"/>
        <v>-</v>
      </c>
      <c r="AV315" s="3">
        <f t="shared" si="198"/>
        <v>7</v>
      </c>
      <c r="AW315" s="3">
        <f t="shared" si="199"/>
        <v>2</v>
      </c>
      <c r="AX315" s="3">
        <f t="shared" si="200"/>
        <v>60</v>
      </c>
      <c r="AY315" s="3">
        <f t="shared" si="201"/>
        <v>7</v>
      </c>
      <c r="AZ315" s="3">
        <f t="shared" si="202"/>
        <v>1</v>
      </c>
      <c r="BA315" s="3">
        <f>IF(ISERROR(LEN(VLOOKUP(A315,Seqs!A:E,2,FALSE))-AL315),"-",LEN(VLOOKUP(A315,Seqs!A:E,2,FALSE))-AL315)</f>
        <v>249</v>
      </c>
      <c r="BB315" s="16">
        <f t="shared" si="203"/>
        <v>26</v>
      </c>
      <c r="BC315" s="9" t="str">
        <f t="shared" si="204"/>
        <v>-</v>
      </c>
      <c r="BD315" s="3">
        <f t="shared" si="205"/>
        <v>26</v>
      </c>
      <c r="BE315" s="3">
        <f t="shared" si="206"/>
        <v>100</v>
      </c>
    </row>
    <row r="316" spans="1:58" s="3" customFormat="1" x14ac:dyDescent="0.2">
      <c r="A316" s="3" t="s">
        <v>1179</v>
      </c>
      <c r="B316" s="3" t="str">
        <f>LOWER(VLOOKUP(A316,Xtal_Templ!A:B,2,FALSE))</f>
        <v>crfr1_human</v>
      </c>
      <c r="C316" s="3">
        <f>VLOOKUP($A316,'SegEnds_NonXtal_BW#'!$A:$Z,3,FALSE)+D316-50</f>
        <v>750</v>
      </c>
      <c r="D316" s="3">
        <v>777</v>
      </c>
      <c r="E316" s="3">
        <f>IF(ISERROR(VLOOKUP($A316,'SegEnds_NonXtal_BW#'!$A:$Z,4,FALSE)+VLOOKUP($A316,A:AL,4,FALSE)-50),"-",(VLOOKUP($A316,'SegEnds_NonXtal_BW#'!$A:$Z,4,FALSE)+VLOOKUP($A316,A:AL,4,FALSE)-50))</f>
        <v>787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790</v>
      </c>
      <c r="J316" s="3">
        <v>803</v>
      </c>
      <c r="K316" s="3">
        <f>VLOOKUP($A316,'SegEnds_NonXtal_BW#'!$A:$Z,8,FALSE)+VLOOKUP($A316,A:AL,10,FALSE)-50</f>
        <v>816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823</v>
      </c>
      <c r="P316" s="3">
        <v>850</v>
      </c>
      <c r="Q316" s="3">
        <f>VLOOKUP($A316,'SegEnds_NonXtal_BW#'!$A:$Z,12,FALSE)+VLOOKUP($A316,A:AL,16,FALSE)-50</f>
        <v>856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1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872</v>
      </c>
      <c r="V316" s="3">
        <v>882</v>
      </c>
      <c r="W316" s="3">
        <f>IF(ISERROR(VLOOKUP($A316,'SegEnds_NonXtal_BW#'!$A:$Z,16,FALSE)+VLOOKUP($A316,A:AL,22,FALSE)-50),"-",(VLOOKUP($A316,'SegEnds_NonXtal_BW#'!$A:$Z,16,FALSE)+VLOOKUP($A316,A:AL,22,FALSE)-50))</f>
        <v>900</v>
      </c>
      <c r="X316" s="3">
        <f>IF(ISERROR(VLOOKUP($A316,'SegEnds_NonXtal_BW#'!$A:$Z,17,FALSE)+VLOOKUP($A316,A:AL,25,FALSE)-50),"-",(VLOOKUP($A316,'SegEnds_NonXtal_BW#'!$A:$Z,17,FALSE)+VLOOKUP($A316,A:AL,25,FALSE)-50))</f>
        <v>909</v>
      </c>
      <c r="Y316" s="3">
        <v>909</v>
      </c>
      <c r="Z316" s="3">
        <f t="shared" si="216"/>
        <v>911</v>
      </c>
      <c r="AA316" s="3">
        <f>IF(ISERROR(VLOOKUP($A316,'SegEnds_NonXtal_BW#'!$A:$Z,19,FALSE)+VLOOKUP($A316,A:AL,28,FALSE)-50),"-",(VLOOKUP($A316,'SegEnds_NonXtal_BW#'!$A:$Z,19,FALSE)+VLOOKUP($A316,A:AL,28,FALSE)-50))</f>
        <v>913</v>
      </c>
      <c r="AB316" s="3">
        <v>927</v>
      </c>
      <c r="AC316" s="3">
        <f>IF(ISERROR((VLOOKUP($A316,'SegEnds_NonXtal_BW#'!$A:$Z,20,FALSE)+VLOOKUP($A316,A:AL,28,FALSE)-50)),"-",(VLOOKUP($A316,'SegEnds_NonXtal_BW#'!$A:$Z,20,FALSE)+VLOOKUP($A316,A:AL,28,FALSE)-50))</f>
        <v>946</v>
      </c>
      <c r="AD316" s="3">
        <f>IF(ISERROR(VLOOKUP($A316,'SegEnds_NonXtal_BW#'!$A:$Z,21,FALSE)+VLOOKUP($A316,A:AL,31,FALSE)-50),"-",(VLOOKUP($A316,'SegEnds_NonXtal_BW#'!$A:$Z,21,FALSE)+VLOOKUP($A316,A:AL,31,FALSE)-50))</f>
        <v>991</v>
      </c>
      <c r="AE316" s="3">
        <v>1012</v>
      </c>
      <c r="AF316" s="3">
        <f>IF(ISERROR((VLOOKUP($A316,'SegEnds_NonXtal_BW#'!$A:$Z,22,FALSE)+VLOOKUP($A316,A:AL,31,FALSE)-50)),"-",(VLOOKUP($A316,'SegEnds_NonXtal_BW#'!$A:$Z,22,FALSE)+VLOOKUP($A316,A:AL,31,FALSE)-50))</f>
        <v>1015</v>
      </c>
      <c r="AG316" s="3">
        <f>IF(ISERROR(VLOOKUP($A316,'SegEnds_NonXtal_BW#'!$A:$Z,23,FALSE)+VLOOKUP($A316,A:AL,34,FALSE)-50),"-",(VLOOKUP($A316,'SegEnds_NonXtal_BW#'!$A:$Z,23,FALSE)+VLOOKUP($A316,A:AL,34,FALSE)-50))</f>
        <v>1022</v>
      </c>
      <c r="AH316" s="3">
        <v>1043</v>
      </c>
      <c r="AI316" s="3">
        <f>IF(ISERROR((VLOOKUP($A316,'SegEnds_NonXtal_BW#'!$A:$Z,24,FALSE)+VLOOKUP($A316,A:AL,34,FALSE)-50)),"-",(VLOOKUP($A316,'SegEnds_NonXtal_BW#'!$A:$Z,24,FALSE)+VLOOKUP($A316,A:AL,34,FALSE)-50))</f>
        <v>1049</v>
      </c>
      <c r="AJ316" s="3">
        <f>IF(ISERROR(VLOOKUP($A316,'SegEnds_NonXtal_BW#'!$A:$Z,25,FALSE)+VLOOKUP($A316,A:AL,37,FALSE)-50),"-",(VLOOKUP($A316,'SegEnds_NonXtal_BW#'!$A:$Z,25,FALSE)+VLOOKUP($A316,A:AL,37,FALSE)-50))</f>
        <v>1050</v>
      </c>
      <c r="AK316" s="3">
        <v>1053</v>
      </c>
      <c r="AL316" s="3">
        <f>IF(ISERROR((VLOOKUP($A316,'SegEnds_NonXtal_BW#'!$A:$Z,26,FALSE)+VLOOKUP($A316,A:AL,37,FALSE)-50)),"-",(VLOOKUP($A316,'SegEnds_NonXtal_BW#'!$A:$Z,26,FALSE)+VLOOKUP($A316,A:AL,37,FALSE)-50))</f>
        <v>1066</v>
      </c>
      <c r="AM316" s="28" t="str">
        <f>VLOOKUP(A316,Classification!A:B,2,FALSE)</f>
        <v>B2</v>
      </c>
      <c r="AN316" s="28" t="b">
        <f t="shared" si="207"/>
        <v>1</v>
      </c>
      <c r="AO316" s="3" t="str">
        <f>IF(ISERROR(MATCH(A316,'SegEnds_Xtal_Prot#'!B:B, 0)), "NoXtal", "Xtal")</f>
        <v>NoXtal</v>
      </c>
      <c r="AP316" s="3" t="str">
        <f t="shared" si="192"/>
        <v>-</v>
      </c>
      <c r="AQ316" s="3" t="str">
        <f t="shared" si="193"/>
        <v>-</v>
      </c>
      <c r="AR316" s="3" t="str">
        <f t="shared" si="194"/>
        <v>-</v>
      </c>
      <c r="AS316" s="3" t="str">
        <f t="shared" si="195"/>
        <v>-</v>
      </c>
      <c r="AT316" s="3" t="str">
        <f t="shared" si="196"/>
        <v>-</v>
      </c>
      <c r="AU316" s="3" t="str">
        <f t="shared" si="197"/>
        <v>-</v>
      </c>
      <c r="AV316" s="3">
        <f t="shared" si="198"/>
        <v>9</v>
      </c>
      <c r="AW316" s="3">
        <f t="shared" si="199"/>
        <v>2</v>
      </c>
      <c r="AX316" s="3">
        <f t="shared" si="200"/>
        <v>45</v>
      </c>
      <c r="AY316" s="3">
        <f t="shared" si="201"/>
        <v>7</v>
      </c>
      <c r="AZ316" s="3">
        <f t="shared" si="202"/>
        <v>1</v>
      </c>
      <c r="BA316" s="3">
        <f>IF(ISERROR(LEN(VLOOKUP(A316,Seqs!A:E,2,FALSE))-AL316),"-",LEN(VLOOKUP(A316,Seqs!A:E,2,FALSE))-AL316)</f>
        <v>255</v>
      </c>
      <c r="BB316" s="16">
        <f t="shared" si="203"/>
        <v>26</v>
      </c>
      <c r="BC316" s="9" t="str">
        <f t="shared" si="204"/>
        <v>-</v>
      </c>
      <c r="BD316" s="3">
        <f t="shared" si="205"/>
        <v>26</v>
      </c>
      <c r="BE316" s="3">
        <f t="shared" si="206"/>
        <v>85</v>
      </c>
    </row>
    <row r="317" spans="1:58" s="3" customFormat="1" x14ac:dyDescent="0.2">
      <c r="A317" s="3" t="s">
        <v>1180</v>
      </c>
      <c r="B317" s="3" t="str">
        <f>LOWER(VLOOKUP(A317,Xtal_Templ!A:B,2,FALSE))</f>
        <v>crfr1_human</v>
      </c>
      <c r="C317" s="3">
        <f>VLOOKUP($A317,'SegEnds_NonXtal_BW#'!$A:$Z,3,FALSE)+D317-50</f>
        <v>920</v>
      </c>
      <c r="D317" s="3">
        <v>947</v>
      </c>
      <c r="E317" s="3">
        <f>IF(ISERROR(VLOOKUP($A317,'SegEnds_NonXtal_BW#'!$A:$Z,4,FALSE)+VLOOKUP($A317,A:AL,4,FALSE)-50),"-",(VLOOKUP($A317,'SegEnds_NonXtal_BW#'!$A:$Z,4,FALSE)+VLOOKUP($A317,A:AL,4,FALSE)-50))</f>
        <v>957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963</v>
      </c>
      <c r="J317" s="3">
        <v>976</v>
      </c>
      <c r="K317" s="3">
        <f>VLOOKUP($A317,'SegEnds_NonXtal_BW#'!$A:$Z,8,FALSE)+VLOOKUP($A317,A:AL,10,FALSE)-50</f>
        <v>989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994</v>
      </c>
      <c r="P317" s="3">
        <v>1021</v>
      </c>
      <c r="Q317" s="3">
        <f>VLOOKUP($A317,'SegEnds_NonXtal_BW#'!$A:$Z,12,FALSE)+VLOOKUP($A317,A:AL,16,FALSE)-50</f>
        <v>1027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1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1033</v>
      </c>
      <c r="V317" s="3">
        <v>1043</v>
      </c>
      <c r="W317" s="3">
        <f>IF(ISERROR(VLOOKUP($A317,'SegEnds_NonXtal_BW#'!$A:$Z,16,FALSE)+VLOOKUP($A317,A:AL,22,FALSE)-50),"-",(VLOOKUP($A317,'SegEnds_NonXtal_BW#'!$A:$Z,16,FALSE)+VLOOKUP($A317,A:AL,22,FALSE)-50))</f>
        <v>1061</v>
      </c>
      <c r="X317" s="3">
        <f>IF(ISERROR(VLOOKUP($A317,'SegEnds_NonXtal_BW#'!$A:$Z,17,FALSE)+VLOOKUP($A317,A:AL,25,FALSE)-50),"-",(VLOOKUP($A317,'SegEnds_NonXtal_BW#'!$A:$Z,17,FALSE)+VLOOKUP($A317,A:AL,25,FALSE)-50))</f>
        <v>1068</v>
      </c>
      <c r="Y317" s="3">
        <v>1068</v>
      </c>
      <c r="Z317" s="3">
        <f t="shared" si="216"/>
        <v>1070</v>
      </c>
      <c r="AA317" s="3">
        <f>IF(ISERROR(VLOOKUP($A317,'SegEnds_NonXtal_BW#'!$A:$Z,19,FALSE)+VLOOKUP($A317,A:AL,28,FALSE)-50),"-",(VLOOKUP($A317,'SegEnds_NonXtal_BW#'!$A:$Z,19,FALSE)+VLOOKUP($A317,A:AL,28,FALSE)-50))</f>
        <v>1073</v>
      </c>
      <c r="AB317" s="3">
        <v>1087</v>
      </c>
      <c r="AC317" s="3">
        <f>IF(ISERROR((VLOOKUP($A317,'SegEnds_NonXtal_BW#'!$A:$Z,20,FALSE)+VLOOKUP($A317,A:AL,28,FALSE)-50)),"-",(VLOOKUP($A317,'SegEnds_NonXtal_BW#'!$A:$Z,20,FALSE)+VLOOKUP($A317,A:AL,28,FALSE)-50))</f>
        <v>1106</v>
      </c>
      <c r="AD317" s="3">
        <f>IF(ISERROR(VLOOKUP($A317,'SegEnds_NonXtal_BW#'!$A:$Z,21,FALSE)+VLOOKUP($A317,A:AL,31,FALSE)-50),"-",(VLOOKUP($A317,'SegEnds_NonXtal_BW#'!$A:$Z,21,FALSE)+VLOOKUP($A317,A:AL,31,FALSE)-50))</f>
        <v>1149</v>
      </c>
      <c r="AE317" s="3">
        <v>1170</v>
      </c>
      <c r="AF317" s="3">
        <f>IF(ISERROR((VLOOKUP($A317,'SegEnds_NonXtal_BW#'!$A:$Z,22,FALSE)+VLOOKUP($A317,A:AL,31,FALSE)-50)),"-",(VLOOKUP($A317,'SegEnds_NonXtal_BW#'!$A:$Z,22,FALSE)+VLOOKUP($A317,A:AL,31,FALSE)-50))</f>
        <v>1173</v>
      </c>
      <c r="AG317" s="3">
        <f>IF(ISERROR(VLOOKUP($A317,'SegEnds_NonXtal_BW#'!$A:$Z,23,FALSE)+VLOOKUP($A317,A:AL,34,FALSE)-50),"-",(VLOOKUP($A317,'SegEnds_NonXtal_BW#'!$A:$Z,23,FALSE)+VLOOKUP($A317,A:AL,34,FALSE)-50))</f>
        <v>1180</v>
      </c>
      <c r="AH317" s="3">
        <v>1199</v>
      </c>
      <c r="AI317" s="3">
        <f>IF(ISERROR((VLOOKUP($A317,'SegEnds_NonXtal_BW#'!$A:$Z,24,FALSE)+VLOOKUP($A317,A:AL,34,FALSE)-50)),"-",(VLOOKUP($A317,'SegEnds_NonXtal_BW#'!$A:$Z,24,FALSE)+VLOOKUP($A317,A:AL,34,FALSE)-50))</f>
        <v>1205</v>
      </c>
      <c r="AJ317" s="3">
        <f>IF(ISERROR(VLOOKUP($A317,'SegEnds_NonXtal_BW#'!$A:$Z,25,FALSE)+VLOOKUP($A317,A:AL,37,FALSE)-50),"-",(VLOOKUP($A317,'SegEnds_NonXtal_BW#'!$A:$Z,25,FALSE)+VLOOKUP($A317,A:AL,37,FALSE)-50))</f>
        <v>1206</v>
      </c>
      <c r="AK317" s="3">
        <v>1209</v>
      </c>
      <c r="AL317" s="3">
        <f>IF(ISERROR((VLOOKUP($A317,'SegEnds_NonXtal_BW#'!$A:$Z,26,FALSE)+VLOOKUP($A317,A:AL,37,FALSE)-50)),"-",(VLOOKUP($A317,'SegEnds_NonXtal_BW#'!$A:$Z,26,FALSE)+VLOOKUP($A317,A:AL,37,FALSE)-50))</f>
        <v>1222</v>
      </c>
      <c r="AM317" s="28" t="str">
        <f>VLOOKUP(A317,Classification!A:B,2,FALSE)</f>
        <v>B2</v>
      </c>
      <c r="AN317" s="28" t="b">
        <f t="shared" si="207"/>
        <v>1</v>
      </c>
      <c r="AO317" s="3" t="str">
        <f>IF(ISERROR(MATCH(A317,'SegEnds_Xtal_Prot#'!B:B, 0)), "NoXtal", "Xtal")</f>
        <v>NoXtal</v>
      </c>
      <c r="AP317" s="3" t="str">
        <f t="shared" si="192"/>
        <v>-</v>
      </c>
      <c r="AQ317" s="3" t="str">
        <f t="shared" si="193"/>
        <v>-</v>
      </c>
      <c r="AR317" s="3" t="str">
        <f t="shared" si="194"/>
        <v>-</v>
      </c>
      <c r="AS317" s="3" t="str">
        <f t="shared" si="195"/>
        <v>-</v>
      </c>
      <c r="AT317" s="3" t="str">
        <f t="shared" si="196"/>
        <v>-</v>
      </c>
      <c r="AU317" s="3" t="str">
        <f t="shared" si="197"/>
        <v>-</v>
      </c>
      <c r="AV317" s="3">
        <f t="shared" si="198"/>
        <v>7</v>
      </c>
      <c r="AW317" s="3">
        <f t="shared" si="199"/>
        <v>3</v>
      </c>
      <c r="AX317" s="3">
        <f t="shared" si="200"/>
        <v>43</v>
      </c>
      <c r="AY317" s="3">
        <f t="shared" si="201"/>
        <v>7</v>
      </c>
      <c r="AZ317" s="3">
        <f t="shared" si="202"/>
        <v>1</v>
      </c>
      <c r="BA317" s="3">
        <f>IF(ISERROR(LEN(VLOOKUP(A317,Seqs!A:E,2,FALSE))-AL317),"-",LEN(VLOOKUP(A317,Seqs!A:E,2,FALSE))-AL317)</f>
        <v>363</v>
      </c>
      <c r="BB317" s="16">
        <f t="shared" si="203"/>
        <v>29</v>
      </c>
      <c r="BC317" s="9" t="str">
        <f t="shared" si="204"/>
        <v>-</v>
      </c>
      <c r="BD317" s="3">
        <f t="shared" si="205"/>
        <v>29</v>
      </c>
      <c r="BE317" s="3">
        <f t="shared" si="206"/>
        <v>83</v>
      </c>
    </row>
    <row r="318" spans="1:58" s="3" customFormat="1" x14ac:dyDescent="0.2">
      <c r="A318" s="3" t="s">
        <v>1181</v>
      </c>
      <c r="B318" s="3" t="str">
        <f>LOWER(VLOOKUP(A318,Xtal_Templ!A:B,2,FALSE))</f>
        <v>crfr1_human</v>
      </c>
      <c r="C318" s="3">
        <f>VLOOKUP($A318,'SegEnds_NonXtal_BW#'!$A:$Z,3,FALSE)+D318-50</f>
        <v>865</v>
      </c>
      <c r="D318" s="3">
        <v>892</v>
      </c>
      <c r="E318" s="3">
        <f>IF(ISERROR(VLOOKUP($A318,'SegEnds_NonXtal_BW#'!$A:$Z,4,FALSE)+VLOOKUP($A318,A:AL,4,FALSE)-50),"-",(VLOOKUP($A318,'SegEnds_NonXtal_BW#'!$A:$Z,4,FALSE)+VLOOKUP($A318,A:AL,4,FALSE)-50))</f>
        <v>902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908</v>
      </c>
      <c r="J318" s="3">
        <v>921</v>
      </c>
      <c r="K318" s="3">
        <f>VLOOKUP($A318,'SegEnds_NonXtal_BW#'!$A:$Z,8,FALSE)+VLOOKUP($A318,A:AL,10,FALSE)-50</f>
        <v>934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939</v>
      </c>
      <c r="P318" s="3">
        <v>966</v>
      </c>
      <c r="Q318" s="3">
        <f>VLOOKUP($A318,'SegEnds_NonXtal_BW#'!$A:$Z,12,FALSE)+VLOOKUP($A318,A:AL,16,FALSE)-50</f>
        <v>972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1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978</v>
      </c>
      <c r="V318" s="3">
        <v>988</v>
      </c>
      <c r="W318" s="3">
        <f>IF(ISERROR(VLOOKUP($A318,'SegEnds_NonXtal_BW#'!$A:$Z,16,FALSE)+VLOOKUP($A318,A:AL,22,FALSE)-50),"-",(VLOOKUP($A318,'SegEnds_NonXtal_BW#'!$A:$Z,16,FALSE)+VLOOKUP($A318,A:AL,22,FALSE)-50))</f>
        <v>1006</v>
      </c>
      <c r="X318" s="3">
        <f>IF(ISERROR(VLOOKUP($A318,'SegEnds_NonXtal_BW#'!$A:$Z,17,FALSE)+VLOOKUP($A318,A:AL,25,FALSE)-50),"-",(VLOOKUP($A318,'SegEnds_NonXtal_BW#'!$A:$Z,17,FALSE)+VLOOKUP($A318,A:AL,25,FALSE)-50))</f>
        <v>1013</v>
      </c>
      <c r="Y318" s="3">
        <v>1013</v>
      </c>
      <c r="Z318" s="3">
        <f t="shared" si="216"/>
        <v>1015</v>
      </c>
      <c r="AA318" s="3">
        <f>IF(ISERROR(VLOOKUP($A318,'SegEnds_NonXtal_BW#'!$A:$Z,19,FALSE)+VLOOKUP($A318,A:AL,28,FALSE)-50),"-",(VLOOKUP($A318,'SegEnds_NonXtal_BW#'!$A:$Z,19,FALSE)+VLOOKUP($A318,A:AL,28,FALSE)-50))</f>
        <v>1018</v>
      </c>
      <c r="AB318" s="3">
        <v>1032</v>
      </c>
      <c r="AC318" s="3">
        <f>IF(ISERROR((VLOOKUP($A318,'SegEnds_NonXtal_BW#'!$A:$Z,20,FALSE)+VLOOKUP($A318,A:AL,28,FALSE)-50)),"-",(VLOOKUP($A318,'SegEnds_NonXtal_BW#'!$A:$Z,20,FALSE)+VLOOKUP($A318,A:AL,28,FALSE)-50))</f>
        <v>1051</v>
      </c>
      <c r="AD318" s="3">
        <f>IF(ISERROR(VLOOKUP($A318,'SegEnds_NonXtal_BW#'!$A:$Z,21,FALSE)+VLOOKUP($A318,A:AL,31,FALSE)-50),"-",(VLOOKUP($A318,'SegEnds_NonXtal_BW#'!$A:$Z,21,FALSE)+VLOOKUP($A318,A:AL,31,FALSE)-50))</f>
        <v>1094</v>
      </c>
      <c r="AE318" s="3">
        <v>1115</v>
      </c>
      <c r="AF318" s="3">
        <f>IF(ISERROR((VLOOKUP($A318,'SegEnds_NonXtal_BW#'!$A:$Z,22,FALSE)+VLOOKUP($A318,A:AL,31,FALSE)-50)),"-",(VLOOKUP($A318,'SegEnds_NonXtal_BW#'!$A:$Z,22,FALSE)+VLOOKUP($A318,A:AL,31,FALSE)-50))</f>
        <v>1118</v>
      </c>
      <c r="AG318" s="3">
        <f>IF(ISERROR(VLOOKUP($A318,'SegEnds_NonXtal_BW#'!$A:$Z,23,FALSE)+VLOOKUP($A318,A:AL,34,FALSE)-50),"-",(VLOOKUP($A318,'SegEnds_NonXtal_BW#'!$A:$Z,23,FALSE)+VLOOKUP($A318,A:AL,34,FALSE)-50))</f>
        <v>1125</v>
      </c>
      <c r="AH318" s="3">
        <v>1144</v>
      </c>
      <c r="AI318" s="3">
        <f>IF(ISERROR((VLOOKUP($A318,'SegEnds_NonXtal_BW#'!$A:$Z,24,FALSE)+VLOOKUP($A318,A:AL,34,FALSE)-50)),"-",(VLOOKUP($A318,'SegEnds_NonXtal_BW#'!$A:$Z,24,FALSE)+VLOOKUP($A318,A:AL,34,FALSE)-50))</f>
        <v>1150</v>
      </c>
      <c r="AJ318" s="3">
        <f>IF(ISERROR(VLOOKUP($A318,'SegEnds_NonXtal_BW#'!$A:$Z,25,FALSE)+VLOOKUP($A318,A:AL,37,FALSE)-50),"-",(VLOOKUP($A318,'SegEnds_NonXtal_BW#'!$A:$Z,25,FALSE)+VLOOKUP($A318,A:AL,37,FALSE)-50))</f>
        <v>1151</v>
      </c>
      <c r="AK318" s="3">
        <v>1154</v>
      </c>
      <c r="AL318" s="3">
        <f>IF(ISERROR((VLOOKUP($A318,'SegEnds_NonXtal_BW#'!$A:$Z,26,FALSE)+VLOOKUP($A318,A:AL,37,FALSE)-50)),"-",(VLOOKUP($A318,'SegEnds_NonXtal_BW#'!$A:$Z,26,FALSE)+VLOOKUP($A318,A:AL,37,FALSE)-50))</f>
        <v>1167</v>
      </c>
      <c r="AM318" s="28" t="str">
        <f>VLOOKUP(A318,Classification!A:B,2,FALSE)</f>
        <v>B2</v>
      </c>
      <c r="AN318" s="28" t="b">
        <f t="shared" si="207"/>
        <v>1</v>
      </c>
      <c r="AO318" s="3" t="str">
        <f>IF(ISERROR(MATCH(A318,'SegEnds_Xtal_Prot#'!B:B, 0)), "NoXtal", "Xtal")</f>
        <v>NoXtal</v>
      </c>
      <c r="AP318" s="3" t="str">
        <f t="shared" si="192"/>
        <v>-</v>
      </c>
      <c r="AQ318" s="3" t="str">
        <f t="shared" si="193"/>
        <v>-</v>
      </c>
      <c r="AR318" s="3" t="str">
        <f t="shared" si="194"/>
        <v>-</v>
      </c>
      <c r="AS318" s="3" t="str">
        <f t="shared" si="195"/>
        <v>-</v>
      </c>
      <c r="AT318" s="3" t="str">
        <f t="shared" si="196"/>
        <v>-</v>
      </c>
      <c r="AU318" s="3" t="str">
        <f t="shared" si="197"/>
        <v>-</v>
      </c>
      <c r="AV318" s="3">
        <f t="shared" si="198"/>
        <v>7</v>
      </c>
      <c r="AW318" s="3">
        <f t="shared" si="199"/>
        <v>3</v>
      </c>
      <c r="AX318" s="3">
        <f t="shared" si="200"/>
        <v>43</v>
      </c>
      <c r="AY318" s="3">
        <f t="shared" si="201"/>
        <v>7</v>
      </c>
      <c r="AZ318" s="3">
        <f t="shared" si="202"/>
        <v>1</v>
      </c>
      <c r="BA318" s="3">
        <f>IF(ISERROR(LEN(VLOOKUP(A318,Seqs!A:E,2,FALSE))-AL318),"-",LEN(VLOOKUP(A318,Seqs!A:E,2,FALSE))-AL318)</f>
        <v>355</v>
      </c>
      <c r="BB318" s="16">
        <f t="shared" si="203"/>
        <v>29</v>
      </c>
      <c r="BC318" s="9" t="str">
        <f t="shared" si="204"/>
        <v>-</v>
      </c>
      <c r="BD318" s="3">
        <f t="shared" si="205"/>
        <v>29</v>
      </c>
      <c r="BE318" s="3">
        <f t="shared" si="206"/>
        <v>83</v>
      </c>
    </row>
    <row r="319" spans="1:58" s="3" customFormat="1" x14ac:dyDescent="0.2">
      <c r="A319" s="3" t="s">
        <v>1182</v>
      </c>
      <c r="B319" s="3" t="str">
        <f>LOWER(VLOOKUP(A319,Xtal_Templ!A:B,2,FALSE))</f>
        <v>crfr1_human</v>
      </c>
      <c r="C319" s="3">
        <f>VLOOKUP($A319,'SegEnds_NonXtal_BW#'!$A:$Z,3,FALSE)+D319-50</f>
        <v>554</v>
      </c>
      <c r="D319" s="3">
        <v>581</v>
      </c>
      <c r="E319" s="3">
        <f>IF(ISERROR(VLOOKUP($A319,'SegEnds_NonXtal_BW#'!$A:$Z,4,FALSE)+VLOOKUP($A319,A:AL,4,FALSE)-50),"-",(VLOOKUP($A319,'SegEnds_NonXtal_BW#'!$A:$Z,4,FALSE)+VLOOKUP($A319,A:AL,4,FALSE)-50))</f>
        <v>591</v>
      </c>
      <c r="F319" s="3">
        <f>G319-2</f>
        <v>592</v>
      </c>
      <c r="G319" s="3">
        <v>594</v>
      </c>
      <c r="H319" s="3">
        <f>G319+1</f>
        <v>595</v>
      </c>
      <c r="I319" s="3">
        <f>H319+1</f>
        <v>596</v>
      </c>
      <c r="J319" s="3">
        <v>612</v>
      </c>
      <c r="K319" s="3">
        <f>VLOOKUP($A319,'SegEnds_NonXtal_BW#'!$A:$Z,8,FALSE)+VLOOKUP($A319,A:AL,10,FALSE)-50</f>
        <v>625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630</v>
      </c>
      <c r="P319" s="3">
        <v>657</v>
      </c>
      <c r="Q319" s="3">
        <f>VLOOKUP($A319,'SegEnds_NonXtal_BW#'!$A:$Z,12,FALSE)+VLOOKUP($A319,A:AL,16,FALSE)-50</f>
        <v>663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1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670</v>
      </c>
      <c r="V319" s="3">
        <v>680</v>
      </c>
      <c r="W319" s="3">
        <f>IF(ISERROR(VLOOKUP($A319,'SegEnds_NonXtal_BW#'!$A:$Z,16,FALSE)+VLOOKUP($A319,A:AL,22,FALSE)-50),"-",(VLOOKUP($A319,'SegEnds_NonXtal_BW#'!$A:$Z,16,FALSE)+VLOOKUP($A319,A:AL,22,FALSE)-50))</f>
        <v>698</v>
      </c>
      <c r="X319" s="3">
        <f>IF(ISERROR(VLOOKUP($A319,'SegEnds_NonXtal_BW#'!$A:$Z,17,FALSE)+VLOOKUP($A319,A:AL,25,FALSE)-50),"-",(VLOOKUP($A319,'SegEnds_NonXtal_BW#'!$A:$Z,17,FALSE)+VLOOKUP($A319,A:AL,25,FALSE)-50))</f>
        <v>704</v>
      </c>
      <c r="Y319" s="3">
        <v>704</v>
      </c>
      <c r="Z319" s="3">
        <f t="shared" si="216"/>
        <v>706</v>
      </c>
      <c r="AA319" s="3">
        <f>IF(ISERROR(VLOOKUP($A319,'SegEnds_NonXtal_BW#'!$A:$Z,19,FALSE)+VLOOKUP($A319,A:AL,28,FALSE)-50),"-",(VLOOKUP($A319,'SegEnds_NonXtal_BW#'!$A:$Z,19,FALSE)+VLOOKUP($A319,A:AL,28,FALSE)-50))</f>
        <v>709</v>
      </c>
      <c r="AB319" s="3">
        <v>723</v>
      </c>
      <c r="AC319" s="3">
        <f>IF(ISERROR((VLOOKUP($A319,'SegEnds_NonXtal_BW#'!$A:$Z,20,FALSE)+VLOOKUP($A319,A:AL,28,FALSE)-50)),"-",(VLOOKUP($A319,'SegEnds_NonXtal_BW#'!$A:$Z,20,FALSE)+VLOOKUP($A319,A:AL,28,FALSE)-50))</f>
        <v>742</v>
      </c>
      <c r="AD319" s="3">
        <f>IF(ISERROR(VLOOKUP($A319,'SegEnds_NonXtal_BW#'!$A:$Z,21,FALSE)+VLOOKUP($A319,A:AL,31,FALSE)-50),"-",(VLOOKUP($A319,'SegEnds_NonXtal_BW#'!$A:$Z,21,FALSE)+VLOOKUP($A319,A:AL,31,FALSE)-50))</f>
        <v>754</v>
      </c>
      <c r="AE319" s="3">
        <v>775</v>
      </c>
      <c r="AF319" s="3">
        <f>IF(ISERROR((VLOOKUP($A319,'SegEnds_NonXtal_BW#'!$A:$Z,22,FALSE)+VLOOKUP($A319,A:AL,31,FALSE)-50)),"-",(VLOOKUP($A319,'SegEnds_NonXtal_BW#'!$A:$Z,22,FALSE)+VLOOKUP($A319,A:AL,31,FALSE)-50))</f>
        <v>778</v>
      </c>
      <c r="AG319" s="3">
        <f>IF(ISERROR(VLOOKUP($A319,'SegEnds_NonXtal_BW#'!$A:$Z,23,FALSE)+VLOOKUP($A319,A:AL,34,FALSE)-50),"-",(VLOOKUP($A319,'SegEnds_NonXtal_BW#'!$A:$Z,23,FALSE)+VLOOKUP($A319,A:AL,34,FALSE)-50))</f>
        <v>784</v>
      </c>
      <c r="AH319" s="3">
        <v>803</v>
      </c>
      <c r="AI319" s="3">
        <f>IF(ISERROR((VLOOKUP($A319,'SegEnds_NonXtal_BW#'!$A:$Z,24,FALSE)+VLOOKUP($A319,A:AL,34,FALSE)-50)),"-",(VLOOKUP($A319,'SegEnds_NonXtal_BW#'!$A:$Z,24,FALSE)+VLOOKUP($A319,A:AL,34,FALSE)-50))</f>
        <v>809</v>
      </c>
      <c r="AJ319" s="3">
        <f>IF(ISERROR(VLOOKUP($A319,'SegEnds_NonXtal_BW#'!$A:$Z,25,FALSE)+VLOOKUP($A319,A:AL,37,FALSE)-50),"-",(VLOOKUP($A319,'SegEnds_NonXtal_BW#'!$A:$Z,25,FALSE)+VLOOKUP($A319,A:AL,37,FALSE)-50))</f>
        <v>810</v>
      </c>
      <c r="AK319" s="3">
        <v>813</v>
      </c>
      <c r="AL319" s="3">
        <f>IF(ISERROR((VLOOKUP($A319,'SegEnds_NonXtal_BW#'!$A:$Z,26,FALSE)+VLOOKUP($A319,A:AL,37,FALSE)-50)),"-",(VLOOKUP($A319,'SegEnds_NonXtal_BW#'!$A:$Z,26,FALSE)+VLOOKUP($A319,A:AL,37,FALSE)-50))</f>
        <v>826</v>
      </c>
      <c r="AM319" s="28" t="str">
        <f>VLOOKUP(A319,Classification!A:B,2,FALSE)</f>
        <v>B2</v>
      </c>
      <c r="AN319" s="28" t="b">
        <f t="shared" si="207"/>
        <v>1</v>
      </c>
      <c r="AO319" s="3" t="str">
        <f>IF(ISERROR(MATCH(A319,'SegEnds_Xtal_Prot#'!B:B, 0)), "NoXtal", "Xtal")</f>
        <v>NoXtal</v>
      </c>
      <c r="AP319" s="3">
        <f t="shared" si="192"/>
        <v>1</v>
      </c>
      <c r="AQ319" s="3">
        <f t="shared" si="193"/>
        <v>1</v>
      </c>
      <c r="AR319" s="3" t="str">
        <f t="shared" si="194"/>
        <v>-</v>
      </c>
      <c r="AS319" s="3" t="str">
        <f t="shared" si="195"/>
        <v>-</v>
      </c>
      <c r="AT319" s="3" t="str">
        <f t="shared" si="196"/>
        <v>-</v>
      </c>
      <c r="AU319" s="3" t="str">
        <f t="shared" si="197"/>
        <v>-</v>
      </c>
      <c r="AV319" s="3">
        <f t="shared" si="198"/>
        <v>6</v>
      </c>
      <c r="AW319" s="3">
        <f t="shared" si="199"/>
        <v>3</v>
      </c>
      <c r="AX319" s="3">
        <f t="shared" si="200"/>
        <v>12</v>
      </c>
      <c r="AY319" s="3">
        <f t="shared" si="201"/>
        <v>6</v>
      </c>
      <c r="AZ319" s="3">
        <f t="shared" si="202"/>
        <v>1</v>
      </c>
      <c r="BA319" s="3">
        <f>IF(ISERROR(LEN(VLOOKUP(A319,Seqs!A:E,2,FALSE))-AL319),"-",LEN(VLOOKUP(A319,Seqs!A:E,2,FALSE))-AL319)</f>
        <v>48</v>
      </c>
      <c r="BB319" s="16">
        <f t="shared" si="203"/>
        <v>31</v>
      </c>
      <c r="BC319" s="9" t="str">
        <f t="shared" si="204"/>
        <v>-</v>
      </c>
      <c r="BD319" s="3">
        <f t="shared" si="205"/>
        <v>31</v>
      </c>
      <c r="BE319" s="3">
        <f t="shared" si="206"/>
        <v>52</v>
      </c>
    </row>
    <row r="320" spans="1:58" s="3" customFormat="1" x14ac:dyDescent="0.2">
      <c r="A320" s="3" t="s">
        <v>1183</v>
      </c>
      <c r="B320" s="3" t="str">
        <f>LOWER(VLOOKUP(A320,Xtal_Templ!A:B,2,FALSE))</f>
        <v>crfr1_human</v>
      </c>
      <c r="C320" s="3">
        <f>VLOOKUP($A320,'SegEnds_NonXtal_BW#'!$A:$Z,3,FALSE)+D320-50</f>
        <v>646</v>
      </c>
      <c r="D320" s="3">
        <v>673</v>
      </c>
      <c r="E320" s="3">
        <f>IF(ISERROR(VLOOKUP($A320,'SegEnds_NonXtal_BW#'!$A:$Z,4,FALSE)+VLOOKUP($A320,A:AL,4,FALSE)-50),"-",(VLOOKUP($A320,'SegEnds_NonXtal_BW#'!$A:$Z,4,FALSE)+VLOOKUP($A320,A:AL,4,FALSE)-50))</f>
        <v>683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688</v>
      </c>
      <c r="J320" s="3">
        <v>701</v>
      </c>
      <c r="K320" s="3">
        <f>VLOOKUP($A320,'SegEnds_NonXtal_BW#'!$A:$Z,8,FALSE)+VLOOKUP($A320,A:AL,10,FALSE)-50</f>
        <v>714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719</v>
      </c>
      <c r="P320" s="3">
        <v>746</v>
      </c>
      <c r="Q320" s="3">
        <f>VLOOKUP($A320,'SegEnds_NonXtal_BW#'!$A:$Z,12,FALSE)+VLOOKUP($A320,A:AL,16,FALSE)-50</f>
        <v>752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1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759</v>
      </c>
      <c r="V320" s="3">
        <v>769</v>
      </c>
      <c r="W320" s="3">
        <f>IF(ISERROR(VLOOKUP($A320,'SegEnds_NonXtal_BW#'!$A:$Z,16,FALSE)+VLOOKUP($A320,A:AL,22,FALSE)-50),"-",(VLOOKUP($A320,'SegEnds_NonXtal_BW#'!$A:$Z,16,FALSE)+VLOOKUP($A320,A:AL,22,FALSE)-50))</f>
        <v>787</v>
      </c>
      <c r="X320" s="3">
        <f>IF(ISERROR(VLOOKUP($A320,'SegEnds_NonXtal_BW#'!$A:$Z,17,FALSE)+VLOOKUP($A320,A:AL,25,FALSE)-50),"-",(VLOOKUP($A320,'SegEnds_NonXtal_BW#'!$A:$Z,17,FALSE)+VLOOKUP($A320,A:AL,25,FALSE)-50))</f>
        <v>793</v>
      </c>
      <c r="Y320" s="3">
        <v>793</v>
      </c>
      <c r="Z320" s="3">
        <f t="shared" si="216"/>
        <v>795</v>
      </c>
      <c r="AA320" s="3">
        <f>IF(ISERROR(VLOOKUP($A320,'SegEnds_NonXtal_BW#'!$A:$Z,19,FALSE)+VLOOKUP($A320,A:AL,28,FALSE)-50),"-",(VLOOKUP($A320,'SegEnds_NonXtal_BW#'!$A:$Z,19,FALSE)+VLOOKUP($A320,A:AL,28,FALSE)-50))</f>
        <v>798</v>
      </c>
      <c r="AB320" s="3">
        <v>812</v>
      </c>
      <c r="AC320" s="3">
        <f>IF(ISERROR((VLOOKUP($A320,'SegEnds_NonXtal_BW#'!$A:$Z,20,FALSE)+VLOOKUP($A320,A:AL,28,FALSE)-50)),"-",(VLOOKUP($A320,'SegEnds_NonXtal_BW#'!$A:$Z,20,FALSE)+VLOOKUP($A320,A:AL,28,FALSE)-50))</f>
        <v>831</v>
      </c>
      <c r="AD320" s="3">
        <f>IF(ISERROR(VLOOKUP($A320,'SegEnds_NonXtal_BW#'!$A:$Z,21,FALSE)+VLOOKUP($A320,A:AL,31,FALSE)-50),"-",(VLOOKUP($A320,'SegEnds_NonXtal_BW#'!$A:$Z,21,FALSE)+VLOOKUP($A320,A:AL,31,FALSE)-50))</f>
        <v>857</v>
      </c>
      <c r="AE320" s="3">
        <v>878</v>
      </c>
      <c r="AF320" s="3">
        <f>IF(ISERROR((VLOOKUP($A320,'SegEnds_NonXtal_BW#'!$A:$Z,22,FALSE)+VLOOKUP($A320,A:AL,31,FALSE)-50)),"-",(VLOOKUP($A320,'SegEnds_NonXtal_BW#'!$A:$Z,22,FALSE)+VLOOKUP($A320,A:AL,31,FALSE)-50))</f>
        <v>878</v>
      </c>
      <c r="AG320" s="3">
        <f>IF(ISERROR(VLOOKUP($A320,'SegEnds_NonXtal_BW#'!$A:$Z,23,FALSE)+VLOOKUP($A320,A:AL,34,FALSE)-50),"-",(VLOOKUP($A320,'SegEnds_NonXtal_BW#'!$A:$Z,23,FALSE)+VLOOKUP($A320,A:AL,34,FALSE)-50))</f>
        <v>881</v>
      </c>
      <c r="AH320" s="3">
        <v>898</v>
      </c>
      <c r="AI320" s="3">
        <f>IF(ISERROR((VLOOKUP($A320,'SegEnds_NonXtal_BW#'!$A:$Z,24,FALSE)+VLOOKUP($A320,A:AL,34,FALSE)-50)),"-",(VLOOKUP($A320,'SegEnds_NonXtal_BW#'!$A:$Z,24,FALSE)+VLOOKUP($A320,A:AL,34,FALSE)-50))</f>
        <v>904</v>
      </c>
      <c r="AJ320" s="3">
        <f>IF(ISERROR(VLOOKUP($A320,'SegEnds_NonXtal_BW#'!$A:$Z,25,FALSE)+VLOOKUP($A320,A:AL,37,FALSE)-50),"-",(VLOOKUP($A320,'SegEnds_NonXtal_BW#'!$A:$Z,25,FALSE)+VLOOKUP($A320,A:AL,37,FALSE)-50))</f>
        <v>905</v>
      </c>
      <c r="AK320" s="3">
        <v>908</v>
      </c>
      <c r="AL320" s="3">
        <f>IF(ISERROR((VLOOKUP($A320,'SegEnds_NonXtal_BW#'!$A:$Z,26,FALSE)+VLOOKUP($A320,A:AL,37,FALSE)-50)),"-",(VLOOKUP($A320,'SegEnds_NonXtal_BW#'!$A:$Z,26,FALSE)+VLOOKUP($A320,A:AL,37,FALSE)-50))</f>
        <v>921</v>
      </c>
      <c r="AM320" s="28" t="str">
        <f>VLOOKUP(A320,Classification!A:B,2,FALSE)</f>
        <v>B2</v>
      </c>
      <c r="AN320" s="28" t="b">
        <f t="shared" si="207"/>
        <v>1</v>
      </c>
      <c r="AO320" s="3" t="str">
        <f>IF(ISERROR(MATCH(A320,'SegEnds_Xtal_Prot#'!B:B, 0)), "NoXtal", "Xtal")</f>
        <v>NoXtal</v>
      </c>
      <c r="AP320" s="3" t="str">
        <f t="shared" si="192"/>
        <v>-</v>
      </c>
      <c r="AQ320" s="3" t="str">
        <f t="shared" si="193"/>
        <v>-</v>
      </c>
      <c r="AR320" s="3" t="str">
        <f t="shared" si="194"/>
        <v>-</v>
      </c>
      <c r="AS320" s="3" t="str">
        <f t="shared" si="195"/>
        <v>-</v>
      </c>
      <c r="AT320" s="3" t="str">
        <f t="shared" si="196"/>
        <v>-</v>
      </c>
      <c r="AU320" s="3" t="str">
        <f t="shared" si="197"/>
        <v>-</v>
      </c>
      <c r="AV320" s="3">
        <f t="shared" si="198"/>
        <v>6</v>
      </c>
      <c r="AW320" s="3">
        <f t="shared" si="199"/>
        <v>3</v>
      </c>
      <c r="AX320" s="3">
        <f t="shared" si="200"/>
        <v>26</v>
      </c>
      <c r="AY320" s="3">
        <f t="shared" si="201"/>
        <v>3</v>
      </c>
      <c r="AZ320" s="3">
        <f t="shared" si="202"/>
        <v>1</v>
      </c>
      <c r="BA320" s="3">
        <f>IF(ISERROR(LEN(VLOOKUP(A320,Seqs!A:E,2,FALSE))-AL320),"-",LEN(VLOOKUP(A320,Seqs!A:E,2,FALSE))-AL320)</f>
        <v>42</v>
      </c>
      <c r="BB320" s="16">
        <f t="shared" si="203"/>
        <v>28</v>
      </c>
      <c r="BC320" s="9" t="str">
        <f t="shared" si="204"/>
        <v>-</v>
      </c>
      <c r="BD320" s="3">
        <f t="shared" si="205"/>
        <v>28</v>
      </c>
      <c r="BE320" s="3">
        <f t="shared" si="206"/>
        <v>66</v>
      </c>
    </row>
    <row r="321" spans="1:59" s="3" customFormat="1" x14ac:dyDescent="0.2">
      <c r="A321" s="3" t="s">
        <v>1184</v>
      </c>
      <c r="B321" s="3" t="str">
        <f>LOWER(VLOOKUP(A321,Xtal_Templ!A:B,2,FALSE))</f>
        <v>calcr_human</v>
      </c>
      <c r="C321" s="3">
        <f>VLOOKUP($A321,'SegEnds_NonXtal_BW#'!$A:$Z,3,FALSE)+D321-50</f>
        <v>590</v>
      </c>
      <c r="D321" s="3">
        <v>617</v>
      </c>
      <c r="E321" s="3">
        <f>IF(ISERROR(VLOOKUP($A321,'SegEnds_NonXtal_BW#'!$A:$Z,4,FALSE)+VLOOKUP($A321,A:AL,4,FALSE)-50),"-",(VLOOKUP($A321,'SegEnds_NonXtal_BW#'!$A:$Z,4,FALSE)+VLOOKUP($A321,A:AL,4,FALSE)-50))</f>
        <v>627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632</v>
      </c>
      <c r="J321" s="3">
        <v>645</v>
      </c>
      <c r="K321" s="3">
        <f>VLOOKUP($A321,'SegEnds_NonXtal_BW#'!$A:$Z,8,FALSE)+VLOOKUP($A321,A:AL,10,FALSE)-50</f>
        <v>658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663</v>
      </c>
      <c r="P321" s="3">
        <v>690</v>
      </c>
      <c r="Q321" s="3">
        <f>VLOOKUP($A321,'SegEnds_NonXtal_BW#'!$A:$Z,12,FALSE)+VLOOKUP($A321,A:AL,16,FALSE)-50</f>
        <v>696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1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709</v>
      </c>
      <c r="V321" s="3">
        <v>718</v>
      </c>
      <c r="W321" s="3">
        <f>IF(ISERROR(VLOOKUP($A321,'SegEnds_NonXtal_BW#'!$A:$Z,16,FALSE)+VLOOKUP($A321,A:AL,22,FALSE)-50),"-",(VLOOKUP($A321,'SegEnds_NonXtal_BW#'!$A:$Z,16,FALSE)+VLOOKUP($A321,A:AL,22,FALSE)-50))</f>
        <v>736</v>
      </c>
      <c r="X321" s="3">
        <f>IF(ISERROR(VLOOKUP($A321,'SegEnds_NonXtal_BW#'!$A:$Z,17,FALSE)+VLOOKUP($A321,A:AL,25,FALSE)-50),"-",(VLOOKUP($A321,'SegEnds_NonXtal_BW#'!$A:$Z,17,FALSE)+VLOOKUP($A321,A:AL,25,FALSE)-50))</f>
        <v>742</v>
      </c>
      <c r="Y321" s="3">
        <v>742</v>
      </c>
      <c r="Z321" s="3">
        <f t="shared" si="216"/>
        <v>744</v>
      </c>
      <c r="AA321" s="3">
        <f>IF(ISERROR(VLOOKUP($A321,'SegEnds_NonXtal_BW#'!$A:$Z,19,FALSE)+VLOOKUP($A321,A:AL,28,FALSE)-50),"-",(VLOOKUP($A321,'SegEnds_NonXtal_BW#'!$A:$Z,19,FALSE)+VLOOKUP($A321,A:AL,28,FALSE)-50))</f>
        <v>747</v>
      </c>
      <c r="AB321" s="3">
        <v>761</v>
      </c>
      <c r="AC321" s="3">
        <f>IF(ISERROR((VLOOKUP($A321,'SegEnds_NonXtal_BW#'!$A:$Z,20,FALSE)+VLOOKUP($A321,A:AL,28,FALSE)-50)),"-",(VLOOKUP($A321,'SegEnds_NonXtal_BW#'!$A:$Z,20,FALSE)+VLOOKUP($A321,A:AL,28,FALSE)-50))</f>
        <v>780</v>
      </c>
      <c r="AD321" s="3">
        <f>IF(ISERROR(VLOOKUP($A321,'SegEnds_NonXtal_BW#'!$A:$Z,21,FALSE)+VLOOKUP($A321,A:AL,31,FALSE)-50),"-",(VLOOKUP($A321,'SegEnds_NonXtal_BW#'!$A:$Z,21,FALSE)+VLOOKUP($A321,A:AL,31,FALSE)-50))</f>
        <v>792</v>
      </c>
      <c r="AE321" s="3">
        <v>813</v>
      </c>
      <c r="AF321" s="3">
        <f>IF(ISERROR((VLOOKUP($A321,'SegEnds_NonXtal_BW#'!$A:$Z,22,FALSE)+VLOOKUP($A321,A:AL,31,FALSE)-50)),"-",(VLOOKUP($A321,'SegEnds_NonXtal_BW#'!$A:$Z,22,FALSE)+VLOOKUP($A321,A:AL,31,FALSE)-50))</f>
        <v>816</v>
      </c>
      <c r="AG321" s="3">
        <f>IF(ISERROR(VLOOKUP($A321,'SegEnds_NonXtal_BW#'!$A:$Z,23,FALSE)+VLOOKUP($A321,A:AL,34,FALSE)-50),"-",(VLOOKUP($A321,'SegEnds_NonXtal_BW#'!$A:$Z,23,FALSE)+VLOOKUP($A321,A:AL,34,FALSE)-50))</f>
        <v>822</v>
      </c>
      <c r="AH321" s="3">
        <v>841</v>
      </c>
      <c r="AI321" s="3">
        <f>IF(ISERROR((VLOOKUP($A321,'SegEnds_NonXtal_BW#'!$A:$Z,24,FALSE)+VLOOKUP($A321,A:AL,34,FALSE)-50)),"-",(VLOOKUP($A321,'SegEnds_NonXtal_BW#'!$A:$Z,24,FALSE)+VLOOKUP($A321,A:AL,34,FALSE)-50))</f>
        <v>847</v>
      </c>
      <c r="AJ321" s="3">
        <f>IF(ISERROR(VLOOKUP($A321,'SegEnds_NonXtal_BW#'!$A:$Z,25,FALSE)+VLOOKUP($A321,A:AL,37,FALSE)-50),"-",(VLOOKUP($A321,'SegEnds_NonXtal_BW#'!$A:$Z,25,FALSE)+VLOOKUP($A321,A:AL,37,FALSE)-50))</f>
        <v>848</v>
      </c>
      <c r="AK321" s="3">
        <v>851</v>
      </c>
      <c r="AL321" s="3">
        <f>IF(ISERROR((VLOOKUP($A321,'SegEnds_NonXtal_BW#'!$A:$Z,26,FALSE)+VLOOKUP($A321,A:AL,37,FALSE)-50)),"-",(VLOOKUP($A321,'SegEnds_NonXtal_BW#'!$A:$Z,26,FALSE)+VLOOKUP($A321,A:AL,37,FALSE)-50))</f>
        <v>864</v>
      </c>
      <c r="AM321" s="28" t="str">
        <f>VLOOKUP(A321,Classification!A:B,2,FALSE)</f>
        <v>B2</v>
      </c>
      <c r="AN321" s="28" t="b">
        <f t="shared" si="207"/>
        <v>1</v>
      </c>
      <c r="AO321" s="3" t="str">
        <f>IF(ISERROR(MATCH(A321,'SegEnds_Xtal_Prot#'!B:B, 0)), "NoXtal", "Xtal")</f>
        <v>NoXtal</v>
      </c>
      <c r="AP321" s="3" t="str">
        <f t="shared" si="192"/>
        <v>-</v>
      </c>
      <c r="AQ321" s="3" t="str">
        <f t="shared" si="193"/>
        <v>-</v>
      </c>
      <c r="AR321" s="3" t="str">
        <f t="shared" si="194"/>
        <v>-</v>
      </c>
      <c r="AS321" s="3" t="str">
        <f t="shared" si="195"/>
        <v>-</v>
      </c>
      <c r="AT321" s="3" t="str">
        <f t="shared" si="196"/>
        <v>-</v>
      </c>
      <c r="AU321" s="3" t="str">
        <f t="shared" si="197"/>
        <v>-</v>
      </c>
      <c r="AV321" s="3">
        <f t="shared" si="198"/>
        <v>6</v>
      </c>
      <c r="AW321" s="3">
        <f t="shared" si="199"/>
        <v>3</v>
      </c>
      <c r="AX321" s="3">
        <f t="shared" si="200"/>
        <v>12</v>
      </c>
      <c r="AY321" s="3">
        <f t="shared" si="201"/>
        <v>6</v>
      </c>
      <c r="AZ321" s="3">
        <f t="shared" si="202"/>
        <v>1</v>
      </c>
      <c r="BA321" s="3">
        <f>IF(ISERROR(LEN(VLOOKUP(A321,Seqs!A:E,2,FALSE))-AL321),"-",LEN(VLOOKUP(A321,Seqs!A:E,2,FALSE))-AL321)</f>
        <v>22</v>
      </c>
      <c r="BB321" s="16">
        <f t="shared" si="203"/>
        <v>28</v>
      </c>
      <c r="BC321" s="9" t="str">
        <f t="shared" si="204"/>
        <v>-</v>
      </c>
      <c r="BD321" s="3">
        <f t="shared" si="205"/>
        <v>28</v>
      </c>
      <c r="BE321" s="3">
        <f t="shared" si="206"/>
        <v>52</v>
      </c>
      <c r="BF321" s="3">
        <f>AH321-AE321</f>
        <v>28</v>
      </c>
    </row>
    <row r="322" spans="1:59" s="3" customFormat="1" x14ac:dyDescent="0.2">
      <c r="A322" s="3" t="s">
        <v>1185</v>
      </c>
      <c r="B322" s="3" t="str">
        <f>LOWER(VLOOKUP(A322,Xtal_Templ!A:B,2,FALSE))</f>
        <v>glp1r_human</v>
      </c>
      <c r="C322" s="3">
        <f>VLOOKUP($A322,'SegEnds_NonXtal_BW#'!$A:$Z,3,FALSE)+D322-50</f>
        <v>524</v>
      </c>
      <c r="D322" s="3">
        <v>551</v>
      </c>
      <c r="E322" s="3">
        <f>IF(ISERROR(VLOOKUP($A322,'SegEnds_NonXtal_BW#'!$A:$Z,4,FALSE)+VLOOKUP($A322,A:AL,4,FALSE)-50),"-",(VLOOKUP($A322,'SegEnds_NonXtal_BW#'!$A:$Z,4,FALSE)+VLOOKUP($A322,A:AL,4,FALSE)-50))</f>
        <v>561</v>
      </c>
      <c r="F322" s="3">
        <f>G322-2</f>
        <v>562</v>
      </c>
      <c r="G322" s="3">
        <v>564</v>
      </c>
      <c r="H322" s="3">
        <f t="shared" ref="H322:I324" si="218">G322+1</f>
        <v>565</v>
      </c>
      <c r="I322" s="3">
        <f t="shared" si="218"/>
        <v>566</v>
      </c>
      <c r="J322" s="3">
        <v>579</v>
      </c>
      <c r="K322" s="3">
        <f>VLOOKUP($A322,'SegEnds_NonXtal_BW#'!$A:$Z,8,FALSE)+VLOOKUP($A322,A:AL,10,FALSE)-50</f>
        <v>592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597</v>
      </c>
      <c r="P322" s="3">
        <v>624</v>
      </c>
      <c r="Q322" s="3">
        <f>VLOOKUP($A322,'SegEnds_NonXtal_BW#'!$A:$Z,12,FALSE)+VLOOKUP($A322,A:AL,16,FALSE)-50</f>
        <v>630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1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640</v>
      </c>
      <c r="V322" s="3">
        <v>652</v>
      </c>
      <c r="W322" s="3">
        <f>IF(ISERROR(VLOOKUP($A322,'SegEnds_NonXtal_BW#'!$A:$Z,16,FALSE)+VLOOKUP($A322,A:AL,22,FALSE)-50),"-",(VLOOKUP($A322,'SegEnds_NonXtal_BW#'!$A:$Z,16,FALSE)+VLOOKUP($A322,A:AL,22,FALSE)-50))</f>
        <v>670</v>
      </c>
      <c r="X322" s="3">
        <f>IF(ISERROR(VLOOKUP($A322,'SegEnds_NonXtal_BW#'!$A:$Z,17,FALSE)+VLOOKUP($A322,A:AL,25,FALSE)-50),"-",(VLOOKUP($A322,'SegEnds_NonXtal_BW#'!$A:$Z,17,FALSE)+VLOOKUP($A322,A:AL,25,FALSE)-50))</f>
        <v>676</v>
      </c>
      <c r="Y322" s="3">
        <v>676</v>
      </c>
      <c r="Z322" s="3">
        <f t="shared" si="216"/>
        <v>678</v>
      </c>
      <c r="AA322" s="3">
        <f>IF(ISERROR(VLOOKUP($A322,'SegEnds_NonXtal_BW#'!$A:$Z,19,FALSE)+VLOOKUP($A322,A:AL,28,FALSE)-50),"-",(VLOOKUP($A322,'SegEnds_NonXtal_BW#'!$A:$Z,19,FALSE)+VLOOKUP($A322,A:AL,28,FALSE)-50))</f>
        <v>681</v>
      </c>
      <c r="AB322" s="3">
        <v>695</v>
      </c>
      <c r="AC322" s="3">
        <f>IF(ISERROR((VLOOKUP($A322,'SegEnds_NonXtal_BW#'!$A:$Z,20,FALSE)+VLOOKUP($A322,A:AL,28,FALSE)-50)),"-",(VLOOKUP($A322,'SegEnds_NonXtal_BW#'!$A:$Z,20,FALSE)+VLOOKUP($A322,A:AL,28,FALSE)-50))</f>
        <v>714</v>
      </c>
      <c r="AD322" s="3">
        <f>IF(ISERROR(VLOOKUP($A322,'SegEnds_NonXtal_BW#'!$A:$Z,21,FALSE)+VLOOKUP($A322,A:AL,31,FALSE)-50),"-",(VLOOKUP($A322,'SegEnds_NonXtal_BW#'!$A:$Z,21,FALSE)+VLOOKUP($A322,A:AL,31,FALSE)-50))</f>
        <v>726</v>
      </c>
      <c r="AE322" s="3">
        <v>747</v>
      </c>
      <c r="AF322" s="3">
        <f>IF(ISERROR((VLOOKUP($A322,'SegEnds_NonXtal_BW#'!$A:$Z,22,FALSE)+VLOOKUP($A322,A:AL,31,FALSE)-50)),"-",(VLOOKUP($A322,'SegEnds_NonXtal_BW#'!$A:$Z,22,FALSE)+VLOOKUP($A322,A:AL,31,FALSE)-50))</f>
        <v>750</v>
      </c>
      <c r="AG322" s="3">
        <f>IF(ISERROR(VLOOKUP($A322,'SegEnds_NonXtal_BW#'!$A:$Z,23,FALSE)+VLOOKUP($A322,A:AL,34,FALSE)-50),"-",(VLOOKUP($A322,'SegEnds_NonXtal_BW#'!$A:$Z,23,FALSE)+VLOOKUP($A322,A:AL,34,FALSE)-50))</f>
        <v>756</v>
      </c>
      <c r="AH322" s="3">
        <v>775</v>
      </c>
      <c r="AI322" s="3">
        <f>IF(ISERROR((VLOOKUP($A322,'SegEnds_NonXtal_BW#'!$A:$Z,24,FALSE)+VLOOKUP($A322,A:AL,34,FALSE)-50)),"-",(VLOOKUP($A322,'SegEnds_NonXtal_BW#'!$A:$Z,24,FALSE)+VLOOKUP($A322,A:AL,34,FALSE)-50))</f>
        <v>781</v>
      </c>
      <c r="AJ322" s="3">
        <f>IF(ISERROR(VLOOKUP($A322,'SegEnds_NonXtal_BW#'!$A:$Z,25,FALSE)+VLOOKUP($A322,A:AL,37,FALSE)-50),"-",(VLOOKUP($A322,'SegEnds_NonXtal_BW#'!$A:$Z,25,FALSE)+VLOOKUP($A322,A:AL,37,FALSE)-50))</f>
        <v>782</v>
      </c>
      <c r="AK322" s="3">
        <v>785</v>
      </c>
      <c r="AL322" s="3">
        <f>IF(ISERROR((VLOOKUP($A322,'SegEnds_NonXtal_BW#'!$A:$Z,26,FALSE)+VLOOKUP($A322,A:AL,37,FALSE)-50)),"-",(VLOOKUP($A322,'SegEnds_NonXtal_BW#'!$A:$Z,26,FALSE)+VLOOKUP($A322,A:AL,37,FALSE)-50))</f>
        <v>798</v>
      </c>
      <c r="AM322" s="28" t="str">
        <f>VLOOKUP(A322,Classification!A:B,2,FALSE)</f>
        <v>B2</v>
      </c>
      <c r="AN322" s="28" t="b">
        <f t="shared" si="207"/>
        <v>1</v>
      </c>
      <c r="AO322" s="3" t="str">
        <f>IF(ISERROR(MATCH(A322,'SegEnds_Xtal_Prot#'!B:B, 0)), "NoXtal", "Xtal")</f>
        <v>NoXtal</v>
      </c>
      <c r="AP322" s="3">
        <f t="shared" si="192"/>
        <v>1</v>
      </c>
      <c r="AQ322" s="3">
        <f t="shared" si="193"/>
        <v>1</v>
      </c>
      <c r="AR322" s="3" t="str">
        <f t="shared" si="194"/>
        <v>-</v>
      </c>
      <c r="AS322" s="3" t="str">
        <f t="shared" si="195"/>
        <v>-</v>
      </c>
      <c r="AT322" s="3" t="str">
        <f t="shared" si="196"/>
        <v>-</v>
      </c>
      <c r="AU322" s="3" t="str">
        <f t="shared" si="197"/>
        <v>-</v>
      </c>
      <c r="AV322" s="3">
        <f t="shared" si="198"/>
        <v>6</v>
      </c>
      <c r="AW322" s="3">
        <f t="shared" si="199"/>
        <v>3</v>
      </c>
      <c r="AX322" s="3">
        <f t="shared" si="200"/>
        <v>12</v>
      </c>
      <c r="AY322" s="3">
        <f t="shared" si="201"/>
        <v>6</v>
      </c>
      <c r="AZ322" s="3">
        <f t="shared" si="202"/>
        <v>1</v>
      </c>
      <c r="BA322" s="3">
        <f>IF(ISERROR(LEN(VLOOKUP(A322,Seqs!A:E,2,FALSE))-AL322),"-",LEN(VLOOKUP(A322,Seqs!A:E,2,FALSE))-AL322)</f>
        <v>25</v>
      </c>
      <c r="BB322" s="16">
        <f t="shared" si="203"/>
        <v>28</v>
      </c>
      <c r="BC322" s="9" t="str">
        <f t="shared" si="204"/>
        <v>-</v>
      </c>
      <c r="BD322" s="3">
        <f t="shared" si="205"/>
        <v>28</v>
      </c>
      <c r="BE322" s="3">
        <f t="shared" si="206"/>
        <v>52</v>
      </c>
      <c r="BF322" s="3">
        <f>AH322-AE322</f>
        <v>28</v>
      </c>
    </row>
    <row r="323" spans="1:59" s="3" customFormat="1" x14ac:dyDescent="0.2">
      <c r="A323" s="3" t="s">
        <v>1186</v>
      </c>
      <c r="B323" s="3" t="str">
        <f>LOWER(VLOOKUP(A323,Xtal_Templ!A:B,2,FALSE))</f>
        <v>crfr1_human</v>
      </c>
      <c r="C323" s="3">
        <f>VLOOKUP($A323,'SegEnds_NonXtal_BW#'!$A:$Z,3,FALSE)+D323-50</f>
        <v>344</v>
      </c>
      <c r="D323" s="3">
        <v>371</v>
      </c>
      <c r="E323" s="3">
        <f>IF(ISERROR(VLOOKUP($A323,'SegEnds_NonXtal_BW#'!$A:$Z,4,FALSE)+VLOOKUP($A323,A:AL,4,FALSE)-50),"-",(VLOOKUP($A323,'SegEnds_NonXtal_BW#'!$A:$Z,4,FALSE)+VLOOKUP($A323,A:AL,4,FALSE)-50))</f>
        <v>381</v>
      </c>
      <c r="F323" s="3">
        <f>G323-2</f>
        <v>382</v>
      </c>
      <c r="G323" s="3">
        <v>384</v>
      </c>
      <c r="H323" s="3">
        <f t="shared" si="218"/>
        <v>385</v>
      </c>
      <c r="I323" s="3">
        <f t="shared" si="218"/>
        <v>386</v>
      </c>
      <c r="J323" s="3">
        <v>399</v>
      </c>
      <c r="K323" s="3">
        <f>VLOOKUP($A323,'SegEnds_NonXtal_BW#'!$A:$Z,8,FALSE)+VLOOKUP($A323,A:AL,10,FALSE)-50</f>
        <v>412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417</v>
      </c>
      <c r="P323" s="3">
        <v>444</v>
      </c>
      <c r="Q323" s="3">
        <f>VLOOKUP($A323,'SegEnds_NonXtal_BW#'!$A:$Z,12,FALSE)+VLOOKUP($A323,A:AL,16,FALSE)-50</f>
        <v>450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1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462</v>
      </c>
      <c r="V323" s="3">
        <v>472</v>
      </c>
      <c r="W323" s="3">
        <f>IF(ISERROR(VLOOKUP($A323,'SegEnds_NonXtal_BW#'!$A:$Z,16,FALSE)+VLOOKUP($A323,A:AL,22,FALSE)-50),"-",(VLOOKUP($A323,'SegEnds_NonXtal_BW#'!$A:$Z,16,FALSE)+VLOOKUP($A323,A:AL,22,FALSE)-50))</f>
        <v>490</v>
      </c>
      <c r="X323" s="3">
        <f>IF(ISERROR(VLOOKUP($A323,'SegEnds_NonXtal_BW#'!$A:$Z,17,FALSE)+VLOOKUP($A323,A:AL,25,FALSE)-50),"-",(VLOOKUP($A323,'SegEnds_NonXtal_BW#'!$A:$Z,17,FALSE)+VLOOKUP($A323,A:AL,25,FALSE)-50))</f>
        <v>496</v>
      </c>
      <c r="Y323" s="3">
        <v>496</v>
      </c>
      <c r="Z323" s="3">
        <f t="shared" si="216"/>
        <v>498</v>
      </c>
      <c r="AA323" s="3">
        <f>IF(ISERROR(VLOOKUP($A323,'SegEnds_NonXtal_BW#'!$A:$Z,19,FALSE)+VLOOKUP($A323,A:AL,28,FALSE)-50),"-",(VLOOKUP($A323,'SegEnds_NonXtal_BW#'!$A:$Z,19,FALSE)+VLOOKUP($A323,A:AL,28,FALSE)-50))</f>
        <v>501</v>
      </c>
      <c r="AB323" s="3">
        <v>515</v>
      </c>
      <c r="AC323" s="3">
        <f>IF(ISERROR((VLOOKUP($A323,'SegEnds_NonXtal_BW#'!$A:$Z,20,FALSE)+VLOOKUP($A323,A:AL,28,FALSE)-50)),"-",(VLOOKUP($A323,'SegEnds_NonXtal_BW#'!$A:$Z,20,FALSE)+VLOOKUP($A323,A:AL,28,FALSE)-50))</f>
        <v>534</v>
      </c>
      <c r="AD323" s="3">
        <f>IF(ISERROR(VLOOKUP($A323,'SegEnds_NonXtal_BW#'!$A:$Z,21,FALSE)+VLOOKUP($A323,A:AL,31,FALSE)-50),"-",(VLOOKUP($A323,'SegEnds_NonXtal_BW#'!$A:$Z,21,FALSE)+VLOOKUP($A323,A:AL,31,FALSE)-50))</f>
        <v>546</v>
      </c>
      <c r="AE323" s="3">
        <v>567</v>
      </c>
      <c r="AF323" s="3">
        <f>IF(ISERROR((VLOOKUP($A323,'SegEnds_NonXtal_BW#'!$A:$Z,22,FALSE)+VLOOKUP($A323,A:AL,31,FALSE)-50)),"-",(VLOOKUP($A323,'SegEnds_NonXtal_BW#'!$A:$Z,22,FALSE)+VLOOKUP($A323,A:AL,31,FALSE)-50))</f>
        <v>570</v>
      </c>
      <c r="AG323" s="3">
        <f>IF(ISERROR(VLOOKUP($A323,'SegEnds_NonXtal_BW#'!$A:$Z,23,FALSE)+VLOOKUP($A323,A:AL,34,FALSE)-50),"-",(VLOOKUP($A323,'SegEnds_NonXtal_BW#'!$A:$Z,23,FALSE)+VLOOKUP($A323,A:AL,34,FALSE)-50))</f>
        <v>576</v>
      </c>
      <c r="AH323" s="3">
        <v>595</v>
      </c>
      <c r="AI323" s="3">
        <f>IF(ISERROR((VLOOKUP($A323,'SegEnds_NonXtal_BW#'!$A:$Z,24,FALSE)+VLOOKUP($A323,A:AL,34,FALSE)-50)),"-",(VLOOKUP($A323,'SegEnds_NonXtal_BW#'!$A:$Z,24,FALSE)+VLOOKUP($A323,A:AL,34,FALSE)-50))</f>
        <v>601</v>
      </c>
      <c r="AJ323" s="3">
        <f>IF(ISERROR(VLOOKUP($A323,'SegEnds_NonXtal_BW#'!$A:$Z,25,FALSE)+VLOOKUP($A323,A:AL,37,FALSE)-50),"-",(VLOOKUP($A323,'SegEnds_NonXtal_BW#'!$A:$Z,25,FALSE)+VLOOKUP($A323,A:AL,37,FALSE)-50))</f>
        <v>602</v>
      </c>
      <c r="AK323" s="3">
        <v>605</v>
      </c>
      <c r="AL323" s="3">
        <f>IF(ISERROR((VLOOKUP($A323,'SegEnds_NonXtal_BW#'!$A:$Z,26,FALSE)+VLOOKUP($A323,A:AL,37,FALSE)-50)),"-",(VLOOKUP($A323,'SegEnds_NonXtal_BW#'!$A:$Z,26,FALSE)+VLOOKUP($A323,A:AL,37,FALSE)-50))</f>
        <v>618</v>
      </c>
      <c r="AM323" s="28" t="str">
        <f>VLOOKUP(A323,Classification!A:B,2,FALSE)</f>
        <v>B2</v>
      </c>
      <c r="AN323" s="28" t="b">
        <f t="shared" si="207"/>
        <v>1</v>
      </c>
      <c r="AO323" s="3" t="str">
        <f>IF(ISERROR(MATCH(A323,'SegEnds_Xtal_Prot#'!B:B, 0)), "NoXtal", "Xtal")</f>
        <v>NoXtal</v>
      </c>
      <c r="AP323" s="3">
        <f t="shared" si="192"/>
        <v>1</v>
      </c>
      <c r="AQ323" s="3">
        <f t="shared" si="193"/>
        <v>1</v>
      </c>
      <c r="AR323" s="3" t="str">
        <f t="shared" si="194"/>
        <v>-</v>
      </c>
      <c r="AS323" s="3" t="str">
        <f t="shared" si="195"/>
        <v>-</v>
      </c>
      <c r="AT323" s="3" t="str">
        <f t="shared" si="196"/>
        <v>-</v>
      </c>
      <c r="AU323" s="3" t="str">
        <f t="shared" si="197"/>
        <v>-</v>
      </c>
      <c r="AV323" s="3">
        <f t="shared" si="198"/>
        <v>6</v>
      </c>
      <c r="AW323" s="3">
        <f t="shared" si="199"/>
        <v>3</v>
      </c>
      <c r="AX323" s="3">
        <f t="shared" si="200"/>
        <v>12</v>
      </c>
      <c r="AY323" s="3">
        <f t="shared" si="201"/>
        <v>6</v>
      </c>
      <c r="AZ323" s="3">
        <f t="shared" si="202"/>
        <v>1</v>
      </c>
      <c r="BA323" s="3">
        <f>IF(ISERROR(LEN(VLOOKUP(A323,Seqs!A:E,2,FALSE))-AL323),"-",LEN(VLOOKUP(A323,Seqs!A:E,2,FALSE))-AL323)</f>
        <v>34</v>
      </c>
      <c r="BB323" s="16">
        <f t="shared" si="203"/>
        <v>28</v>
      </c>
      <c r="BC323" s="9" t="str">
        <f t="shared" si="204"/>
        <v>-</v>
      </c>
      <c r="BD323" s="3">
        <f t="shared" si="205"/>
        <v>28</v>
      </c>
      <c r="BE323" s="3">
        <f t="shared" si="206"/>
        <v>52</v>
      </c>
      <c r="BF323" s="3">
        <f>AH323-AE323</f>
        <v>28</v>
      </c>
    </row>
    <row r="324" spans="1:59" s="3" customFormat="1" x14ac:dyDescent="0.2">
      <c r="A324" s="3" t="s">
        <v>1187</v>
      </c>
      <c r="B324" s="3" t="str">
        <f>LOWER(VLOOKUP(A324,Xtal_Templ!A:B,2,FALSE))</f>
        <v>glp1r_human</v>
      </c>
      <c r="C324" s="3">
        <f>VLOOKUP($A324,'SegEnds_NonXtal_BW#'!$A:$Z,3,FALSE)+D324-50</f>
        <v>178</v>
      </c>
      <c r="D324" s="3">
        <v>205</v>
      </c>
      <c r="E324" s="3">
        <f>IF(ISERROR(VLOOKUP($A324,'SegEnds_NonXtal_BW#'!$A:$Z,4,FALSE)+VLOOKUP($A324,A:AL,4,FALSE)-50),"-",(VLOOKUP($A324,'SegEnds_NonXtal_BW#'!$A:$Z,4,FALSE)+VLOOKUP($A324,A:AL,4,FALSE)-50))</f>
        <v>215</v>
      </c>
      <c r="F324" s="3">
        <f>G324-2</f>
        <v>216</v>
      </c>
      <c r="G324" s="3">
        <v>218</v>
      </c>
      <c r="H324" s="3">
        <f t="shared" si="218"/>
        <v>219</v>
      </c>
      <c r="I324" s="3">
        <f t="shared" si="218"/>
        <v>220</v>
      </c>
      <c r="J324" s="3">
        <v>233</v>
      </c>
      <c r="K324" s="3">
        <f>VLOOKUP($A324,'SegEnds_NonXtal_BW#'!$A:$Z,8,FALSE)+VLOOKUP($A324,A:AL,10,FALSE)-50</f>
        <v>246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251</v>
      </c>
      <c r="P324" s="3">
        <v>278</v>
      </c>
      <c r="Q324" s="3">
        <f>VLOOKUP($A324,'SegEnds_NonXtal_BW#'!$A:$Z,12,FALSE)+VLOOKUP($A324,A:AL,16,FALSE)-50</f>
        <v>284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1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294</v>
      </c>
      <c r="V324" s="3">
        <v>306</v>
      </c>
      <c r="W324" s="3">
        <f>IF(ISERROR(VLOOKUP($A324,'SegEnds_NonXtal_BW#'!$A:$Z,16,FALSE)+VLOOKUP($A324,A:AL,22,FALSE)-50),"-",(VLOOKUP($A324,'SegEnds_NonXtal_BW#'!$A:$Z,16,FALSE)+VLOOKUP($A324,A:AL,22,FALSE)-50))</f>
        <v>324</v>
      </c>
      <c r="X324" s="3">
        <f>IF(ISERROR(VLOOKUP($A324,'SegEnds_NonXtal_BW#'!$A:$Z,17,FALSE)+VLOOKUP($A324,A:AL,25,FALSE)-50),"-",(VLOOKUP($A324,'SegEnds_NonXtal_BW#'!$A:$Z,17,FALSE)+VLOOKUP($A324,A:AL,25,FALSE)-50))</f>
        <v>329</v>
      </c>
      <c r="Y324" s="3">
        <v>329</v>
      </c>
      <c r="Z324" s="3">
        <f t="shared" ref="Z324:Z349" si="219">Y324+2</f>
        <v>331</v>
      </c>
      <c r="AA324" s="3">
        <f>IF(ISERROR(VLOOKUP($A324,'SegEnds_NonXtal_BW#'!$A:$Z,19,FALSE)+VLOOKUP($A324,A:AL,28,FALSE)-50),"-",(VLOOKUP($A324,'SegEnds_NonXtal_BW#'!$A:$Z,19,FALSE)+VLOOKUP($A324,A:AL,28,FALSE)-50))</f>
        <v>334</v>
      </c>
      <c r="AB324" s="3">
        <v>348</v>
      </c>
      <c r="AC324" s="3">
        <f>IF(ISERROR((VLOOKUP($A324,'SegEnds_NonXtal_BW#'!$A:$Z,20,FALSE)+VLOOKUP($A324,A:AL,28,FALSE)-50)),"-",(VLOOKUP($A324,'SegEnds_NonXtal_BW#'!$A:$Z,20,FALSE)+VLOOKUP($A324,A:AL,28,FALSE)-50))</f>
        <v>367</v>
      </c>
      <c r="AD324" s="3">
        <f>IF(ISERROR(VLOOKUP($A324,'SegEnds_NonXtal_BW#'!$A:$Z,21,FALSE)+VLOOKUP($A324,A:AL,31,FALSE)-50),"-",(VLOOKUP($A324,'SegEnds_NonXtal_BW#'!$A:$Z,21,FALSE)+VLOOKUP($A324,A:AL,31,FALSE)-50))</f>
        <v>379</v>
      </c>
      <c r="AE324" s="3">
        <v>400</v>
      </c>
      <c r="AF324" s="3">
        <f>IF(ISERROR((VLOOKUP($A324,'SegEnds_NonXtal_BW#'!$A:$Z,22,FALSE)+VLOOKUP($A324,A:AL,31,FALSE)-50)),"-",(VLOOKUP($A324,'SegEnds_NonXtal_BW#'!$A:$Z,22,FALSE)+VLOOKUP($A324,A:AL,31,FALSE)-50))</f>
        <v>403</v>
      </c>
      <c r="AG324" s="3">
        <f>IF(ISERROR(VLOOKUP($A324,'SegEnds_NonXtal_BW#'!$A:$Z,23,FALSE)+VLOOKUP($A324,A:AL,34,FALSE)-50),"-",(VLOOKUP($A324,'SegEnds_NonXtal_BW#'!$A:$Z,23,FALSE)+VLOOKUP($A324,A:AL,34,FALSE)-50))</f>
        <v>410</v>
      </c>
      <c r="AH324" s="3">
        <v>432</v>
      </c>
      <c r="AI324" s="3">
        <f>IF(ISERROR((VLOOKUP($A324,'SegEnds_NonXtal_BW#'!$A:$Z,24,FALSE)+VLOOKUP($A324,A:AL,34,FALSE)-50)),"-",(VLOOKUP($A324,'SegEnds_NonXtal_BW#'!$A:$Z,24,FALSE)+VLOOKUP($A324,A:AL,34,FALSE)-50))</f>
        <v>438</v>
      </c>
      <c r="AJ324" s="3">
        <f>IF(ISERROR(VLOOKUP($A324,'SegEnds_NonXtal_BW#'!$A:$Z,25,FALSE)+VLOOKUP($A324,A:AL,37,FALSE)-50),"-",(VLOOKUP($A324,'SegEnds_NonXtal_BW#'!$A:$Z,25,FALSE)+VLOOKUP($A324,A:AL,37,FALSE)-50))</f>
        <v>439</v>
      </c>
      <c r="AK324" s="3">
        <v>442</v>
      </c>
      <c r="AL324" s="3">
        <f>IF(ISERROR((VLOOKUP($A324,'SegEnds_NonXtal_BW#'!$A:$Z,26,FALSE)+VLOOKUP($A324,A:AL,37,FALSE)-50)),"-",(VLOOKUP($A324,'SegEnds_NonXtal_BW#'!$A:$Z,26,FALSE)+VLOOKUP($A324,A:AL,37,FALSE)-50))</f>
        <v>455</v>
      </c>
      <c r="AM324" s="28" t="str">
        <f>VLOOKUP(A324,Classification!A:B,2,FALSE)</f>
        <v>B2</v>
      </c>
      <c r="AN324" s="28" t="b">
        <f t="shared" si="207"/>
        <v>1</v>
      </c>
      <c r="AO324" s="3" t="str">
        <f>IF(ISERROR(MATCH(A324,'SegEnds_Xtal_Prot#'!B:B, 0)), "NoXtal", "Xtal")</f>
        <v>NoXtal</v>
      </c>
      <c r="AP324" s="3">
        <f t="shared" ref="AP324:AP387" si="220">IF(ISERROR(F324-E324),"-",F324-E324)</f>
        <v>1</v>
      </c>
      <c r="AQ324" s="3">
        <f t="shared" ref="AQ324:AQ387" si="221">IF(ISERROR(I324-H324),"-",I324-H324)</f>
        <v>1</v>
      </c>
      <c r="AR324" s="3" t="str">
        <f t="shared" ref="AR324:AR387" si="222">IF(ISERROR(L324-K324),"-",L324-K324)</f>
        <v>-</v>
      </c>
      <c r="AS324" s="3" t="str">
        <f t="shared" ref="AS324:AS387" si="223">IF(ISERROR(O324-N324),"-",O324-N324)</f>
        <v>-</v>
      </c>
      <c r="AT324" s="3" t="str">
        <f t="shared" ref="AT324:AT387" si="224">IF(ISERROR(R324-Q324),"-",R324-Q324)</f>
        <v>-</v>
      </c>
      <c r="AU324" s="3" t="str">
        <f t="shared" ref="AU324:AU387" si="225">IF(ISERROR(U324-T324),"-",U324-T324)</f>
        <v>-</v>
      </c>
      <c r="AV324" s="3">
        <f t="shared" ref="AV324:AV387" si="226">IF(ISERROR(X324-W324),"-",X324-W324)</f>
        <v>5</v>
      </c>
      <c r="AW324" s="3">
        <f t="shared" ref="AW324:AW387" si="227">IF(ISERROR(AA324-Z324),"-",AA324-Z324)</f>
        <v>3</v>
      </c>
      <c r="AX324" s="3">
        <f t="shared" ref="AX324:AX387" si="228">IF(ISERROR(AD324-AC324),"-",AD324-AC324)</f>
        <v>12</v>
      </c>
      <c r="AY324" s="3">
        <f t="shared" ref="AY324:AY387" si="229">IF(ISERROR(AG324-AF324),"-",AG324-AF324)</f>
        <v>7</v>
      </c>
      <c r="AZ324" s="3">
        <f t="shared" ref="AZ324:AZ387" si="230">IF(ISERROR(AJ324-AI324),"-",AJ324-AI324)</f>
        <v>1</v>
      </c>
      <c r="BA324" s="3">
        <f>IF(ISERROR(LEN(VLOOKUP(A324,Seqs!A:E,2,FALSE))-AL324),"-",LEN(VLOOKUP(A324,Seqs!A:E,2,FALSE))-AL324)</f>
        <v>2</v>
      </c>
      <c r="BB324" s="16">
        <f t="shared" ref="BB324:BB387" si="231">J324-D324</f>
        <v>28</v>
      </c>
      <c r="BC324" s="9" t="str">
        <f t="shared" ref="BC324:BC387" si="232">IF(ISERROR(V324-S324),"-",V324-S324)</f>
        <v>-</v>
      </c>
      <c r="BD324" s="3">
        <f t="shared" ref="BD324:BD387" si="233">J324-D324</f>
        <v>28</v>
      </c>
      <c r="BE324" s="3">
        <f t="shared" ref="BE324:BE387" si="234">AE324-AB324</f>
        <v>52</v>
      </c>
      <c r="BF324" s="3">
        <f>AH324-AE324</f>
        <v>32</v>
      </c>
    </row>
    <row r="325" spans="1:59" s="3" customFormat="1" x14ac:dyDescent="0.2">
      <c r="A325" s="3" t="s">
        <v>1188</v>
      </c>
      <c r="B325" s="3" t="str">
        <f>LOWER(VLOOKUP(A325,Xtal_Templ!A:B,2,FALSE))</f>
        <v>crfr1_human</v>
      </c>
      <c r="C325" s="3">
        <f>VLOOKUP($A325,'SegEnds_NonXtal_BW#'!$A:$Z,3,FALSE)+D325-50</f>
        <v>573</v>
      </c>
      <c r="D325" s="3">
        <v>600</v>
      </c>
      <c r="E325" s="3">
        <f>IF(ISERROR(VLOOKUP($A325,'SegEnds_NonXtal_BW#'!$A:$Z,4,FALSE)+VLOOKUP($A325,A:AL,4,FALSE)-50),"-",(VLOOKUP($A325,'SegEnds_NonXtal_BW#'!$A:$Z,4,FALSE)+VLOOKUP($A325,A:AL,4,FALSE)-50))</f>
        <v>610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618</v>
      </c>
      <c r="J325" s="3">
        <v>631</v>
      </c>
      <c r="K325" s="3">
        <f>VLOOKUP($A325,'SegEnds_NonXtal_BW#'!$A:$Z,8,FALSE)+VLOOKUP($A325,A:AL,10,FALSE)-50</f>
        <v>644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655</v>
      </c>
      <c r="P325" s="3">
        <v>682</v>
      </c>
      <c r="Q325" s="3">
        <f>VLOOKUP($A325,'SegEnds_NonXtal_BW#'!$A:$Z,12,FALSE)+VLOOKUP($A325,A:AL,16,FALSE)-50</f>
        <v>688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1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697</v>
      </c>
      <c r="V325" s="3">
        <v>707</v>
      </c>
      <c r="W325" s="3">
        <f>IF(ISERROR(VLOOKUP($A325,'SegEnds_NonXtal_BW#'!$A:$Z,16,FALSE)+VLOOKUP($A325,A:AL,22,FALSE)-50),"-",(VLOOKUP($A325,'SegEnds_NonXtal_BW#'!$A:$Z,16,FALSE)+VLOOKUP($A325,A:AL,22,FALSE)-50))</f>
        <v>725</v>
      </c>
      <c r="X325" s="3">
        <f>IF(ISERROR(VLOOKUP($A325,'SegEnds_NonXtal_BW#'!$A:$Z,17,FALSE)+VLOOKUP($A325,A:AL,25,FALSE)-50),"-",(VLOOKUP($A325,'SegEnds_NonXtal_BW#'!$A:$Z,17,FALSE)+VLOOKUP($A325,A:AL,25,FALSE)-50))</f>
        <v>733</v>
      </c>
      <c r="Y325" s="3">
        <v>733</v>
      </c>
      <c r="Z325" s="3">
        <f t="shared" si="219"/>
        <v>735</v>
      </c>
      <c r="AA325" s="3">
        <f>IF(ISERROR(VLOOKUP($A325,'SegEnds_NonXtal_BW#'!$A:$Z,19,FALSE)+VLOOKUP($A325,A:AL,28,FALSE)-50),"-",(VLOOKUP($A325,'SegEnds_NonXtal_BW#'!$A:$Z,19,FALSE)+VLOOKUP($A325,A:AL,28,FALSE)-50))</f>
        <v>740</v>
      </c>
      <c r="AB325" s="3">
        <v>754</v>
      </c>
      <c r="AC325" s="3">
        <f>IF(ISERROR((VLOOKUP($A325,'SegEnds_NonXtal_BW#'!$A:$Z,20,FALSE)+VLOOKUP($A325,A:AL,28,FALSE)-50)),"-",(VLOOKUP($A325,'SegEnds_NonXtal_BW#'!$A:$Z,20,FALSE)+VLOOKUP($A325,A:AL,28,FALSE)-50))</f>
        <v>773</v>
      </c>
      <c r="AD325" s="3">
        <f>IF(ISERROR(VLOOKUP($A325,'SegEnds_NonXtal_BW#'!$A:$Z,21,FALSE)+VLOOKUP($A325,A:AL,31,FALSE)-50),"-",(VLOOKUP($A325,'SegEnds_NonXtal_BW#'!$A:$Z,21,FALSE)+VLOOKUP($A325,A:AL,31,FALSE)-50))</f>
        <v>785</v>
      </c>
      <c r="AE325" s="3">
        <v>806</v>
      </c>
      <c r="AF325" s="3">
        <f>IF(ISERROR((VLOOKUP($A325,'SegEnds_NonXtal_BW#'!$A:$Z,22,FALSE)+VLOOKUP($A325,A:AL,31,FALSE)-50)),"-",(VLOOKUP($A325,'SegEnds_NonXtal_BW#'!$A:$Z,22,FALSE)+VLOOKUP($A325,A:AL,31,FALSE)-50))</f>
        <v>809</v>
      </c>
      <c r="AG325" s="3">
        <f>IF(ISERROR(VLOOKUP($A325,'SegEnds_NonXtal_BW#'!$A:$Z,23,FALSE)+VLOOKUP($A325,A:AL,34,FALSE)-50),"-",(VLOOKUP($A325,'SegEnds_NonXtal_BW#'!$A:$Z,23,FALSE)+VLOOKUP($A325,A:AL,34,FALSE)-50))</f>
        <v>816</v>
      </c>
      <c r="AH325" s="3">
        <v>835</v>
      </c>
      <c r="AI325" s="3">
        <f>IF(ISERROR((VLOOKUP($A325,'SegEnds_NonXtal_BW#'!$A:$Z,24,FALSE)+VLOOKUP($A325,A:AL,34,FALSE)-50)),"-",(VLOOKUP($A325,'SegEnds_NonXtal_BW#'!$A:$Z,24,FALSE)+VLOOKUP($A325,A:AL,34,FALSE)-50))</f>
        <v>841</v>
      </c>
      <c r="AJ325" s="3">
        <f>IF(ISERROR(VLOOKUP($A325,'SegEnds_NonXtal_BW#'!$A:$Z,25,FALSE)+VLOOKUP($A325,A:AL,37,FALSE)-50),"-",(VLOOKUP($A325,'SegEnds_NonXtal_BW#'!$A:$Z,25,FALSE)+VLOOKUP($A325,A:AL,37,FALSE)-50))</f>
        <v>842</v>
      </c>
      <c r="AK325" s="3">
        <v>845</v>
      </c>
      <c r="AL325" s="3">
        <f>IF(ISERROR((VLOOKUP($A325,'SegEnds_NonXtal_BW#'!$A:$Z,26,FALSE)+VLOOKUP($A325,A:AL,37,FALSE)-50)),"-",(VLOOKUP($A325,'SegEnds_NonXtal_BW#'!$A:$Z,26,FALSE)+VLOOKUP($A325,A:AL,37,FALSE)-50))</f>
        <v>858</v>
      </c>
      <c r="AM325" s="28" t="str">
        <f>VLOOKUP(A325,Classification!A:B,2,FALSE)</f>
        <v>B2</v>
      </c>
      <c r="AN325" s="28" t="b">
        <f t="shared" ref="AN325:AN388" si="235">AND(IF(Y325="-",IF(AA325-W325&gt;3,TRUE,FALSE),TRUE),IF(M325="-",IF(O325-K325&gt;3,TRUE,FALSE),TRUE),IF(AG325-AF325&gt;1,TRUE,FALSE),C325&lt;E325,OR(E325&lt;F325,F325="-"),OR(F325&lt;H325,F325="-"),OR(H325&lt;I325,H325="-"),I325&lt;K325,OR(K325&lt;L325,L325="-"),OR(L325&lt;N325,L325="-"),OR(N325&lt;O325,N325="-"),O325&lt;Q325,OR(Q325&lt;R325,R325="-"),OR(R325&lt;T325,R325="-"),OR(T325&lt;U325,T325="-"),U325&lt;W325,OR(W325&lt;X325,X325="-"),OR(X325&lt;Z325,X325="-"),OR(Z325&lt;AA325,Z325="-"),AA325&lt;AC325,AC325&lt;AD325,AD325&lt;AF325,AF325&lt;AG325,AG325&lt;AI325,OR(AI325&lt;AJ325,AJ325="-"),OR(AJ325&lt;AL325,AJ325="-"))</f>
        <v>1</v>
      </c>
      <c r="AO325" s="3" t="str">
        <f>IF(ISERROR(MATCH(A325,'SegEnds_Xtal_Prot#'!B:B, 0)), "NoXtal", "Xtal")</f>
        <v>NoXtal</v>
      </c>
      <c r="AP325" s="3" t="str">
        <f t="shared" si="220"/>
        <v>-</v>
      </c>
      <c r="AQ325" s="3" t="str">
        <f t="shared" si="221"/>
        <v>-</v>
      </c>
      <c r="AR325" s="3" t="str">
        <f t="shared" si="222"/>
        <v>-</v>
      </c>
      <c r="AS325" s="3" t="str">
        <f t="shared" si="223"/>
        <v>-</v>
      </c>
      <c r="AT325" s="3" t="str">
        <f t="shared" si="224"/>
        <v>-</v>
      </c>
      <c r="AU325" s="3" t="str">
        <f t="shared" si="225"/>
        <v>-</v>
      </c>
      <c r="AV325" s="3">
        <f t="shared" si="226"/>
        <v>8</v>
      </c>
      <c r="AW325" s="3">
        <f t="shared" si="227"/>
        <v>5</v>
      </c>
      <c r="AX325" s="3">
        <f t="shared" si="228"/>
        <v>12</v>
      </c>
      <c r="AY325" s="3">
        <f t="shared" si="229"/>
        <v>7</v>
      </c>
      <c r="AZ325" s="3">
        <f t="shared" si="230"/>
        <v>1</v>
      </c>
      <c r="BA325" s="3">
        <f>IF(ISERROR(LEN(VLOOKUP(A325,Seqs!A:E,2,FALSE))-AL325),"-",LEN(VLOOKUP(A325,Seqs!A:E,2,FALSE))-AL325)</f>
        <v>52</v>
      </c>
      <c r="BB325" s="16">
        <f t="shared" si="231"/>
        <v>31</v>
      </c>
      <c r="BC325" s="9" t="str">
        <f t="shared" si="232"/>
        <v>-</v>
      </c>
      <c r="BD325" s="3">
        <f t="shared" si="233"/>
        <v>31</v>
      </c>
      <c r="BE325" s="3">
        <f t="shared" si="234"/>
        <v>52</v>
      </c>
    </row>
    <row r="326" spans="1:59" s="3" customFormat="1" x14ac:dyDescent="0.2">
      <c r="A326" s="3" t="s">
        <v>1189</v>
      </c>
      <c r="B326" s="3" t="str">
        <f>LOWER(VLOOKUP(A326,Xtal_Templ!A:B,2,FALSE))</f>
        <v>calcr_human</v>
      </c>
      <c r="C326" s="3">
        <f>VLOOKUP($A326,'SegEnds_NonXtal_BW#'!$A:$Z,3,FALSE)+D326-50</f>
        <v>434</v>
      </c>
      <c r="D326" s="3">
        <v>461</v>
      </c>
      <c r="E326" s="3">
        <f>IF(ISERROR(VLOOKUP($A326,'SegEnds_NonXtal_BW#'!$A:$Z,4,FALSE)+VLOOKUP($A326,A:AL,4,FALSE)-50),"-",(VLOOKUP($A326,'SegEnds_NonXtal_BW#'!$A:$Z,4,FALSE)+VLOOKUP($A326,A:AL,4,FALSE)-50))</f>
        <v>471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479</v>
      </c>
      <c r="J326" s="3">
        <v>492</v>
      </c>
      <c r="K326" s="3">
        <f>VLOOKUP($A326,'SegEnds_NonXtal_BW#'!$A:$Z,8,FALSE)+VLOOKUP($A326,A:AL,10,FALSE)-50</f>
        <v>505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516</v>
      </c>
      <c r="P326" s="3">
        <v>543</v>
      </c>
      <c r="Q326" s="3">
        <f>VLOOKUP($A326,'SegEnds_NonXtal_BW#'!$A:$Z,12,FALSE)+VLOOKUP($A326,A:AL,16,FALSE)-50</f>
        <v>549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1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559</v>
      </c>
      <c r="V326" s="3">
        <v>568</v>
      </c>
      <c r="W326" s="3">
        <f>IF(ISERROR(VLOOKUP($A326,'SegEnds_NonXtal_BW#'!$A:$Z,16,FALSE)+VLOOKUP($A326,A:AL,22,FALSE)-50),"-",(VLOOKUP($A326,'SegEnds_NonXtal_BW#'!$A:$Z,16,FALSE)+VLOOKUP($A326,A:AL,22,FALSE)-50))</f>
        <v>586</v>
      </c>
      <c r="X326" s="3">
        <f>IF(ISERROR(VLOOKUP($A326,'SegEnds_NonXtal_BW#'!$A:$Z,17,FALSE)+VLOOKUP($A326,A:AL,25,FALSE)-50),"-",(VLOOKUP($A326,'SegEnds_NonXtal_BW#'!$A:$Z,17,FALSE)+VLOOKUP($A326,A:AL,25,FALSE)-50))</f>
        <v>594</v>
      </c>
      <c r="Y326" s="3">
        <v>594</v>
      </c>
      <c r="Z326" s="3">
        <f t="shared" si="219"/>
        <v>596</v>
      </c>
      <c r="AA326" s="3">
        <f>IF(ISERROR(VLOOKUP($A326,'SegEnds_NonXtal_BW#'!$A:$Z,19,FALSE)+VLOOKUP($A326,A:AL,28,FALSE)-50),"-",(VLOOKUP($A326,'SegEnds_NonXtal_BW#'!$A:$Z,19,FALSE)+VLOOKUP($A326,A:AL,28,FALSE)-50))</f>
        <v>600</v>
      </c>
      <c r="AB326" s="3">
        <v>614</v>
      </c>
      <c r="AC326" s="3">
        <f>IF(ISERROR((VLOOKUP($A326,'SegEnds_NonXtal_BW#'!$A:$Z,20,FALSE)+VLOOKUP($A326,A:AL,28,FALSE)-50)),"-",(VLOOKUP($A326,'SegEnds_NonXtal_BW#'!$A:$Z,20,FALSE)+VLOOKUP($A326,A:AL,28,FALSE)-50))</f>
        <v>633</v>
      </c>
      <c r="AD326" s="3">
        <f>IF(ISERROR(VLOOKUP($A326,'SegEnds_NonXtal_BW#'!$A:$Z,21,FALSE)+VLOOKUP($A326,A:AL,31,FALSE)-50),"-",(VLOOKUP($A326,'SegEnds_NonXtal_BW#'!$A:$Z,21,FALSE)+VLOOKUP($A326,A:AL,31,FALSE)-50))</f>
        <v>650</v>
      </c>
      <c r="AE326" s="3">
        <v>671</v>
      </c>
      <c r="AF326" s="3">
        <f>IF(ISERROR((VLOOKUP($A326,'SegEnds_NonXtal_BW#'!$A:$Z,22,FALSE)+VLOOKUP($A326,A:AL,31,FALSE)-50)),"-",(VLOOKUP($A326,'SegEnds_NonXtal_BW#'!$A:$Z,22,FALSE)+VLOOKUP($A326,A:AL,31,FALSE)-50))</f>
        <v>671</v>
      </c>
      <c r="AG326" s="3">
        <f>IF(ISERROR(VLOOKUP($A326,'SegEnds_NonXtal_BW#'!$A:$Z,23,FALSE)+VLOOKUP($A326,A:AL,34,FALSE)-50),"-",(VLOOKUP($A326,'SegEnds_NonXtal_BW#'!$A:$Z,23,FALSE)+VLOOKUP($A326,A:AL,34,FALSE)-50))</f>
        <v>675</v>
      </c>
      <c r="AH326" s="3">
        <v>694</v>
      </c>
      <c r="AI326" s="3">
        <f>IF(ISERROR((VLOOKUP($A326,'SegEnds_NonXtal_BW#'!$A:$Z,24,FALSE)+VLOOKUP($A326,A:AL,34,FALSE)-50)),"-",(VLOOKUP($A326,'SegEnds_NonXtal_BW#'!$A:$Z,24,FALSE)+VLOOKUP($A326,A:AL,34,FALSE)-50))</f>
        <v>700</v>
      </c>
      <c r="AJ326" s="3" t="s">
        <v>23</v>
      </c>
      <c r="AK326" s="3" t="s">
        <v>23</v>
      </c>
      <c r="AL326" s="3" t="s">
        <v>23</v>
      </c>
      <c r="AM326" s="28" t="str">
        <f>VLOOKUP(A326,Classification!A:B,2,FALSE)</f>
        <v>B2</v>
      </c>
      <c r="AN326" s="28" t="b">
        <f t="shared" si="235"/>
        <v>1</v>
      </c>
      <c r="AO326" s="3" t="str">
        <f>IF(ISERROR(MATCH(A326,'SegEnds_Xtal_Prot#'!B:B, 0)), "NoXtal", "Xtal")</f>
        <v>NoXtal</v>
      </c>
      <c r="AP326" s="3" t="str">
        <f t="shared" si="220"/>
        <v>-</v>
      </c>
      <c r="AQ326" s="3" t="str">
        <f t="shared" si="221"/>
        <v>-</v>
      </c>
      <c r="AR326" s="3" t="str">
        <f t="shared" si="222"/>
        <v>-</v>
      </c>
      <c r="AS326" s="3" t="str">
        <f t="shared" si="223"/>
        <v>-</v>
      </c>
      <c r="AT326" s="3" t="str">
        <f t="shared" si="224"/>
        <v>-</v>
      </c>
      <c r="AU326" s="3" t="str">
        <f t="shared" si="225"/>
        <v>-</v>
      </c>
      <c r="AV326" s="3">
        <f t="shared" si="226"/>
        <v>8</v>
      </c>
      <c r="AW326" s="3">
        <f t="shared" si="227"/>
        <v>4</v>
      </c>
      <c r="AX326" s="3">
        <f t="shared" si="228"/>
        <v>17</v>
      </c>
      <c r="AY326" s="3">
        <f t="shared" si="229"/>
        <v>4</v>
      </c>
      <c r="AZ326" s="3" t="str">
        <f t="shared" si="230"/>
        <v>-</v>
      </c>
      <c r="BA326" s="3" t="str">
        <f>IF(ISERROR(LEN(VLOOKUP(A326,Seqs!A:E,2,FALSE))-AL326),"-",LEN(VLOOKUP(A326,Seqs!A:E,2,FALSE))-AL326)</f>
        <v>-</v>
      </c>
      <c r="BB326" s="16">
        <f t="shared" si="231"/>
        <v>31</v>
      </c>
      <c r="BC326" s="9" t="str">
        <f t="shared" si="232"/>
        <v>-</v>
      </c>
      <c r="BD326" s="3">
        <f t="shared" si="233"/>
        <v>31</v>
      </c>
      <c r="BE326" s="3">
        <f t="shared" si="234"/>
        <v>57</v>
      </c>
      <c r="BF326" s="3">
        <f>AH326-AE326</f>
        <v>23</v>
      </c>
      <c r="BG326" s="3" t="s">
        <v>1312</v>
      </c>
    </row>
    <row r="327" spans="1:59" s="3" customFormat="1" x14ac:dyDescent="0.2">
      <c r="A327" s="3" t="s">
        <v>1190</v>
      </c>
      <c r="B327" s="3" t="str">
        <f>LOWER(VLOOKUP(A327,Xtal_Templ!A:B,2,FALSE))</f>
        <v>crfr1_human</v>
      </c>
      <c r="C327" s="3">
        <f>VLOOKUP($A327,'SegEnds_NonXtal_BW#'!$A:$Z,3,FALSE)+D327-50</f>
        <v>758</v>
      </c>
      <c r="D327" s="3">
        <v>785</v>
      </c>
      <c r="E327" s="3">
        <f>IF(ISERROR(VLOOKUP($A327,'SegEnds_NonXtal_BW#'!$A:$Z,4,FALSE)+VLOOKUP($A327,A:AL,4,FALSE)-50),"-",(VLOOKUP($A327,'SegEnds_NonXtal_BW#'!$A:$Z,4,FALSE)+VLOOKUP($A327,A:AL,4,FALSE)-50))</f>
        <v>795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803</v>
      </c>
      <c r="J327" s="3">
        <v>816</v>
      </c>
      <c r="K327" s="3">
        <f>VLOOKUP($A327,'SegEnds_NonXtal_BW#'!$A:$Z,8,FALSE)+VLOOKUP($A327,A:AL,10,FALSE)-50</f>
        <v>829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839</v>
      </c>
      <c r="P327" s="3">
        <v>866</v>
      </c>
      <c r="Q327" s="3">
        <f>VLOOKUP($A327,'SegEnds_NonXtal_BW#'!$A:$Z,12,FALSE)+VLOOKUP($A327,A:AL,16,FALSE)-50</f>
        <v>872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1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881</v>
      </c>
      <c r="V327" s="3">
        <v>891</v>
      </c>
      <c r="W327" s="3">
        <f>IF(ISERROR(VLOOKUP($A327,'SegEnds_NonXtal_BW#'!$A:$Z,16,FALSE)+VLOOKUP($A327,A:AL,22,FALSE)-50),"-",(VLOOKUP($A327,'SegEnds_NonXtal_BW#'!$A:$Z,16,FALSE)+VLOOKUP($A327,A:AL,22,FALSE)-50))</f>
        <v>909</v>
      </c>
      <c r="X327" s="3">
        <f>IF(ISERROR(VLOOKUP($A327,'SegEnds_NonXtal_BW#'!$A:$Z,17,FALSE)+VLOOKUP($A327,A:AL,25,FALSE)-50),"-",(VLOOKUP($A327,'SegEnds_NonXtal_BW#'!$A:$Z,17,FALSE)+VLOOKUP($A327,A:AL,25,FALSE)-50))</f>
        <v>917</v>
      </c>
      <c r="Y327" s="3">
        <v>917</v>
      </c>
      <c r="Z327" s="3">
        <f t="shared" si="219"/>
        <v>919</v>
      </c>
      <c r="AA327" s="3">
        <f>IF(ISERROR(VLOOKUP($A327,'SegEnds_NonXtal_BW#'!$A:$Z,19,FALSE)+VLOOKUP($A327,A:AL,28,FALSE)-50),"-",(VLOOKUP($A327,'SegEnds_NonXtal_BW#'!$A:$Z,19,FALSE)+VLOOKUP($A327,A:AL,28,FALSE)-50))</f>
        <v>922</v>
      </c>
      <c r="AB327" s="3">
        <v>936</v>
      </c>
      <c r="AC327" s="3">
        <f>IF(ISERROR((VLOOKUP($A327,'SegEnds_NonXtal_BW#'!$A:$Z,20,FALSE)+VLOOKUP($A327,A:AL,28,FALSE)-50)),"-",(VLOOKUP($A327,'SegEnds_NonXtal_BW#'!$A:$Z,20,FALSE)+VLOOKUP($A327,A:AL,28,FALSE)-50))</f>
        <v>955</v>
      </c>
      <c r="AD327" s="3">
        <f>IF(ISERROR(VLOOKUP($A327,'SegEnds_NonXtal_BW#'!$A:$Z,21,FALSE)+VLOOKUP($A327,A:AL,31,FALSE)-50),"-",(VLOOKUP($A327,'SegEnds_NonXtal_BW#'!$A:$Z,21,FALSE)+VLOOKUP($A327,A:AL,31,FALSE)-50))</f>
        <v>967</v>
      </c>
      <c r="AE327" s="3">
        <v>988</v>
      </c>
      <c r="AF327" s="3">
        <f>IF(ISERROR((VLOOKUP($A327,'SegEnds_NonXtal_BW#'!$A:$Z,22,FALSE)+VLOOKUP($A327,A:AL,31,FALSE)-50)),"-",(VLOOKUP($A327,'SegEnds_NonXtal_BW#'!$A:$Z,22,FALSE)+VLOOKUP($A327,A:AL,31,FALSE)-50))</f>
        <v>991</v>
      </c>
      <c r="AG327" s="3">
        <f>IF(ISERROR(VLOOKUP($A327,'SegEnds_NonXtal_BW#'!$A:$Z,23,FALSE)+VLOOKUP($A327,A:AL,34,FALSE)-50),"-",(VLOOKUP($A327,'SegEnds_NonXtal_BW#'!$A:$Z,23,FALSE)+VLOOKUP($A327,A:AL,34,FALSE)-50))</f>
        <v>998</v>
      </c>
      <c r="AH327" s="3">
        <v>1017</v>
      </c>
      <c r="AI327" s="3">
        <f>IF(ISERROR((VLOOKUP($A327,'SegEnds_NonXtal_BW#'!$A:$Z,24,FALSE)+VLOOKUP($A327,A:AL,34,FALSE)-50)),"-",(VLOOKUP($A327,'SegEnds_NonXtal_BW#'!$A:$Z,24,FALSE)+VLOOKUP($A327,A:AL,34,FALSE)-50))</f>
        <v>1023</v>
      </c>
      <c r="AJ327" s="3">
        <f>IF(ISERROR(VLOOKUP($A327,'SegEnds_NonXtal_BW#'!$A:$Z,25,FALSE)+VLOOKUP($A327,A:AL,37,FALSE)-50),"-",(VLOOKUP($A327,'SegEnds_NonXtal_BW#'!$A:$Z,25,FALSE)+VLOOKUP($A327,A:AL,37,FALSE)-50))</f>
        <v>1024</v>
      </c>
      <c r="AK327" s="3">
        <v>1027</v>
      </c>
      <c r="AL327" s="3">
        <f>IF(ISERROR((VLOOKUP($A327,'SegEnds_NonXtal_BW#'!$A:$Z,26,FALSE)+VLOOKUP($A327,A:AL,37,FALSE)-50)),"-",(VLOOKUP($A327,'SegEnds_NonXtal_BW#'!$A:$Z,26,FALSE)+VLOOKUP($A327,A:AL,37,FALSE)-50))</f>
        <v>1040</v>
      </c>
      <c r="AM327" s="28" t="str">
        <f>VLOOKUP(A327,Classification!A:B,2,FALSE)</f>
        <v>B2</v>
      </c>
      <c r="AN327" s="28" t="b">
        <f t="shared" si="235"/>
        <v>1</v>
      </c>
      <c r="AO327" s="3" t="str">
        <f>IF(ISERROR(MATCH(A327,'SegEnds_Xtal_Prot#'!B:B, 0)), "NoXtal", "Xtal")</f>
        <v>NoXtal</v>
      </c>
      <c r="AP327" s="3" t="str">
        <f t="shared" si="220"/>
        <v>-</v>
      </c>
      <c r="AQ327" s="3" t="str">
        <f t="shared" si="221"/>
        <v>-</v>
      </c>
      <c r="AR327" s="3" t="str">
        <f t="shared" si="222"/>
        <v>-</v>
      </c>
      <c r="AS327" s="3" t="str">
        <f t="shared" si="223"/>
        <v>-</v>
      </c>
      <c r="AT327" s="3" t="str">
        <f t="shared" si="224"/>
        <v>-</v>
      </c>
      <c r="AU327" s="3" t="str">
        <f t="shared" si="225"/>
        <v>-</v>
      </c>
      <c r="AV327" s="3">
        <f t="shared" si="226"/>
        <v>8</v>
      </c>
      <c r="AW327" s="3">
        <f t="shared" si="227"/>
        <v>3</v>
      </c>
      <c r="AX327" s="3">
        <f t="shared" si="228"/>
        <v>12</v>
      </c>
      <c r="AY327" s="3">
        <f t="shared" si="229"/>
        <v>7</v>
      </c>
      <c r="AZ327" s="3">
        <f t="shared" si="230"/>
        <v>1</v>
      </c>
      <c r="BA327" s="3">
        <f>IF(ISERROR(LEN(VLOOKUP(A327,Seqs!A:E,2,FALSE))-AL327),"-",LEN(VLOOKUP(A327,Seqs!A:E,2,FALSE))-AL327)</f>
        <v>39</v>
      </c>
      <c r="BB327" s="16">
        <f t="shared" si="231"/>
        <v>31</v>
      </c>
      <c r="BC327" s="9" t="str">
        <f t="shared" si="232"/>
        <v>-</v>
      </c>
      <c r="BD327" s="3">
        <f t="shared" si="233"/>
        <v>31</v>
      </c>
      <c r="BE327" s="3">
        <f t="shared" si="234"/>
        <v>52</v>
      </c>
    </row>
    <row r="328" spans="1:59" s="3" customFormat="1" x14ac:dyDescent="0.2">
      <c r="A328" s="3" t="s">
        <v>1191</v>
      </c>
      <c r="B328" s="3" t="str">
        <f>LOWER(VLOOKUP(A328,Xtal_Templ!A:B,2,FALSE))</f>
        <v>crfr1_human</v>
      </c>
      <c r="C328" s="3">
        <f>VLOOKUP($A328,'SegEnds_NonXtal_BW#'!$A:$Z,3,FALSE)+D328-50</f>
        <v>389</v>
      </c>
      <c r="D328" s="3">
        <v>416</v>
      </c>
      <c r="E328" s="3">
        <f>IF(ISERROR(VLOOKUP($A328,'SegEnds_NonXtal_BW#'!$A:$Z,4,FALSE)+VLOOKUP($A328,A:AL,4,FALSE)-50),"-",(VLOOKUP($A328,'SegEnds_NonXtal_BW#'!$A:$Z,4,FALSE)+VLOOKUP($A328,A:AL,4,FALSE)-50))</f>
        <v>426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434</v>
      </c>
      <c r="J328" s="3">
        <v>447</v>
      </c>
      <c r="K328" s="3">
        <f>VLOOKUP($A328,'SegEnds_NonXtal_BW#'!$A:$Z,8,FALSE)+VLOOKUP($A328,A:AL,10,FALSE)-50</f>
        <v>460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471</v>
      </c>
      <c r="P328" s="3">
        <v>498</v>
      </c>
      <c r="Q328" s="3">
        <f>VLOOKUP($A328,'SegEnds_NonXtal_BW#'!$A:$Z,12,FALSE)+VLOOKUP($A328,A:AL,16,FALSE)-50</f>
        <v>504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1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513</v>
      </c>
      <c r="V328" s="3">
        <v>523</v>
      </c>
      <c r="W328" s="3">
        <f>IF(ISERROR(VLOOKUP($A328,'SegEnds_NonXtal_BW#'!$A:$Z,16,FALSE)+VLOOKUP($A328,A:AL,22,FALSE)-50),"-",(VLOOKUP($A328,'SegEnds_NonXtal_BW#'!$A:$Z,16,FALSE)+VLOOKUP($A328,A:AL,22,FALSE)-50))</f>
        <v>541</v>
      </c>
      <c r="X328" s="3">
        <f>IF(ISERROR(VLOOKUP($A328,'SegEnds_NonXtal_BW#'!$A:$Z,17,FALSE)+VLOOKUP($A328,A:AL,25,FALSE)-50),"-",(VLOOKUP($A328,'SegEnds_NonXtal_BW#'!$A:$Z,17,FALSE)+VLOOKUP($A328,A:AL,25,FALSE)-50))</f>
        <v>549</v>
      </c>
      <c r="Y328" s="3">
        <v>549</v>
      </c>
      <c r="Z328" s="3">
        <f t="shared" si="219"/>
        <v>551</v>
      </c>
      <c r="AA328" s="3">
        <f>IF(ISERROR(VLOOKUP($A328,'SegEnds_NonXtal_BW#'!$A:$Z,19,FALSE)+VLOOKUP($A328,A:AL,28,FALSE)-50),"-",(VLOOKUP($A328,'SegEnds_NonXtal_BW#'!$A:$Z,19,FALSE)+VLOOKUP($A328,A:AL,28,FALSE)-50))</f>
        <v>555</v>
      </c>
      <c r="AB328" s="3">
        <v>569</v>
      </c>
      <c r="AC328" s="3">
        <f>IF(ISERROR((VLOOKUP($A328,'SegEnds_NonXtal_BW#'!$A:$Z,20,FALSE)+VLOOKUP($A328,A:AL,28,FALSE)-50)),"-",(VLOOKUP($A328,'SegEnds_NonXtal_BW#'!$A:$Z,20,FALSE)+VLOOKUP($A328,A:AL,28,FALSE)-50))</f>
        <v>588</v>
      </c>
      <c r="AD328" s="3">
        <f>IF(ISERROR(VLOOKUP($A328,'SegEnds_NonXtal_BW#'!$A:$Z,21,FALSE)+VLOOKUP($A328,A:AL,31,FALSE)-50),"-",(VLOOKUP($A328,'SegEnds_NonXtal_BW#'!$A:$Z,21,FALSE)+VLOOKUP($A328,A:AL,31,FALSE)-50))</f>
        <v>599</v>
      </c>
      <c r="AE328" s="3">
        <v>620</v>
      </c>
      <c r="AF328" s="3">
        <f>IF(ISERROR((VLOOKUP($A328,'SegEnds_NonXtal_BW#'!$A:$Z,22,FALSE)+VLOOKUP($A328,A:AL,31,FALSE)-50)),"-",(VLOOKUP($A328,'SegEnds_NonXtal_BW#'!$A:$Z,22,FALSE)+VLOOKUP($A328,A:AL,31,FALSE)-50))</f>
        <v>623</v>
      </c>
      <c r="AG328" s="3">
        <f>IF(ISERROR(VLOOKUP($A328,'SegEnds_NonXtal_BW#'!$A:$Z,23,FALSE)+VLOOKUP($A328,A:AL,34,FALSE)-50),"-",(VLOOKUP($A328,'SegEnds_NonXtal_BW#'!$A:$Z,23,FALSE)+VLOOKUP($A328,A:AL,34,FALSE)-50))</f>
        <v>630</v>
      </c>
      <c r="AH328" s="3">
        <v>649</v>
      </c>
      <c r="AI328" s="3">
        <f>IF(ISERROR((VLOOKUP($A328,'SegEnds_NonXtal_BW#'!$A:$Z,24,FALSE)+VLOOKUP($A328,A:AL,34,FALSE)-50)),"-",(VLOOKUP($A328,'SegEnds_NonXtal_BW#'!$A:$Z,24,FALSE)+VLOOKUP($A328,A:AL,34,FALSE)-50))</f>
        <v>655</v>
      </c>
      <c r="AJ328" s="3">
        <f>IF(ISERROR(VLOOKUP($A328,'SegEnds_NonXtal_BW#'!$A:$Z,25,FALSE)+VLOOKUP($A328,A:AL,37,FALSE)-50),"-",(VLOOKUP($A328,'SegEnds_NonXtal_BW#'!$A:$Z,25,FALSE)+VLOOKUP($A328,A:AL,37,FALSE)-50))</f>
        <v>656</v>
      </c>
      <c r="AK328" s="3">
        <v>659</v>
      </c>
      <c r="AL328" s="3">
        <f>IF(ISERROR((VLOOKUP($A328,'SegEnds_NonXtal_BW#'!$A:$Z,26,FALSE)+VLOOKUP($A328,A:AL,37,FALSE)-50)),"-",(VLOOKUP($A328,'SegEnds_NonXtal_BW#'!$A:$Z,26,FALSE)+VLOOKUP($A328,A:AL,37,FALSE)-50))</f>
        <v>672</v>
      </c>
      <c r="AM328" s="28" t="str">
        <f>VLOOKUP(A328,Classification!A:B,2,FALSE)</f>
        <v>B2</v>
      </c>
      <c r="AN328" s="28" t="b">
        <f t="shared" si="235"/>
        <v>1</v>
      </c>
      <c r="AO328" s="3" t="str">
        <f>IF(ISERROR(MATCH(A328,'SegEnds_Xtal_Prot#'!B:B, 0)), "NoXtal", "Xtal")</f>
        <v>NoXtal</v>
      </c>
      <c r="AP328" s="3" t="str">
        <f t="shared" si="220"/>
        <v>-</v>
      </c>
      <c r="AQ328" s="3" t="str">
        <f t="shared" si="221"/>
        <v>-</v>
      </c>
      <c r="AR328" s="3" t="str">
        <f t="shared" si="222"/>
        <v>-</v>
      </c>
      <c r="AS328" s="3" t="str">
        <f t="shared" si="223"/>
        <v>-</v>
      </c>
      <c r="AT328" s="3" t="str">
        <f t="shared" si="224"/>
        <v>-</v>
      </c>
      <c r="AU328" s="3" t="str">
        <f t="shared" si="225"/>
        <v>-</v>
      </c>
      <c r="AV328" s="3">
        <f t="shared" si="226"/>
        <v>8</v>
      </c>
      <c r="AW328" s="3">
        <f t="shared" si="227"/>
        <v>4</v>
      </c>
      <c r="AX328" s="3">
        <f t="shared" si="228"/>
        <v>11</v>
      </c>
      <c r="AY328" s="3">
        <f t="shared" si="229"/>
        <v>7</v>
      </c>
      <c r="AZ328" s="3">
        <f t="shared" si="230"/>
        <v>1</v>
      </c>
      <c r="BA328" s="3">
        <f>IF(ISERROR(LEN(VLOOKUP(A328,Seqs!A:E,2,FALSE))-AL328),"-",LEN(VLOOKUP(A328,Seqs!A:E,2,FALSE))-AL328)</f>
        <v>23</v>
      </c>
      <c r="BB328" s="16">
        <f t="shared" si="231"/>
        <v>31</v>
      </c>
      <c r="BC328" s="9" t="str">
        <f t="shared" si="232"/>
        <v>-</v>
      </c>
      <c r="BD328" s="3">
        <f t="shared" si="233"/>
        <v>31</v>
      </c>
      <c r="BE328" s="3">
        <f t="shared" si="234"/>
        <v>51</v>
      </c>
      <c r="BF328" s="3">
        <f>AH328-AE328</f>
        <v>29</v>
      </c>
    </row>
    <row r="329" spans="1:59" s="3" customFormat="1" x14ac:dyDescent="0.2">
      <c r="A329" s="3" t="s">
        <v>1192</v>
      </c>
      <c r="B329" s="3" t="str">
        <f>LOWER(VLOOKUP(A329,Xtal_Templ!A:B,2,FALSE))</f>
        <v>crfr1_human</v>
      </c>
      <c r="C329" s="3">
        <f>VLOOKUP($A329,'SegEnds_NonXtal_BW#'!$A:$Z,3,FALSE)+D329-50</f>
        <v>1000</v>
      </c>
      <c r="D329" s="3">
        <v>1027</v>
      </c>
      <c r="E329" s="3">
        <f>IF(ISERROR(VLOOKUP($A329,'SegEnds_NonXtal_BW#'!$A:$Z,4,FALSE)+VLOOKUP($A329,A:AL,4,FALSE)-50),"-",(VLOOKUP($A329,'SegEnds_NonXtal_BW#'!$A:$Z,4,FALSE)+VLOOKUP($A329,A:AL,4,FALSE)-50))</f>
        <v>1037</v>
      </c>
      <c r="F329" s="3">
        <f>G329-2</f>
        <v>1039</v>
      </c>
      <c r="G329" s="3">
        <v>1041</v>
      </c>
      <c r="H329" s="3">
        <f>G329+1</f>
        <v>1042</v>
      </c>
      <c r="I329" s="3">
        <f>H329+1</f>
        <v>1043</v>
      </c>
      <c r="J329" s="3">
        <v>1058</v>
      </c>
      <c r="K329" s="3">
        <f>VLOOKUP($A329,'SegEnds_NonXtal_BW#'!$A:$Z,8,FALSE)+VLOOKUP($A329,A:AL,10,FALSE)-50</f>
        <v>1071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1084</v>
      </c>
      <c r="P329" s="3">
        <v>1111</v>
      </c>
      <c r="Q329" s="3">
        <f>VLOOKUP($A329,'SegEnds_NonXtal_BW#'!$A:$Z,12,FALSE)+VLOOKUP($A329,A:AL,16,FALSE)-50</f>
        <v>1117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1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1126</v>
      </c>
      <c r="V329" s="3">
        <v>1136</v>
      </c>
      <c r="W329" s="3">
        <f>IF(ISERROR(VLOOKUP($A329,'SegEnds_NonXtal_BW#'!$A:$Z,16,FALSE)+VLOOKUP($A329,A:AL,22,FALSE)-50),"-",(VLOOKUP($A329,'SegEnds_NonXtal_BW#'!$A:$Z,16,FALSE)+VLOOKUP($A329,A:AL,22,FALSE)-50))</f>
        <v>1154</v>
      </c>
      <c r="X329" s="3">
        <f>IF(ISERROR(VLOOKUP($A329,'SegEnds_NonXtal_BW#'!$A:$Z,17,FALSE)+VLOOKUP($A329,A:AL,25,FALSE)-50),"-",(VLOOKUP($A329,'SegEnds_NonXtal_BW#'!$A:$Z,17,FALSE)+VLOOKUP($A329,A:AL,25,FALSE)-50))</f>
        <v>1162</v>
      </c>
      <c r="Y329" s="3">
        <v>1162</v>
      </c>
      <c r="Z329" s="3">
        <f t="shared" si="219"/>
        <v>1164</v>
      </c>
      <c r="AA329" s="3">
        <f>IF(ISERROR(VLOOKUP($A329,'SegEnds_NonXtal_BW#'!$A:$Z,19,FALSE)+VLOOKUP($A329,A:AL,28,FALSE)-50),"-",(VLOOKUP($A329,'SegEnds_NonXtal_BW#'!$A:$Z,19,FALSE)+VLOOKUP($A329,A:AL,28,FALSE)-50))</f>
        <v>1168</v>
      </c>
      <c r="AB329" s="3">
        <v>1182</v>
      </c>
      <c r="AC329" s="3">
        <f>IF(ISERROR((VLOOKUP($A329,'SegEnds_NonXtal_BW#'!$A:$Z,20,FALSE)+VLOOKUP($A329,A:AL,28,FALSE)-50)),"-",(VLOOKUP($A329,'SegEnds_NonXtal_BW#'!$A:$Z,20,FALSE)+VLOOKUP($A329,A:AL,28,FALSE)-50))</f>
        <v>1201</v>
      </c>
      <c r="AD329" s="3">
        <f>IF(ISERROR(VLOOKUP($A329,'SegEnds_NonXtal_BW#'!$A:$Z,21,FALSE)+VLOOKUP($A329,A:AL,31,FALSE)-50),"-",(VLOOKUP($A329,'SegEnds_NonXtal_BW#'!$A:$Z,21,FALSE)+VLOOKUP($A329,A:AL,31,FALSE)-50))</f>
        <v>1213</v>
      </c>
      <c r="AE329" s="3">
        <v>1234</v>
      </c>
      <c r="AF329" s="3">
        <f>IF(ISERROR((VLOOKUP($A329,'SegEnds_NonXtal_BW#'!$A:$Z,22,FALSE)+VLOOKUP($A329,A:AL,31,FALSE)-50)),"-",(VLOOKUP($A329,'SegEnds_NonXtal_BW#'!$A:$Z,22,FALSE)+VLOOKUP($A329,A:AL,31,FALSE)-50))</f>
        <v>1237</v>
      </c>
      <c r="AG329" s="3">
        <f>IF(ISERROR(VLOOKUP($A329,'SegEnds_NonXtal_BW#'!$A:$Z,23,FALSE)+VLOOKUP($A329,A:AL,34,FALSE)-50),"-",(VLOOKUP($A329,'SegEnds_NonXtal_BW#'!$A:$Z,23,FALSE)+VLOOKUP($A329,A:AL,34,FALSE)-50))</f>
        <v>1244</v>
      </c>
      <c r="AH329" s="3">
        <v>1263</v>
      </c>
      <c r="AI329" s="3">
        <f>IF(ISERROR((VLOOKUP($A329,'SegEnds_NonXtal_BW#'!$A:$Z,24,FALSE)+VLOOKUP($A329,A:AL,34,FALSE)-50)),"-",(VLOOKUP($A329,'SegEnds_NonXtal_BW#'!$A:$Z,24,FALSE)+VLOOKUP($A329,A:AL,34,FALSE)-50))</f>
        <v>1269</v>
      </c>
      <c r="AJ329" s="3">
        <f>IF(ISERROR(VLOOKUP($A329,'SegEnds_NonXtal_BW#'!$A:$Z,25,FALSE)+VLOOKUP($A329,A:AL,37,FALSE)-50),"-",(VLOOKUP($A329,'SegEnds_NonXtal_BW#'!$A:$Z,25,FALSE)+VLOOKUP($A329,A:AL,37,FALSE)-50))</f>
        <v>1270</v>
      </c>
      <c r="AK329" s="3">
        <v>1273</v>
      </c>
      <c r="AL329" s="3">
        <f>IF(ISERROR((VLOOKUP($A329,'SegEnds_NonXtal_BW#'!$A:$Z,26,FALSE)+VLOOKUP($A329,A:AL,37,FALSE)-50)),"-",(VLOOKUP($A329,'SegEnds_NonXtal_BW#'!$A:$Z,26,FALSE)+VLOOKUP($A329,A:AL,37,FALSE)-50))</f>
        <v>1286</v>
      </c>
      <c r="AM329" s="28" t="str">
        <f>VLOOKUP(A329,Classification!A:B,2,FALSE)</f>
        <v>B2</v>
      </c>
      <c r="AN329" s="28" t="b">
        <f t="shared" si="235"/>
        <v>1</v>
      </c>
      <c r="AO329" s="3" t="str">
        <f>IF(ISERROR(MATCH(A329,'SegEnds_Xtal_Prot#'!B:B, 0)), "NoXtal", "Xtal")</f>
        <v>NoXtal</v>
      </c>
      <c r="AP329" s="3">
        <f t="shared" si="220"/>
        <v>2</v>
      </c>
      <c r="AQ329" s="3">
        <f t="shared" si="221"/>
        <v>1</v>
      </c>
      <c r="AR329" s="3" t="str">
        <f t="shared" si="222"/>
        <v>-</v>
      </c>
      <c r="AS329" s="3" t="str">
        <f t="shared" si="223"/>
        <v>-</v>
      </c>
      <c r="AT329" s="3" t="str">
        <f t="shared" si="224"/>
        <v>-</v>
      </c>
      <c r="AU329" s="3" t="str">
        <f t="shared" si="225"/>
        <v>-</v>
      </c>
      <c r="AV329" s="3">
        <f t="shared" si="226"/>
        <v>8</v>
      </c>
      <c r="AW329" s="3">
        <f t="shared" si="227"/>
        <v>4</v>
      </c>
      <c r="AX329" s="3">
        <f t="shared" si="228"/>
        <v>12</v>
      </c>
      <c r="AY329" s="3">
        <f t="shared" si="229"/>
        <v>7</v>
      </c>
      <c r="AZ329" s="3">
        <f t="shared" si="230"/>
        <v>1</v>
      </c>
      <c r="BA329" s="3">
        <f>IF(ISERROR(LEN(VLOOKUP(A329,Seqs!A:E,2,FALSE))-AL329),"-",LEN(VLOOKUP(A329,Seqs!A:E,2,FALSE))-AL329)</f>
        <v>60</v>
      </c>
      <c r="BB329" s="16">
        <f t="shared" si="231"/>
        <v>31</v>
      </c>
      <c r="BC329" s="9" t="str">
        <f t="shared" si="232"/>
        <v>-</v>
      </c>
      <c r="BD329" s="3">
        <f t="shared" si="233"/>
        <v>31</v>
      </c>
      <c r="BE329" s="3">
        <f t="shared" si="234"/>
        <v>52</v>
      </c>
    </row>
    <row r="330" spans="1:59" s="3" customFormat="1" x14ac:dyDescent="0.2">
      <c r="A330" s="3" t="s">
        <v>1193</v>
      </c>
      <c r="B330" s="3" t="str">
        <f>LOWER(VLOOKUP(A330,Xtal_Templ!A:B,2,FALSE))</f>
        <v>crfr1_human</v>
      </c>
      <c r="C330" s="3">
        <f>VLOOKUP($A330,'SegEnds_NonXtal_BW#'!$A:$Z,3,FALSE)+D330-50</f>
        <v>391</v>
      </c>
      <c r="D330" s="3">
        <v>418</v>
      </c>
      <c r="E330" s="3">
        <f>IF(ISERROR(VLOOKUP($A330,'SegEnds_NonXtal_BW#'!$A:$Z,4,FALSE)+VLOOKUP($A330,A:AL,4,FALSE)-50),"-",(VLOOKUP($A330,'SegEnds_NonXtal_BW#'!$A:$Z,4,FALSE)+VLOOKUP($A330,A:AL,4,FALSE)-50))</f>
        <v>428</v>
      </c>
      <c r="F330" s="3">
        <f>G330-2</f>
        <v>430</v>
      </c>
      <c r="G330" s="3">
        <v>432</v>
      </c>
      <c r="H330" s="3">
        <f>G330+1</f>
        <v>433</v>
      </c>
      <c r="I330" s="3">
        <f>H330+1</f>
        <v>434</v>
      </c>
      <c r="J330" s="3">
        <v>453</v>
      </c>
      <c r="K330" s="3">
        <f>VLOOKUP($A330,'SegEnds_NonXtal_BW#'!$A:$Z,8,FALSE)+VLOOKUP($A330,A:AL,10,FALSE)-50</f>
        <v>466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473</v>
      </c>
      <c r="P330" s="3">
        <v>500</v>
      </c>
      <c r="Q330" s="3">
        <f>VLOOKUP($A330,'SegEnds_NonXtal_BW#'!$A:$Z,12,FALSE)+VLOOKUP($A330,A:AL,16,FALSE)-50</f>
        <v>506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1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514</v>
      </c>
      <c r="V330" s="3">
        <v>524</v>
      </c>
      <c r="W330" s="3">
        <f>IF(ISERROR(VLOOKUP($A330,'SegEnds_NonXtal_BW#'!$A:$Z,16,FALSE)+VLOOKUP($A330,A:AL,22,FALSE)-50),"-",(VLOOKUP($A330,'SegEnds_NonXtal_BW#'!$A:$Z,16,FALSE)+VLOOKUP($A330,A:AL,22,FALSE)-50))</f>
        <v>542</v>
      </c>
      <c r="X330" s="3">
        <f>IF(ISERROR(VLOOKUP($A330,'SegEnds_NonXtal_BW#'!$A:$Z,17,FALSE)+VLOOKUP($A330,A:AL,25,FALSE)-50),"-",(VLOOKUP($A330,'SegEnds_NonXtal_BW#'!$A:$Z,17,FALSE)+VLOOKUP($A330,A:AL,25,FALSE)-50))</f>
        <v>562</v>
      </c>
      <c r="Y330" s="3">
        <v>562</v>
      </c>
      <c r="Z330" s="3">
        <f t="shared" si="219"/>
        <v>564</v>
      </c>
      <c r="AA330" s="3">
        <f>IF(ISERROR(VLOOKUP($A330,'SegEnds_NonXtal_BW#'!$A:$Z,19,FALSE)+VLOOKUP($A330,A:AL,28,FALSE)-50),"-",(VLOOKUP($A330,'SegEnds_NonXtal_BW#'!$A:$Z,19,FALSE)+VLOOKUP($A330,A:AL,28,FALSE)-50))</f>
        <v>567</v>
      </c>
      <c r="AB330" s="3">
        <v>581</v>
      </c>
      <c r="AC330" s="3">
        <f>IF(ISERROR((VLOOKUP($A330,'SegEnds_NonXtal_BW#'!$A:$Z,20,FALSE)+VLOOKUP($A330,A:AL,28,FALSE)-50)),"-",(VLOOKUP($A330,'SegEnds_NonXtal_BW#'!$A:$Z,20,FALSE)+VLOOKUP($A330,A:AL,28,FALSE)-50))</f>
        <v>600</v>
      </c>
      <c r="AD330" s="3">
        <f>IF(ISERROR(VLOOKUP($A330,'SegEnds_NonXtal_BW#'!$A:$Z,21,FALSE)+VLOOKUP($A330,A:AL,31,FALSE)-50),"-",(VLOOKUP($A330,'SegEnds_NonXtal_BW#'!$A:$Z,21,FALSE)+VLOOKUP($A330,A:AL,31,FALSE)-50))</f>
        <v>604</v>
      </c>
      <c r="AE330" s="3">
        <v>625</v>
      </c>
      <c r="AF330" s="3">
        <f>IF(ISERROR((VLOOKUP($A330,'SegEnds_NonXtal_BW#'!$A:$Z,22,FALSE)+VLOOKUP($A330,A:AL,31,FALSE)-50)),"-",(VLOOKUP($A330,'SegEnds_NonXtal_BW#'!$A:$Z,22,FALSE)+VLOOKUP($A330,A:AL,31,FALSE)-50))</f>
        <v>628</v>
      </c>
      <c r="AG330" s="3">
        <f>IF(ISERROR(VLOOKUP($A330,'SegEnds_NonXtal_BW#'!$A:$Z,23,FALSE)+VLOOKUP($A330,A:AL,34,FALSE)-50),"-",(VLOOKUP($A330,'SegEnds_NonXtal_BW#'!$A:$Z,23,FALSE)+VLOOKUP($A330,A:AL,34,FALSE)-50))</f>
        <v>633</v>
      </c>
      <c r="AH330" s="3">
        <v>655</v>
      </c>
      <c r="AI330" s="3">
        <f>IF(ISERROR((VLOOKUP($A330,'SegEnds_NonXtal_BW#'!$A:$Z,24,FALSE)+VLOOKUP($A330,A:AL,34,FALSE)-50)),"-",(VLOOKUP($A330,'SegEnds_NonXtal_BW#'!$A:$Z,24,FALSE)+VLOOKUP($A330,A:AL,34,FALSE)-50))</f>
        <v>661</v>
      </c>
      <c r="AJ330" s="3">
        <f>IF(ISERROR(VLOOKUP($A330,'SegEnds_NonXtal_BW#'!$A:$Z,25,FALSE)+VLOOKUP($A330,A:AL,37,FALSE)-50),"-",(VLOOKUP($A330,'SegEnds_NonXtal_BW#'!$A:$Z,25,FALSE)+VLOOKUP($A330,A:AL,37,FALSE)-50))</f>
        <v>662</v>
      </c>
      <c r="AK330" s="3">
        <v>665</v>
      </c>
      <c r="AL330" s="3">
        <f>IF(ISERROR((VLOOKUP($A330,'SegEnds_NonXtal_BW#'!$A:$Z,26,FALSE)+VLOOKUP($A330,A:AL,37,FALSE)-50)),"-",(VLOOKUP($A330,'SegEnds_NonXtal_BW#'!$A:$Z,26,FALSE)+VLOOKUP($A330,A:AL,37,FALSE)-50))</f>
        <v>678</v>
      </c>
      <c r="AM330" s="28" t="str">
        <f>VLOOKUP(A330,Classification!A:B,2,FALSE)</f>
        <v>B2</v>
      </c>
      <c r="AN330" s="28" t="b">
        <f t="shared" si="235"/>
        <v>1</v>
      </c>
      <c r="AO330" s="3" t="str">
        <f>IF(ISERROR(MATCH(A330,'SegEnds_Xtal_Prot#'!B:B, 0)), "NoXtal", "Xtal")</f>
        <v>NoXtal</v>
      </c>
      <c r="AP330" s="3">
        <f t="shared" si="220"/>
        <v>2</v>
      </c>
      <c r="AQ330" s="3">
        <f t="shared" si="221"/>
        <v>1</v>
      </c>
      <c r="AR330" s="3" t="str">
        <f t="shared" si="222"/>
        <v>-</v>
      </c>
      <c r="AS330" s="3" t="str">
        <f t="shared" si="223"/>
        <v>-</v>
      </c>
      <c r="AT330" s="3" t="str">
        <f t="shared" si="224"/>
        <v>-</v>
      </c>
      <c r="AU330" s="3" t="str">
        <f t="shared" si="225"/>
        <v>-</v>
      </c>
      <c r="AV330" s="3">
        <f t="shared" si="226"/>
        <v>20</v>
      </c>
      <c r="AW330" s="3">
        <f t="shared" si="227"/>
        <v>3</v>
      </c>
      <c r="AX330" s="3">
        <f t="shared" si="228"/>
        <v>4</v>
      </c>
      <c r="AY330" s="3">
        <f t="shared" si="229"/>
        <v>5</v>
      </c>
      <c r="AZ330" s="3">
        <f t="shared" si="230"/>
        <v>1</v>
      </c>
      <c r="BA330" s="3">
        <f>IF(ISERROR(LEN(VLOOKUP(A330,Seqs!A:E,2,FALSE))-AL330),"-",LEN(VLOOKUP(A330,Seqs!A:E,2,FALSE))-AL330)</f>
        <v>15</v>
      </c>
      <c r="BB330" s="16">
        <f t="shared" si="231"/>
        <v>35</v>
      </c>
      <c r="BC330" s="9" t="str">
        <f t="shared" si="232"/>
        <v>-</v>
      </c>
      <c r="BD330" s="3">
        <f t="shared" si="233"/>
        <v>35</v>
      </c>
      <c r="BE330" s="3">
        <f t="shared" si="234"/>
        <v>44</v>
      </c>
      <c r="BF330" s="3">
        <f>AH330-AE330</f>
        <v>30</v>
      </c>
    </row>
    <row r="331" spans="1:59" s="3" customFormat="1" x14ac:dyDescent="0.2">
      <c r="A331" s="3" t="s">
        <v>1194</v>
      </c>
      <c r="B331" s="3" t="str">
        <f>LOWER(VLOOKUP(A331,Xtal_Templ!A:B,2,FALSE))</f>
        <v>crfr1_human</v>
      </c>
      <c r="C331" s="3">
        <f>VLOOKUP($A331,'SegEnds_NonXtal_BW#'!$A:$Z,3,FALSE)+D331-50</f>
        <v>616</v>
      </c>
      <c r="D331" s="3">
        <v>643</v>
      </c>
      <c r="E331" s="3">
        <f>IF(ISERROR(VLOOKUP($A331,'SegEnds_NonXtal_BW#'!$A:$Z,4,FALSE)+VLOOKUP($A331,A:AL,4,FALSE)-50),"-",(VLOOKUP($A331,'SegEnds_NonXtal_BW#'!$A:$Z,4,FALSE)+VLOOKUP($A331,A:AL,4,FALSE)-50))</f>
        <v>653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659</v>
      </c>
      <c r="J331" s="3">
        <v>672</v>
      </c>
      <c r="K331" s="3">
        <f>VLOOKUP($A331,'SegEnds_NonXtal_BW#'!$A:$Z,8,FALSE)+VLOOKUP($A331,A:AL,10,FALSE)-50</f>
        <v>685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692</v>
      </c>
      <c r="P331" s="3">
        <v>719</v>
      </c>
      <c r="Q331" s="3">
        <f>VLOOKUP($A331,'SegEnds_NonXtal_BW#'!$A:$Z,12,FALSE)+VLOOKUP($A331,A:AL,16,FALSE)-50</f>
        <v>725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1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733</v>
      </c>
      <c r="V331" s="3">
        <v>743</v>
      </c>
      <c r="W331" s="3">
        <f>IF(ISERROR(VLOOKUP($A331,'SegEnds_NonXtal_BW#'!$A:$Z,16,FALSE)+VLOOKUP($A331,A:AL,22,FALSE)-50),"-",(VLOOKUP($A331,'SegEnds_NonXtal_BW#'!$A:$Z,16,FALSE)+VLOOKUP($A331,A:AL,22,FALSE)-50))</f>
        <v>761</v>
      </c>
      <c r="X331" s="3">
        <f>IF(ISERROR(VLOOKUP($A331,'SegEnds_NonXtal_BW#'!$A:$Z,17,FALSE)+VLOOKUP($A331,A:AL,25,FALSE)-50),"-",(VLOOKUP($A331,'SegEnds_NonXtal_BW#'!$A:$Z,17,FALSE)+VLOOKUP($A331,A:AL,25,FALSE)-50))</f>
        <v>778</v>
      </c>
      <c r="Y331" s="3">
        <v>778</v>
      </c>
      <c r="Z331" s="3">
        <f t="shared" si="219"/>
        <v>780</v>
      </c>
      <c r="AA331" s="3">
        <f>IF(ISERROR(VLOOKUP($A331,'SegEnds_NonXtal_BW#'!$A:$Z,19,FALSE)+VLOOKUP($A331,A:AL,28,FALSE)-50),"-",(VLOOKUP($A331,'SegEnds_NonXtal_BW#'!$A:$Z,19,FALSE)+VLOOKUP($A331,A:AL,28,FALSE)-50))</f>
        <v>783</v>
      </c>
      <c r="AB331" s="3">
        <v>797</v>
      </c>
      <c r="AC331" s="3">
        <f>IF(ISERROR((VLOOKUP($A331,'SegEnds_NonXtal_BW#'!$A:$Z,20,FALSE)+VLOOKUP($A331,A:AL,28,FALSE)-50)),"-",(VLOOKUP($A331,'SegEnds_NonXtal_BW#'!$A:$Z,20,FALSE)+VLOOKUP($A331,A:AL,28,FALSE)-50))</f>
        <v>816</v>
      </c>
      <c r="AD331" s="3">
        <f>IF(ISERROR(VLOOKUP($A331,'SegEnds_NonXtal_BW#'!$A:$Z,21,FALSE)+VLOOKUP($A331,A:AL,31,FALSE)-50),"-",(VLOOKUP($A331,'SegEnds_NonXtal_BW#'!$A:$Z,21,FALSE)+VLOOKUP($A331,A:AL,31,FALSE)-50))</f>
        <v>827</v>
      </c>
      <c r="AE331" s="3">
        <v>848</v>
      </c>
      <c r="AF331" s="3">
        <f>IF(ISERROR((VLOOKUP($A331,'SegEnds_NonXtal_BW#'!$A:$Z,22,FALSE)+VLOOKUP($A331,A:AL,31,FALSE)-50)),"-",(VLOOKUP($A331,'SegEnds_NonXtal_BW#'!$A:$Z,22,FALSE)+VLOOKUP($A331,A:AL,31,FALSE)-50))</f>
        <v>851</v>
      </c>
      <c r="AG331" s="3">
        <f>IF(ISERROR(VLOOKUP($A331,'SegEnds_NonXtal_BW#'!$A:$Z,23,FALSE)+VLOOKUP($A331,A:AL,34,FALSE)-50),"-",(VLOOKUP($A331,'SegEnds_NonXtal_BW#'!$A:$Z,23,FALSE)+VLOOKUP($A331,A:AL,34,FALSE)-50))</f>
        <v>857</v>
      </c>
      <c r="AH331" s="3">
        <v>876</v>
      </c>
      <c r="AI331" s="3">
        <f>IF(ISERROR((VLOOKUP($A331,'SegEnds_NonXtal_BW#'!$A:$Z,24,FALSE)+VLOOKUP($A331,A:AL,34,FALSE)-50)),"-",(VLOOKUP($A331,'SegEnds_NonXtal_BW#'!$A:$Z,24,FALSE)+VLOOKUP($A331,A:AL,34,FALSE)-50))</f>
        <v>882</v>
      </c>
      <c r="AJ331" s="3">
        <f>IF(ISERROR(VLOOKUP($A331,'SegEnds_NonXtal_BW#'!$A:$Z,25,FALSE)+VLOOKUP($A331,A:AL,37,FALSE)-50),"-",(VLOOKUP($A331,'SegEnds_NonXtal_BW#'!$A:$Z,25,FALSE)+VLOOKUP($A331,A:AL,37,FALSE)-50))</f>
        <v>883</v>
      </c>
      <c r="AK331" s="3">
        <v>886</v>
      </c>
      <c r="AL331" s="3">
        <f>IF(ISERROR((VLOOKUP($A331,'SegEnds_NonXtal_BW#'!$A:$Z,26,FALSE)+VLOOKUP($A331,A:AL,37,FALSE)-50)),"-",(VLOOKUP($A331,'SegEnds_NonXtal_BW#'!$A:$Z,26,FALSE)+VLOOKUP($A331,A:AL,37,FALSE)-50))</f>
        <v>899</v>
      </c>
      <c r="AM331" s="28" t="str">
        <f>VLOOKUP(A331,Classification!A:B,2,FALSE)</f>
        <v>B2</v>
      </c>
      <c r="AN331" s="28" t="b">
        <f t="shared" si="235"/>
        <v>1</v>
      </c>
      <c r="AO331" s="3" t="str">
        <f>IF(ISERROR(MATCH(A331,'SegEnds_Xtal_Prot#'!B:B, 0)), "NoXtal", "Xtal")</f>
        <v>NoXtal</v>
      </c>
      <c r="AP331" s="3" t="str">
        <f t="shared" si="220"/>
        <v>-</v>
      </c>
      <c r="AQ331" s="3" t="str">
        <f t="shared" si="221"/>
        <v>-</v>
      </c>
      <c r="AR331" s="3" t="str">
        <f t="shared" si="222"/>
        <v>-</v>
      </c>
      <c r="AS331" s="3" t="str">
        <f t="shared" si="223"/>
        <v>-</v>
      </c>
      <c r="AT331" s="3" t="str">
        <f t="shared" si="224"/>
        <v>-</v>
      </c>
      <c r="AU331" s="3" t="str">
        <f t="shared" si="225"/>
        <v>-</v>
      </c>
      <c r="AV331" s="3">
        <f t="shared" si="226"/>
        <v>17</v>
      </c>
      <c r="AW331" s="3">
        <f t="shared" si="227"/>
        <v>3</v>
      </c>
      <c r="AX331" s="3">
        <f t="shared" si="228"/>
        <v>11</v>
      </c>
      <c r="AY331" s="3">
        <f t="shared" si="229"/>
        <v>6</v>
      </c>
      <c r="AZ331" s="3">
        <f t="shared" si="230"/>
        <v>1</v>
      </c>
      <c r="BA331" s="3">
        <f>IF(ISERROR(LEN(VLOOKUP(A331,Seqs!A:E,2,FALSE))-AL331),"-",LEN(VLOOKUP(A331,Seqs!A:E,2,FALSE))-AL331)</f>
        <v>118</v>
      </c>
      <c r="BB331" s="16">
        <f t="shared" si="231"/>
        <v>29</v>
      </c>
      <c r="BC331" s="9" t="str">
        <f t="shared" si="232"/>
        <v>-</v>
      </c>
      <c r="BD331" s="3">
        <f t="shared" si="233"/>
        <v>29</v>
      </c>
      <c r="BE331" s="3">
        <f t="shared" si="234"/>
        <v>51</v>
      </c>
    </row>
    <row r="332" spans="1:59" s="3" customFormat="1" x14ac:dyDescent="0.2">
      <c r="A332" s="3" t="s">
        <v>1195</v>
      </c>
      <c r="B332" s="3" t="str">
        <f>LOWER(VLOOKUP(A332,Xtal_Templ!A:B,2,FALSE))</f>
        <v>crfr1_human</v>
      </c>
      <c r="C332" s="3">
        <f>VLOOKUP($A332,'SegEnds_NonXtal_BW#'!$A:$Z,3,FALSE)+D332-50</f>
        <v>256</v>
      </c>
      <c r="D332" s="3">
        <v>283</v>
      </c>
      <c r="E332" s="3">
        <f>IF(ISERROR(VLOOKUP($A332,'SegEnds_NonXtal_BW#'!$A:$Z,4,FALSE)+VLOOKUP($A332,A:AL,4,FALSE)-50),"-",(VLOOKUP($A332,'SegEnds_NonXtal_BW#'!$A:$Z,4,FALSE)+VLOOKUP($A332,A:AL,4,FALSE)-50))</f>
        <v>293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303</v>
      </c>
      <c r="J332" s="3">
        <v>316</v>
      </c>
      <c r="K332" s="3">
        <f>VLOOKUP($A332,'SegEnds_NonXtal_BW#'!$A:$Z,8,FALSE)+VLOOKUP($A332,A:AL,10,FALSE)-50</f>
        <v>329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336</v>
      </c>
      <c r="P332" s="3">
        <v>363</v>
      </c>
      <c r="Q332" s="3">
        <f>VLOOKUP($A332,'SegEnds_NonXtal_BW#'!$A:$Z,12,FALSE)+VLOOKUP($A332,A:AL,16,FALSE)-50</f>
        <v>369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1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377</v>
      </c>
      <c r="V332" s="3">
        <v>387</v>
      </c>
      <c r="W332" s="3">
        <f>IF(ISERROR(VLOOKUP($A332,'SegEnds_NonXtal_BW#'!$A:$Z,16,FALSE)+VLOOKUP($A332,A:AL,22,FALSE)-50),"-",(VLOOKUP($A332,'SegEnds_NonXtal_BW#'!$A:$Z,16,FALSE)+VLOOKUP($A332,A:AL,22,FALSE)-50))</f>
        <v>405</v>
      </c>
      <c r="X332" s="3">
        <f>IF(ISERROR(VLOOKUP($A332,'SegEnds_NonXtal_BW#'!$A:$Z,17,FALSE)+VLOOKUP($A332,A:AL,25,FALSE)-50),"-",(VLOOKUP($A332,'SegEnds_NonXtal_BW#'!$A:$Z,17,FALSE)+VLOOKUP($A332,A:AL,25,FALSE)-50))</f>
        <v>420</v>
      </c>
      <c r="Y332" s="3">
        <v>420</v>
      </c>
      <c r="Z332" s="3">
        <f t="shared" si="219"/>
        <v>422</v>
      </c>
      <c r="AA332" s="3">
        <f>IF(ISERROR(VLOOKUP($A332,'SegEnds_NonXtal_BW#'!$A:$Z,19,FALSE)+VLOOKUP($A332,A:AL,28,FALSE)-50),"-",(VLOOKUP($A332,'SegEnds_NonXtal_BW#'!$A:$Z,19,FALSE)+VLOOKUP($A332,A:AL,28,FALSE)-50))</f>
        <v>424</v>
      </c>
      <c r="AB332" s="3">
        <v>438</v>
      </c>
      <c r="AC332" s="3">
        <f>IF(ISERROR((VLOOKUP($A332,'SegEnds_NonXtal_BW#'!$A:$Z,20,FALSE)+VLOOKUP($A332,A:AL,28,FALSE)-50)),"-",(VLOOKUP($A332,'SegEnds_NonXtal_BW#'!$A:$Z,20,FALSE)+VLOOKUP($A332,A:AL,28,FALSE)-50))</f>
        <v>457</v>
      </c>
      <c r="AD332" s="3">
        <f>IF(ISERROR(VLOOKUP($A332,'SegEnds_NonXtal_BW#'!$A:$Z,21,FALSE)+VLOOKUP($A332,A:AL,31,FALSE)-50),"-",(VLOOKUP($A332,'SegEnds_NonXtal_BW#'!$A:$Z,21,FALSE)+VLOOKUP($A332,A:AL,31,FALSE)-50))</f>
        <v>471</v>
      </c>
      <c r="AE332" s="3">
        <v>492</v>
      </c>
      <c r="AF332" s="3">
        <f>IF(ISERROR((VLOOKUP($A332,'SegEnds_NonXtal_BW#'!$A:$Z,22,FALSE)+VLOOKUP($A332,A:AL,31,FALSE)-50)),"-",(VLOOKUP($A332,'SegEnds_NonXtal_BW#'!$A:$Z,22,FALSE)+VLOOKUP($A332,A:AL,31,FALSE)-50))</f>
        <v>492</v>
      </c>
      <c r="AG332" s="3">
        <f>IF(ISERROR(VLOOKUP($A332,'SegEnds_NonXtal_BW#'!$A:$Z,23,FALSE)+VLOOKUP($A332,A:AL,34,FALSE)-50),"-",(VLOOKUP($A332,'SegEnds_NonXtal_BW#'!$A:$Z,23,FALSE)+VLOOKUP($A332,A:AL,34,FALSE)-50))</f>
        <v>499</v>
      </c>
      <c r="AH332" s="3">
        <v>518</v>
      </c>
      <c r="AI332" s="3">
        <f>IF(ISERROR((VLOOKUP($A332,'SegEnds_NonXtal_BW#'!$A:$Z,24,FALSE)+VLOOKUP($A332,A:AL,34,FALSE)-50)),"-",(VLOOKUP($A332,'SegEnds_NonXtal_BW#'!$A:$Z,24,FALSE)+VLOOKUP($A332,A:AL,34,FALSE)-50))</f>
        <v>524</v>
      </c>
      <c r="AJ332" s="3">
        <f>IF(ISERROR(VLOOKUP($A332,'SegEnds_NonXtal_BW#'!$A:$Z,25,FALSE)+VLOOKUP($A332,A:AL,37,FALSE)-50),"-",(VLOOKUP($A332,'SegEnds_NonXtal_BW#'!$A:$Z,25,FALSE)+VLOOKUP($A332,A:AL,37,FALSE)-50))</f>
        <v>525</v>
      </c>
      <c r="AK332" s="3">
        <v>528</v>
      </c>
      <c r="AL332" s="3">
        <f>IF(ISERROR((VLOOKUP($A332,'SegEnds_NonXtal_BW#'!$A:$Z,26,FALSE)+VLOOKUP($A332,A:AL,37,FALSE)-50)),"-",(VLOOKUP($A332,'SegEnds_NonXtal_BW#'!$A:$Z,26,FALSE)+VLOOKUP($A332,A:AL,37,FALSE)-50))</f>
        <v>541</v>
      </c>
      <c r="AM332" s="28" t="str">
        <f>VLOOKUP(A332,Classification!A:B,2,FALSE)</f>
        <v>B2</v>
      </c>
      <c r="AN332" s="28" t="b">
        <f t="shared" si="235"/>
        <v>1</v>
      </c>
      <c r="AO332" s="3" t="str">
        <f>IF(ISERROR(MATCH(A332,'SegEnds_Xtal_Prot#'!B:B, 0)), "NoXtal", "Xtal")</f>
        <v>NoXtal</v>
      </c>
      <c r="AP332" s="3" t="str">
        <f t="shared" si="220"/>
        <v>-</v>
      </c>
      <c r="AQ332" s="3" t="str">
        <f t="shared" si="221"/>
        <v>-</v>
      </c>
      <c r="AR332" s="3" t="str">
        <f t="shared" si="222"/>
        <v>-</v>
      </c>
      <c r="AS332" s="3" t="str">
        <f t="shared" si="223"/>
        <v>-</v>
      </c>
      <c r="AT332" s="3" t="str">
        <f t="shared" si="224"/>
        <v>-</v>
      </c>
      <c r="AU332" s="3" t="str">
        <f t="shared" si="225"/>
        <v>-</v>
      </c>
      <c r="AV332" s="3">
        <f t="shared" si="226"/>
        <v>15</v>
      </c>
      <c r="AW332" s="3">
        <f t="shared" si="227"/>
        <v>2</v>
      </c>
      <c r="AX332" s="3">
        <f t="shared" si="228"/>
        <v>14</v>
      </c>
      <c r="AY332" s="3">
        <f t="shared" si="229"/>
        <v>7</v>
      </c>
      <c r="AZ332" s="3">
        <f t="shared" si="230"/>
        <v>1</v>
      </c>
      <c r="BA332" s="3">
        <f>IF(ISERROR(LEN(VLOOKUP(A332,Seqs!A:E,2,FALSE))-AL332),"-",LEN(VLOOKUP(A332,Seqs!A:E,2,FALSE))-AL332)</f>
        <v>8</v>
      </c>
      <c r="BB332" s="16">
        <f t="shared" si="231"/>
        <v>33</v>
      </c>
      <c r="BC332" s="9" t="str">
        <f t="shared" si="232"/>
        <v>-</v>
      </c>
      <c r="BD332" s="3">
        <f t="shared" si="233"/>
        <v>33</v>
      </c>
      <c r="BE332" s="3">
        <f t="shared" si="234"/>
        <v>54</v>
      </c>
      <c r="BF332" s="3">
        <f>AH332-AE332</f>
        <v>26</v>
      </c>
    </row>
    <row r="333" spans="1:59" s="3" customFormat="1" x14ac:dyDescent="0.2">
      <c r="A333" s="3" t="s">
        <v>1196</v>
      </c>
      <c r="B333" s="3" t="str">
        <f>LOWER(VLOOKUP(A333,Xtal_Templ!A:B,2,FALSE))</f>
        <v>crfr1_human</v>
      </c>
      <c r="C333" s="3">
        <f>VLOOKUP($A333,'SegEnds_NonXtal_BW#'!$A:$Z,3,FALSE)+D333-50</f>
        <v>2731</v>
      </c>
      <c r="D333" s="3">
        <v>2758</v>
      </c>
      <c r="E333" s="3">
        <f>IF(ISERROR(VLOOKUP($A333,'SegEnds_NonXtal_BW#'!$A:$Z,4,FALSE)+VLOOKUP($A333,A:AL,4,FALSE)-50),"-",(VLOOKUP($A333,'SegEnds_NonXtal_BW#'!$A:$Z,4,FALSE)+VLOOKUP($A333,A:AL,4,FALSE)-50))</f>
        <v>2768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2774</v>
      </c>
      <c r="J333" s="3">
        <v>2787</v>
      </c>
      <c r="K333" s="3">
        <f>VLOOKUP($A333,'SegEnds_NonXtal_BW#'!$A:$Z,8,FALSE)+VLOOKUP($A333,A:AL,10,FALSE)-50</f>
        <v>2800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2807</v>
      </c>
      <c r="P333" s="3">
        <v>2834</v>
      </c>
      <c r="Q333" s="3">
        <f>VLOOKUP($A333,'SegEnds_NonXtal_BW#'!$A:$Z,12,FALSE)+VLOOKUP($A333,A:AL,16,FALSE)-50</f>
        <v>2840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1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2848</v>
      </c>
      <c r="V333" s="3">
        <v>2858</v>
      </c>
      <c r="W333" s="3">
        <f>IF(ISERROR(VLOOKUP($A333,'SegEnds_NonXtal_BW#'!$A:$Z,16,FALSE)+VLOOKUP($A333,A:AL,22,FALSE)-50),"-",(VLOOKUP($A333,'SegEnds_NonXtal_BW#'!$A:$Z,16,FALSE)+VLOOKUP($A333,A:AL,22,FALSE)-50))</f>
        <v>2876</v>
      </c>
      <c r="X333" s="3">
        <f>IF(ISERROR(VLOOKUP($A333,'SegEnds_NonXtal_BW#'!$A:$Z,17,FALSE)+VLOOKUP($A333,A:AL,25,FALSE)-50),"-",(VLOOKUP($A333,'SegEnds_NonXtal_BW#'!$A:$Z,17,FALSE)+VLOOKUP($A333,A:AL,25,FALSE)-50))</f>
        <v>2886</v>
      </c>
      <c r="Y333" s="3">
        <v>2886</v>
      </c>
      <c r="Z333" s="3">
        <f t="shared" si="219"/>
        <v>2888</v>
      </c>
      <c r="AA333" s="3">
        <f>IF(ISERROR(VLOOKUP($A333,'SegEnds_NonXtal_BW#'!$A:$Z,19,FALSE)+VLOOKUP($A333,A:AL,28,FALSE)-50),"-",(VLOOKUP($A333,'SegEnds_NonXtal_BW#'!$A:$Z,19,FALSE)+VLOOKUP($A333,A:AL,28,FALSE)-50))</f>
        <v>2891</v>
      </c>
      <c r="AB333" s="3">
        <v>2905</v>
      </c>
      <c r="AC333" s="3">
        <f>IF(ISERROR((VLOOKUP($A333,'SegEnds_NonXtal_BW#'!$A:$Z,20,FALSE)+VLOOKUP($A333,A:AL,28,FALSE)-50)),"-",(VLOOKUP($A333,'SegEnds_NonXtal_BW#'!$A:$Z,20,FALSE)+VLOOKUP($A333,A:AL,28,FALSE)-50))</f>
        <v>2924</v>
      </c>
      <c r="AD333" s="3">
        <f>IF(ISERROR(VLOOKUP($A333,'SegEnds_NonXtal_BW#'!$A:$Z,21,FALSE)+VLOOKUP($A333,A:AL,31,FALSE)-50),"-",(VLOOKUP($A333,'SegEnds_NonXtal_BW#'!$A:$Z,21,FALSE)+VLOOKUP($A333,A:AL,31,FALSE)-50))</f>
        <v>2934</v>
      </c>
      <c r="AE333" s="3">
        <v>2955</v>
      </c>
      <c r="AF333" s="3">
        <f>IF(ISERROR((VLOOKUP($A333,'SegEnds_NonXtal_BW#'!$A:$Z,22,FALSE)+VLOOKUP($A333,A:AL,31,FALSE)-50)),"-",(VLOOKUP($A333,'SegEnds_NonXtal_BW#'!$A:$Z,22,FALSE)+VLOOKUP($A333,A:AL,31,FALSE)-50))</f>
        <v>2958</v>
      </c>
      <c r="AG333" s="3">
        <f>IF(ISERROR(VLOOKUP($A333,'SegEnds_NonXtal_BW#'!$A:$Z,23,FALSE)+VLOOKUP($A333,A:AL,34,FALSE)-50),"-",(VLOOKUP($A333,'SegEnds_NonXtal_BW#'!$A:$Z,23,FALSE)+VLOOKUP($A333,A:AL,34,FALSE)-50))</f>
        <v>2964</v>
      </c>
      <c r="AH333" s="3">
        <v>2983</v>
      </c>
      <c r="AI333" s="3">
        <f>IF(ISERROR((VLOOKUP($A333,'SegEnds_NonXtal_BW#'!$A:$Z,24,FALSE)+VLOOKUP($A333,A:AL,34,FALSE)-50)),"-",(VLOOKUP($A333,'SegEnds_NonXtal_BW#'!$A:$Z,24,FALSE)+VLOOKUP($A333,A:AL,34,FALSE)-50))</f>
        <v>2989</v>
      </c>
      <c r="AJ333" s="3">
        <f>IF(ISERROR(VLOOKUP($A333,'SegEnds_NonXtal_BW#'!$A:$Z,25,FALSE)+VLOOKUP($A333,A:AL,37,FALSE)-50),"-",(VLOOKUP($A333,'SegEnds_NonXtal_BW#'!$A:$Z,25,FALSE)+VLOOKUP($A333,A:AL,37,FALSE)-50))</f>
        <v>2990</v>
      </c>
      <c r="AK333" s="3">
        <v>2993</v>
      </c>
      <c r="AL333" s="3">
        <f>IF(ISERROR((VLOOKUP($A333,'SegEnds_NonXtal_BW#'!$A:$Z,26,FALSE)+VLOOKUP($A333,A:AL,37,FALSE)-50)),"-",(VLOOKUP($A333,'SegEnds_NonXtal_BW#'!$A:$Z,26,FALSE)+VLOOKUP($A333,A:AL,37,FALSE)-50))</f>
        <v>3006</v>
      </c>
      <c r="AM333" s="28" t="str">
        <f>VLOOKUP(A333,Classification!A:B,2,FALSE)</f>
        <v>B2</v>
      </c>
      <c r="AN333" s="28" t="b">
        <f t="shared" si="235"/>
        <v>1</v>
      </c>
      <c r="AO333" s="3" t="str">
        <f>IF(ISERROR(MATCH(A333,'SegEnds_Xtal_Prot#'!B:B, 0)), "NoXtal", "Xtal")</f>
        <v>NoXtal</v>
      </c>
      <c r="AP333" s="3" t="str">
        <f t="shared" si="220"/>
        <v>-</v>
      </c>
      <c r="AQ333" s="3" t="str">
        <f t="shared" si="221"/>
        <v>-</v>
      </c>
      <c r="AR333" s="3" t="str">
        <f t="shared" si="222"/>
        <v>-</v>
      </c>
      <c r="AS333" s="3" t="str">
        <f t="shared" si="223"/>
        <v>-</v>
      </c>
      <c r="AT333" s="3" t="str">
        <f t="shared" si="224"/>
        <v>-</v>
      </c>
      <c r="AU333" s="3" t="str">
        <f t="shared" si="225"/>
        <v>-</v>
      </c>
      <c r="AV333" s="3">
        <f t="shared" si="226"/>
        <v>10</v>
      </c>
      <c r="AW333" s="3">
        <f t="shared" si="227"/>
        <v>3</v>
      </c>
      <c r="AX333" s="3">
        <f t="shared" si="228"/>
        <v>10</v>
      </c>
      <c r="AY333" s="3">
        <f t="shared" si="229"/>
        <v>6</v>
      </c>
      <c r="AZ333" s="3">
        <f t="shared" si="230"/>
        <v>1</v>
      </c>
      <c r="BA333" s="3">
        <f>IF(ISERROR(LEN(VLOOKUP(A333,Seqs!A:E,2,FALSE))-AL333),"-",LEN(VLOOKUP(A333,Seqs!A:E,2,FALSE))-AL333)</f>
        <v>74</v>
      </c>
      <c r="BB333" s="16">
        <f t="shared" si="231"/>
        <v>29</v>
      </c>
      <c r="BC333" s="9" t="str">
        <f t="shared" si="232"/>
        <v>-</v>
      </c>
      <c r="BD333" s="3">
        <f t="shared" si="233"/>
        <v>29</v>
      </c>
      <c r="BE333" s="3">
        <f t="shared" si="234"/>
        <v>50</v>
      </c>
    </row>
    <row r="334" spans="1:59" s="3" customFormat="1" x14ac:dyDescent="0.2">
      <c r="A334" s="3" t="s">
        <v>1197</v>
      </c>
      <c r="B334" s="3" t="str">
        <f>LOWER(VLOOKUP(A334,Xtal_Templ!A:B,2,FALSE))</f>
        <v>glr_human</v>
      </c>
      <c r="C334" s="3">
        <f>VLOOKUP($A334,'SegEnds_NonXtal_BW#'!$A:$Z,3,FALSE)+D334-50</f>
        <v>236</v>
      </c>
      <c r="D334" s="3">
        <v>263</v>
      </c>
      <c r="E334" s="3">
        <f>IF(ISERROR(VLOOKUP($A334,'SegEnds_NonXtal_BW#'!$A:$Z,4,FALSE)+VLOOKUP($A334,A:AL,4,FALSE)-50),"-",(VLOOKUP($A334,'SegEnds_NonXtal_BW#'!$A:$Z,4,FALSE)+VLOOKUP($A334,A:AL,4,FALSE)-50))</f>
        <v>273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278</v>
      </c>
      <c r="J334" s="3">
        <v>291</v>
      </c>
      <c r="K334" s="3">
        <f>VLOOKUP($A334,'SegEnds_NonXtal_BW#'!$A:$Z,8,FALSE)+VLOOKUP($A334,A:AL,10,FALSE)-50</f>
        <v>304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312</v>
      </c>
      <c r="P334" s="3">
        <v>339</v>
      </c>
      <c r="Q334" s="3">
        <f>VLOOKUP($A334,'SegEnds_NonXtal_BW#'!$A:$Z,12,FALSE)+VLOOKUP($A334,A:AL,16,FALSE)-50</f>
        <v>345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1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353</v>
      </c>
      <c r="V334" s="3">
        <v>363</v>
      </c>
      <c r="W334" s="3">
        <f>IF(ISERROR(VLOOKUP($A334,'SegEnds_NonXtal_BW#'!$A:$Z,16,FALSE)+VLOOKUP($A334,A:AL,22,FALSE)-50),"-",(VLOOKUP($A334,'SegEnds_NonXtal_BW#'!$A:$Z,16,FALSE)+VLOOKUP($A334,A:AL,22,FALSE)-50))</f>
        <v>381</v>
      </c>
      <c r="X334" s="3">
        <f>IF(ISERROR(VLOOKUP($A334,'SegEnds_NonXtal_BW#'!$A:$Z,17,FALSE)+VLOOKUP($A334,A:AL,25,FALSE)-50),"-",(VLOOKUP($A334,'SegEnds_NonXtal_BW#'!$A:$Z,17,FALSE)+VLOOKUP($A334,A:AL,25,FALSE)-50))</f>
        <v>404</v>
      </c>
      <c r="Y334" s="3">
        <v>404</v>
      </c>
      <c r="Z334" s="3">
        <f t="shared" si="219"/>
        <v>406</v>
      </c>
      <c r="AA334" s="3">
        <f>IF(ISERROR(VLOOKUP($A334,'SegEnds_NonXtal_BW#'!$A:$Z,19,FALSE)+VLOOKUP($A334,A:AL,28,FALSE)-50),"-",(VLOOKUP($A334,'SegEnds_NonXtal_BW#'!$A:$Z,19,FALSE)+VLOOKUP($A334,A:AL,28,FALSE)-50))</f>
        <v>409</v>
      </c>
      <c r="AB334" s="3">
        <v>423</v>
      </c>
      <c r="AC334" s="3">
        <f>IF(ISERROR((VLOOKUP($A334,'SegEnds_NonXtal_BW#'!$A:$Z,20,FALSE)+VLOOKUP($A334,A:AL,28,FALSE)-50)),"-",(VLOOKUP($A334,'SegEnds_NonXtal_BW#'!$A:$Z,20,FALSE)+VLOOKUP($A334,A:AL,28,FALSE)-50))</f>
        <v>442</v>
      </c>
      <c r="AD334" s="3">
        <f>IF(ISERROR(VLOOKUP($A334,'SegEnds_NonXtal_BW#'!$A:$Z,21,FALSE)+VLOOKUP($A334,A:AL,31,FALSE)-50),"-",(VLOOKUP($A334,'SegEnds_NonXtal_BW#'!$A:$Z,21,FALSE)+VLOOKUP($A334,A:AL,31,FALSE)-50))</f>
        <v>451</v>
      </c>
      <c r="AE334" s="3">
        <v>472</v>
      </c>
      <c r="AF334" s="3">
        <f>IF(ISERROR((VLOOKUP($A334,'SegEnds_NonXtal_BW#'!$A:$Z,22,FALSE)+VLOOKUP($A334,A:AL,31,FALSE)-50)),"-",(VLOOKUP($A334,'SegEnds_NonXtal_BW#'!$A:$Z,22,FALSE)+VLOOKUP($A334,A:AL,31,FALSE)-50))</f>
        <v>475</v>
      </c>
      <c r="AG334" s="3">
        <f>IF(ISERROR(VLOOKUP($A334,'SegEnds_NonXtal_BW#'!$A:$Z,23,FALSE)+VLOOKUP($A334,A:AL,34,FALSE)-50),"-",(VLOOKUP($A334,'SegEnds_NonXtal_BW#'!$A:$Z,23,FALSE)+VLOOKUP($A334,A:AL,34,FALSE)-50))</f>
        <v>481</v>
      </c>
      <c r="AH334" s="3">
        <v>500</v>
      </c>
      <c r="AI334" s="3">
        <f>IF(ISERROR((VLOOKUP($A334,'SegEnds_NonXtal_BW#'!$A:$Z,24,FALSE)+VLOOKUP($A334,A:AL,34,FALSE)-50)),"-",(VLOOKUP($A334,'SegEnds_NonXtal_BW#'!$A:$Z,24,FALSE)+VLOOKUP($A334,A:AL,34,FALSE)-50))</f>
        <v>506</v>
      </c>
      <c r="AJ334" s="3">
        <f>IF(ISERROR(VLOOKUP($A334,'SegEnds_NonXtal_BW#'!$A:$Z,25,FALSE)+VLOOKUP($A334,A:AL,37,FALSE)-50),"-",(VLOOKUP($A334,'SegEnds_NonXtal_BW#'!$A:$Z,25,FALSE)+VLOOKUP($A334,A:AL,37,FALSE)-50))</f>
        <v>507</v>
      </c>
      <c r="AK334" s="3">
        <v>510</v>
      </c>
      <c r="AL334" s="3">
        <f>IF(ISERROR((VLOOKUP($A334,'SegEnds_NonXtal_BW#'!$A:$Z,26,FALSE)+VLOOKUP($A334,A:AL,37,FALSE)-50)),"-",(VLOOKUP($A334,'SegEnds_NonXtal_BW#'!$A:$Z,26,FALSE)+VLOOKUP($A334,A:AL,37,FALSE)-50))</f>
        <v>523</v>
      </c>
      <c r="AM334" s="28" t="str">
        <f>VLOOKUP(A334,Classification!A:B,2,FALSE)</f>
        <v>B2</v>
      </c>
      <c r="AN334" s="28" t="b">
        <f t="shared" si="235"/>
        <v>1</v>
      </c>
      <c r="AO334" s="3" t="str">
        <f>IF(ISERROR(MATCH(A334,'SegEnds_Xtal_Prot#'!B:B, 0)), "NoXtal", "Xtal")</f>
        <v>NoXtal</v>
      </c>
      <c r="AP334" s="3" t="str">
        <f t="shared" si="220"/>
        <v>-</v>
      </c>
      <c r="AQ334" s="3" t="str">
        <f t="shared" si="221"/>
        <v>-</v>
      </c>
      <c r="AR334" s="3" t="str">
        <f t="shared" si="222"/>
        <v>-</v>
      </c>
      <c r="AS334" s="3" t="str">
        <f t="shared" si="223"/>
        <v>-</v>
      </c>
      <c r="AT334" s="3" t="str">
        <f t="shared" si="224"/>
        <v>-</v>
      </c>
      <c r="AU334" s="3" t="str">
        <f t="shared" si="225"/>
        <v>-</v>
      </c>
      <c r="AV334" s="3">
        <f t="shared" si="226"/>
        <v>23</v>
      </c>
      <c r="AW334" s="3">
        <f t="shared" si="227"/>
        <v>3</v>
      </c>
      <c r="AX334" s="3">
        <f t="shared" si="228"/>
        <v>9</v>
      </c>
      <c r="AY334" s="3">
        <f t="shared" si="229"/>
        <v>6</v>
      </c>
      <c r="AZ334" s="3">
        <f t="shared" si="230"/>
        <v>1</v>
      </c>
      <c r="BA334" s="3">
        <f>IF(ISERROR(LEN(VLOOKUP(A334,Seqs!A:E,2,FALSE))-AL334),"-",LEN(VLOOKUP(A334,Seqs!A:E,2,FALSE))-AL334)</f>
        <v>5</v>
      </c>
      <c r="BB334" s="16">
        <f t="shared" si="231"/>
        <v>28</v>
      </c>
      <c r="BC334" s="9" t="str">
        <f t="shared" si="232"/>
        <v>-</v>
      </c>
      <c r="BD334" s="3">
        <f t="shared" si="233"/>
        <v>28</v>
      </c>
      <c r="BE334" s="3">
        <f t="shared" si="234"/>
        <v>49</v>
      </c>
      <c r="BF334" s="3">
        <f>AH334-AE334</f>
        <v>28</v>
      </c>
    </row>
    <row r="335" spans="1:59" s="3" customFormat="1" x14ac:dyDescent="0.2">
      <c r="A335" s="3" t="s">
        <v>1423</v>
      </c>
      <c r="B335" s="3" t="str">
        <f>LOWER(VLOOKUP(A335,Xtal_Templ!A:B,2,FALSE))</f>
        <v>crfr1_human</v>
      </c>
      <c r="C335" s="3">
        <f>VLOOKUP($A335,'SegEnds_NonXtal_BW#'!$A:$Z,3,FALSE)+D335-50</f>
        <v>852</v>
      </c>
      <c r="D335" s="3">
        <v>879</v>
      </c>
      <c r="E335" s="3">
        <f>IF(ISERROR(VLOOKUP($A335,'SegEnds_NonXtal_BW#'!$A:$Z,4,FALSE)+VLOOKUP($A335,A:AL,4,FALSE)-50),"-",(VLOOKUP($A335,'SegEnds_NonXtal_BW#'!$A:$Z,4,FALSE)+VLOOKUP($A335,A:AL,4,FALSE)-50))</f>
        <v>889</v>
      </c>
      <c r="F335" s="3">
        <f>G335-2</f>
        <v>890</v>
      </c>
      <c r="G335" s="3">
        <v>892</v>
      </c>
      <c r="H335" s="3">
        <f>G335+1</f>
        <v>893</v>
      </c>
      <c r="I335" s="3">
        <f>H335+1</f>
        <v>894</v>
      </c>
      <c r="J335" s="3">
        <v>908</v>
      </c>
      <c r="K335" s="3">
        <f>VLOOKUP($A335,'SegEnds_NonXtal_BW#'!$A:$Z,8,FALSE)+VLOOKUP($A335,A:AL,10,FALSE)-50</f>
        <v>921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928</v>
      </c>
      <c r="P335" s="3">
        <v>955</v>
      </c>
      <c r="Q335" s="3">
        <f>VLOOKUP($A335,'SegEnds_NonXtal_BW#'!$A:$Z,12,FALSE)+VLOOKUP($A335,A:AL,16,FALSE)-50</f>
        <v>961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1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969</v>
      </c>
      <c r="V335" s="3">
        <v>979</v>
      </c>
      <c r="W335" s="3">
        <f>IF(ISERROR(VLOOKUP($A335,'SegEnds_NonXtal_BW#'!$A:$Z,16,FALSE)+VLOOKUP($A335,A:AL,22,FALSE)-50),"-",(VLOOKUP($A335,'SegEnds_NonXtal_BW#'!$A:$Z,16,FALSE)+VLOOKUP($A335,A:AL,22,FALSE)-50))</f>
        <v>997</v>
      </c>
      <c r="X335" s="3">
        <f>IF(ISERROR(VLOOKUP($A335,'SegEnds_NonXtal_BW#'!$A:$Z,17,FALSE)+VLOOKUP($A335,A:AL,25,FALSE)-50),"-",(VLOOKUP($A335,'SegEnds_NonXtal_BW#'!$A:$Z,17,FALSE)+VLOOKUP($A335,A:AL,25,FALSE)-50))</f>
        <v>1013</v>
      </c>
      <c r="Y335" s="3">
        <v>1013</v>
      </c>
      <c r="Z335" s="3">
        <f t="shared" si="219"/>
        <v>1015</v>
      </c>
      <c r="AA335" s="3">
        <f>IF(ISERROR(VLOOKUP($A335,'SegEnds_NonXtal_BW#'!$A:$Z,19,FALSE)+VLOOKUP($A335,A:AL,28,FALSE)-50),"-",(VLOOKUP($A335,'SegEnds_NonXtal_BW#'!$A:$Z,19,FALSE)+VLOOKUP($A335,A:AL,28,FALSE)-50))</f>
        <v>1018</v>
      </c>
      <c r="AB335" s="3">
        <v>1032</v>
      </c>
      <c r="AC335" s="3">
        <f>IF(ISERROR((VLOOKUP($A335,'SegEnds_NonXtal_BW#'!$A:$Z,20,FALSE)+VLOOKUP($A335,A:AL,28,FALSE)-50)),"-",(VLOOKUP($A335,'SegEnds_NonXtal_BW#'!$A:$Z,20,FALSE)+VLOOKUP($A335,A:AL,28,FALSE)-50))</f>
        <v>1051</v>
      </c>
      <c r="AD335" s="3">
        <f>IF(ISERROR(VLOOKUP($A335,'SegEnds_NonXtal_BW#'!$A:$Z,21,FALSE)+VLOOKUP($A335,A:AL,31,FALSE)-50),"-",(VLOOKUP($A335,'SegEnds_NonXtal_BW#'!$A:$Z,21,FALSE)+VLOOKUP($A335,A:AL,31,FALSE)-50))</f>
        <v>1062</v>
      </c>
      <c r="AE335" s="3">
        <v>1083</v>
      </c>
      <c r="AF335" s="3">
        <f>IF(ISERROR((VLOOKUP($A335,'SegEnds_NonXtal_BW#'!$A:$Z,22,FALSE)+VLOOKUP($A335,A:AL,31,FALSE)-50)),"-",(VLOOKUP($A335,'SegEnds_NonXtal_BW#'!$A:$Z,22,FALSE)+VLOOKUP($A335,A:AL,31,FALSE)-50))</f>
        <v>1086</v>
      </c>
      <c r="AG335" s="3">
        <f>IF(ISERROR(VLOOKUP($A335,'SegEnds_NonXtal_BW#'!$A:$Z,23,FALSE)+VLOOKUP($A335,A:AL,34,FALSE)-50),"-",(VLOOKUP($A335,'SegEnds_NonXtal_BW#'!$A:$Z,23,FALSE)+VLOOKUP($A335,A:AL,34,FALSE)-50))</f>
        <v>1092</v>
      </c>
      <c r="AH335" s="3">
        <v>1111</v>
      </c>
      <c r="AI335" s="3">
        <f>IF(ISERROR((VLOOKUP($A335,'SegEnds_NonXtal_BW#'!$A:$Z,24,FALSE)+VLOOKUP($A335,A:AL,34,FALSE)-50)),"-",(VLOOKUP($A335,'SegEnds_NonXtal_BW#'!$A:$Z,24,FALSE)+VLOOKUP($A335,A:AL,34,FALSE)-50))</f>
        <v>1117</v>
      </c>
      <c r="AJ335" s="3">
        <f>IF(ISERROR(VLOOKUP($A335,'SegEnds_NonXtal_BW#'!$A:$Z,25,FALSE)+VLOOKUP($A335,A:AL,37,FALSE)-50),"-",(VLOOKUP($A335,'SegEnds_NonXtal_BW#'!$A:$Z,25,FALSE)+VLOOKUP($A335,A:AL,37,FALSE)-50))</f>
        <v>1118</v>
      </c>
      <c r="AK335" s="3">
        <v>1121</v>
      </c>
      <c r="AL335" s="3">
        <f>IF(ISERROR((VLOOKUP($A335,'SegEnds_NonXtal_BW#'!$A:$Z,26,FALSE)+VLOOKUP($A335,A:AL,37,FALSE)-50)),"-",(VLOOKUP($A335,'SegEnds_NonXtal_BW#'!$A:$Z,26,FALSE)+VLOOKUP($A335,A:AL,37,FALSE)-50))</f>
        <v>1134</v>
      </c>
      <c r="AM335" s="28" t="str">
        <f>VLOOKUP(A335,Classification!A:B,2,FALSE)</f>
        <v>B2</v>
      </c>
      <c r="AN335" s="28" t="b">
        <f t="shared" si="235"/>
        <v>1</v>
      </c>
      <c r="AO335" s="3" t="str">
        <f>IF(ISERROR(MATCH(A335,'SegEnds_Xtal_Prot#'!B:B, 0)), "NoXtal", "Xtal")</f>
        <v>NoXtal</v>
      </c>
      <c r="AP335" s="3">
        <f t="shared" si="220"/>
        <v>1</v>
      </c>
      <c r="AQ335" s="3">
        <f t="shared" si="221"/>
        <v>1</v>
      </c>
      <c r="AR335" s="3" t="str">
        <f t="shared" si="222"/>
        <v>-</v>
      </c>
      <c r="AS335" s="3" t="str">
        <f t="shared" si="223"/>
        <v>-</v>
      </c>
      <c r="AT335" s="3" t="str">
        <f t="shared" si="224"/>
        <v>-</v>
      </c>
      <c r="AU335" s="3" t="str">
        <f t="shared" si="225"/>
        <v>-</v>
      </c>
      <c r="AV335" s="3">
        <f t="shared" si="226"/>
        <v>16</v>
      </c>
      <c r="AW335" s="3">
        <f t="shared" si="227"/>
        <v>3</v>
      </c>
      <c r="AX335" s="3">
        <f t="shared" si="228"/>
        <v>11</v>
      </c>
      <c r="AY335" s="3">
        <f t="shared" si="229"/>
        <v>6</v>
      </c>
      <c r="AZ335" s="3">
        <f t="shared" si="230"/>
        <v>1</v>
      </c>
      <c r="BA335" s="3">
        <f>IF(ISERROR(LEN(VLOOKUP(A335,Seqs!A:E,2,FALSE))-AL335),"-",LEN(VLOOKUP(A335,Seqs!A:E,2,FALSE))-AL335)</f>
        <v>87</v>
      </c>
      <c r="BB335" s="16">
        <f t="shared" si="231"/>
        <v>29</v>
      </c>
      <c r="BC335" s="9" t="str">
        <f t="shared" si="232"/>
        <v>-</v>
      </c>
      <c r="BD335" s="3">
        <f t="shared" si="233"/>
        <v>29</v>
      </c>
      <c r="BE335" s="3">
        <f t="shared" si="234"/>
        <v>51</v>
      </c>
    </row>
    <row r="336" spans="1:59" s="3" customFormat="1" x14ac:dyDescent="0.2">
      <c r="A336" s="3" t="s">
        <v>1198</v>
      </c>
      <c r="B336" s="3" t="str">
        <f>LOWER(VLOOKUP(A336,Xtal_Templ!A:B,2,FALSE))</f>
        <v>glp1r_human</v>
      </c>
      <c r="C336" s="3">
        <f>VLOOKUP($A336,'SegEnds_NonXtal_BW#'!$A:$Z,3,FALSE)+D336-50</f>
        <v>422</v>
      </c>
      <c r="D336" s="3">
        <v>449</v>
      </c>
      <c r="E336" s="3">
        <f>IF(ISERROR(VLOOKUP($A336,'SegEnds_NonXtal_BW#'!$A:$Z,4,FALSE)+VLOOKUP($A336,A:AL,4,FALSE)-50),"-",(VLOOKUP($A336,'SegEnds_NonXtal_BW#'!$A:$Z,4,FALSE)+VLOOKUP($A336,A:AL,4,FALSE)-50))</f>
        <v>459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465</v>
      </c>
      <c r="J336" s="3">
        <v>478</v>
      </c>
      <c r="K336" s="3">
        <f>VLOOKUP($A336,'SegEnds_NonXtal_BW#'!$A:$Z,8,FALSE)+VLOOKUP($A336,A:AL,10,FALSE)-50</f>
        <v>493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519</v>
      </c>
      <c r="P336" s="3">
        <v>551</v>
      </c>
      <c r="Q336" s="3">
        <f>VLOOKUP($A336,'SegEnds_NonXtal_BW#'!$A:$Z,12,FALSE)+VLOOKUP($A336,A:AL,16,FALSE)-50</f>
        <v>557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1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563</v>
      </c>
      <c r="V336" s="3">
        <v>575</v>
      </c>
      <c r="W336" s="3">
        <f>IF(ISERROR(VLOOKUP($A336,'SegEnds_NonXtal_BW#'!$A:$Z,16,FALSE)+VLOOKUP($A336,A:AL,22,FALSE)-50),"-",(VLOOKUP($A336,'SegEnds_NonXtal_BW#'!$A:$Z,16,FALSE)+VLOOKUP($A336,A:AL,22,FALSE)-50))</f>
        <v>593</v>
      </c>
      <c r="X336" s="3">
        <f>IF(ISERROR(VLOOKUP($A336,'SegEnds_NonXtal_BW#'!$A:$Z,17,FALSE)+VLOOKUP($A336,A:AL,25,FALSE)-50),"-",(VLOOKUP($A336,'SegEnds_NonXtal_BW#'!$A:$Z,17,FALSE)+VLOOKUP($A336,A:AL,25,FALSE)-50))</f>
        <v>609</v>
      </c>
      <c r="Y336" s="3">
        <v>609</v>
      </c>
      <c r="Z336" s="3">
        <f t="shared" si="219"/>
        <v>611</v>
      </c>
      <c r="AA336" s="3">
        <f>IF(ISERROR(VLOOKUP($A336,'SegEnds_NonXtal_BW#'!$A:$Z,19,FALSE)+VLOOKUP($A336,A:AL,28,FALSE)-50),"-",(VLOOKUP($A336,'SegEnds_NonXtal_BW#'!$A:$Z,19,FALSE)+VLOOKUP($A336,A:AL,28,FALSE)-50))</f>
        <v>621</v>
      </c>
      <c r="AB336" s="3">
        <v>635</v>
      </c>
      <c r="AC336" s="3">
        <f>IF(ISERROR((VLOOKUP($A336,'SegEnds_NonXtal_BW#'!$A:$Z,20,FALSE)+VLOOKUP($A336,A:AL,28,FALSE)-50)),"-",(VLOOKUP($A336,'SegEnds_NonXtal_BW#'!$A:$Z,20,FALSE)+VLOOKUP($A336,A:AL,28,FALSE)-50))</f>
        <v>654</v>
      </c>
      <c r="AD336" s="3">
        <f>IF(ISERROR(VLOOKUP($A336,'SegEnds_NonXtal_BW#'!$A:$Z,21,FALSE)+VLOOKUP($A336,A:AL,31,FALSE)-50),"-",(VLOOKUP($A336,'SegEnds_NonXtal_BW#'!$A:$Z,21,FALSE)+VLOOKUP($A336,A:AL,31,FALSE)-50))</f>
        <v>665</v>
      </c>
      <c r="AE336" s="3">
        <v>686</v>
      </c>
      <c r="AF336" s="3">
        <f>IF(ISERROR((VLOOKUP($A336,'SegEnds_NonXtal_BW#'!$A:$Z,22,FALSE)+VLOOKUP($A336,A:AL,31,FALSE)-50)),"-",(VLOOKUP($A336,'SegEnds_NonXtal_BW#'!$A:$Z,22,FALSE)+VLOOKUP($A336,A:AL,31,FALSE)-50))</f>
        <v>689</v>
      </c>
      <c r="AG336" s="3">
        <f>IF(ISERROR(VLOOKUP($A336,'SegEnds_NonXtal_BW#'!$A:$Z,23,FALSE)+VLOOKUP($A336,A:AL,34,FALSE)-50),"-",(VLOOKUP($A336,'SegEnds_NonXtal_BW#'!$A:$Z,23,FALSE)+VLOOKUP($A336,A:AL,34,FALSE)-50))</f>
        <v>696</v>
      </c>
      <c r="AH336" s="3">
        <v>717</v>
      </c>
      <c r="AI336" s="3">
        <f>IF(ISERROR((VLOOKUP($A336,'SegEnds_NonXtal_BW#'!$A:$Z,24,FALSE)+VLOOKUP($A336,A:AL,34,FALSE)-50)),"-",(VLOOKUP($A336,'SegEnds_NonXtal_BW#'!$A:$Z,24,FALSE)+VLOOKUP($A336,A:AL,34,FALSE)-50))</f>
        <v>723</v>
      </c>
      <c r="AJ336" s="3">
        <f>IF(ISERROR(VLOOKUP($A336,'SegEnds_NonXtal_BW#'!$A:$Z,25,FALSE)+VLOOKUP($A336,A:AL,37,FALSE)-50),"-",(VLOOKUP($A336,'SegEnds_NonXtal_BW#'!$A:$Z,25,FALSE)+VLOOKUP($A336,A:AL,37,FALSE)-50))</f>
        <v>724</v>
      </c>
      <c r="AK336" s="3">
        <v>727</v>
      </c>
      <c r="AL336" s="3">
        <f>IF(ISERROR((VLOOKUP($A336,'SegEnds_NonXtal_BW#'!$A:$Z,26,FALSE)+VLOOKUP($A336,A:AL,37,FALSE)-50)),"-",(VLOOKUP($A336,'SegEnds_NonXtal_BW#'!$A:$Z,26,FALSE)+VLOOKUP($A336,A:AL,37,FALSE)-50))</f>
        <v>740</v>
      </c>
      <c r="AM336" s="28" t="str">
        <f>VLOOKUP(A336,Classification!A:B,2,FALSE)</f>
        <v>B2</v>
      </c>
      <c r="AN336" s="28" t="b">
        <f t="shared" si="235"/>
        <v>1</v>
      </c>
      <c r="AO336" s="3" t="str">
        <f>IF(ISERROR(MATCH(A336,'SegEnds_Xtal_Prot#'!B:B, 0)), "NoXtal", "Xtal")</f>
        <v>NoXtal</v>
      </c>
      <c r="AP336" s="3" t="str">
        <f t="shared" si="220"/>
        <v>-</v>
      </c>
      <c r="AQ336" s="3" t="str">
        <f t="shared" si="221"/>
        <v>-</v>
      </c>
      <c r="AR336" s="3" t="str">
        <f t="shared" si="222"/>
        <v>-</v>
      </c>
      <c r="AS336" s="3" t="str">
        <f t="shared" si="223"/>
        <v>-</v>
      </c>
      <c r="AT336" s="3" t="str">
        <f t="shared" si="224"/>
        <v>-</v>
      </c>
      <c r="AU336" s="3" t="str">
        <f t="shared" si="225"/>
        <v>-</v>
      </c>
      <c r="AV336" s="3">
        <f t="shared" si="226"/>
        <v>16</v>
      </c>
      <c r="AW336" s="3">
        <f t="shared" si="227"/>
        <v>10</v>
      </c>
      <c r="AX336" s="3">
        <f t="shared" si="228"/>
        <v>11</v>
      </c>
      <c r="AY336" s="3">
        <f t="shared" si="229"/>
        <v>7</v>
      </c>
      <c r="AZ336" s="3">
        <f t="shared" si="230"/>
        <v>1</v>
      </c>
      <c r="BA336" s="3">
        <f>IF(ISERROR(LEN(VLOOKUP(A336,Seqs!A:E,2,FALSE))-AL336),"-",LEN(VLOOKUP(A336,Seqs!A:E,2,FALSE))-AL336)</f>
        <v>57</v>
      </c>
      <c r="BB336" s="16">
        <f t="shared" si="231"/>
        <v>29</v>
      </c>
      <c r="BC336" s="9" t="str">
        <f t="shared" si="232"/>
        <v>-</v>
      </c>
      <c r="BD336" s="3">
        <f t="shared" si="233"/>
        <v>29</v>
      </c>
      <c r="BE336" s="3">
        <f t="shared" si="234"/>
        <v>51</v>
      </c>
    </row>
    <row r="337" spans="1:58" s="3" customFormat="1" x14ac:dyDescent="0.2">
      <c r="A337" s="3" t="s">
        <v>1199</v>
      </c>
      <c r="B337" s="3" t="str">
        <f>LOWER(VLOOKUP(A337,Xtal_Templ!A:B,2,FALSE))</f>
        <v>calcr_human</v>
      </c>
      <c r="C337" s="3">
        <f>VLOOKUP($A337,'SegEnds_NonXtal_BW#'!$A:$Z,3,FALSE)+D337-50</f>
        <v>848</v>
      </c>
      <c r="D337" s="3">
        <v>875</v>
      </c>
      <c r="E337" s="3">
        <f>IF(ISERROR(VLOOKUP($A337,'SegEnds_NonXtal_BW#'!$A:$Z,4,FALSE)+VLOOKUP($A337,A:AL,4,FALSE)-50),"-",(VLOOKUP($A337,'SegEnds_NonXtal_BW#'!$A:$Z,4,FALSE)+VLOOKUP($A337,A:AL,4,FALSE)-50))</f>
        <v>885</v>
      </c>
      <c r="F337" s="3">
        <f>G337-2</f>
        <v>886</v>
      </c>
      <c r="G337" s="3">
        <v>888</v>
      </c>
      <c r="H337" s="3">
        <f>G337+1</f>
        <v>889</v>
      </c>
      <c r="I337" s="3">
        <f>H337+1</f>
        <v>890</v>
      </c>
      <c r="J337" s="3">
        <v>903</v>
      </c>
      <c r="K337" s="3">
        <f>VLOOKUP($A337,'SegEnds_NonXtal_BW#'!$A:$Z,8,FALSE)+VLOOKUP($A337,A:AL,10,FALSE)-50</f>
        <v>916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921</v>
      </c>
      <c r="P337" s="3">
        <v>948</v>
      </c>
      <c r="Q337" s="3">
        <f>VLOOKUP($A337,'SegEnds_NonXtal_BW#'!$A:$Z,12,FALSE)+VLOOKUP($A337,A:AL,16,FALSE)-50</f>
        <v>954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1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962</v>
      </c>
      <c r="V337" s="3">
        <v>971</v>
      </c>
      <c r="W337" s="3">
        <f>IF(ISERROR(VLOOKUP($A337,'SegEnds_NonXtal_BW#'!$A:$Z,16,FALSE)+VLOOKUP($A337,A:AL,22,FALSE)-50),"-",(VLOOKUP($A337,'SegEnds_NonXtal_BW#'!$A:$Z,16,FALSE)+VLOOKUP($A337,A:AL,22,FALSE)-50))</f>
        <v>989</v>
      </c>
      <c r="X337" s="3">
        <f>IF(ISERROR(VLOOKUP($A337,'SegEnds_NonXtal_BW#'!$A:$Z,17,FALSE)+VLOOKUP($A337,A:AL,25,FALSE)-50),"-",(VLOOKUP($A337,'SegEnds_NonXtal_BW#'!$A:$Z,17,FALSE)+VLOOKUP($A337,A:AL,25,FALSE)-50))</f>
        <v>995</v>
      </c>
      <c r="Y337" s="3">
        <v>995</v>
      </c>
      <c r="Z337" s="3">
        <f t="shared" si="219"/>
        <v>997</v>
      </c>
      <c r="AA337" s="3">
        <f>IF(ISERROR(VLOOKUP($A337,'SegEnds_NonXtal_BW#'!$A:$Z,19,FALSE)+VLOOKUP($A337,A:AL,28,FALSE)-50),"-",(VLOOKUP($A337,'SegEnds_NonXtal_BW#'!$A:$Z,19,FALSE)+VLOOKUP($A337,A:AL,28,FALSE)-50))</f>
        <v>1000</v>
      </c>
      <c r="AB337" s="3">
        <v>1014</v>
      </c>
      <c r="AC337" s="3">
        <f>IF(ISERROR((VLOOKUP($A337,'SegEnds_NonXtal_BW#'!$A:$Z,20,FALSE)+VLOOKUP($A337,A:AL,28,FALSE)-50)),"-",(VLOOKUP($A337,'SegEnds_NonXtal_BW#'!$A:$Z,20,FALSE)+VLOOKUP($A337,A:AL,28,FALSE)-50))</f>
        <v>1033</v>
      </c>
      <c r="AD337" s="3">
        <f>IF(ISERROR(VLOOKUP($A337,'SegEnds_NonXtal_BW#'!$A:$Z,21,FALSE)+VLOOKUP($A337,A:AL,31,FALSE)-50),"-",(VLOOKUP($A337,'SegEnds_NonXtal_BW#'!$A:$Z,21,FALSE)+VLOOKUP($A337,A:AL,31,FALSE)-50))</f>
        <v>1045</v>
      </c>
      <c r="AE337" s="3">
        <v>1066</v>
      </c>
      <c r="AF337" s="3">
        <f>IF(ISERROR((VLOOKUP($A337,'SegEnds_NonXtal_BW#'!$A:$Z,22,FALSE)+VLOOKUP($A337,A:AL,31,FALSE)-50)),"-",(VLOOKUP($A337,'SegEnds_NonXtal_BW#'!$A:$Z,22,FALSE)+VLOOKUP($A337,A:AL,31,FALSE)-50))</f>
        <v>1069</v>
      </c>
      <c r="AG337" s="3">
        <f>IF(ISERROR(VLOOKUP($A337,'SegEnds_NonXtal_BW#'!$A:$Z,23,FALSE)+VLOOKUP($A337,A:AL,34,FALSE)-50),"-",(VLOOKUP($A337,'SegEnds_NonXtal_BW#'!$A:$Z,23,FALSE)+VLOOKUP($A337,A:AL,34,FALSE)-50))</f>
        <v>1075</v>
      </c>
      <c r="AH337" s="3">
        <v>1094</v>
      </c>
      <c r="AI337" s="3">
        <f>IF(ISERROR((VLOOKUP($A337,'SegEnds_NonXtal_BW#'!$A:$Z,24,FALSE)+VLOOKUP($A337,A:AL,34,FALSE)-50)),"-",(VLOOKUP($A337,'SegEnds_NonXtal_BW#'!$A:$Z,24,FALSE)+VLOOKUP($A337,A:AL,34,FALSE)-50))</f>
        <v>1100</v>
      </c>
      <c r="AJ337" s="3">
        <f>IF(ISERROR(VLOOKUP($A337,'SegEnds_NonXtal_BW#'!$A:$Z,25,FALSE)+VLOOKUP($A337,A:AL,37,FALSE)-50),"-",(VLOOKUP($A337,'SegEnds_NonXtal_BW#'!$A:$Z,25,FALSE)+VLOOKUP($A337,A:AL,37,FALSE)-50))</f>
        <v>1101</v>
      </c>
      <c r="AK337" s="3">
        <v>1104</v>
      </c>
      <c r="AL337" s="3">
        <f>IF(ISERROR((VLOOKUP($A337,'SegEnds_NonXtal_BW#'!$A:$Z,26,FALSE)+VLOOKUP($A337,A:AL,37,FALSE)-50)),"-",(VLOOKUP($A337,'SegEnds_NonXtal_BW#'!$A:$Z,26,FALSE)+VLOOKUP($A337,A:AL,37,FALSE)-50))</f>
        <v>1117</v>
      </c>
      <c r="AM337" s="28" t="str">
        <f>VLOOKUP(A337,Classification!A:B,2,FALSE)</f>
        <v>B2</v>
      </c>
      <c r="AN337" s="28" t="b">
        <f t="shared" si="235"/>
        <v>1</v>
      </c>
      <c r="AO337" s="3" t="str">
        <f>IF(ISERROR(MATCH(A337,'SegEnds_Xtal_Prot#'!B:B, 0)), "NoXtal", "Xtal")</f>
        <v>NoXtal</v>
      </c>
      <c r="AP337" s="3">
        <f t="shared" si="220"/>
        <v>1</v>
      </c>
      <c r="AQ337" s="3">
        <f t="shared" si="221"/>
        <v>1</v>
      </c>
      <c r="AR337" s="3" t="str">
        <f t="shared" si="222"/>
        <v>-</v>
      </c>
      <c r="AS337" s="3" t="str">
        <f t="shared" si="223"/>
        <v>-</v>
      </c>
      <c r="AT337" s="3" t="str">
        <f t="shared" si="224"/>
        <v>-</v>
      </c>
      <c r="AU337" s="3" t="str">
        <f t="shared" si="225"/>
        <v>-</v>
      </c>
      <c r="AV337" s="3">
        <f t="shared" si="226"/>
        <v>6</v>
      </c>
      <c r="AW337" s="3">
        <f t="shared" si="227"/>
        <v>3</v>
      </c>
      <c r="AX337" s="3">
        <f t="shared" si="228"/>
        <v>12</v>
      </c>
      <c r="AY337" s="3">
        <f t="shared" si="229"/>
        <v>6</v>
      </c>
      <c r="AZ337" s="3">
        <f t="shared" si="230"/>
        <v>1</v>
      </c>
      <c r="BA337" s="3">
        <f>IF(ISERROR(LEN(VLOOKUP(A337,Seqs!A:E,2,FALSE))-AL337),"-",LEN(VLOOKUP(A337,Seqs!A:E,2,FALSE))-AL337)</f>
        <v>357</v>
      </c>
      <c r="BB337" s="16">
        <f t="shared" si="231"/>
        <v>28</v>
      </c>
      <c r="BC337" s="9" t="str">
        <f t="shared" si="232"/>
        <v>-</v>
      </c>
      <c r="BD337" s="3">
        <f t="shared" si="233"/>
        <v>28</v>
      </c>
      <c r="BE337" s="3">
        <f t="shared" si="234"/>
        <v>52</v>
      </c>
    </row>
    <row r="338" spans="1:58" s="3" customFormat="1" x14ac:dyDescent="0.2">
      <c r="A338" s="3" t="s">
        <v>1200</v>
      </c>
      <c r="B338" s="3" t="str">
        <f>LOWER(VLOOKUP(A338,Xtal_Templ!A:B,2,FALSE))</f>
        <v>calcr_human</v>
      </c>
      <c r="C338" s="3">
        <f>VLOOKUP($A338,'SegEnds_NonXtal_BW#'!$A:$Z,3,FALSE)+D338-50</f>
        <v>835</v>
      </c>
      <c r="D338" s="3">
        <v>862</v>
      </c>
      <c r="E338" s="3">
        <f>IF(ISERROR(VLOOKUP($A338,'SegEnds_NonXtal_BW#'!$A:$Z,4,FALSE)+VLOOKUP($A338,A:AL,4,FALSE)-50),"-",(VLOOKUP($A338,'SegEnds_NonXtal_BW#'!$A:$Z,4,FALSE)+VLOOKUP($A338,A:AL,4,FALSE)-50))</f>
        <v>872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877</v>
      </c>
      <c r="J338" s="3">
        <v>890</v>
      </c>
      <c r="K338" s="3">
        <f>VLOOKUP($A338,'SegEnds_NonXtal_BW#'!$A:$Z,8,FALSE)+VLOOKUP($A338,A:AL,10,FALSE)-50</f>
        <v>903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908</v>
      </c>
      <c r="P338" s="3">
        <v>935</v>
      </c>
      <c r="Q338" s="3">
        <f>VLOOKUP($A338,'SegEnds_NonXtal_BW#'!$A:$Z,12,FALSE)+VLOOKUP($A338,A:AL,16,FALSE)-50</f>
        <v>941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1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949</v>
      </c>
      <c r="V338" s="3">
        <v>958</v>
      </c>
      <c r="W338" s="3">
        <f>IF(ISERROR(VLOOKUP($A338,'SegEnds_NonXtal_BW#'!$A:$Z,16,FALSE)+VLOOKUP($A338,A:AL,22,FALSE)-50),"-",(VLOOKUP($A338,'SegEnds_NonXtal_BW#'!$A:$Z,16,FALSE)+VLOOKUP($A338,A:AL,22,FALSE)-50))</f>
        <v>976</v>
      </c>
      <c r="X338" s="3">
        <f>IF(ISERROR(VLOOKUP($A338,'SegEnds_NonXtal_BW#'!$A:$Z,17,FALSE)+VLOOKUP($A338,A:AL,25,FALSE)-50),"-",(VLOOKUP($A338,'SegEnds_NonXtal_BW#'!$A:$Z,17,FALSE)+VLOOKUP($A338,A:AL,25,FALSE)-50))</f>
        <v>982</v>
      </c>
      <c r="Y338" s="3">
        <v>982</v>
      </c>
      <c r="Z338" s="3">
        <f t="shared" si="219"/>
        <v>984</v>
      </c>
      <c r="AA338" s="3">
        <f>IF(ISERROR(VLOOKUP($A338,'SegEnds_NonXtal_BW#'!$A:$Z,19,FALSE)+VLOOKUP($A338,A:AL,28,FALSE)-50),"-",(VLOOKUP($A338,'SegEnds_NonXtal_BW#'!$A:$Z,19,FALSE)+VLOOKUP($A338,A:AL,28,FALSE)-50))</f>
        <v>987</v>
      </c>
      <c r="AB338" s="3">
        <v>1001</v>
      </c>
      <c r="AC338" s="3">
        <f>IF(ISERROR((VLOOKUP($A338,'SegEnds_NonXtal_BW#'!$A:$Z,20,FALSE)+VLOOKUP($A338,A:AL,28,FALSE)-50)),"-",(VLOOKUP($A338,'SegEnds_NonXtal_BW#'!$A:$Z,20,FALSE)+VLOOKUP($A338,A:AL,28,FALSE)-50))</f>
        <v>1020</v>
      </c>
      <c r="AD338" s="3">
        <f>IF(ISERROR(VLOOKUP($A338,'SegEnds_NonXtal_BW#'!$A:$Z,21,FALSE)+VLOOKUP($A338,A:AL,31,FALSE)-50),"-",(VLOOKUP($A338,'SegEnds_NonXtal_BW#'!$A:$Z,21,FALSE)+VLOOKUP($A338,A:AL,31,FALSE)-50))</f>
        <v>1032</v>
      </c>
      <c r="AE338" s="3">
        <v>1053</v>
      </c>
      <c r="AF338" s="3">
        <f>IF(ISERROR((VLOOKUP($A338,'SegEnds_NonXtal_BW#'!$A:$Z,22,FALSE)+VLOOKUP($A338,A:AL,31,FALSE)-50)),"-",(VLOOKUP($A338,'SegEnds_NonXtal_BW#'!$A:$Z,22,FALSE)+VLOOKUP($A338,A:AL,31,FALSE)-50))</f>
        <v>1056</v>
      </c>
      <c r="AG338" s="3">
        <f>IF(ISERROR(VLOOKUP($A338,'SegEnds_NonXtal_BW#'!$A:$Z,23,FALSE)+VLOOKUP($A338,A:AL,34,FALSE)-50),"-",(VLOOKUP($A338,'SegEnds_NonXtal_BW#'!$A:$Z,23,FALSE)+VLOOKUP($A338,A:AL,34,FALSE)-50))</f>
        <v>1062</v>
      </c>
      <c r="AH338" s="3">
        <v>1081</v>
      </c>
      <c r="AI338" s="3">
        <f>IF(ISERROR((VLOOKUP($A338,'SegEnds_NonXtal_BW#'!$A:$Z,24,FALSE)+VLOOKUP($A338,A:AL,34,FALSE)-50)),"-",(VLOOKUP($A338,'SegEnds_NonXtal_BW#'!$A:$Z,24,FALSE)+VLOOKUP($A338,A:AL,34,FALSE)-50))</f>
        <v>1087</v>
      </c>
      <c r="AJ338" s="3">
        <f>IF(ISERROR(VLOOKUP($A338,'SegEnds_NonXtal_BW#'!$A:$Z,25,FALSE)+VLOOKUP($A338,A:AL,37,FALSE)-50),"-",(VLOOKUP($A338,'SegEnds_NonXtal_BW#'!$A:$Z,25,FALSE)+VLOOKUP($A338,A:AL,37,FALSE)-50))</f>
        <v>1088</v>
      </c>
      <c r="AK338" s="3">
        <v>1091</v>
      </c>
      <c r="AL338" s="3">
        <f>IF(ISERROR((VLOOKUP($A338,'SegEnds_NonXtal_BW#'!$A:$Z,26,FALSE)+VLOOKUP($A338,A:AL,37,FALSE)-50)),"-",(VLOOKUP($A338,'SegEnds_NonXtal_BW#'!$A:$Z,26,FALSE)+VLOOKUP($A338,A:AL,37,FALSE)-50))</f>
        <v>1104</v>
      </c>
      <c r="AM338" s="28" t="str">
        <f>VLOOKUP(A338,Classification!A:B,2,FALSE)</f>
        <v>B2</v>
      </c>
      <c r="AN338" s="28" t="b">
        <f t="shared" si="235"/>
        <v>1</v>
      </c>
      <c r="AO338" s="3" t="str">
        <f>IF(ISERROR(MATCH(A338,'SegEnds_Xtal_Prot#'!B:B, 0)), "NoXtal", "Xtal")</f>
        <v>NoXtal</v>
      </c>
      <c r="AP338" s="3" t="str">
        <f t="shared" si="220"/>
        <v>-</v>
      </c>
      <c r="AQ338" s="3" t="str">
        <f t="shared" si="221"/>
        <v>-</v>
      </c>
      <c r="AR338" s="3" t="str">
        <f t="shared" si="222"/>
        <v>-</v>
      </c>
      <c r="AS338" s="3" t="str">
        <f t="shared" si="223"/>
        <v>-</v>
      </c>
      <c r="AT338" s="3" t="str">
        <f t="shared" si="224"/>
        <v>-</v>
      </c>
      <c r="AU338" s="3" t="str">
        <f t="shared" si="225"/>
        <v>-</v>
      </c>
      <c r="AV338" s="3">
        <f t="shared" si="226"/>
        <v>6</v>
      </c>
      <c r="AW338" s="3">
        <f t="shared" si="227"/>
        <v>3</v>
      </c>
      <c r="AX338" s="3">
        <f t="shared" si="228"/>
        <v>12</v>
      </c>
      <c r="AY338" s="3">
        <f t="shared" si="229"/>
        <v>6</v>
      </c>
      <c r="AZ338" s="3">
        <f t="shared" si="230"/>
        <v>1</v>
      </c>
      <c r="BA338" s="3">
        <f>IF(ISERROR(LEN(VLOOKUP(A338,Seqs!A:E,2,FALSE))-AL338),"-",LEN(VLOOKUP(A338,Seqs!A:E,2,FALSE))-AL338)</f>
        <v>355</v>
      </c>
      <c r="BB338" s="16">
        <f t="shared" si="231"/>
        <v>28</v>
      </c>
      <c r="BC338" s="9" t="str">
        <f t="shared" si="232"/>
        <v>-</v>
      </c>
      <c r="BD338" s="3">
        <f t="shared" si="233"/>
        <v>28</v>
      </c>
      <c r="BE338" s="3">
        <f t="shared" si="234"/>
        <v>52</v>
      </c>
    </row>
    <row r="339" spans="1:58" s="3" customFormat="1" x14ac:dyDescent="0.2">
      <c r="A339" s="3" t="s">
        <v>1201</v>
      </c>
      <c r="B339" s="3" t="str">
        <f>LOWER(VLOOKUP(A339,Xtal_Templ!A:B,2,FALSE))</f>
        <v>crfr1_human</v>
      </c>
      <c r="C339" s="3">
        <f>VLOOKUP($A339,'SegEnds_NonXtal_BW#'!$A:$Z,3,FALSE)+D339-50</f>
        <v>852</v>
      </c>
      <c r="D339" s="3">
        <v>879</v>
      </c>
      <c r="E339" s="3">
        <f>IF(ISERROR(VLOOKUP($A339,'SegEnds_NonXtal_BW#'!$A:$Z,4,FALSE)+VLOOKUP($A339,A:AL,4,FALSE)-50),"-",(VLOOKUP($A339,'SegEnds_NonXtal_BW#'!$A:$Z,4,FALSE)+VLOOKUP($A339,A:AL,4,FALSE)-50))</f>
        <v>889</v>
      </c>
      <c r="F339" s="3">
        <f>G339-2</f>
        <v>890</v>
      </c>
      <c r="G339" s="3">
        <v>892</v>
      </c>
      <c r="H339" s="3">
        <f>G339+1</f>
        <v>893</v>
      </c>
      <c r="I339" s="3">
        <f>H339+1</f>
        <v>894</v>
      </c>
      <c r="J339" s="3">
        <v>907</v>
      </c>
      <c r="K339" s="3">
        <f>VLOOKUP($A339,'SegEnds_NonXtal_BW#'!$A:$Z,8,FALSE)+VLOOKUP($A339,A:AL,10,FALSE)-50</f>
        <v>920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925</v>
      </c>
      <c r="P339" s="3">
        <v>952</v>
      </c>
      <c r="Q339" s="3">
        <f>VLOOKUP($A339,'SegEnds_NonXtal_BW#'!$A:$Z,12,FALSE)+VLOOKUP($A339,A:AL,16,FALSE)-50</f>
        <v>958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1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965</v>
      </c>
      <c r="V339" s="3">
        <v>975</v>
      </c>
      <c r="W339" s="3">
        <f>IF(ISERROR(VLOOKUP($A339,'SegEnds_NonXtal_BW#'!$A:$Z,16,FALSE)+VLOOKUP($A339,A:AL,22,FALSE)-50),"-",(VLOOKUP($A339,'SegEnds_NonXtal_BW#'!$A:$Z,16,FALSE)+VLOOKUP($A339,A:AL,22,FALSE)-50))</f>
        <v>993</v>
      </c>
      <c r="X339" s="3">
        <f>IF(ISERROR(VLOOKUP($A339,'SegEnds_NonXtal_BW#'!$A:$Z,17,FALSE)+VLOOKUP($A339,A:AL,25,FALSE)-50),"-",(VLOOKUP($A339,'SegEnds_NonXtal_BW#'!$A:$Z,17,FALSE)+VLOOKUP($A339,A:AL,25,FALSE)-50))</f>
        <v>999</v>
      </c>
      <c r="Y339" s="3">
        <v>999</v>
      </c>
      <c r="Z339" s="3">
        <f t="shared" si="219"/>
        <v>1001</v>
      </c>
      <c r="AA339" s="3">
        <f>IF(ISERROR(VLOOKUP($A339,'SegEnds_NonXtal_BW#'!$A:$Z,19,FALSE)+VLOOKUP($A339,A:AL,28,FALSE)-50),"-",(VLOOKUP($A339,'SegEnds_NonXtal_BW#'!$A:$Z,19,FALSE)+VLOOKUP($A339,A:AL,28,FALSE)-50))</f>
        <v>1004</v>
      </c>
      <c r="AB339" s="3">
        <v>1018</v>
      </c>
      <c r="AC339" s="3">
        <f>IF(ISERROR((VLOOKUP($A339,'SegEnds_NonXtal_BW#'!$A:$Z,20,FALSE)+VLOOKUP($A339,A:AL,28,FALSE)-50)),"-",(VLOOKUP($A339,'SegEnds_NonXtal_BW#'!$A:$Z,20,FALSE)+VLOOKUP($A339,A:AL,28,FALSE)-50))</f>
        <v>1037</v>
      </c>
      <c r="AD339" s="3">
        <f>IF(ISERROR(VLOOKUP($A339,'SegEnds_NonXtal_BW#'!$A:$Z,21,FALSE)+VLOOKUP($A339,A:AL,31,FALSE)-50),"-",(VLOOKUP($A339,'SegEnds_NonXtal_BW#'!$A:$Z,21,FALSE)+VLOOKUP($A339,A:AL,31,FALSE)-50))</f>
        <v>1049</v>
      </c>
      <c r="AE339" s="3">
        <v>1070</v>
      </c>
      <c r="AF339" s="3">
        <f>IF(ISERROR((VLOOKUP($A339,'SegEnds_NonXtal_BW#'!$A:$Z,22,FALSE)+VLOOKUP($A339,A:AL,31,FALSE)-50)),"-",(VLOOKUP($A339,'SegEnds_NonXtal_BW#'!$A:$Z,22,FALSE)+VLOOKUP($A339,A:AL,31,FALSE)-50))</f>
        <v>1073</v>
      </c>
      <c r="AG339" s="3">
        <f>IF(ISERROR(VLOOKUP($A339,'SegEnds_NonXtal_BW#'!$A:$Z,23,FALSE)+VLOOKUP($A339,A:AL,34,FALSE)-50),"-",(VLOOKUP($A339,'SegEnds_NonXtal_BW#'!$A:$Z,23,FALSE)+VLOOKUP($A339,A:AL,34,FALSE)-50))</f>
        <v>1079</v>
      </c>
      <c r="AH339" s="3">
        <v>1098</v>
      </c>
      <c r="AI339" s="3">
        <f>IF(ISERROR((VLOOKUP($A339,'SegEnds_NonXtal_BW#'!$A:$Z,24,FALSE)+VLOOKUP($A339,A:AL,34,FALSE)-50)),"-",(VLOOKUP($A339,'SegEnds_NonXtal_BW#'!$A:$Z,24,FALSE)+VLOOKUP($A339,A:AL,34,FALSE)-50))</f>
        <v>1104</v>
      </c>
      <c r="AJ339" s="3">
        <f>IF(ISERROR(VLOOKUP($A339,'SegEnds_NonXtal_BW#'!$A:$Z,25,FALSE)+VLOOKUP($A339,A:AL,37,FALSE)-50),"-",(VLOOKUP($A339,'SegEnds_NonXtal_BW#'!$A:$Z,25,FALSE)+VLOOKUP($A339,A:AL,37,FALSE)-50))</f>
        <v>1105</v>
      </c>
      <c r="AK339" s="3">
        <v>1108</v>
      </c>
      <c r="AL339" s="3">
        <f>IF(ISERROR((VLOOKUP($A339,'SegEnds_NonXtal_BW#'!$A:$Z,26,FALSE)+VLOOKUP($A339,A:AL,37,FALSE)-50)),"-",(VLOOKUP($A339,'SegEnds_NonXtal_BW#'!$A:$Z,26,FALSE)+VLOOKUP($A339,A:AL,37,FALSE)-50))</f>
        <v>1121</v>
      </c>
      <c r="AM339" s="28" t="str">
        <f>VLOOKUP(A339,Classification!A:B,2,FALSE)</f>
        <v>B2</v>
      </c>
      <c r="AN339" s="28" t="b">
        <f t="shared" si="235"/>
        <v>1</v>
      </c>
      <c r="AO339" s="3" t="str">
        <f>IF(ISERROR(MATCH(A339,'SegEnds_Xtal_Prot#'!B:B, 0)), "NoXtal", "Xtal")</f>
        <v>NoXtal</v>
      </c>
      <c r="AP339" s="3">
        <f t="shared" si="220"/>
        <v>1</v>
      </c>
      <c r="AQ339" s="3">
        <f t="shared" si="221"/>
        <v>1</v>
      </c>
      <c r="AR339" s="3" t="str">
        <f t="shared" si="222"/>
        <v>-</v>
      </c>
      <c r="AS339" s="3" t="str">
        <f t="shared" si="223"/>
        <v>-</v>
      </c>
      <c r="AT339" s="3" t="str">
        <f t="shared" si="224"/>
        <v>-</v>
      </c>
      <c r="AU339" s="3" t="str">
        <f t="shared" si="225"/>
        <v>-</v>
      </c>
      <c r="AV339" s="3">
        <f t="shared" si="226"/>
        <v>6</v>
      </c>
      <c r="AW339" s="3">
        <f t="shared" si="227"/>
        <v>3</v>
      </c>
      <c r="AX339" s="3">
        <f t="shared" si="228"/>
        <v>12</v>
      </c>
      <c r="AY339" s="3">
        <f t="shared" si="229"/>
        <v>6</v>
      </c>
      <c r="AZ339" s="3">
        <f t="shared" si="230"/>
        <v>1</v>
      </c>
      <c r="BA339" s="3">
        <f>IF(ISERROR(LEN(VLOOKUP(A339,Seqs!A:E,2,FALSE))-AL339),"-",LEN(VLOOKUP(A339,Seqs!A:E,2,FALSE))-AL339)</f>
        <v>326</v>
      </c>
      <c r="BB339" s="16">
        <f t="shared" si="231"/>
        <v>28</v>
      </c>
      <c r="BC339" s="9" t="str">
        <f t="shared" si="232"/>
        <v>-</v>
      </c>
      <c r="BD339" s="3">
        <f t="shared" si="233"/>
        <v>28</v>
      </c>
      <c r="BE339" s="3">
        <f t="shared" si="234"/>
        <v>52</v>
      </c>
    </row>
    <row r="340" spans="1:58" s="3" customFormat="1" x14ac:dyDescent="0.2">
      <c r="A340" s="3" t="s">
        <v>1202</v>
      </c>
      <c r="B340" s="3" t="str">
        <f>LOWER(VLOOKUP(A340,Xtal_Templ!A:B,2,FALSE))</f>
        <v>crfr1_human</v>
      </c>
      <c r="C340" s="3">
        <f>VLOOKUP($A340,'SegEnds_NonXtal_BW#'!$A:$Z,3,FALSE)+D340-50</f>
        <v>415</v>
      </c>
      <c r="D340" s="3">
        <v>442</v>
      </c>
      <c r="E340" s="3">
        <f>IF(ISERROR(VLOOKUP($A340,'SegEnds_NonXtal_BW#'!$A:$Z,4,FALSE)+VLOOKUP($A340,A:AL,4,FALSE)-50),"-",(VLOOKUP($A340,'SegEnds_NonXtal_BW#'!$A:$Z,4,FALSE)+VLOOKUP($A340,A:AL,4,FALSE)-50))</f>
        <v>452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457</v>
      </c>
      <c r="J340" s="3">
        <v>470</v>
      </c>
      <c r="K340" s="3">
        <f>VLOOKUP($A340,'SegEnds_NonXtal_BW#'!$A:$Z,8,FALSE)+VLOOKUP($A340,A:AL,10,FALSE)-50</f>
        <v>483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488</v>
      </c>
      <c r="P340" s="3">
        <v>515</v>
      </c>
      <c r="Q340" s="3">
        <f>VLOOKUP($A340,'SegEnds_NonXtal_BW#'!$A:$Z,12,FALSE)+VLOOKUP($A340,A:AL,16,FALSE)-50</f>
        <v>521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1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528</v>
      </c>
      <c r="V340" s="3">
        <v>538</v>
      </c>
      <c r="W340" s="3">
        <f>IF(ISERROR(VLOOKUP($A340,'SegEnds_NonXtal_BW#'!$A:$Z,16,FALSE)+VLOOKUP($A340,A:AL,22,FALSE)-50),"-",(VLOOKUP($A340,'SegEnds_NonXtal_BW#'!$A:$Z,16,FALSE)+VLOOKUP($A340,A:AL,22,FALSE)-50))</f>
        <v>556</v>
      </c>
      <c r="X340" s="3">
        <f>IF(ISERROR(VLOOKUP($A340,'SegEnds_NonXtal_BW#'!$A:$Z,17,FALSE)+VLOOKUP($A340,A:AL,25,FALSE)-50),"-",(VLOOKUP($A340,'SegEnds_NonXtal_BW#'!$A:$Z,17,FALSE)+VLOOKUP($A340,A:AL,25,FALSE)-50))</f>
        <v>562</v>
      </c>
      <c r="Y340" s="3">
        <v>562</v>
      </c>
      <c r="Z340" s="3">
        <f t="shared" si="219"/>
        <v>564</v>
      </c>
      <c r="AA340" s="3">
        <f>IF(ISERROR(VLOOKUP($A340,'SegEnds_NonXtal_BW#'!$A:$Z,19,FALSE)+VLOOKUP($A340,A:AL,28,FALSE)-50),"-",(VLOOKUP($A340,'SegEnds_NonXtal_BW#'!$A:$Z,19,FALSE)+VLOOKUP($A340,A:AL,28,FALSE)-50))</f>
        <v>567</v>
      </c>
      <c r="AB340" s="3">
        <v>581</v>
      </c>
      <c r="AC340" s="3">
        <f>IF(ISERROR((VLOOKUP($A340,'SegEnds_NonXtal_BW#'!$A:$Z,20,FALSE)+VLOOKUP($A340,A:AL,28,FALSE)-50)),"-",(VLOOKUP($A340,'SegEnds_NonXtal_BW#'!$A:$Z,20,FALSE)+VLOOKUP($A340,A:AL,28,FALSE)-50))</f>
        <v>600</v>
      </c>
      <c r="AD340" s="3">
        <f>IF(ISERROR(VLOOKUP($A340,'SegEnds_NonXtal_BW#'!$A:$Z,21,FALSE)+VLOOKUP($A340,A:AL,31,FALSE)-50),"-",(VLOOKUP($A340,'SegEnds_NonXtal_BW#'!$A:$Z,21,FALSE)+VLOOKUP($A340,A:AL,31,FALSE)-50))</f>
        <v>612</v>
      </c>
      <c r="AE340" s="3">
        <v>633</v>
      </c>
      <c r="AF340" s="3">
        <f>IF(ISERROR((VLOOKUP($A340,'SegEnds_NonXtal_BW#'!$A:$Z,22,FALSE)+VLOOKUP($A340,A:AL,31,FALSE)-50)),"-",(VLOOKUP($A340,'SegEnds_NonXtal_BW#'!$A:$Z,22,FALSE)+VLOOKUP($A340,A:AL,31,FALSE)-50))</f>
        <v>636</v>
      </c>
      <c r="AG340" s="3">
        <f>IF(ISERROR(VLOOKUP($A340,'SegEnds_NonXtal_BW#'!$A:$Z,23,FALSE)+VLOOKUP($A340,A:AL,34,FALSE)-50),"-",(VLOOKUP($A340,'SegEnds_NonXtal_BW#'!$A:$Z,23,FALSE)+VLOOKUP($A340,A:AL,34,FALSE)-50))</f>
        <v>642</v>
      </c>
      <c r="AH340" s="3">
        <v>661</v>
      </c>
      <c r="AI340" s="3">
        <f>IF(ISERROR((VLOOKUP($A340,'SegEnds_NonXtal_BW#'!$A:$Z,24,FALSE)+VLOOKUP($A340,A:AL,34,FALSE)-50)),"-",(VLOOKUP($A340,'SegEnds_NonXtal_BW#'!$A:$Z,24,FALSE)+VLOOKUP($A340,A:AL,34,FALSE)-50))</f>
        <v>667</v>
      </c>
      <c r="AJ340" s="3">
        <f>IF(ISERROR(VLOOKUP($A340,'SegEnds_NonXtal_BW#'!$A:$Z,25,FALSE)+VLOOKUP($A340,A:AL,37,FALSE)-50),"-",(VLOOKUP($A340,'SegEnds_NonXtal_BW#'!$A:$Z,25,FALSE)+VLOOKUP($A340,A:AL,37,FALSE)-50))</f>
        <v>668</v>
      </c>
      <c r="AK340" s="3">
        <v>671</v>
      </c>
      <c r="AL340" s="3">
        <f>IF(ISERROR((VLOOKUP($A340,'SegEnds_NonXtal_BW#'!$A:$Z,26,FALSE)+VLOOKUP($A340,A:AL,37,FALSE)-50)),"-",(VLOOKUP($A340,'SegEnds_NonXtal_BW#'!$A:$Z,26,FALSE)+VLOOKUP($A340,A:AL,37,FALSE)-50))</f>
        <v>684</v>
      </c>
      <c r="AM340" s="28" t="str">
        <f>VLOOKUP(A340,Classification!A:B,2,FALSE)</f>
        <v>B2</v>
      </c>
      <c r="AN340" s="28" t="b">
        <f t="shared" si="235"/>
        <v>1</v>
      </c>
      <c r="AO340" s="3" t="str">
        <f>IF(ISERROR(MATCH(A340,'SegEnds_Xtal_Prot#'!B:B, 0)), "NoXtal", "Xtal")</f>
        <v>NoXtal</v>
      </c>
      <c r="AP340" s="3" t="str">
        <f t="shared" si="220"/>
        <v>-</v>
      </c>
      <c r="AQ340" s="3" t="str">
        <f t="shared" si="221"/>
        <v>-</v>
      </c>
      <c r="AR340" s="3" t="str">
        <f t="shared" si="222"/>
        <v>-</v>
      </c>
      <c r="AS340" s="3" t="str">
        <f t="shared" si="223"/>
        <v>-</v>
      </c>
      <c r="AT340" s="3" t="str">
        <f t="shared" si="224"/>
        <v>-</v>
      </c>
      <c r="AU340" s="3" t="str">
        <f t="shared" si="225"/>
        <v>-</v>
      </c>
      <c r="AV340" s="3">
        <f t="shared" si="226"/>
        <v>6</v>
      </c>
      <c r="AW340" s="3">
        <f t="shared" si="227"/>
        <v>3</v>
      </c>
      <c r="AX340" s="3">
        <f t="shared" si="228"/>
        <v>12</v>
      </c>
      <c r="AY340" s="3">
        <f t="shared" si="229"/>
        <v>6</v>
      </c>
      <c r="AZ340" s="3">
        <f t="shared" si="230"/>
        <v>1</v>
      </c>
      <c r="BA340" s="3">
        <f>IF(ISERROR(LEN(VLOOKUP(A340,Seqs!A:E,2,FALSE))-AL340),"-",LEN(VLOOKUP(A340,Seqs!A:E,2,FALSE))-AL340)</f>
        <v>6</v>
      </c>
      <c r="BB340" s="16">
        <f t="shared" si="231"/>
        <v>28</v>
      </c>
      <c r="BC340" s="9" t="str">
        <f t="shared" si="232"/>
        <v>-</v>
      </c>
      <c r="BD340" s="3">
        <f t="shared" si="233"/>
        <v>28</v>
      </c>
      <c r="BE340" s="3">
        <f t="shared" si="234"/>
        <v>52</v>
      </c>
      <c r="BF340" s="3">
        <f>AH340-AE340</f>
        <v>28</v>
      </c>
    </row>
    <row r="341" spans="1:58" s="3" customFormat="1" x14ac:dyDescent="0.2">
      <c r="A341" s="3" t="s">
        <v>414</v>
      </c>
      <c r="B341" s="3" t="str">
        <f>LOWER(VLOOKUP(A341,Xtal_Templ!A:B,2,FALSE))</f>
        <v>crfr1_human</v>
      </c>
      <c r="C341" s="3">
        <f>VLOOKUP($A341,'SegEnds_NonXtal_BW#'!$A:$Z,3,FALSE)+D341-50</f>
        <v>935</v>
      </c>
      <c r="D341" s="3">
        <v>962</v>
      </c>
      <c r="E341" s="3">
        <f>IF(ISERROR(VLOOKUP($A341,'SegEnds_NonXtal_BW#'!$A:$Z,4,FALSE)+VLOOKUP($A341,A:AL,4,FALSE)-50),"-",(VLOOKUP($A341,'SegEnds_NonXtal_BW#'!$A:$Z,4,FALSE)+VLOOKUP($A341,A:AL,4,FALSE)-50))</f>
        <v>972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978</v>
      </c>
      <c r="J341" s="3">
        <v>991</v>
      </c>
      <c r="K341" s="3">
        <f>VLOOKUP($A341,'SegEnds_NonXtal_BW#'!$A:$Z,8,FALSE)+VLOOKUP($A341,A:AL,10,FALSE)-50</f>
        <v>1004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1009</v>
      </c>
      <c r="P341" s="3">
        <v>1036</v>
      </c>
      <c r="Q341" s="3">
        <f>VLOOKUP($A341,'SegEnds_NonXtal_BW#'!$A:$Z,12,FALSE)+VLOOKUP($A341,A:AL,16,FALSE)-50</f>
        <v>1042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1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1048</v>
      </c>
      <c r="V341" s="3">
        <v>1058</v>
      </c>
      <c r="W341" s="3">
        <f>IF(ISERROR(VLOOKUP($A341,'SegEnds_NonXtal_BW#'!$A:$Z,16,FALSE)+VLOOKUP($A341,A:AL,22,FALSE)-50),"-",(VLOOKUP($A341,'SegEnds_NonXtal_BW#'!$A:$Z,16,FALSE)+VLOOKUP($A341,A:AL,22,FALSE)-50))</f>
        <v>1076</v>
      </c>
      <c r="X341" s="3">
        <f>IF(ISERROR(VLOOKUP($A341,'SegEnds_NonXtal_BW#'!$A:$Z,17,FALSE)+VLOOKUP($A341,A:AL,25,FALSE)-50),"-",(VLOOKUP($A341,'SegEnds_NonXtal_BW#'!$A:$Z,17,FALSE)+VLOOKUP($A341,A:AL,25,FALSE)-50))</f>
        <v>1083</v>
      </c>
      <c r="Y341" s="3">
        <v>1083</v>
      </c>
      <c r="Z341" s="3">
        <f t="shared" si="219"/>
        <v>1085</v>
      </c>
      <c r="AA341" s="3">
        <f>IF(ISERROR(VLOOKUP($A341,'SegEnds_NonXtal_BW#'!$A:$Z,19,FALSE)+VLOOKUP($A341,A:AL,28,FALSE)-50),"-",(VLOOKUP($A341,'SegEnds_NonXtal_BW#'!$A:$Z,19,FALSE)+VLOOKUP($A341,A:AL,28,FALSE)-50))</f>
        <v>1088</v>
      </c>
      <c r="AB341" s="3">
        <v>1102</v>
      </c>
      <c r="AC341" s="3">
        <f>IF(ISERROR((VLOOKUP($A341,'SegEnds_NonXtal_BW#'!$A:$Z,20,FALSE)+VLOOKUP($A341,A:AL,28,FALSE)-50)),"-",(VLOOKUP($A341,'SegEnds_NonXtal_BW#'!$A:$Z,20,FALSE)+VLOOKUP($A341,A:AL,28,FALSE)-50))</f>
        <v>1121</v>
      </c>
      <c r="AD341" s="3">
        <f>IF(ISERROR(VLOOKUP($A341,'SegEnds_NonXtal_BW#'!$A:$Z,21,FALSE)+VLOOKUP($A341,A:AL,31,FALSE)-50),"-",(VLOOKUP($A341,'SegEnds_NonXtal_BW#'!$A:$Z,21,FALSE)+VLOOKUP($A341,A:AL,31,FALSE)-50))</f>
        <v>1131</v>
      </c>
      <c r="AE341" s="3">
        <v>1152</v>
      </c>
      <c r="AF341" s="3">
        <f>IF(ISERROR((VLOOKUP($A341,'SegEnds_NonXtal_BW#'!$A:$Z,22,FALSE)+VLOOKUP($A341,A:AL,31,FALSE)-50)),"-",(VLOOKUP($A341,'SegEnds_NonXtal_BW#'!$A:$Z,22,FALSE)+VLOOKUP($A341,A:AL,31,FALSE)-50))</f>
        <v>1155</v>
      </c>
      <c r="AG341" s="3">
        <f>IF(ISERROR(VLOOKUP($A341,'SegEnds_NonXtal_BW#'!$A:$Z,23,FALSE)+VLOOKUP($A341,A:AL,34,FALSE)-50),"-",(VLOOKUP($A341,'SegEnds_NonXtal_BW#'!$A:$Z,23,FALSE)+VLOOKUP($A341,A:AL,34,FALSE)-50))</f>
        <v>1162</v>
      </c>
      <c r="AH341" s="3">
        <v>1181</v>
      </c>
      <c r="AI341" s="3">
        <f>IF(ISERROR((VLOOKUP($A341,'SegEnds_NonXtal_BW#'!$A:$Z,24,FALSE)+VLOOKUP($A341,A:AL,34,FALSE)-50)),"-",(VLOOKUP($A341,'SegEnds_NonXtal_BW#'!$A:$Z,24,FALSE)+VLOOKUP($A341,A:AL,34,FALSE)-50))</f>
        <v>1187</v>
      </c>
      <c r="AJ341" s="3">
        <f>IF(ISERROR(VLOOKUP($A341,'SegEnds_NonXtal_BW#'!$A:$Z,25,FALSE)+VLOOKUP($A341,A:AL,37,FALSE)-50),"-",(VLOOKUP($A341,'SegEnds_NonXtal_BW#'!$A:$Z,25,FALSE)+VLOOKUP($A341,A:AL,37,FALSE)-50))</f>
        <v>1188</v>
      </c>
      <c r="AK341" s="3">
        <v>1191</v>
      </c>
      <c r="AL341" s="3">
        <f>IF(ISERROR((VLOOKUP($A341,'SegEnds_NonXtal_BW#'!$A:$Z,26,FALSE)+VLOOKUP($A341,A:AL,37,FALSE)-50)),"-",(VLOOKUP($A341,'SegEnds_NonXtal_BW#'!$A:$Z,26,FALSE)+VLOOKUP($A341,A:AL,37,FALSE)-50))</f>
        <v>1204</v>
      </c>
      <c r="AM341" s="28" t="str">
        <f>VLOOKUP(A341,Classification!A:B,2,FALSE)</f>
        <v>B2</v>
      </c>
      <c r="AN341" s="28" t="b">
        <f t="shared" si="235"/>
        <v>1</v>
      </c>
      <c r="AO341" s="3" t="str">
        <f>IF(ISERROR(MATCH(A341,'SegEnds_Xtal_Prot#'!B:B, 0)), "NoXtal", "Xtal")</f>
        <v>NoXtal</v>
      </c>
      <c r="AP341" s="3" t="str">
        <f t="shared" si="220"/>
        <v>-</v>
      </c>
      <c r="AQ341" s="3" t="str">
        <f t="shared" si="221"/>
        <v>-</v>
      </c>
      <c r="AR341" s="3" t="str">
        <f t="shared" si="222"/>
        <v>-</v>
      </c>
      <c r="AS341" s="3" t="str">
        <f t="shared" si="223"/>
        <v>-</v>
      </c>
      <c r="AT341" s="3" t="str">
        <f t="shared" si="224"/>
        <v>-</v>
      </c>
      <c r="AU341" s="3" t="str">
        <f t="shared" si="225"/>
        <v>-</v>
      </c>
      <c r="AV341" s="3">
        <f t="shared" si="226"/>
        <v>7</v>
      </c>
      <c r="AW341" s="3">
        <f t="shared" si="227"/>
        <v>3</v>
      </c>
      <c r="AX341" s="3">
        <f t="shared" si="228"/>
        <v>10</v>
      </c>
      <c r="AY341" s="3">
        <f t="shared" si="229"/>
        <v>7</v>
      </c>
      <c r="AZ341" s="3">
        <f t="shared" si="230"/>
        <v>1</v>
      </c>
      <c r="BA341" s="3">
        <f>IF(ISERROR(LEN(VLOOKUP(A341,Seqs!A:E,2,FALSE))-AL341),"-",LEN(VLOOKUP(A341,Seqs!A:E,2,FALSE))-AL341)</f>
        <v>380</v>
      </c>
      <c r="BB341" s="16">
        <f t="shared" si="231"/>
        <v>29</v>
      </c>
      <c r="BC341" s="9" t="str">
        <f t="shared" si="232"/>
        <v>-</v>
      </c>
      <c r="BD341" s="3">
        <f t="shared" si="233"/>
        <v>29</v>
      </c>
      <c r="BE341" s="3">
        <f t="shared" si="234"/>
        <v>50</v>
      </c>
    </row>
    <row r="342" spans="1:58" s="3" customFormat="1" x14ac:dyDescent="0.2">
      <c r="A342" s="3" t="s">
        <v>417</v>
      </c>
      <c r="B342" s="3" t="str">
        <f>LOWER(VLOOKUP(A342,Xtal_Templ!A:B,2,FALSE))</f>
        <v>glp1r_human</v>
      </c>
      <c r="C342" s="3">
        <f>VLOOKUP($A342,'SegEnds_NonXtal_BW#'!$A:$Z,3,FALSE)+D342-50</f>
        <v>535</v>
      </c>
      <c r="D342" s="3">
        <v>562</v>
      </c>
      <c r="E342" s="3">
        <f>IF(ISERROR(VLOOKUP($A342,'SegEnds_NonXtal_BW#'!$A:$Z,4,FALSE)+VLOOKUP($A342,A:AL,4,FALSE)-50),"-",(VLOOKUP($A342,'SegEnds_NonXtal_BW#'!$A:$Z,4,FALSE)+VLOOKUP($A342,A:AL,4,FALSE)-50))</f>
        <v>572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577</v>
      </c>
      <c r="J342" s="3">
        <v>590</v>
      </c>
      <c r="K342" s="3">
        <f>VLOOKUP($A342,'SegEnds_NonXtal_BW#'!$A:$Z,8,FALSE)+VLOOKUP($A342,A:AL,10,FALSE)-50</f>
        <v>603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610</v>
      </c>
      <c r="P342" s="3">
        <v>637</v>
      </c>
      <c r="Q342" s="3">
        <f>VLOOKUP($A342,'SegEnds_NonXtal_BW#'!$A:$Z,12,FALSE)+VLOOKUP($A342,A:AL,16,FALSE)-50</f>
        <v>643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1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648</v>
      </c>
      <c r="V342" s="3">
        <v>660</v>
      </c>
      <c r="W342" s="3">
        <f>IF(ISERROR(VLOOKUP($A342,'SegEnds_NonXtal_BW#'!$A:$Z,16,FALSE)+VLOOKUP($A342,A:AL,22,FALSE)-50),"-",(VLOOKUP($A342,'SegEnds_NonXtal_BW#'!$A:$Z,16,FALSE)+VLOOKUP($A342,A:AL,22,FALSE)-50))</f>
        <v>678</v>
      </c>
      <c r="X342" s="3">
        <f>IF(ISERROR(VLOOKUP($A342,'SegEnds_NonXtal_BW#'!$A:$Z,17,FALSE)+VLOOKUP($A342,A:AL,25,FALSE)-50),"-",(VLOOKUP($A342,'SegEnds_NonXtal_BW#'!$A:$Z,17,FALSE)+VLOOKUP($A342,A:AL,25,FALSE)-50))</f>
        <v>684</v>
      </c>
      <c r="Y342" s="3">
        <v>684</v>
      </c>
      <c r="Z342" s="3">
        <f t="shared" si="219"/>
        <v>686</v>
      </c>
      <c r="AA342" s="3">
        <f>IF(ISERROR(VLOOKUP($A342,'SegEnds_NonXtal_BW#'!$A:$Z,19,FALSE)+VLOOKUP($A342,A:AL,28,FALSE)-50),"-",(VLOOKUP($A342,'SegEnds_NonXtal_BW#'!$A:$Z,19,FALSE)+VLOOKUP($A342,A:AL,28,FALSE)-50))</f>
        <v>689</v>
      </c>
      <c r="AB342" s="3">
        <v>703</v>
      </c>
      <c r="AC342" s="3">
        <f>IF(ISERROR((VLOOKUP($A342,'SegEnds_NonXtal_BW#'!$A:$Z,20,FALSE)+VLOOKUP($A342,A:AL,28,FALSE)-50)),"-",(VLOOKUP($A342,'SegEnds_NonXtal_BW#'!$A:$Z,20,FALSE)+VLOOKUP($A342,A:AL,28,FALSE)-50))</f>
        <v>722</v>
      </c>
      <c r="AD342" s="3">
        <f>IF(ISERROR(VLOOKUP($A342,'SegEnds_NonXtal_BW#'!$A:$Z,21,FALSE)+VLOOKUP($A342,A:AL,31,FALSE)-50),"-",(VLOOKUP($A342,'SegEnds_NonXtal_BW#'!$A:$Z,21,FALSE)+VLOOKUP($A342,A:AL,31,FALSE)-50))</f>
        <v>734</v>
      </c>
      <c r="AE342" s="3">
        <v>755</v>
      </c>
      <c r="AF342" s="3">
        <f>IF(ISERROR((VLOOKUP($A342,'SegEnds_NonXtal_BW#'!$A:$Z,22,FALSE)+VLOOKUP($A342,A:AL,31,FALSE)-50)),"-",(VLOOKUP($A342,'SegEnds_NonXtal_BW#'!$A:$Z,22,FALSE)+VLOOKUP($A342,A:AL,31,FALSE)-50))</f>
        <v>758</v>
      </c>
      <c r="AG342" s="3">
        <f>IF(ISERROR(VLOOKUP($A342,'SegEnds_NonXtal_BW#'!$A:$Z,23,FALSE)+VLOOKUP($A342,A:AL,34,FALSE)-50),"-",(VLOOKUP($A342,'SegEnds_NonXtal_BW#'!$A:$Z,23,FALSE)+VLOOKUP($A342,A:AL,34,FALSE)-50))</f>
        <v>764</v>
      </c>
      <c r="AH342" s="3">
        <v>783</v>
      </c>
      <c r="AI342" s="3">
        <f>IF(ISERROR((VLOOKUP($A342,'SegEnds_NonXtal_BW#'!$A:$Z,24,FALSE)+VLOOKUP($A342,A:AL,34,FALSE)-50)),"-",(VLOOKUP($A342,'SegEnds_NonXtal_BW#'!$A:$Z,24,FALSE)+VLOOKUP($A342,A:AL,34,FALSE)-50))</f>
        <v>789</v>
      </c>
      <c r="AJ342" s="3">
        <f>IF(ISERROR(VLOOKUP($A342,'SegEnds_NonXtal_BW#'!$A:$Z,25,FALSE)+VLOOKUP($A342,A:AL,37,FALSE)-50),"-",(VLOOKUP($A342,'SegEnds_NonXtal_BW#'!$A:$Z,25,FALSE)+VLOOKUP($A342,A:AL,37,FALSE)-50))</f>
        <v>790</v>
      </c>
      <c r="AK342" s="3">
        <v>793</v>
      </c>
      <c r="AL342" s="3">
        <f>IF(ISERROR((VLOOKUP($A342,'SegEnds_NonXtal_BW#'!$A:$Z,26,FALSE)+VLOOKUP($A342,A:AL,37,FALSE)-50)),"-",(VLOOKUP($A342,'SegEnds_NonXtal_BW#'!$A:$Z,26,FALSE)+VLOOKUP($A342,A:AL,37,FALSE)-50))</f>
        <v>806</v>
      </c>
      <c r="AM342" s="28" t="str">
        <f>VLOOKUP(A342,Classification!A:B,2,FALSE)</f>
        <v>B2</v>
      </c>
      <c r="AN342" s="28" t="b">
        <f t="shared" si="235"/>
        <v>1</v>
      </c>
      <c r="AO342" s="3" t="str">
        <f>IF(ISERROR(MATCH(A342,'SegEnds_Xtal_Prot#'!B:B, 0)), "NoXtal", "Xtal")</f>
        <v>NoXtal</v>
      </c>
      <c r="AP342" s="3" t="str">
        <f t="shared" si="220"/>
        <v>-</v>
      </c>
      <c r="AQ342" s="3" t="str">
        <f t="shared" si="221"/>
        <v>-</v>
      </c>
      <c r="AR342" s="3" t="str">
        <f t="shared" si="222"/>
        <v>-</v>
      </c>
      <c r="AS342" s="3" t="str">
        <f t="shared" si="223"/>
        <v>-</v>
      </c>
      <c r="AT342" s="3" t="str">
        <f t="shared" si="224"/>
        <v>-</v>
      </c>
      <c r="AU342" s="3" t="str">
        <f t="shared" si="225"/>
        <v>-</v>
      </c>
      <c r="AV342" s="3">
        <f t="shared" si="226"/>
        <v>6</v>
      </c>
      <c r="AW342" s="3">
        <f t="shared" si="227"/>
        <v>3</v>
      </c>
      <c r="AX342" s="3">
        <f t="shared" si="228"/>
        <v>12</v>
      </c>
      <c r="AY342" s="3">
        <f t="shared" si="229"/>
        <v>6</v>
      </c>
      <c r="AZ342" s="3">
        <f t="shared" si="230"/>
        <v>1</v>
      </c>
      <c r="BA342" s="3">
        <f>IF(ISERROR(LEN(VLOOKUP(A342,Seqs!A:E,2,FALSE))-AL342),"-",LEN(VLOOKUP(A342,Seqs!A:E,2,FALSE))-AL342)</f>
        <v>29</v>
      </c>
      <c r="BB342" s="16">
        <f t="shared" si="231"/>
        <v>28</v>
      </c>
      <c r="BC342" s="9" t="str">
        <f t="shared" si="232"/>
        <v>-</v>
      </c>
      <c r="BD342" s="3">
        <f t="shared" si="233"/>
        <v>28</v>
      </c>
      <c r="BE342" s="3">
        <f t="shared" si="234"/>
        <v>52</v>
      </c>
      <c r="BF342" s="3">
        <f>AH342-AE342</f>
        <v>28</v>
      </c>
    </row>
    <row r="343" spans="1:58" s="3" customFormat="1" x14ac:dyDescent="0.2">
      <c r="A343" s="3" t="s">
        <v>418</v>
      </c>
      <c r="B343" s="3" t="str">
        <f>LOWER(VLOOKUP(A343,Xtal_Templ!A:B,2,FALSE))</f>
        <v>calcr_human</v>
      </c>
      <c r="C343" s="3">
        <f>VLOOKUP($A343,'SegEnds_NonXtal_BW#'!$A:$Z,3,FALSE)+D343-50</f>
        <v>2456</v>
      </c>
      <c r="D343" s="3">
        <v>2483</v>
      </c>
      <c r="E343" s="3">
        <f>IF(ISERROR(VLOOKUP($A343,'SegEnds_NonXtal_BW#'!$A:$Z,4,FALSE)+VLOOKUP($A343,A:AL,4,FALSE)-50),"-",(VLOOKUP($A343,'SegEnds_NonXtal_BW#'!$A:$Z,4,FALSE)+VLOOKUP($A343,A:AL,4,FALSE)-50))</f>
        <v>2493</v>
      </c>
      <c r="F343" s="3">
        <f>G343-2</f>
        <v>2494</v>
      </c>
      <c r="G343" s="3">
        <v>2496</v>
      </c>
      <c r="H343" s="3">
        <f t="shared" ref="H343:I345" si="236">G343+1</f>
        <v>2497</v>
      </c>
      <c r="I343" s="3">
        <f t="shared" si="236"/>
        <v>2498</v>
      </c>
      <c r="J343" s="3">
        <v>2511</v>
      </c>
      <c r="K343" s="3">
        <f>VLOOKUP($A343,'SegEnds_NonXtal_BW#'!$A:$Z,8,FALSE)+VLOOKUP($A343,A:AL,10,FALSE)-50</f>
        <v>2524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2529</v>
      </c>
      <c r="P343" s="3">
        <v>2556</v>
      </c>
      <c r="Q343" s="3">
        <f>VLOOKUP($A343,'SegEnds_NonXtal_BW#'!$A:$Z,12,FALSE)+VLOOKUP($A343,A:AL,16,FALSE)-50</f>
        <v>2562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1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2570</v>
      </c>
      <c r="V343" s="3">
        <v>2579</v>
      </c>
      <c r="W343" s="3">
        <f>IF(ISERROR(VLOOKUP($A343,'SegEnds_NonXtal_BW#'!$A:$Z,16,FALSE)+VLOOKUP($A343,A:AL,22,FALSE)-50),"-",(VLOOKUP($A343,'SegEnds_NonXtal_BW#'!$A:$Z,16,FALSE)+VLOOKUP($A343,A:AL,22,FALSE)-50))</f>
        <v>2597</v>
      </c>
      <c r="X343" s="3">
        <f>IF(ISERROR(VLOOKUP($A343,'SegEnds_NonXtal_BW#'!$A:$Z,17,FALSE)+VLOOKUP($A343,A:AL,25,FALSE)-50),"-",(VLOOKUP($A343,'SegEnds_NonXtal_BW#'!$A:$Z,17,FALSE)+VLOOKUP($A343,A:AL,25,FALSE)-50))</f>
        <v>2603</v>
      </c>
      <c r="Y343" s="3">
        <v>2603</v>
      </c>
      <c r="Z343" s="3">
        <f t="shared" si="219"/>
        <v>2605</v>
      </c>
      <c r="AA343" s="3">
        <f>IF(ISERROR(VLOOKUP($A343,'SegEnds_NonXtal_BW#'!$A:$Z,19,FALSE)+VLOOKUP($A343,A:AL,28,FALSE)-50),"-",(VLOOKUP($A343,'SegEnds_NonXtal_BW#'!$A:$Z,19,FALSE)+VLOOKUP($A343,A:AL,28,FALSE)-50))</f>
        <v>2608</v>
      </c>
      <c r="AB343" s="3">
        <v>2622</v>
      </c>
      <c r="AC343" s="3">
        <f>IF(ISERROR((VLOOKUP($A343,'SegEnds_NonXtal_BW#'!$A:$Z,20,FALSE)+VLOOKUP($A343,A:AL,28,FALSE)-50)),"-",(VLOOKUP($A343,'SegEnds_NonXtal_BW#'!$A:$Z,20,FALSE)+VLOOKUP($A343,A:AL,28,FALSE)-50))</f>
        <v>2641</v>
      </c>
      <c r="AD343" s="3">
        <f>IF(ISERROR(VLOOKUP($A343,'SegEnds_NonXtal_BW#'!$A:$Z,21,FALSE)+VLOOKUP($A343,A:AL,31,FALSE)-50),"-",(VLOOKUP($A343,'SegEnds_NonXtal_BW#'!$A:$Z,21,FALSE)+VLOOKUP($A343,A:AL,31,FALSE)-50))</f>
        <v>2649</v>
      </c>
      <c r="AE343" s="3">
        <v>2670</v>
      </c>
      <c r="AF343" s="3">
        <f>IF(ISERROR((VLOOKUP($A343,'SegEnds_NonXtal_BW#'!$A:$Z,22,FALSE)+VLOOKUP($A343,A:AL,31,FALSE)-50)),"-",(VLOOKUP($A343,'SegEnds_NonXtal_BW#'!$A:$Z,22,FALSE)+VLOOKUP($A343,A:AL,31,FALSE)-50))</f>
        <v>2673</v>
      </c>
      <c r="AG343" s="3">
        <f>IF(ISERROR(VLOOKUP($A343,'SegEnds_NonXtal_BW#'!$A:$Z,23,FALSE)+VLOOKUP($A343,A:AL,34,FALSE)-50),"-",(VLOOKUP($A343,'SegEnds_NonXtal_BW#'!$A:$Z,23,FALSE)+VLOOKUP($A343,A:AL,34,FALSE)-50))</f>
        <v>2679</v>
      </c>
      <c r="AH343" s="3">
        <v>2698</v>
      </c>
      <c r="AI343" s="3">
        <f>IF(ISERROR((VLOOKUP($A343,'SegEnds_NonXtal_BW#'!$A:$Z,24,FALSE)+VLOOKUP($A343,A:AL,34,FALSE)-50)),"-",(VLOOKUP($A343,'SegEnds_NonXtal_BW#'!$A:$Z,24,FALSE)+VLOOKUP($A343,A:AL,34,FALSE)-50))</f>
        <v>2704</v>
      </c>
      <c r="AJ343" s="3">
        <f>IF(ISERROR(VLOOKUP($A343,'SegEnds_NonXtal_BW#'!$A:$Z,25,FALSE)+VLOOKUP($A343,A:AL,37,FALSE)-50),"-",(VLOOKUP($A343,'SegEnds_NonXtal_BW#'!$A:$Z,25,FALSE)+VLOOKUP($A343,A:AL,37,FALSE)-50))</f>
        <v>2705</v>
      </c>
      <c r="AK343" s="3">
        <v>2708</v>
      </c>
      <c r="AL343" s="3">
        <f>IF(ISERROR((VLOOKUP($A343,'SegEnds_NonXtal_BW#'!$A:$Z,26,FALSE)+VLOOKUP($A343,A:AL,37,FALSE)-50)),"-",(VLOOKUP($A343,'SegEnds_NonXtal_BW#'!$A:$Z,26,FALSE)+VLOOKUP($A343,A:AL,37,FALSE)-50))</f>
        <v>2721</v>
      </c>
      <c r="AM343" s="28" t="str">
        <f>VLOOKUP(A343,Classification!A:B,2,FALSE)</f>
        <v>B2</v>
      </c>
      <c r="AN343" s="28" t="b">
        <f t="shared" si="235"/>
        <v>1</v>
      </c>
      <c r="AO343" s="3" t="str">
        <f>IF(ISERROR(MATCH(A343,'SegEnds_Xtal_Prot#'!B:B, 0)), "NoXtal", "Xtal")</f>
        <v>NoXtal</v>
      </c>
      <c r="AP343" s="3">
        <f t="shared" si="220"/>
        <v>1</v>
      </c>
      <c r="AQ343" s="3">
        <f t="shared" si="221"/>
        <v>1</v>
      </c>
      <c r="AR343" s="3" t="str">
        <f t="shared" si="222"/>
        <v>-</v>
      </c>
      <c r="AS343" s="3" t="str">
        <f t="shared" si="223"/>
        <v>-</v>
      </c>
      <c r="AT343" s="3" t="str">
        <f t="shared" si="224"/>
        <v>-</v>
      </c>
      <c r="AU343" s="3" t="str">
        <f t="shared" si="225"/>
        <v>-</v>
      </c>
      <c r="AV343" s="3">
        <f t="shared" si="226"/>
        <v>6</v>
      </c>
      <c r="AW343" s="3">
        <f t="shared" si="227"/>
        <v>3</v>
      </c>
      <c r="AX343" s="3">
        <f t="shared" si="228"/>
        <v>8</v>
      </c>
      <c r="AY343" s="3">
        <f t="shared" si="229"/>
        <v>6</v>
      </c>
      <c r="AZ343" s="3">
        <f t="shared" si="230"/>
        <v>1</v>
      </c>
      <c r="BA343" s="3">
        <f>IF(ISERROR(LEN(VLOOKUP(A343,Seqs!A:E,2,FALSE))-AL343),"-",LEN(VLOOKUP(A343,Seqs!A:E,2,FALSE))-AL343)</f>
        <v>293</v>
      </c>
      <c r="BB343" s="16">
        <f t="shared" si="231"/>
        <v>28</v>
      </c>
      <c r="BC343" s="9" t="str">
        <f t="shared" si="232"/>
        <v>-</v>
      </c>
      <c r="BD343" s="3">
        <f t="shared" si="233"/>
        <v>28</v>
      </c>
      <c r="BE343" s="3">
        <f t="shared" si="234"/>
        <v>48</v>
      </c>
    </row>
    <row r="344" spans="1:58" s="3" customFormat="1" x14ac:dyDescent="0.2">
      <c r="A344" s="3" t="s">
        <v>419</v>
      </c>
      <c r="B344" s="3" t="str">
        <f>LOWER(VLOOKUP(A344,Xtal_Templ!A:B,2,FALSE))</f>
        <v>calcr_human</v>
      </c>
      <c r="C344" s="3">
        <f>VLOOKUP($A344,'SegEnds_NonXtal_BW#'!$A:$Z,3,FALSE)+D344-50</f>
        <v>2364</v>
      </c>
      <c r="D344" s="3">
        <v>2391</v>
      </c>
      <c r="E344" s="3">
        <f>IF(ISERROR(VLOOKUP($A344,'SegEnds_NonXtal_BW#'!$A:$Z,4,FALSE)+VLOOKUP($A344,A:AL,4,FALSE)-50),"-",(VLOOKUP($A344,'SegEnds_NonXtal_BW#'!$A:$Z,4,FALSE)+VLOOKUP($A344,A:AL,4,FALSE)-50))</f>
        <v>2401</v>
      </c>
      <c r="F344" s="3">
        <f>G344-2</f>
        <v>2402</v>
      </c>
      <c r="G344" s="3">
        <v>2404</v>
      </c>
      <c r="H344" s="3">
        <f t="shared" si="236"/>
        <v>2405</v>
      </c>
      <c r="I344" s="3">
        <f t="shared" si="236"/>
        <v>2406</v>
      </c>
      <c r="J344" s="3">
        <v>2419</v>
      </c>
      <c r="K344" s="3">
        <f>VLOOKUP($A344,'SegEnds_NonXtal_BW#'!$A:$Z,8,FALSE)+VLOOKUP($A344,A:AL,10,FALSE)-50</f>
        <v>2432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2437</v>
      </c>
      <c r="P344" s="3">
        <v>2464</v>
      </c>
      <c r="Q344" s="3">
        <f>VLOOKUP($A344,'SegEnds_NonXtal_BW#'!$A:$Z,12,FALSE)+VLOOKUP($A344,A:AL,16,FALSE)-50</f>
        <v>2470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1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2478</v>
      </c>
      <c r="V344" s="3">
        <v>2487</v>
      </c>
      <c r="W344" s="3">
        <f>IF(ISERROR(VLOOKUP($A344,'SegEnds_NonXtal_BW#'!$A:$Z,16,FALSE)+VLOOKUP($A344,A:AL,22,FALSE)-50),"-",(VLOOKUP($A344,'SegEnds_NonXtal_BW#'!$A:$Z,16,FALSE)+VLOOKUP($A344,A:AL,22,FALSE)-50))</f>
        <v>2505</v>
      </c>
      <c r="X344" s="3">
        <f>IF(ISERROR(VLOOKUP($A344,'SegEnds_NonXtal_BW#'!$A:$Z,17,FALSE)+VLOOKUP($A344,A:AL,25,FALSE)-50),"-",(VLOOKUP($A344,'SegEnds_NonXtal_BW#'!$A:$Z,17,FALSE)+VLOOKUP($A344,A:AL,25,FALSE)-50))</f>
        <v>2511</v>
      </c>
      <c r="Y344" s="3">
        <v>2511</v>
      </c>
      <c r="Z344" s="3">
        <f t="shared" si="219"/>
        <v>2513</v>
      </c>
      <c r="AA344" s="3">
        <f>IF(ISERROR(VLOOKUP($A344,'SegEnds_NonXtal_BW#'!$A:$Z,19,FALSE)+VLOOKUP($A344,A:AL,28,FALSE)-50),"-",(VLOOKUP($A344,'SegEnds_NonXtal_BW#'!$A:$Z,19,FALSE)+VLOOKUP($A344,A:AL,28,FALSE)-50))</f>
        <v>2516</v>
      </c>
      <c r="AB344" s="3">
        <v>2530</v>
      </c>
      <c r="AC344" s="3">
        <f>IF(ISERROR((VLOOKUP($A344,'SegEnds_NonXtal_BW#'!$A:$Z,20,FALSE)+VLOOKUP($A344,A:AL,28,FALSE)-50)),"-",(VLOOKUP($A344,'SegEnds_NonXtal_BW#'!$A:$Z,20,FALSE)+VLOOKUP($A344,A:AL,28,FALSE)-50))</f>
        <v>2549</v>
      </c>
      <c r="AD344" s="3">
        <f>IF(ISERROR(VLOOKUP($A344,'SegEnds_NonXtal_BW#'!$A:$Z,21,FALSE)+VLOOKUP($A344,A:AL,31,FALSE)-50),"-",(VLOOKUP($A344,'SegEnds_NonXtal_BW#'!$A:$Z,21,FALSE)+VLOOKUP($A344,A:AL,31,FALSE)-50))</f>
        <v>2557</v>
      </c>
      <c r="AE344" s="3">
        <v>2578</v>
      </c>
      <c r="AF344" s="3">
        <f>IF(ISERROR((VLOOKUP($A344,'SegEnds_NonXtal_BW#'!$A:$Z,22,FALSE)+VLOOKUP($A344,A:AL,31,FALSE)-50)),"-",(VLOOKUP($A344,'SegEnds_NonXtal_BW#'!$A:$Z,22,FALSE)+VLOOKUP($A344,A:AL,31,FALSE)-50))</f>
        <v>2581</v>
      </c>
      <c r="AG344" s="3">
        <f>IF(ISERROR(VLOOKUP($A344,'SegEnds_NonXtal_BW#'!$A:$Z,23,FALSE)+VLOOKUP($A344,A:AL,34,FALSE)-50),"-",(VLOOKUP($A344,'SegEnds_NonXtal_BW#'!$A:$Z,23,FALSE)+VLOOKUP($A344,A:AL,34,FALSE)-50))</f>
        <v>2587</v>
      </c>
      <c r="AH344" s="3">
        <v>2606</v>
      </c>
      <c r="AI344" s="3">
        <f>IF(ISERROR((VLOOKUP($A344,'SegEnds_NonXtal_BW#'!$A:$Z,24,FALSE)+VLOOKUP($A344,A:AL,34,FALSE)-50)),"-",(VLOOKUP($A344,'SegEnds_NonXtal_BW#'!$A:$Z,24,FALSE)+VLOOKUP($A344,A:AL,34,FALSE)-50))</f>
        <v>2612</v>
      </c>
      <c r="AJ344" s="3">
        <f>IF(ISERROR(VLOOKUP($A344,'SegEnds_NonXtal_BW#'!$A:$Z,25,FALSE)+VLOOKUP($A344,A:AL,37,FALSE)-50),"-",(VLOOKUP($A344,'SegEnds_NonXtal_BW#'!$A:$Z,25,FALSE)+VLOOKUP($A344,A:AL,37,FALSE)-50))</f>
        <v>2613</v>
      </c>
      <c r="AK344" s="3">
        <v>2616</v>
      </c>
      <c r="AL344" s="3">
        <f>IF(ISERROR((VLOOKUP($A344,'SegEnds_NonXtal_BW#'!$A:$Z,26,FALSE)+VLOOKUP($A344,A:AL,37,FALSE)-50)),"-",(VLOOKUP($A344,'SegEnds_NonXtal_BW#'!$A:$Z,26,FALSE)+VLOOKUP($A344,A:AL,37,FALSE)-50))</f>
        <v>2629</v>
      </c>
      <c r="AM344" s="28" t="str">
        <f>VLOOKUP(A344,Classification!A:B,2,FALSE)</f>
        <v>B2</v>
      </c>
      <c r="AN344" s="28" t="b">
        <f t="shared" si="235"/>
        <v>1</v>
      </c>
      <c r="AO344" s="3" t="str">
        <f>IF(ISERROR(MATCH(A344,'SegEnds_Xtal_Prot#'!B:B, 0)), "NoXtal", "Xtal")</f>
        <v>NoXtal</v>
      </c>
      <c r="AP344" s="3">
        <f t="shared" si="220"/>
        <v>1</v>
      </c>
      <c r="AQ344" s="3">
        <f t="shared" si="221"/>
        <v>1</v>
      </c>
      <c r="AR344" s="3" t="str">
        <f t="shared" si="222"/>
        <v>-</v>
      </c>
      <c r="AS344" s="3" t="str">
        <f t="shared" si="223"/>
        <v>-</v>
      </c>
      <c r="AT344" s="3" t="str">
        <f t="shared" si="224"/>
        <v>-</v>
      </c>
      <c r="AU344" s="3" t="str">
        <f t="shared" si="225"/>
        <v>-</v>
      </c>
      <c r="AV344" s="3">
        <f t="shared" si="226"/>
        <v>6</v>
      </c>
      <c r="AW344" s="3">
        <f t="shared" si="227"/>
        <v>3</v>
      </c>
      <c r="AX344" s="3">
        <f t="shared" si="228"/>
        <v>8</v>
      </c>
      <c r="AY344" s="3">
        <f t="shared" si="229"/>
        <v>6</v>
      </c>
      <c r="AZ344" s="3">
        <f t="shared" si="230"/>
        <v>1</v>
      </c>
      <c r="BA344" s="3">
        <f>IF(ISERROR(LEN(VLOOKUP(A344,Seqs!A:E,2,FALSE))-AL344),"-",LEN(VLOOKUP(A344,Seqs!A:E,2,FALSE))-AL344)</f>
        <v>294</v>
      </c>
      <c r="BB344" s="16">
        <f t="shared" si="231"/>
        <v>28</v>
      </c>
      <c r="BC344" s="9" t="str">
        <f t="shared" si="232"/>
        <v>-</v>
      </c>
      <c r="BD344" s="3">
        <f t="shared" si="233"/>
        <v>28</v>
      </c>
      <c r="BE344" s="3">
        <f t="shared" si="234"/>
        <v>48</v>
      </c>
    </row>
    <row r="345" spans="1:58" s="3" customFormat="1" x14ac:dyDescent="0.2">
      <c r="A345" s="3" t="s">
        <v>420</v>
      </c>
      <c r="B345" s="3" t="str">
        <f>LOWER(VLOOKUP(A345,Xtal_Templ!A:B,2,FALSE))</f>
        <v>crfr1_human</v>
      </c>
      <c r="C345" s="3">
        <f>VLOOKUP($A345,'SegEnds_NonXtal_BW#'!$A:$Z,3,FALSE)+D345-50</f>
        <v>2527</v>
      </c>
      <c r="D345" s="3">
        <v>2554</v>
      </c>
      <c r="E345" s="3">
        <f>IF(ISERROR(VLOOKUP($A345,'SegEnds_NonXtal_BW#'!$A:$Z,4,FALSE)+VLOOKUP($A345,A:AL,4,FALSE)-50),"-",(VLOOKUP($A345,'SegEnds_NonXtal_BW#'!$A:$Z,4,FALSE)+VLOOKUP($A345,A:AL,4,FALSE)-50))</f>
        <v>2564</v>
      </c>
      <c r="F345" s="3">
        <f>G345-2</f>
        <v>2565</v>
      </c>
      <c r="G345" s="3">
        <v>2567</v>
      </c>
      <c r="H345" s="3">
        <f t="shared" si="236"/>
        <v>2568</v>
      </c>
      <c r="I345" s="3">
        <f t="shared" si="236"/>
        <v>2569</v>
      </c>
      <c r="J345" s="3">
        <v>2582</v>
      </c>
      <c r="K345" s="3">
        <f>VLOOKUP($A345,'SegEnds_NonXtal_BW#'!$A:$Z,8,FALSE)+VLOOKUP($A345,A:AL,10,FALSE)-50</f>
        <v>2595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2600</v>
      </c>
      <c r="P345" s="3">
        <v>2627</v>
      </c>
      <c r="Q345" s="3">
        <f>VLOOKUP($A345,'SegEnds_NonXtal_BW#'!$A:$Z,12,FALSE)+VLOOKUP($A345,A:AL,16,FALSE)-50</f>
        <v>2633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1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2640</v>
      </c>
      <c r="V345" s="3">
        <v>2650</v>
      </c>
      <c r="W345" s="3">
        <f>IF(ISERROR(VLOOKUP($A345,'SegEnds_NonXtal_BW#'!$A:$Z,16,FALSE)+VLOOKUP($A345,A:AL,22,FALSE)-50),"-",(VLOOKUP($A345,'SegEnds_NonXtal_BW#'!$A:$Z,16,FALSE)+VLOOKUP($A345,A:AL,22,FALSE)-50))</f>
        <v>2668</v>
      </c>
      <c r="X345" s="3">
        <f>IF(ISERROR(VLOOKUP($A345,'SegEnds_NonXtal_BW#'!$A:$Z,17,FALSE)+VLOOKUP($A345,A:AL,25,FALSE)-50),"-",(VLOOKUP($A345,'SegEnds_NonXtal_BW#'!$A:$Z,17,FALSE)+VLOOKUP($A345,A:AL,25,FALSE)-50))</f>
        <v>2674</v>
      </c>
      <c r="Y345" s="3">
        <v>2674</v>
      </c>
      <c r="Z345" s="3">
        <f t="shared" si="219"/>
        <v>2676</v>
      </c>
      <c r="AA345" s="3">
        <f>IF(ISERROR(VLOOKUP($A345,'SegEnds_NonXtal_BW#'!$A:$Z,19,FALSE)+VLOOKUP($A345,A:AL,28,FALSE)-50),"-",(VLOOKUP($A345,'SegEnds_NonXtal_BW#'!$A:$Z,19,FALSE)+VLOOKUP($A345,A:AL,28,FALSE)-50))</f>
        <v>2679</v>
      </c>
      <c r="AB345" s="3">
        <v>2693</v>
      </c>
      <c r="AC345" s="3">
        <f>IF(ISERROR((VLOOKUP($A345,'SegEnds_NonXtal_BW#'!$A:$Z,20,FALSE)+VLOOKUP($A345,A:AL,28,FALSE)-50)),"-",(VLOOKUP($A345,'SegEnds_NonXtal_BW#'!$A:$Z,20,FALSE)+VLOOKUP($A345,A:AL,28,FALSE)-50))</f>
        <v>2712</v>
      </c>
      <c r="AD345" s="3">
        <f>IF(ISERROR(VLOOKUP($A345,'SegEnds_NonXtal_BW#'!$A:$Z,21,FALSE)+VLOOKUP($A345,A:AL,31,FALSE)-50),"-",(VLOOKUP($A345,'SegEnds_NonXtal_BW#'!$A:$Z,21,FALSE)+VLOOKUP($A345,A:AL,31,FALSE)-50))</f>
        <v>2719</v>
      </c>
      <c r="AE345" s="3">
        <v>2740</v>
      </c>
      <c r="AF345" s="3">
        <f>IF(ISERROR((VLOOKUP($A345,'SegEnds_NonXtal_BW#'!$A:$Z,22,FALSE)+VLOOKUP($A345,A:AL,31,FALSE)-50)),"-",(VLOOKUP($A345,'SegEnds_NonXtal_BW#'!$A:$Z,22,FALSE)+VLOOKUP($A345,A:AL,31,FALSE)-50))</f>
        <v>2743</v>
      </c>
      <c r="AG345" s="3">
        <f>IF(ISERROR(VLOOKUP($A345,'SegEnds_NonXtal_BW#'!$A:$Z,23,FALSE)+VLOOKUP($A345,A:AL,34,FALSE)-50),"-",(VLOOKUP($A345,'SegEnds_NonXtal_BW#'!$A:$Z,23,FALSE)+VLOOKUP($A345,A:AL,34,FALSE)-50))</f>
        <v>2749</v>
      </c>
      <c r="AH345" s="3">
        <v>2768</v>
      </c>
      <c r="AI345" s="3">
        <f>IF(ISERROR((VLOOKUP($A345,'SegEnds_NonXtal_BW#'!$A:$Z,24,FALSE)+VLOOKUP($A345,A:AL,34,FALSE)-50)),"-",(VLOOKUP($A345,'SegEnds_NonXtal_BW#'!$A:$Z,24,FALSE)+VLOOKUP($A345,A:AL,34,FALSE)-50))</f>
        <v>2774</v>
      </c>
      <c r="AJ345" s="3">
        <f>IF(ISERROR(VLOOKUP($A345,'SegEnds_NonXtal_BW#'!$A:$Z,25,FALSE)+VLOOKUP($A345,A:AL,37,FALSE)-50),"-",(VLOOKUP($A345,'SegEnds_NonXtal_BW#'!$A:$Z,25,FALSE)+VLOOKUP($A345,A:AL,37,FALSE)-50))</f>
        <v>2775</v>
      </c>
      <c r="AK345" s="3">
        <v>2778</v>
      </c>
      <c r="AL345" s="3">
        <f>IF(ISERROR((VLOOKUP($A345,'SegEnds_NonXtal_BW#'!$A:$Z,26,FALSE)+VLOOKUP($A345,A:AL,37,FALSE)-50)),"-",(VLOOKUP($A345,'SegEnds_NonXtal_BW#'!$A:$Z,26,FALSE)+VLOOKUP($A345,A:AL,37,FALSE)-50))</f>
        <v>2791</v>
      </c>
      <c r="AM345" s="28" t="str">
        <f>VLOOKUP(A345,Classification!A:B,2,FALSE)</f>
        <v>B2</v>
      </c>
      <c r="AN345" s="28" t="b">
        <f t="shared" si="235"/>
        <v>1</v>
      </c>
      <c r="AO345" s="3" t="str">
        <f>IF(ISERROR(MATCH(A345,'SegEnds_Xtal_Prot#'!B:B, 0)), "NoXtal", "Xtal")</f>
        <v>NoXtal</v>
      </c>
      <c r="AP345" s="3">
        <f t="shared" si="220"/>
        <v>1</v>
      </c>
      <c r="AQ345" s="3">
        <f t="shared" si="221"/>
        <v>1</v>
      </c>
      <c r="AR345" s="3" t="str">
        <f t="shared" si="222"/>
        <v>-</v>
      </c>
      <c r="AS345" s="3" t="str">
        <f t="shared" si="223"/>
        <v>-</v>
      </c>
      <c r="AT345" s="3" t="str">
        <f t="shared" si="224"/>
        <v>-</v>
      </c>
      <c r="AU345" s="3" t="str">
        <f t="shared" si="225"/>
        <v>-</v>
      </c>
      <c r="AV345" s="3">
        <f t="shared" si="226"/>
        <v>6</v>
      </c>
      <c r="AW345" s="3">
        <f t="shared" si="227"/>
        <v>3</v>
      </c>
      <c r="AX345" s="3">
        <f t="shared" si="228"/>
        <v>7</v>
      </c>
      <c r="AY345" s="3">
        <f t="shared" si="229"/>
        <v>6</v>
      </c>
      <c r="AZ345" s="3">
        <f t="shared" si="230"/>
        <v>1</v>
      </c>
      <c r="BA345" s="3">
        <f>IF(ISERROR(LEN(VLOOKUP(A345,Seqs!A:E,2,FALSE))-AL345),"-",LEN(VLOOKUP(A345,Seqs!A:E,2,FALSE))-AL345)</f>
        <v>521</v>
      </c>
      <c r="BB345" s="16">
        <f t="shared" si="231"/>
        <v>28</v>
      </c>
      <c r="BC345" s="9" t="str">
        <f t="shared" si="232"/>
        <v>-</v>
      </c>
      <c r="BD345" s="3">
        <f t="shared" si="233"/>
        <v>28</v>
      </c>
      <c r="BE345" s="3">
        <f t="shared" si="234"/>
        <v>47</v>
      </c>
    </row>
    <row r="346" spans="1:58" s="3" customFormat="1" x14ac:dyDescent="0.2">
      <c r="A346" s="3" t="s">
        <v>442</v>
      </c>
      <c r="B346" s="3" t="str">
        <f>LOWER(VLOOKUP(A346,Xtal_Templ!A:B,2,FALSE))</f>
        <v>crfr1_human</v>
      </c>
      <c r="C346" s="3">
        <f>VLOOKUP($A346,'SegEnds_NonXtal_BW#'!$A:$Z,3,FALSE)+D346-50</f>
        <v>5895</v>
      </c>
      <c r="D346" s="3">
        <v>5922</v>
      </c>
      <c r="E346" s="3">
        <f>IF(ISERROR(VLOOKUP($A346,'SegEnds_NonXtal_BW#'!$A:$Z,4,FALSE)+VLOOKUP($A346,A:AL,4,FALSE)-50),"-",(VLOOKUP($A346,'SegEnds_NonXtal_BW#'!$A:$Z,4,FALSE)+VLOOKUP($A346,A:AL,4,FALSE)-50))</f>
        <v>5932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5935</v>
      </c>
      <c r="J346" s="3">
        <v>5948</v>
      </c>
      <c r="K346" s="3">
        <f>VLOOKUP($A346,'SegEnds_NonXtal_BW#'!$A:$Z,8,FALSE)+VLOOKUP($A346,A:AL,10,FALSE)-50</f>
        <v>5961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5968</v>
      </c>
      <c r="P346" s="3">
        <v>5995</v>
      </c>
      <c r="Q346" s="3">
        <f>VLOOKUP($A346,'SegEnds_NonXtal_BW#'!$A:$Z,12,FALSE)+VLOOKUP($A346,A:AL,16,FALSE)-50</f>
        <v>6001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1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6008</v>
      </c>
      <c r="V346" s="3">
        <v>6018</v>
      </c>
      <c r="W346" s="3">
        <f>IF(ISERROR(VLOOKUP($A346,'SegEnds_NonXtal_BW#'!$A:$Z,16,FALSE)+VLOOKUP($A346,A:AL,22,FALSE)-50),"-",(VLOOKUP($A346,'SegEnds_NonXtal_BW#'!$A:$Z,16,FALSE)+VLOOKUP($A346,A:AL,22,FALSE)-50))</f>
        <v>6036</v>
      </c>
      <c r="X346" s="3">
        <f>IF(ISERROR(VLOOKUP($A346,'SegEnds_NonXtal_BW#'!$A:$Z,17,FALSE)+VLOOKUP($A346,A:AL,25,FALSE)-50),"-",(VLOOKUP($A346,'SegEnds_NonXtal_BW#'!$A:$Z,17,FALSE)+VLOOKUP($A346,A:AL,25,FALSE)-50))</f>
        <v>6052</v>
      </c>
      <c r="Y346" s="3">
        <v>6052</v>
      </c>
      <c r="Z346" s="3">
        <f t="shared" si="219"/>
        <v>6054</v>
      </c>
      <c r="AA346" s="3">
        <f>IF(ISERROR(VLOOKUP($A346,'SegEnds_NonXtal_BW#'!$A:$Z,19,FALSE)+VLOOKUP($A346,A:AL,28,FALSE)-50),"-",(VLOOKUP($A346,'SegEnds_NonXtal_BW#'!$A:$Z,19,FALSE)+VLOOKUP($A346,A:AL,28,FALSE)-50))</f>
        <v>6058</v>
      </c>
      <c r="AB346" s="3">
        <v>6072</v>
      </c>
      <c r="AC346" s="3">
        <f>IF(ISERROR((VLOOKUP($A346,'SegEnds_NonXtal_BW#'!$A:$Z,20,FALSE)+VLOOKUP($A346,A:AL,28,FALSE)-50)),"-",(VLOOKUP($A346,'SegEnds_NonXtal_BW#'!$A:$Z,20,FALSE)+VLOOKUP($A346,A:AL,28,FALSE)-50))</f>
        <v>6091</v>
      </c>
      <c r="AD346" s="3">
        <f>IF(ISERROR(VLOOKUP($A346,'SegEnds_NonXtal_BW#'!$A:$Z,21,FALSE)+VLOOKUP($A346,A:AL,31,FALSE)-50),"-",(VLOOKUP($A346,'SegEnds_NonXtal_BW#'!$A:$Z,21,FALSE)+VLOOKUP($A346,A:AL,31,FALSE)-50))</f>
        <v>6100</v>
      </c>
      <c r="AE346" s="3">
        <v>6121</v>
      </c>
      <c r="AF346" s="3">
        <f>IF(ISERROR((VLOOKUP($A346,'SegEnds_NonXtal_BW#'!$A:$Z,22,FALSE)+VLOOKUP($A346,A:AL,31,FALSE)-50)),"-",(VLOOKUP($A346,'SegEnds_NonXtal_BW#'!$A:$Z,22,FALSE)+VLOOKUP($A346,A:AL,31,FALSE)-50))</f>
        <v>6124</v>
      </c>
      <c r="AG346" s="3">
        <f>IF(ISERROR(VLOOKUP($A346,'SegEnds_NonXtal_BW#'!$A:$Z,23,FALSE)+VLOOKUP($A346,A:AL,34,FALSE)-50),"-",(VLOOKUP($A346,'SegEnds_NonXtal_BW#'!$A:$Z,23,FALSE)+VLOOKUP($A346,A:AL,34,FALSE)-50))</f>
        <v>6130</v>
      </c>
      <c r="AH346" s="3">
        <v>6149</v>
      </c>
      <c r="AI346" s="3">
        <f>IF(ISERROR((VLOOKUP($A346,'SegEnds_NonXtal_BW#'!$A:$Z,24,FALSE)+VLOOKUP($A346,A:AL,34,FALSE)-50)),"-",(VLOOKUP($A346,'SegEnds_NonXtal_BW#'!$A:$Z,24,FALSE)+VLOOKUP($A346,A:AL,34,FALSE)-50))</f>
        <v>6155</v>
      </c>
      <c r="AJ346" s="3">
        <f>IF(ISERROR(VLOOKUP($A346,'SegEnds_NonXtal_BW#'!$A:$Z,25,FALSE)+VLOOKUP($A346,A:AL,37,FALSE)-50),"-",(VLOOKUP($A346,'SegEnds_NonXtal_BW#'!$A:$Z,25,FALSE)+VLOOKUP($A346,A:AL,37,FALSE)-50))</f>
        <v>6156</v>
      </c>
      <c r="AK346" s="3">
        <v>6159</v>
      </c>
      <c r="AL346" s="3">
        <f>IF(ISERROR((VLOOKUP($A346,'SegEnds_NonXtal_BW#'!$A:$Z,26,FALSE)+VLOOKUP($A346,A:AL,37,FALSE)-50)),"-",(VLOOKUP($A346,'SegEnds_NonXtal_BW#'!$A:$Z,26,FALSE)+VLOOKUP($A346,A:AL,37,FALSE)-50))</f>
        <v>6172</v>
      </c>
      <c r="AM346" s="28" t="str">
        <f>VLOOKUP(A346,Classification!A:B,2,FALSE)</f>
        <v>B2</v>
      </c>
      <c r="AN346" s="28" t="b">
        <f t="shared" si="235"/>
        <v>1</v>
      </c>
      <c r="AO346" s="3" t="str">
        <f>IF(ISERROR(MATCH(A346,'SegEnds_Xtal_Prot#'!B:B, 0)), "NoXtal", "Xtal")</f>
        <v>NoXtal</v>
      </c>
      <c r="AP346" s="3" t="str">
        <f t="shared" si="220"/>
        <v>-</v>
      </c>
      <c r="AQ346" s="3" t="str">
        <f t="shared" si="221"/>
        <v>-</v>
      </c>
      <c r="AR346" s="3" t="str">
        <f t="shared" si="222"/>
        <v>-</v>
      </c>
      <c r="AS346" s="3" t="str">
        <f t="shared" si="223"/>
        <v>-</v>
      </c>
      <c r="AT346" s="3" t="str">
        <f t="shared" si="224"/>
        <v>-</v>
      </c>
      <c r="AU346" s="3" t="str">
        <f t="shared" si="225"/>
        <v>-</v>
      </c>
      <c r="AV346" s="3">
        <f t="shared" si="226"/>
        <v>16</v>
      </c>
      <c r="AW346" s="3">
        <f t="shared" si="227"/>
        <v>4</v>
      </c>
      <c r="AX346" s="3">
        <f t="shared" si="228"/>
        <v>9</v>
      </c>
      <c r="AY346" s="3">
        <f t="shared" si="229"/>
        <v>6</v>
      </c>
      <c r="AZ346" s="3">
        <f t="shared" si="230"/>
        <v>1</v>
      </c>
      <c r="BA346" s="3">
        <f>IF(ISERROR(LEN(VLOOKUP(A346,Seqs!A:E,2,FALSE))-AL346),"-",LEN(VLOOKUP(A346,Seqs!A:E,2,FALSE))-AL346)</f>
        <v>134</v>
      </c>
      <c r="BB346" s="16">
        <f t="shared" si="231"/>
        <v>26</v>
      </c>
      <c r="BC346" s="9" t="str">
        <f t="shared" si="232"/>
        <v>-</v>
      </c>
      <c r="BD346" s="3">
        <f t="shared" si="233"/>
        <v>26</v>
      </c>
      <c r="BE346" s="3">
        <f t="shared" si="234"/>
        <v>49</v>
      </c>
    </row>
    <row r="347" spans="1:58" s="3" customFormat="1" x14ac:dyDescent="0.2">
      <c r="A347" s="3" t="s">
        <v>105</v>
      </c>
      <c r="B347" s="3" t="str">
        <f>LOWER(VLOOKUP(A347,Xtal_Templ!A:B,2,FALSE))</f>
        <v>grm5_human</v>
      </c>
      <c r="C347" s="3">
        <f>VLOOKUP($A347,'SegEnds_NonXtal_BW#'!$A:$Z,3,FALSE)+D347-50</f>
        <v>611</v>
      </c>
      <c r="D347" s="3">
        <v>627</v>
      </c>
      <c r="E347" s="3">
        <f>IF(ISERROR(VLOOKUP($A347,'SegEnds_NonXtal_BW#'!$A:$Z,4,FALSE)+VLOOKUP($A347,A:AL,4,FALSE)-50),"-",(VLOOKUP($A347,'SegEnds_NonXtal_BW#'!$A:$Z,4,FALSE)+VLOOKUP($A347,A:AL,4,FALSE)-50))</f>
        <v>637</v>
      </c>
      <c r="F347" s="3">
        <f t="shared" ref="F347:F379" si="237">G347-3</f>
        <v>640</v>
      </c>
      <c r="G347" s="3">
        <v>643</v>
      </c>
      <c r="H347" s="3">
        <f t="shared" ref="H347:H368" si="238">G347+3</f>
        <v>646</v>
      </c>
      <c r="I347" s="3">
        <f t="shared" ref="I347:I379" si="239">H347+1</f>
        <v>647</v>
      </c>
      <c r="J347" s="3">
        <v>658</v>
      </c>
      <c r="K347" s="3">
        <f>VLOOKUP($A347,'SegEnds_NonXtal_BW#'!$A:$Z,8,FALSE)+VLOOKUP($A347,A:AL,10,FALSE)-50</f>
        <v>669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674</v>
      </c>
      <c r="P347" s="3">
        <v>702</v>
      </c>
      <c r="Q347" s="3">
        <f>VLOOKUP($A347,'SegEnds_NonXtal_BW#'!$A:$Z,12,FALSE)+VLOOKUP($A347,A:AL,16,FALSE)-50</f>
        <v>706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1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720</v>
      </c>
      <c r="V347" s="3">
        <v>732</v>
      </c>
      <c r="W347" s="3">
        <f>IF(ISERROR(VLOOKUP($A347,'SegEnds_NonXtal_BW#'!$A:$Z,16,FALSE)+VLOOKUP($A347,A:AL,22,FALSE)-50),"-",(VLOOKUP($A347,'SegEnds_NonXtal_BW#'!$A:$Z,16,FALSE)+VLOOKUP($A347,A:AL,22,FALSE)-50))</f>
        <v>746</v>
      </c>
      <c r="X347" s="3">
        <f>IF(ISERROR(VLOOKUP($A347,'SegEnds_NonXtal_BW#'!$A:$Z,17,FALSE)+VLOOKUP($A347,A:AL,25,FALSE)-50),"-",(VLOOKUP($A347,'SegEnds_NonXtal_BW#'!$A:$Z,17,FALSE)+VLOOKUP($A347,A:AL,25,FALSE)-50))</f>
        <v>765</v>
      </c>
      <c r="Y347" s="3">
        <v>765</v>
      </c>
      <c r="Z347" s="3">
        <f t="shared" si="219"/>
        <v>767</v>
      </c>
      <c r="AA347" s="3">
        <f>IF(ISERROR(VLOOKUP($A347,'SegEnds_NonXtal_BW#'!$A:$Z,19,FALSE)+VLOOKUP($A347,A:AL,28,FALSE)-50),"-",(VLOOKUP($A347,'SegEnds_NonXtal_BW#'!$A:$Z,19,FALSE)+VLOOKUP($A347,A:AL,28,FALSE)-50))</f>
        <v>769</v>
      </c>
      <c r="AB347" s="3">
        <v>783</v>
      </c>
      <c r="AC347" s="3">
        <f>IF(ISERROR((VLOOKUP($A347,'SegEnds_NonXtal_BW#'!$A:$Z,20,FALSE)+VLOOKUP($A347,A:AL,28,FALSE)-50)),"-",(VLOOKUP($A347,'SegEnds_NonXtal_BW#'!$A:$Z,20,FALSE)+VLOOKUP($A347,A:AL,28,FALSE)-50))</f>
        <v>794</v>
      </c>
      <c r="AD347" s="3">
        <f>IF(ISERROR(VLOOKUP($A347,'SegEnds_NonXtal_BW#'!$A:$Z,21,FALSE)+VLOOKUP($A347,A:AL,31,FALSE)-50),"-",(VLOOKUP($A347,'SegEnds_NonXtal_BW#'!$A:$Z,21,FALSE)+VLOOKUP($A347,A:AL,31,FALSE)-50))</f>
        <v>803</v>
      </c>
      <c r="AE347" s="3">
        <v>820</v>
      </c>
      <c r="AF347" s="3">
        <f>IF(ISERROR((VLOOKUP($A347,'SegEnds_NonXtal_BW#'!$A:$Z,22,FALSE)+VLOOKUP($A347,A:AL,31,FALSE)-50)),"-",(VLOOKUP($A347,'SegEnds_NonXtal_BW#'!$A:$Z,22,FALSE)+VLOOKUP($A347,A:AL,31,FALSE)-50))</f>
        <v>827</v>
      </c>
      <c r="AG347" s="3">
        <f>IF(ISERROR(VLOOKUP($A347,'SegEnds_NonXtal_BW#'!$A:$Z,23,FALSE)+VLOOKUP($A347,A:AL,34,FALSE)-50),"-",(VLOOKUP($A347,'SegEnds_NonXtal_BW#'!$A:$Z,23,FALSE)+VLOOKUP($A347,A:AL,34,FALSE)-50))</f>
        <v>832</v>
      </c>
      <c r="AH347" s="3">
        <v>849</v>
      </c>
      <c r="AI347" s="3">
        <f>IF(ISERROR((VLOOKUP($A347,'SegEnds_NonXtal_BW#'!$A:$Z,24,FALSE)+VLOOKUP($A347,A:AL,34,FALSE)-50)),"-",(VLOOKUP($A347,'SegEnds_NonXtal_BW#'!$A:$Z,24,FALSE)+VLOOKUP($A347,A:AL,34,FALSE)-50))</f>
        <v>863</v>
      </c>
      <c r="AJ347" s="3">
        <f>IF(ISERROR(VLOOKUP($A347,'SegEnds_NonXtal_BW#'!$A:$Z,25,FALSE)+VLOOKUP($A347,A:AL,37,FALSE)-50),"-",(VLOOKUP($A347,'SegEnds_NonXtal_BW#'!$A:$Z,25,FALSE)+VLOOKUP($A347,A:AL,37,FALSE)-50))</f>
        <v>864</v>
      </c>
      <c r="AK347" s="3">
        <v>868</v>
      </c>
      <c r="AL347" s="3">
        <f>IF(ISERROR((VLOOKUP($A347,'SegEnds_NonXtal_BW#'!$A:$Z,26,FALSE)+VLOOKUP($A347,A:AL,37,FALSE)-50)),"-",(VLOOKUP($A347,'SegEnds_NonXtal_BW#'!$A:$Z,26,FALSE)+VLOOKUP($A347,A:AL,37,FALSE)-50))</f>
        <v>875</v>
      </c>
      <c r="AM347" s="28" t="str">
        <f>VLOOKUP(A347,Classification!A:B,2,FALSE)</f>
        <v>C</v>
      </c>
      <c r="AN347" s="28" t="b">
        <f t="shared" si="235"/>
        <v>1</v>
      </c>
      <c r="AO347" s="3" t="str">
        <f>IF(ISERROR(MATCH(A347,'SegEnds_Xtal_Prot#'!B:B, 0)), "NoXtal", "Xtal")</f>
        <v>NoXtal</v>
      </c>
      <c r="AP347" s="3">
        <f t="shared" si="220"/>
        <v>3</v>
      </c>
      <c r="AQ347" s="3">
        <f t="shared" si="221"/>
        <v>1</v>
      </c>
      <c r="AR347" s="3" t="str">
        <f t="shared" si="222"/>
        <v>-</v>
      </c>
      <c r="AS347" s="3" t="str">
        <f t="shared" si="223"/>
        <v>-</v>
      </c>
      <c r="AT347" s="3" t="str">
        <f t="shared" si="224"/>
        <v>-</v>
      </c>
      <c r="AU347" s="3" t="str">
        <f t="shared" si="225"/>
        <v>-</v>
      </c>
      <c r="AV347" s="3">
        <f t="shared" si="226"/>
        <v>19</v>
      </c>
      <c r="AW347" s="3">
        <f t="shared" si="227"/>
        <v>2</v>
      </c>
      <c r="AX347" s="3">
        <f t="shared" si="228"/>
        <v>9</v>
      </c>
      <c r="AY347" s="3">
        <f t="shared" si="229"/>
        <v>5</v>
      </c>
      <c r="AZ347" s="3">
        <f t="shared" si="230"/>
        <v>1</v>
      </c>
      <c r="BA347" s="3">
        <f>IF(ISERROR(LEN(VLOOKUP(A347,Seqs!A:E,2,FALSE))-AL347),"-",LEN(VLOOKUP(A347,Seqs!A:E,2,FALSE))-AL347)</f>
        <v>203</v>
      </c>
      <c r="BB347" s="16">
        <f t="shared" si="231"/>
        <v>31</v>
      </c>
      <c r="BC347" s="9" t="str">
        <f t="shared" si="232"/>
        <v>-</v>
      </c>
      <c r="BD347" s="3">
        <f t="shared" si="233"/>
        <v>31</v>
      </c>
      <c r="BE347" s="3">
        <f t="shared" si="234"/>
        <v>37</v>
      </c>
    </row>
    <row r="348" spans="1:58" s="3" customFormat="1" x14ac:dyDescent="0.2">
      <c r="A348" s="3" t="s">
        <v>106</v>
      </c>
      <c r="B348" s="3" t="str">
        <f>LOWER(VLOOKUP(A348,Xtal_Templ!A:B,2,FALSE))</f>
        <v>grm5_human</v>
      </c>
      <c r="C348" s="3">
        <f>VLOOKUP($A348,'SegEnds_NonXtal_BW#'!$A:$Z,3,FALSE)+D348-50</f>
        <v>590</v>
      </c>
      <c r="D348" s="3">
        <v>606</v>
      </c>
      <c r="E348" s="3">
        <f>IF(ISERROR(VLOOKUP($A348,'SegEnds_NonXtal_BW#'!$A:$Z,4,FALSE)+VLOOKUP($A348,A:AL,4,FALSE)-50),"-",(VLOOKUP($A348,'SegEnds_NonXtal_BW#'!$A:$Z,4,FALSE)+VLOOKUP($A348,A:AL,4,FALSE)-50))</f>
        <v>616</v>
      </c>
      <c r="F348" s="3">
        <f t="shared" si="237"/>
        <v>619</v>
      </c>
      <c r="G348" s="3">
        <v>622</v>
      </c>
      <c r="H348" s="3">
        <f t="shared" si="238"/>
        <v>625</v>
      </c>
      <c r="I348" s="3">
        <f t="shared" si="239"/>
        <v>626</v>
      </c>
      <c r="J348" s="3">
        <v>637</v>
      </c>
      <c r="K348" s="3">
        <f>VLOOKUP($A348,'SegEnds_NonXtal_BW#'!$A:$Z,8,FALSE)+VLOOKUP($A348,A:AL,10,FALSE)-50</f>
        <v>648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660</v>
      </c>
      <c r="P348" s="3">
        <v>688</v>
      </c>
      <c r="Q348" s="3">
        <f>VLOOKUP($A348,'SegEnds_NonXtal_BW#'!$A:$Z,12,FALSE)+VLOOKUP($A348,A:AL,16,FALSE)-50</f>
        <v>692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1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706</v>
      </c>
      <c r="V348" s="3">
        <v>718</v>
      </c>
      <c r="W348" s="3">
        <f>IF(ISERROR(VLOOKUP($A348,'SegEnds_NonXtal_BW#'!$A:$Z,16,FALSE)+VLOOKUP($A348,A:AL,22,FALSE)-50),"-",(VLOOKUP($A348,'SegEnds_NonXtal_BW#'!$A:$Z,16,FALSE)+VLOOKUP($A348,A:AL,22,FALSE)-50))</f>
        <v>732</v>
      </c>
      <c r="X348" s="3">
        <f>IF(ISERROR(VLOOKUP($A348,'SegEnds_NonXtal_BW#'!$A:$Z,17,FALSE)+VLOOKUP($A348,A:AL,25,FALSE)-50),"-",(VLOOKUP($A348,'SegEnds_NonXtal_BW#'!$A:$Z,17,FALSE)+VLOOKUP($A348,A:AL,25,FALSE)-50))</f>
        <v>761</v>
      </c>
      <c r="Y348" s="3">
        <v>761</v>
      </c>
      <c r="Z348" s="3">
        <f t="shared" si="219"/>
        <v>763</v>
      </c>
      <c r="AA348" s="3">
        <f>IF(ISERROR(VLOOKUP($A348,'SegEnds_NonXtal_BW#'!$A:$Z,19,FALSE)+VLOOKUP($A348,A:AL,28,FALSE)-50),"-",(VLOOKUP($A348,'SegEnds_NonXtal_BW#'!$A:$Z,19,FALSE)+VLOOKUP($A348,A:AL,28,FALSE)-50))</f>
        <v>766</v>
      </c>
      <c r="AB348" s="3">
        <v>780</v>
      </c>
      <c r="AC348" s="3">
        <f>IF(ISERROR((VLOOKUP($A348,'SegEnds_NonXtal_BW#'!$A:$Z,20,FALSE)+VLOOKUP($A348,A:AL,28,FALSE)-50)),"-",(VLOOKUP($A348,'SegEnds_NonXtal_BW#'!$A:$Z,20,FALSE)+VLOOKUP($A348,A:AL,28,FALSE)-50))</f>
        <v>791</v>
      </c>
      <c r="AD348" s="3">
        <f>IF(ISERROR(VLOOKUP($A348,'SegEnds_NonXtal_BW#'!$A:$Z,21,FALSE)+VLOOKUP($A348,A:AL,31,FALSE)-50),"-",(VLOOKUP($A348,'SegEnds_NonXtal_BW#'!$A:$Z,21,FALSE)+VLOOKUP($A348,A:AL,31,FALSE)-50))</f>
        <v>801</v>
      </c>
      <c r="AE348" s="3">
        <v>818</v>
      </c>
      <c r="AF348" s="3">
        <f>IF(ISERROR((VLOOKUP($A348,'SegEnds_NonXtal_BW#'!$A:$Z,22,FALSE)+VLOOKUP($A348,A:AL,31,FALSE)-50)),"-",(VLOOKUP($A348,'SegEnds_NonXtal_BW#'!$A:$Z,22,FALSE)+VLOOKUP($A348,A:AL,31,FALSE)-50))</f>
        <v>825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35"/>
        <v>1</v>
      </c>
      <c r="AO348" s="3" t="str">
        <f>IF(ISERROR(MATCH(A348,'SegEnds_Xtal_Prot#'!B:B, 0)), "NoXtal", "Xtal")</f>
        <v>NoXtal</v>
      </c>
      <c r="AP348" s="3">
        <f t="shared" si="220"/>
        <v>3</v>
      </c>
      <c r="AQ348" s="3">
        <f t="shared" si="221"/>
        <v>1</v>
      </c>
      <c r="AR348" s="3" t="str">
        <f t="shared" si="222"/>
        <v>-</v>
      </c>
      <c r="AS348" s="3" t="str">
        <f t="shared" si="223"/>
        <v>-</v>
      </c>
      <c r="AT348" s="3" t="str">
        <f t="shared" si="224"/>
        <v>-</v>
      </c>
      <c r="AU348" s="3" t="str">
        <f t="shared" si="225"/>
        <v>-</v>
      </c>
      <c r="AV348" s="3">
        <f t="shared" si="226"/>
        <v>29</v>
      </c>
      <c r="AW348" s="3">
        <f t="shared" si="227"/>
        <v>3</v>
      </c>
      <c r="AX348" s="3">
        <f t="shared" si="228"/>
        <v>10</v>
      </c>
      <c r="AY348" s="3">
        <f t="shared" si="229"/>
        <v>7</v>
      </c>
      <c r="AZ348" s="3">
        <f t="shared" si="230"/>
        <v>1</v>
      </c>
      <c r="BA348" s="3">
        <f>IF(ISERROR(LEN(VLOOKUP(A348,Seqs!A:E,2,FALSE))-AL348),"-",LEN(VLOOKUP(A348,Seqs!A:E,2,FALSE))-AL348)</f>
        <v>86</v>
      </c>
      <c r="BB348" s="16">
        <f t="shared" si="231"/>
        <v>31</v>
      </c>
      <c r="BC348" s="9" t="str">
        <f t="shared" si="232"/>
        <v>-</v>
      </c>
      <c r="BD348" s="3">
        <f t="shared" si="233"/>
        <v>31</v>
      </c>
      <c r="BE348" s="3">
        <f t="shared" si="234"/>
        <v>38</v>
      </c>
    </row>
    <row r="349" spans="1:58" s="3" customFormat="1" x14ac:dyDescent="0.2">
      <c r="A349" s="3" t="s">
        <v>107</v>
      </c>
      <c r="B349" s="3" t="str">
        <f>LOWER(VLOOKUP(A349,Xtal_Templ!A:B,2,FALSE))</f>
        <v>grm5_human</v>
      </c>
      <c r="C349" s="3">
        <f>VLOOKUP($A349,'SegEnds_NonXtal_BW#'!$A:$Z,3,FALSE)+D349-50</f>
        <v>480</v>
      </c>
      <c r="D349" s="3">
        <v>496</v>
      </c>
      <c r="E349" s="3">
        <f>IF(ISERROR(VLOOKUP($A349,'SegEnds_NonXtal_BW#'!$A:$Z,4,FALSE)+VLOOKUP($A349,A:AL,4,FALSE)-50),"-",(VLOOKUP($A349,'SegEnds_NonXtal_BW#'!$A:$Z,4,FALSE)+VLOOKUP($A349,A:AL,4,FALSE)-50))</f>
        <v>506</v>
      </c>
      <c r="F349" s="3">
        <f t="shared" si="237"/>
        <v>509</v>
      </c>
      <c r="G349" s="3">
        <v>512</v>
      </c>
      <c r="H349" s="3">
        <f t="shared" si="238"/>
        <v>515</v>
      </c>
      <c r="I349" s="3">
        <f t="shared" si="239"/>
        <v>516</v>
      </c>
      <c r="J349" s="3">
        <v>527</v>
      </c>
      <c r="K349" s="3">
        <f>VLOOKUP($A349,'SegEnds_NonXtal_BW#'!$A:$Z,8,FALSE)+VLOOKUP($A349,A:AL,10,FALSE)-50</f>
        <v>538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550</v>
      </c>
      <c r="P349" s="3">
        <v>578</v>
      </c>
      <c r="Q349" s="3">
        <f>VLOOKUP($A349,'SegEnds_NonXtal_BW#'!$A:$Z,12,FALSE)+VLOOKUP($A349,A:AL,16,FALSE)-50</f>
        <v>582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1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593</v>
      </c>
      <c r="V349" s="3">
        <v>605</v>
      </c>
      <c r="W349" s="3">
        <f>IF(ISERROR(VLOOKUP($A349,'SegEnds_NonXtal_BW#'!$A:$Z,16,FALSE)+VLOOKUP($A349,A:AL,22,FALSE)-50),"-",(VLOOKUP($A349,'SegEnds_NonXtal_BW#'!$A:$Z,16,FALSE)+VLOOKUP($A349,A:AL,22,FALSE)-50))</f>
        <v>619</v>
      </c>
      <c r="X349" s="3">
        <f>IF(ISERROR(VLOOKUP($A349,'SegEnds_NonXtal_BW#'!$A:$Z,17,FALSE)+VLOOKUP($A349,A:AL,25,FALSE)-50),"-",(VLOOKUP($A349,'SegEnds_NonXtal_BW#'!$A:$Z,17,FALSE)+VLOOKUP($A349,A:AL,25,FALSE)-50))</f>
        <v>648</v>
      </c>
      <c r="Y349" s="3">
        <v>648</v>
      </c>
      <c r="Z349" s="3">
        <f t="shared" si="219"/>
        <v>650</v>
      </c>
      <c r="AA349" s="3">
        <f>IF(ISERROR(VLOOKUP($A349,'SegEnds_NonXtal_BW#'!$A:$Z,19,FALSE)+VLOOKUP($A349,A:AL,28,FALSE)-50),"-",(VLOOKUP($A349,'SegEnds_NonXtal_BW#'!$A:$Z,19,FALSE)+VLOOKUP($A349,A:AL,28,FALSE)-50))</f>
        <v>653</v>
      </c>
      <c r="AB349" s="3">
        <v>667</v>
      </c>
      <c r="AC349" s="3">
        <f>IF(ISERROR((VLOOKUP($A349,'SegEnds_NonXtal_BW#'!$A:$Z,20,FALSE)+VLOOKUP($A349,A:AL,28,FALSE)-50)),"-",(VLOOKUP($A349,'SegEnds_NonXtal_BW#'!$A:$Z,20,FALSE)+VLOOKUP($A349,A:AL,28,FALSE)-50))</f>
        <v>678</v>
      </c>
      <c r="AD349" s="3">
        <f>IF(ISERROR(VLOOKUP($A349,'SegEnds_NonXtal_BW#'!$A:$Z,21,FALSE)+VLOOKUP($A349,A:AL,31,FALSE)-50),"-",(VLOOKUP($A349,'SegEnds_NonXtal_BW#'!$A:$Z,21,FALSE)+VLOOKUP($A349,A:AL,31,FALSE)-50))</f>
        <v>688</v>
      </c>
      <c r="AE349" s="3">
        <v>705</v>
      </c>
      <c r="AF349" s="3">
        <f>IF(ISERROR((VLOOKUP($A349,'SegEnds_NonXtal_BW#'!$A:$Z,22,FALSE)+VLOOKUP($A349,A:AL,31,FALSE)-50)),"-",(VLOOKUP($A349,'SegEnds_NonXtal_BW#'!$A:$Z,22,FALSE)+VLOOKUP($A349,A:AL,31,FALSE)-50))</f>
        <v>712</v>
      </c>
      <c r="AG349" s="3">
        <f>IF(ISERROR(VLOOKUP($A349,'SegEnds_NonXtal_BW#'!$A:$Z,23,FALSE)+VLOOKUP($A349,A:AL,34,FALSE)-50),"-",(VLOOKUP($A349,'SegEnds_NonXtal_BW#'!$A:$Z,23,FALSE)+VLOOKUP($A349,A:AL,34,FALSE)-50))</f>
        <v>719</v>
      </c>
      <c r="AH349" s="3">
        <v>736</v>
      </c>
      <c r="AI349" s="3">
        <f>IF(ISERROR((VLOOKUP($A349,'SegEnds_NonXtal_BW#'!$A:$Z,24,FALSE)+VLOOKUP($A349,A:AL,34,FALSE)-50)),"-",(VLOOKUP($A349,'SegEnds_NonXtal_BW#'!$A:$Z,24,FALSE)+VLOOKUP($A349,A:AL,34,FALSE)-50))</f>
        <v>750</v>
      </c>
      <c r="AJ349" s="3">
        <f>IF(ISERROR(VLOOKUP($A349,'SegEnds_NonXtal_BW#'!$A:$Z,25,FALSE)+VLOOKUP($A349,A:AL,37,FALSE)-50),"-",(VLOOKUP($A349,'SegEnds_NonXtal_BW#'!$A:$Z,25,FALSE)+VLOOKUP($A349,A:AL,37,FALSE)-50))</f>
        <v>751</v>
      </c>
      <c r="AK349" s="3">
        <v>755</v>
      </c>
      <c r="AL349" s="3">
        <f>IF(ISERROR((VLOOKUP($A349,'SegEnds_NonXtal_BW#'!$A:$Z,26,FALSE)+VLOOKUP($A349,A:AL,37,FALSE)-50)),"-",(VLOOKUP($A349,'SegEnds_NonXtal_BW#'!$A:$Z,26,FALSE)+VLOOKUP($A349,A:AL,37,FALSE)-50))</f>
        <v>762</v>
      </c>
      <c r="AM349" s="28" t="str">
        <f>VLOOKUP(A349,Classification!A:B,2,FALSE)</f>
        <v>C</v>
      </c>
      <c r="AN349" s="28" t="b">
        <f t="shared" si="235"/>
        <v>1</v>
      </c>
      <c r="AO349" s="3" t="str">
        <f>IF(ISERROR(MATCH(A349,'SegEnds_Xtal_Prot#'!B:B, 0)), "NoXtal", "Xtal")</f>
        <v>NoXtal</v>
      </c>
      <c r="AP349" s="3">
        <f t="shared" si="220"/>
        <v>3</v>
      </c>
      <c r="AQ349" s="3">
        <f t="shared" si="221"/>
        <v>1</v>
      </c>
      <c r="AR349" s="3" t="str">
        <f t="shared" si="222"/>
        <v>-</v>
      </c>
      <c r="AS349" s="3" t="str">
        <f t="shared" si="223"/>
        <v>-</v>
      </c>
      <c r="AT349" s="3" t="str">
        <f t="shared" si="224"/>
        <v>-</v>
      </c>
      <c r="AU349" s="3" t="str">
        <f t="shared" si="225"/>
        <v>-</v>
      </c>
      <c r="AV349" s="3">
        <f t="shared" si="226"/>
        <v>29</v>
      </c>
      <c r="AW349" s="3">
        <f t="shared" si="227"/>
        <v>3</v>
      </c>
      <c r="AX349" s="3">
        <f t="shared" si="228"/>
        <v>10</v>
      </c>
      <c r="AY349" s="3">
        <f t="shared" si="229"/>
        <v>7</v>
      </c>
      <c r="AZ349" s="3">
        <f t="shared" si="230"/>
        <v>1</v>
      </c>
      <c r="BA349" s="3">
        <f>IF(ISERROR(LEN(VLOOKUP(A349,Seqs!A:E,2,FALSE))-AL349),"-",LEN(VLOOKUP(A349,Seqs!A:E,2,FALSE))-AL349)</f>
        <v>179</v>
      </c>
      <c r="BB349" s="16">
        <f t="shared" si="231"/>
        <v>31</v>
      </c>
      <c r="BC349" s="9" t="str">
        <f t="shared" si="232"/>
        <v>-</v>
      </c>
      <c r="BD349" s="3">
        <f t="shared" si="233"/>
        <v>31</v>
      </c>
      <c r="BE349" s="3">
        <f t="shared" si="234"/>
        <v>38</v>
      </c>
    </row>
    <row r="350" spans="1:58" s="3" customFormat="1" x14ac:dyDescent="0.2">
      <c r="A350" s="3" t="s">
        <v>108</v>
      </c>
      <c r="B350" s="3" t="str">
        <f>LOWER(VLOOKUP(A350,Xtal_Templ!A:B,2,FALSE))</f>
        <v>grm1_human</v>
      </c>
      <c r="C350" s="3">
        <f>VLOOKUP($A350,'SegEnds_NonXtal_BW#'!$A:$Z,3,FALSE)+D350-50</f>
        <v>48</v>
      </c>
      <c r="D350" s="3">
        <v>64</v>
      </c>
      <c r="E350" s="3">
        <f>IF(ISERROR(VLOOKUP($A350,'SegEnds_NonXtal_BW#'!$A:$Z,4,FALSE)+VLOOKUP($A350,A:AL,4,FALSE)-50),"-",(VLOOKUP($A350,'SegEnds_NonXtal_BW#'!$A:$Z,4,FALSE)+VLOOKUP($A350,A:AL,4,FALSE)-50))</f>
        <v>74</v>
      </c>
      <c r="F350" s="3">
        <f t="shared" si="237"/>
        <v>77</v>
      </c>
      <c r="G350" s="3">
        <v>80</v>
      </c>
      <c r="H350" s="3">
        <f t="shared" si="238"/>
        <v>83</v>
      </c>
      <c r="I350" s="3">
        <f t="shared" si="239"/>
        <v>84</v>
      </c>
      <c r="J350" s="3">
        <v>95</v>
      </c>
      <c r="K350" s="3">
        <f>VLOOKUP($A350,'SegEnds_NonXtal_BW#'!$A:$Z,8,FALSE)+VLOOKUP($A350,A:AL,10,FALSE)-50</f>
        <v>106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117</v>
      </c>
      <c r="P350" s="3">
        <v>145</v>
      </c>
      <c r="Q350" s="3">
        <f>VLOOKUP($A350,'SegEnds_NonXtal_BW#'!$A:$Z,12,FALSE)+VLOOKUP($A350,A:AL,16,FALSE)-50</f>
        <v>149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1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161</v>
      </c>
      <c r="V350" s="3">
        <v>173</v>
      </c>
      <c r="W350" s="3">
        <f>IF(ISERROR(VLOOKUP($A350,'SegEnds_NonXtal_BW#'!$A:$Z,16,FALSE)+VLOOKUP($A350,A:AL,22,FALSE)-50),"-",(VLOOKUP($A350,'SegEnds_NonXtal_BW#'!$A:$Z,16,FALSE)+VLOOKUP($A350,A:AL,22,FALSE)-50))</f>
        <v>187</v>
      </c>
      <c r="X350" s="3">
        <f>IF(ISERROR(VLOOKUP($A350,'SegEnds_NonXtal_BW#'!$A:$Z,17,FALSE)+VLOOKUP($A350,A:AL,25,FALSE)-50),"-",(VLOOKUP($A350,'SegEnds_NonXtal_BW#'!$A:$Z,17,FALSE)+VLOOKUP($A350,A:AL,25,FALSE)-50))</f>
        <v>216</v>
      </c>
      <c r="Y350" s="106">
        <v>216</v>
      </c>
      <c r="Z350" s="3">
        <f>IF(ISERROR(VLOOKUP($A350,'SegEnds_NonXtal_BW#'!$A:$Z,18,FALSE)+VLOOKUP($A350,A:AL,25,FALSE)-50),"-",(VLOOKUP($A350,'SegEnds_NonXtal_BW#'!$A:$Z,18,FALSE)+VLOOKUP($A350,A:AL,25,FALSE)-50))</f>
        <v>218</v>
      </c>
      <c r="AA350" s="3">
        <f>IF(ISERROR(VLOOKUP($A350,'SegEnds_NonXtal_BW#'!$A:$Z,19,FALSE)+VLOOKUP($A350,A:AL,28,FALSE)-50),"-",(VLOOKUP($A350,'SegEnds_NonXtal_BW#'!$A:$Z,19,FALSE)+VLOOKUP($A350,A:AL,28,FALSE)-50))</f>
        <v>221</v>
      </c>
      <c r="AB350" s="3">
        <v>235</v>
      </c>
      <c r="AC350" s="3">
        <f>IF(ISERROR((VLOOKUP($A350,'SegEnds_NonXtal_BW#'!$A:$Z,20,FALSE)+VLOOKUP($A350,A:AL,28,FALSE)-50)),"-",(VLOOKUP($A350,'SegEnds_NonXtal_BW#'!$A:$Z,20,FALSE)+VLOOKUP($A350,A:AL,28,FALSE)-50))</f>
        <v>246</v>
      </c>
      <c r="AD350" s="3">
        <f>IF(ISERROR(VLOOKUP($A350,'SegEnds_NonXtal_BW#'!$A:$Z,21,FALSE)+VLOOKUP($A350,A:AL,31,FALSE)-50),"-",(VLOOKUP($A350,'SegEnds_NonXtal_BW#'!$A:$Z,21,FALSE)+VLOOKUP($A350,A:AL,31,FALSE)-50))</f>
        <v>257</v>
      </c>
      <c r="AE350" s="3">
        <v>274</v>
      </c>
      <c r="AF350" s="3">
        <f>IF(ISERROR((VLOOKUP($A350,'SegEnds_NonXtal_BW#'!$A:$Z,22,FALSE)+VLOOKUP($A350,A:AL,31,FALSE)-50)),"-",(VLOOKUP($A350,'SegEnds_NonXtal_BW#'!$A:$Z,22,FALSE)+VLOOKUP($A350,A:AL,31,FALSE)-50))</f>
        <v>281</v>
      </c>
      <c r="AG350" s="3">
        <f>IF(ISERROR(VLOOKUP($A350,'SegEnds_NonXtal_BW#'!$A:$Z,23,FALSE)+VLOOKUP($A350,A:AL,34,FALSE)-50),"-",(VLOOKUP($A350,'SegEnds_NonXtal_BW#'!$A:$Z,23,FALSE)+VLOOKUP($A350,A:AL,34,FALSE)-50))</f>
        <v>287</v>
      </c>
      <c r="AH350" s="3">
        <v>304</v>
      </c>
      <c r="AI350" s="3">
        <f>IF(ISERROR((VLOOKUP($A350,'SegEnds_NonXtal_BW#'!$A:$Z,24,FALSE)+VLOOKUP($A350,A:AL,34,FALSE)-50)),"-",(VLOOKUP($A350,'SegEnds_NonXtal_BW#'!$A:$Z,24,FALSE)+VLOOKUP($A350,A:AL,34,FALSE)-50))</f>
        <v>318</v>
      </c>
      <c r="AJ350" s="3">
        <f>IF(ISERROR(VLOOKUP($A350,'SegEnds_NonXtal_BW#'!$A:$Z,25,FALSE)+VLOOKUP($A350,A:AL,37,FALSE)-50),"-",(VLOOKUP($A350,'SegEnds_NonXtal_BW#'!$A:$Z,25,FALSE)+VLOOKUP($A350,A:AL,37,FALSE)-50))</f>
        <v>319</v>
      </c>
      <c r="AK350" s="3">
        <v>323</v>
      </c>
      <c r="AL350" s="3">
        <f>IF(ISERROR((VLOOKUP($A350,'SegEnds_NonXtal_BW#'!$A:$Z,26,FALSE)+VLOOKUP($A350,A:AL,37,FALSE)-50)),"-",(VLOOKUP($A350,'SegEnds_NonXtal_BW#'!$A:$Z,26,FALSE)+VLOOKUP($A350,A:AL,37,FALSE)-50))</f>
        <v>330</v>
      </c>
      <c r="AM350" s="28" t="str">
        <f>VLOOKUP(A350,Classification!A:B,2,FALSE)</f>
        <v>C</v>
      </c>
      <c r="AN350" s="28" t="b">
        <f t="shared" si="235"/>
        <v>1</v>
      </c>
      <c r="AO350" s="3" t="str">
        <f>IF(ISERROR(MATCH(A350,'SegEnds_Xtal_Prot#'!B:B, 0)), "NoXtal", "Xtal")</f>
        <v>NoXtal</v>
      </c>
      <c r="AP350" s="3">
        <f t="shared" si="220"/>
        <v>3</v>
      </c>
      <c r="AQ350" s="3">
        <f t="shared" si="221"/>
        <v>1</v>
      </c>
      <c r="AR350" s="3" t="str">
        <f t="shared" si="222"/>
        <v>-</v>
      </c>
      <c r="AS350" s="3" t="str">
        <f t="shared" si="223"/>
        <v>-</v>
      </c>
      <c r="AT350" s="3" t="str">
        <f t="shared" si="224"/>
        <v>-</v>
      </c>
      <c r="AU350" s="3" t="str">
        <f t="shared" si="225"/>
        <v>-</v>
      </c>
      <c r="AV350" s="3">
        <f t="shared" si="226"/>
        <v>29</v>
      </c>
      <c r="AW350" s="3">
        <f t="shared" si="227"/>
        <v>3</v>
      </c>
      <c r="AX350" s="3">
        <f t="shared" si="228"/>
        <v>11</v>
      </c>
      <c r="AY350" s="3">
        <f t="shared" si="229"/>
        <v>6</v>
      </c>
      <c r="AZ350" s="3">
        <f t="shared" si="230"/>
        <v>1</v>
      </c>
      <c r="BA350" s="3">
        <f>IF(ISERROR(LEN(VLOOKUP(A350,Seqs!A:E,2,FALSE))-AL350),"-",LEN(VLOOKUP(A350,Seqs!A:E,2,FALSE))-AL350)</f>
        <v>484</v>
      </c>
      <c r="BB350" s="16">
        <f t="shared" si="231"/>
        <v>31</v>
      </c>
      <c r="BC350" s="9" t="str">
        <f t="shared" si="232"/>
        <v>-</v>
      </c>
      <c r="BD350" s="3">
        <f t="shared" si="233"/>
        <v>31</v>
      </c>
      <c r="BE350" s="3">
        <f t="shared" si="234"/>
        <v>39</v>
      </c>
    </row>
    <row r="351" spans="1:58" s="3" customFormat="1" x14ac:dyDescent="0.2">
      <c r="A351" s="3" t="s">
        <v>109</v>
      </c>
      <c r="B351" s="3" t="str">
        <f>LOWER(VLOOKUP(A351,Xtal_Templ!A:B,2,FALSE))</f>
        <v>grm1_human</v>
      </c>
      <c r="C351" s="3">
        <f>VLOOKUP($A351,'SegEnds_NonXtal_BW#'!$A:$Z,3,FALSE)+D351-50</f>
        <v>415</v>
      </c>
      <c r="D351" s="3">
        <v>431</v>
      </c>
      <c r="E351" s="3">
        <f>IF(ISERROR(VLOOKUP($A351,'SegEnds_NonXtal_BW#'!$A:$Z,4,FALSE)+VLOOKUP($A351,A:AL,4,FALSE)-50),"-",(VLOOKUP($A351,'SegEnds_NonXtal_BW#'!$A:$Z,4,FALSE)+VLOOKUP($A351,A:AL,4,FALSE)-50))</f>
        <v>441</v>
      </c>
      <c r="F351" s="3">
        <f t="shared" si="237"/>
        <v>444</v>
      </c>
      <c r="G351" s="3">
        <v>447</v>
      </c>
      <c r="H351" s="3">
        <f t="shared" si="238"/>
        <v>450</v>
      </c>
      <c r="I351" s="3">
        <f t="shared" si="239"/>
        <v>451</v>
      </c>
      <c r="J351" s="3">
        <v>462</v>
      </c>
      <c r="K351" s="3">
        <f>VLOOKUP($A351,'SegEnds_NonXtal_BW#'!$A:$Z,8,FALSE)+VLOOKUP($A351,A:AL,10,FALSE)-50</f>
        <v>473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478</v>
      </c>
      <c r="P351" s="3">
        <v>506</v>
      </c>
      <c r="Q351" s="3">
        <f>VLOOKUP($A351,'SegEnds_NonXtal_BW#'!$A:$Z,12,FALSE)+VLOOKUP($A351,A:AL,16,FALSE)-50</f>
        <v>510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1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512</v>
      </c>
      <c r="V351" s="3">
        <v>524</v>
      </c>
      <c r="W351" s="3">
        <f>IF(ISERROR(VLOOKUP($A351,'SegEnds_NonXtal_BW#'!$A:$Z,16,FALSE)+VLOOKUP($A351,A:AL,22,FALSE)-50),"-",(VLOOKUP($A351,'SegEnds_NonXtal_BW#'!$A:$Z,16,FALSE)+VLOOKUP($A351,A:AL,22,FALSE)-50))</f>
        <v>538</v>
      </c>
      <c r="X351" s="3">
        <f>IF(ISERROR(VLOOKUP($A351,'SegEnds_NonXtal_BW#'!$A:$Z,17,FALSE)+VLOOKUP($A351,A:AL,25,FALSE)-50),"-",(VLOOKUP($A351,'SegEnds_NonXtal_BW#'!$A:$Z,17,FALSE)+VLOOKUP($A351,A:AL,25,FALSE)-50))</f>
        <v>573</v>
      </c>
      <c r="Y351" s="3">
        <v>573</v>
      </c>
      <c r="Z351" s="3">
        <f>Y351+2</f>
        <v>575</v>
      </c>
      <c r="AA351" s="106">
        <v>576</v>
      </c>
      <c r="AB351" s="3">
        <v>589</v>
      </c>
      <c r="AC351" s="3">
        <f>IF(ISERROR((VLOOKUP($A351,'SegEnds_NonXtal_BW#'!$A:$Z,20,FALSE)+VLOOKUP($A351,A:AL,28,FALSE)-50)),"-",(VLOOKUP($A351,'SegEnds_NonXtal_BW#'!$A:$Z,20,FALSE)+VLOOKUP($A351,A:AL,28,FALSE)-50))</f>
        <v>600</v>
      </c>
      <c r="AD351" s="3">
        <f>IF(ISERROR(VLOOKUP($A351,'SegEnds_NonXtal_BW#'!$A:$Z,21,FALSE)+VLOOKUP($A351,A:AL,31,FALSE)-50),"-",(VLOOKUP($A351,'SegEnds_NonXtal_BW#'!$A:$Z,21,FALSE)+VLOOKUP($A351,A:AL,31,FALSE)-50))</f>
        <v>609</v>
      </c>
      <c r="AE351" s="3">
        <v>626</v>
      </c>
      <c r="AF351" s="3">
        <f>IF(ISERROR((VLOOKUP($A351,'SegEnds_NonXtal_BW#'!$A:$Z,22,FALSE)+VLOOKUP($A351,A:AL,31,FALSE)-50)),"-",(VLOOKUP($A351,'SegEnds_NonXtal_BW#'!$A:$Z,22,FALSE)+VLOOKUP($A351,A:AL,31,FALSE)-50))</f>
        <v>633</v>
      </c>
      <c r="AG351" s="3">
        <f>IF(ISERROR(VLOOKUP($A351,'SegEnds_NonXtal_BW#'!$A:$Z,23,FALSE)+VLOOKUP($A351,A:AL,34,FALSE)-50),"-",(VLOOKUP($A351,'SegEnds_NonXtal_BW#'!$A:$Z,23,FALSE)+VLOOKUP($A351,A:AL,34,FALSE)-50))</f>
        <v>642</v>
      </c>
      <c r="AH351" s="3">
        <v>659</v>
      </c>
      <c r="AI351" s="3">
        <f>IF(ISERROR((VLOOKUP($A351,'SegEnds_NonXtal_BW#'!$A:$Z,24,FALSE)+VLOOKUP($A351,A:AL,34,FALSE)-50)),"-",(VLOOKUP($A351,'SegEnds_NonXtal_BW#'!$A:$Z,24,FALSE)+VLOOKUP($A351,A:AL,34,FALSE)-50))</f>
        <v>673</v>
      </c>
      <c r="AJ351" s="3">
        <f>IF(ISERROR(VLOOKUP($A351,'SegEnds_NonXtal_BW#'!$A:$Z,25,FALSE)+VLOOKUP($A351,A:AL,37,FALSE)-50),"-",(VLOOKUP($A351,'SegEnds_NonXtal_BW#'!$A:$Z,25,FALSE)+VLOOKUP($A351,A:AL,37,FALSE)-50))</f>
        <v>674</v>
      </c>
      <c r="AK351" s="3">
        <v>678</v>
      </c>
      <c r="AL351" s="3">
        <f>IF(ISERROR((VLOOKUP($A351,'SegEnds_NonXtal_BW#'!$A:$Z,26,FALSE)+VLOOKUP($A351,A:AL,37,FALSE)-50)),"-",(VLOOKUP($A351,'SegEnds_NonXtal_BW#'!$A:$Z,26,FALSE)+VLOOKUP($A351,A:AL,37,FALSE)-50))</f>
        <v>685</v>
      </c>
      <c r="AM351" s="28" t="str">
        <f>VLOOKUP(A351,Classification!A:B,2,FALSE)</f>
        <v>C</v>
      </c>
      <c r="AN351" s="28" t="b">
        <f t="shared" si="235"/>
        <v>1</v>
      </c>
      <c r="AO351" s="3" t="str">
        <f>IF(ISERROR(MATCH(A351,'SegEnds_Xtal_Prot#'!B:B, 0)), "NoXtal", "Xtal")</f>
        <v>NoXtal</v>
      </c>
      <c r="AP351" s="3">
        <f t="shared" si="220"/>
        <v>3</v>
      </c>
      <c r="AQ351" s="3">
        <f t="shared" si="221"/>
        <v>1</v>
      </c>
      <c r="AR351" s="3" t="str">
        <f t="shared" si="222"/>
        <v>-</v>
      </c>
      <c r="AS351" s="3" t="str">
        <f t="shared" si="223"/>
        <v>-</v>
      </c>
      <c r="AT351" s="3" t="str">
        <f t="shared" si="224"/>
        <v>-</v>
      </c>
      <c r="AU351" s="3" t="str">
        <f t="shared" si="225"/>
        <v>-</v>
      </c>
      <c r="AV351" s="3">
        <f t="shared" si="226"/>
        <v>35</v>
      </c>
      <c r="AW351" s="3">
        <f t="shared" si="227"/>
        <v>1</v>
      </c>
      <c r="AX351" s="3">
        <f t="shared" si="228"/>
        <v>9</v>
      </c>
      <c r="AY351" s="3">
        <f t="shared" si="229"/>
        <v>9</v>
      </c>
      <c r="AZ351" s="3">
        <f t="shared" si="230"/>
        <v>1</v>
      </c>
      <c r="BA351" s="3">
        <f>IF(ISERROR(LEN(VLOOKUP(A351,Seqs!A:E,2,FALSE))-AL351),"-",LEN(VLOOKUP(A351,Seqs!A:E,2,FALSE))-AL351)</f>
        <v>530</v>
      </c>
      <c r="BB351" s="16">
        <f t="shared" si="231"/>
        <v>31</v>
      </c>
      <c r="BC351" s="9" t="str">
        <f t="shared" si="232"/>
        <v>-</v>
      </c>
      <c r="BD351" s="3">
        <f t="shared" si="233"/>
        <v>31</v>
      </c>
      <c r="BE351" s="3">
        <f t="shared" si="234"/>
        <v>37</v>
      </c>
    </row>
    <row r="352" spans="1:58" s="3" customFormat="1" x14ac:dyDescent="0.2">
      <c r="A352" s="3" t="s">
        <v>110</v>
      </c>
      <c r="B352" s="3" t="str">
        <f>LOWER(VLOOKUP(A352,Xtal_Templ!A:B,2,FALSE))</f>
        <v>grm1_human</v>
      </c>
      <c r="C352" s="3">
        <f>VLOOKUP($A352,'SegEnds_NonXtal_BW#'!$A:$Z,3,FALSE)+D352-50</f>
        <v>379</v>
      </c>
      <c r="D352" s="3">
        <v>395</v>
      </c>
      <c r="E352" s="3">
        <f>IF(ISERROR(VLOOKUP($A352,'SegEnds_NonXtal_BW#'!$A:$Z,4,FALSE)+VLOOKUP($A352,A:AL,4,FALSE)-50),"-",(VLOOKUP($A352,'SegEnds_NonXtal_BW#'!$A:$Z,4,FALSE)+VLOOKUP($A352,A:AL,4,FALSE)-50))</f>
        <v>405</v>
      </c>
      <c r="F352" s="3">
        <f t="shared" si="237"/>
        <v>408</v>
      </c>
      <c r="G352" s="3">
        <v>411</v>
      </c>
      <c r="H352" s="3">
        <f t="shared" si="238"/>
        <v>414</v>
      </c>
      <c r="I352" s="3">
        <f t="shared" si="239"/>
        <v>415</v>
      </c>
      <c r="J352" s="3">
        <v>426</v>
      </c>
      <c r="K352" s="3">
        <f>VLOOKUP($A352,'SegEnds_NonXtal_BW#'!$A:$Z,8,FALSE)+VLOOKUP($A352,A:AL,10,FALSE)-50</f>
        <v>437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442</v>
      </c>
      <c r="P352" s="3">
        <v>470</v>
      </c>
      <c r="Q352" s="3">
        <f>VLOOKUP($A352,'SegEnds_NonXtal_BW#'!$A:$Z,12,FALSE)+VLOOKUP($A352,A:AL,16,FALSE)-50</f>
        <v>474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1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476</v>
      </c>
      <c r="V352" s="3">
        <v>488</v>
      </c>
      <c r="W352" s="3">
        <f>IF(ISERROR(VLOOKUP($A352,'SegEnds_NonXtal_BW#'!$A:$Z,16,FALSE)+VLOOKUP($A352,A:AL,22,FALSE)-50),"-",(VLOOKUP($A352,'SegEnds_NonXtal_BW#'!$A:$Z,16,FALSE)+VLOOKUP($A352,A:AL,22,FALSE)-50))</f>
        <v>502</v>
      </c>
      <c r="X352" s="3">
        <f>IF(ISERROR(VLOOKUP($A352,'SegEnds_NonXtal_BW#'!$A:$Z,17,FALSE)+VLOOKUP($A352,A:AL,25,FALSE)-50),"-",(VLOOKUP($A352,'SegEnds_NonXtal_BW#'!$A:$Z,17,FALSE)+VLOOKUP($A352,A:AL,25,FALSE)-50))</f>
        <v>537</v>
      </c>
      <c r="Y352" s="3">
        <v>537</v>
      </c>
      <c r="Z352" s="3">
        <f>Y352+2</f>
        <v>539</v>
      </c>
      <c r="AA352" s="106">
        <v>540</v>
      </c>
      <c r="AB352" s="3">
        <v>553</v>
      </c>
      <c r="AC352" s="3">
        <f>IF(ISERROR((VLOOKUP($A352,'SegEnds_NonXtal_BW#'!$A:$Z,20,FALSE)+VLOOKUP($A352,A:AL,28,FALSE)-50)),"-",(VLOOKUP($A352,'SegEnds_NonXtal_BW#'!$A:$Z,20,FALSE)+VLOOKUP($A352,A:AL,28,FALSE)-50))</f>
        <v>564</v>
      </c>
      <c r="AD352" s="3">
        <f>IF(ISERROR(VLOOKUP($A352,'SegEnds_NonXtal_BW#'!$A:$Z,21,FALSE)+VLOOKUP($A352,A:AL,31,FALSE)-50),"-",(VLOOKUP($A352,'SegEnds_NonXtal_BW#'!$A:$Z,21,FALSE)+VLOOKUP($A352,A:AL,31,FALSE)-50))</f>
        <v>573</v>
      </c>
      <c r="AE352" s="3">
        <v>590</v>
      </c>
      <c r="AF352" s="3">
        <f>IF(ISERROR((VLOOKUP($A352,'SegEnds_NonXtal_BW#'!$A:$Z,22,FALSE)+VLOOKUP($A352,A:AL,31,FALSE)-50)),"-",(VLOOKUP($A352,'SegEnds_NonXtal_BW#'!$A:$Z,22,FALSE)+VLOOKUP($A352,A:AL,31,FALSE)-50))</f>
        <v>597</v>
      </c>
      <c r="AG352" s="3">
        <f>IF(ISERROR(VLOOKUP($A352,'SegEnds_NonXtal_BW#'!$A:$Z,23,FALSE)+VLOOKUP($A352,A:AL,34,FALSE)-50),"-",(VLOOKUP($A352,'SegEnds_NonXtal_BW#'!$A:$Z,23,FALSE)+VLOOKUP($A352,A:AL,34,FALSE)-50))</f>
        <v>606</v>
      </c>
      <c r="AH352" s="3">
        <v>623</v>
      </c>
      <c r="AI352" s="3">
        <f>IF(ISERROR((VLOOKUP($A352,'SegEnds_NonXtal_BW#'!$A:$Z,24,FALSE)+VLOOKUP($A352,A:AL,34,FALSE)-50)),"-",(VLOOKUP($A352,'SegEnds_NonXtal_BW#'!$A:$Z,24,FALSE)+VLOOKUP($A352,A:AL,34,FALSE)-50))</f>
        <v>637</v>
      </c>
      <c r="AJ352" s="3">
        <f>IF(ISERROR(VLOOKUP($A352,'SegEnds_NonXtal_BW#'!$A:$Z,25,FALSE)+VLOOKUP($A352,A:AL,37,FALSE)-50),"-",(VLOOKUP($A352,'SegEnds_NonXtal_BW#'!$A:$Z,25,FALSE)+VLOOKUP($A352,A:AL,37,FALSE)-50))</f>
        <v>638</v>
      </c>
      <c r="AK352" s="3">
        <v>642</v>
      </c>
      <c r="AL352" s="3">
        <f>IF(ISERROR((VLOOKUP($A352,'SegEnds_NonXtal_BW#'!$A:$Z,26,FALSE)+VLOOKUP($A352,A:AL,37,FALSE)-50)),"-",(VLOOKUP($A352,'SegEnds_NonXtal_BW#'!$A:$Z,26,FALSE)+VLOOKUP($A352,A:AL,37,FALSE)-50))</f>
        <v>649</v>
      </c>
      <c r="AM352" s="28" t="str">
        <f>VLOOKUP(A352,Classification!A:B,2,FALSE)</f>
        <v>C</v>
      </c>
      <c r="AN352" s="28" t="b">
        <f t="shared" si="235"/>
        <v>1</v>
      </c>
      <c r="AO352" s="3" t="str">
        <f>IF(ISERROR(MATCH(A352,'SegEnds_Xtal_Prot#'!B:B, 0)), "NoXtal", "Xtal")</f>
        <v>NoXtal</v>
      </c>
      <c r="AP352" s="3">
        <f t="shared" si="220"/>
        <v>3</v>
      </c>
      <c r="AQ352" s="3">
        <f t="shared" si="221"/>
        <v>1</v>
      </c>
      <c r="AR352" s="3" t="str">
        <f t="shared" si="222"/>
        <v>-</v>
      </c>
      <c r="AS352" s="3" t="str">
        <f t="shared" si="223"/>
        <v>-</v>
      </c>
      <c r="AT352" s="3" t="str">
        <f t="shared" si="224"/>
        <v>-</v>
      </c>
      <c r="AU352" s="3" t="str">
        <f t="shared" si="225"/>
        <v>-</v>
      </c>
      <c r="AV352" s="3">
        <f t="shared" si="226"/>
        <v>35</v>
      </c>
      <c r="AW352" s="3">
        <f t="shared" si="227"/>
        <v>1</v>
      </c>
      <c r="AX352" s="3">
        <f t="shared" si="228"/>
        <v>9</v>
      </c>
      <c r="AY352" s="3">
        <f t="shared" si="229"/>
        <v>9</v>
      </c>
      <c r="AZ352" s="3">
        <f t="shared" si="230"/>
        <v>1</v>
      </c>
      <c r="BA352" s="3">
        <f>IF(ISERROR(LEN(VLOOKUP(A352,Seqs!A:E,2,FALSE))-AL352),"-",LEN(VLOOKUP(A352,Seqs!A:E,2,FALSE))-AL352)</f>
        <v>1718</v>
      </c>
      <c r="BB352" s="16">
        <f t="shared" si="231"/>
        <v>31</v>
      </c>
      <c r="BC352" s="9" t="str">
        <f t="shared" si="232"/>
        <v>-</v>
      </c>
      <c r="BD352" s="3">
        <f t="shared" si="233"/>
        <v>31</v>
      </c>
      <c r="BE352" s="3">
        <f t="shared" si="234"/>
        <v>37</v>
      </c>
    </row>
    <row r="353" spans="1:58" s="3" customFormat="1" x14ac:dyDescent="0.2">
      <c r="A353" s="3" t="s">
        <v>111</v>
      </c>
      <c r="B353" s="3" t="str">
        <f>LOWER(VLOOKUP(A353,Xtal_Templ!A:B,2,FALSE))</f>
        <v>grm1_human</v>
      </c>
      <c r="C353" s="3">
        <f>VLOOKUP($A353,'SegEnds_NonXtal_BW#'!$A:$Z,3,FALSE)+D353-50</f>
        <v>54</v>
      </c>
      <c r="D353" s="3">
        <v>70</v>
      </c>
      <c r="E353" s="3">
        <f>IF(ISERROR(VLOOKUP($A353,'SegEnds_NonXtal_BW#'!$A:$Z,4,FALSE)+VLOOKUP($A353,A:AL,4,FALSE)-50),"-",(VLOOKUP($A353,'SegEnds_NonXtal_BW#'!$A:$Z,4,FALSE)+VLOOKUP($A353,A:AL,4,FALSE)-50))</f>
        <v>80</v>
      </c>
      <c r="F353" s="3">
        <f t="shared" si="237"/>
        <v>81</v>
      </c>
      <c r="G353" s="3">
        <v>84</v>
      </c>
      <c r="H353" s="3">
        <f t="shared" si="238"/>
        <v>87</v>
      </c>
      <c r="I353" s="3">
        <f t="shared" si="239"/>
        <v>88</v>
      </c>
      <c r="J353" s="3">
        <v>103</v>
      </c>
      <c r="K353" s="3">
        <f>VLOOKUP($A353,'SegEnds_NonXtal_BW#'!$A:$Z,8,FALSE)+VLOOKUP($A353,A:AL,10,FALSE)-50</f>
        <v>114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119</v>
      </c>
      <c r="P353" s="3">
        <v>147</v>
      </c>
      <c r="Q353" s="3">
        <f>VLOOKUP($A353,'SegEnds_NonXtal_BW#'!$A:$Z,12,FALSE)+VLOOKUP($A353,A:AL,16,FALSE)-50</f>
        <v>151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1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158</v>
      </c>
      <c r="V353" s="3">
        <v>170</v>
      </c>
      <c r="W353" s="3">
        <f>IF(ISERROR(VLOOKUP($A353,'SegEnds_NonXtal_BW#'!$A:$Z,16,FALSE)+VLOOKUP($A353,A:AL,22,FALSE)-50),"-",(VLOOKUP($A353,'SegEnds_NonXtal_BW#'!$A:$Z,16,FALSE)+VLOOKUP($A353,A:AL,22,FALSE)-50))</f>
        <v>184</v>
      </c>
      <c r="X353" s="3">
        <f>IF(ISERROR(VLOOKUP($A353,'SegEnds_NonXtal_BW#'!$A:$Z,17,FALSE)+VLOOKUP($A353,A:AL,25,FALSE)-50),"-",(VLOOKUP($A353,'SegEnds_NonXtal_BW#'!$A:$Z,17,FALSE)+VLOOKUP($A353,A:AL,25,FALSE)-50))</f>
        <v>193</v>
      </c>
      <c r="Y353" s="3">
        <v>193</v>
      </c>
      <c r="Z353" s="3">
        <f>Y353+2</f>
        <v>195</v>
      </c>
      <c r="AA353" s="3">
        <f>IF(ISERROR(VLOOKUP($A353,'SegEnds_NonXtal_BW#'!$A:$Z,19,FALSE)+VLOOKUP($A353,A:AL,28,FALSE)-50),"-",(VLOOKUP($A353,'SegEnds_NonXtal_BW#'!$A:$Z,19,FALSE)+VLOOKUP($A353,A:AL,28,FALSE)-50))</f>
        <v>196</v>
      </c>
      <c r="AB353" s="3">
        <v>210</v>
      </c>
      <c r="AC353" s="3">
        <f>IF(ISERROR((VLOOKUP($A353,'SegEnds_NonXtal_BW#'!$A:$Z,20,FALSE)+VLOOKUP($A353,A:AL,28,FALSE)-50)),"-",(VLOOKUP($A353,'SegEnds_NonXtal_BW#'!$A:$Z,20,FALSE)+VLOOKUP($A353,A:AL,28,FALSE)-50))</f>
        <v>221</v>
      </c>
      <c r="AD353" s="3">
        <f>IF(ISERROR(VLOOKUP($A353,'SegEnds_NonXtal_BW#'!$A:$Z,21,FALSE)+VLOOKUP($A353,A:AL,31,FALSE)-50),"-",(VLOOKUP($A353,'SegEnds_NonXtal_BW#'!$A:$Z,21,FALSE)+VLOOKUP($A353,A:AL,31,FALSE)-50))</f>
        <v>232</v>
      </c>
      <c r="AE353" s="3">
        <v>249</v>
      </c>
      <c r="AF353" s="3">
        <f>IF(ISERROR((VLOOKUP($A353,'SegEnds_NonXtal_BW#'!$A:$Z,22,FALSE)+VLOOKUP($A353,A:AL,31,FALSE)-50)),"-",(VLOOKUP($A353,'SegEnds_NonXtal_BW#'!$A:$Z,22,FALSE)+VLOOKUP($A353,A:AL,31,FALSE)-50))</f>
        <v>256</v>
      </c>
      <c r="AG353" s="3">
        <f>IF(ISERROR(VLOOKUP($A353,'SegEnds_NonXtal_BW#'!$A:$Z,23,FALSE)+VLOOKUP($A353,A:AL,34,FALSE)-50),"-",(VLOOKUP($A353,'SegEnds_NonXtal_BW#'!$A:$Z,23,FALSE)+VLOOKUP($A353,A:AL,34,FALSE)-50))</f>
        <v>267</v>
      </c>
      <c r="AH353" s="3">
        <v>284</v>
      </c>
      <c r="AI353" s="3">
        <f>IF(ISERROR((VLOOKUP($A353,'SegEnds_NonXtal_BW#'!$A:$Z,24,FALSE)+VLOOKUP($A353,A:AL,34,FALSE)-50)),"-",(VLOOKUP($A353,'SegEnds_NonXtal_BW#'!$A:$Z,24,FALSE)+VLOOKUP($A353,A:AL,34,FALSE)-50))</f>
        <v>298</v>
      </c>
      <c r="AJ353" s="3">
        <f>IF(ISERROR(VLOOKUP($A353,'SegEnds_NonXtal_BW#'!$A:$Z,25,FALSE)+VLOOKUP($A353,A:AL,37,FALSE)-50),"-",(VLOOKUP($A353,'SegEnds_NonXtal_BW#'!$A:$Z,25,FALSE)+VLOOKUP($A353,A:AL,37,FALSE)-50))</f>
        <v>300</v>
      </c>
      <c r="AK353" s="3">
        <v>304</v>
      </c>
      <c r="AL353" s="3">
        <f>IF(ISERROR((VLOOKUP($A353,'SegEnds_NonXtal_BW#'!$A:$Z,26,FALSE)+VLOOKUP($A353,A:AL,37,FALSE)-50)),"-",(VLOOKUP($A353,'SegEnds_NonXtal_BW#'!$A:$Z,26,FALSE)+VLOOKUP($A353,A:AL,37,FALSE)-50))</f>
        <v>311</v>
      </c>
      <c r="AM353" s="28" t="str">
        <f>VLOOKUP(A353,Classification!A:B,2,FALSE)</f>
        <v>C</v>
      </c>
      <c r="AN353" s="28" t="b">
        <f t="shared" si="235"/>
        <v>1</v>
      </c>
      <c r="AO353" s="3" t="str">
        <f>IF(ISERROR(MATCH(A353,'SegEnds_Xtal_Prot#'!B:B, 0)), "NoXtal", "Xtal")</f>
        <v>NoXtal</v>
      </c>
      <c r="AP353" s="3">
        <f t="shared" si="220"/>
        <v>1</v>
      </c>
      <c r="AQ353" s="3">
        <f t="shared" si="221"/>
        <v>1</v>
      </c>
      <c r="AR353" s="3" t="str">
        <f t="shared" si="222"/>
        <v>-</v>
      </c>
      <c r="AS353" s="3" t="str">
        <f t="shared" si="223"/>
        <v>-</v>
      </c>
      <c r="AT353" s="3" t="str">
        <f t="shared" si="224"/>
        <v>-</v>
      </c>
      <c r="AU353" s="3" t="str">
        <f t="shared" si="225"/>
        <v>-</v>
      </c>
      <c r="AV353" s="3">
        <f t="shared" si="226"/>
        <v>9</v>
      </c>
      <c r="AW353" s="3">
        <f t="shared" si="227"/>
        <v>1</v>
      </c>
      <c r="AX353" s="3">
        <f t="shared" si="228"/>
        <v>11</v>
      </c>
      <c r="AY353" s="3">
        <f t="shared" si="229"/>
        <v>11</v>
      </c>
      <c r="AZ353" s="3">
        <f t="shared" si="230"/>
        <v>2</v>
      </c>
      <c r="BA353" s="3">
        <f>IF(ISERROR(LEN(VLOOKUP(A353,Seqs!A:E,2,FALSE))-AL353),"-",LEN(VLOOKUP(A353,Seqs!A:E,2,FALSE))-AL353)</f>
        <v>92</v>
      </c>
      <c r="BB353" s="16">
        <f t="shared" si="231"/>
        <v>33</v>
      </c>
      <c r="BC353" s="9" t="str">
        <f t="shared" si="232"/>
        <v>-</v>
      </c>
      <c r="BD353" s="3">
        <f t="shared" si="233"/>
        <v>33</v>
      </c>
      <c r="BE353" s="3">
        <f t="shared" si="234"/>
        <v>39</v>
      </c>
    </row>
    <row r="354" spans="1:58" s="3" customFormat="1" x14ac:dyDescent="0.2">
      <c r="A354" s="3" t="s">
        <v>112</v>
      </c>
      <c r="B354" s="3" t="str">
        <f>LOWER(VLOOKUP(A354,Xtal_Templ!A:B,2,FALSE))</f>
        <v>grm1_human</v>
      </c>
      <c r="C354" s="3">
        <f>VLOOKUP($A354,'SegEnds_NonXtal_BW#'!$A:$Z,3,FALSE)+D354-50</f>
        <v>48</v>
      </c>
      <c r="D354" s="3">
        <v>64</v>
      </c>
      <c r="E354" s="3">
        <f>IF(ISERROR(VLOOKUP($A354,'SegEnds_NonXtal_BW#'!$A:$Z,4,FALSE)+VLOOKUP($A354,A:AL,4,FALSE)-50),"-",(VLOOKUP($A354,'SegEnds_NonXtal_BW#'!$A:$Z,4,FALSE)+VLOOKUP($A354,A:AL,4,FALSE)-50))</f>
        <v>74</v>
      </c>
      <c r="F354" s="3">
        <f t="shared" si="237"/>
        <v>75</v>
      </c>
      <c r="G354" s="3">
        <v>78</v>
      </c>
      <c r="H354" s="3">
        <f t="shared" si="238"/>
        <v>81</v>
      </c>
      <c r="I354" s="3">
        <f t="shared" si="239"/>
        <v>82</v>
      </c>
      <c r="J354" s="3">
        <v>97</v>
      </c>
      <c r="K354" s="3">
        <f>VLOOKUP($A354,'SegEnds_NonXtal_BW#'!$A:$Z,8,FALSE)+VLOOKUP($A354,A:AL,10,FALSE)-50</f>
        <v>108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113</v>
      </c>
      <c r="P354" s="3">
        <v>141</v>
      </c>
      <c r="Q354" s="3">
        <f>VLOOKUP($A354,'SegEnds_NonXtal_BW#'!$A:$Z,12,FALSE)+VLOOKUP($A354,A:AL,16,FALSE)-50</f>
        <v>145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1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152</v>
      </c>
      <c r="V354" s="3">
        <v>164</v>
      </c>
      <c r="W354" s="3">
        <f>IF(ISERROR(VLOOKUP($A354,'SegEnds_NonXtal_BW#'!$A:$Z,16,FALSE)+VLOOKUP($A354,A:AL,22,FALSE)-50),"-",(VLOOKUP($A354,'SegEnds_NonXtal_BW#'!$A:$Z,16,FALSE)+VLOOKUP($A354,A:AL,22,FALSE)-50))</f>
        <v>178</v>
      </c>
      <c r="X354" s="3">
        <f>IF(ISERROR(VLOOKUP($A354,'SegEnds_NonXtal_BW#'!$A:$Z,17,FALSE)+VLOOKUP($A354,A:AL,25,FALSE)-50),"-",(VLOOKUP($A354,'SegEnds_NonXtal_BW#'!$A:$Z,17,FALSE)+VLOOKUP($A354,A:AL,25,FALSE)-50))</f>
        <v>202</v>
      </c>
      <c r="Y354" s="3">
        <v>202</v>
      </c>
      <c r="Z354" s="3">
        <f>Y354+2</f>
        <v>204</v>
      </c>
      <c r="AA354" s="3">
        <f>IF(ISERROR(VLOOKUP($A354,'SegEnds_NonXtal_BW#'!$A:$Z,19,FALSE)+VLOOKUP($A354,A:AL,28,FALSE)-50),"-",(VLOOKUP($A354,'SegEnds_NonXtal_BW#'!$A:$Z,19,FALSE)+VLOOKUP($A354,A:AL,28,FALSE)-50))</f>
        <v>205</v>
      </c>
      <c r="AB354" s="3">
        <v>219</v>
      </c>
      <c r="AC354" s="3">
        <f>IF(ISERROR((VLOOKUP($A354,'SegEnds_NonXtal_BW#'!$A:$Z,20,FALSE)+VLOOKUP($A354,A:AL,28,FALSE)-50)),"-",(VLOOKUP($A354,'SegEnds_NonXtal_BW#'!$A:$Z,20,FALSE)+VLOOKUP($A354,A:AL,28,FALSE)-50))</f>
        <v>230</v>
      </c>
      <c r="AD354" s="3">
        <f>IF(ISERROR(VLOOKUP($A354,'SegEnds_NonXtal_BW#'!$A:$Z,21,FALSE)+VLOOKUP($A354,A:AL,31,FALSE)-50),"-",(VLOOKUP($A354,'SegEnds_NonXtal_BW#'!$A:$Z,21,FALSE)+VLOOKUP($A354,A:AL,31,FALSE)-50))</f>
        <v>241</v>
      </c>
      <c r="AE354" s="3">
        <v>258</v>
      </c>
      <c r="AF354" s="3">
        <f>IF(ISERROR((VLOOKUP($A354,'SegEnds_NonXtal_BW#'!$A:$Z,22,FALSE)+VLOOKUP($A354,A:AL,31,FALSE)-50)),"-",(VLOOKUP($A354,'SegEnds_NonXtal_BW#'!$A:$Z,22,FALSE)+VLOOKUP($A354,A:AL,31,FALSE)-50))</f>
        <v>265</v>
      </c>
      <c r="AG354" s="3">
        <f>IF(ISERROR(VLOOKUP($A354,'SegEnds_NonXtal_BW#'!$A:$Z,23,FALSE)+VLOOKUP($A354,A:AL,34,FALSE)-50),"-",(VLOOKUP($A354,'SegEnds_NonXtal_BW#'!$A:$Z,23,FALSE)+VLOOKUP($A354,A:AL,34,FALSE)-50))</f>
        <v>275</v>
      </c>
      <c r="AH354" s="3">
        <v>292</v>
      </c>
      <c r="AI354" s="3">
        <f>IF(ISERROR((VLOOKUP($A354,'SegEnds_NonXtal_BW#'!$A:$Z,24,FALSE)+VLOOKUP($A354,A:AL,34,FALSE)-50)),"-",(VLOOKUP($A354,'SegEnds_NonXtal_BW#'!$A:$Z,24,FALSE)+VLOOKUP($A354,A:AL,34,FALSE)-50))</f>
        <v>306</v>
      </c>
      <c r="AJ354" s="3">
        <f>IF(ISERROR(VLOOKUP($A354,'SegEnds_NonXtal_BW#'!$A:$Z,25,FALSE)+VLOOKUP($A354,A:AL,37,FALSE)-50),"-",(VLOOKUP($A354,'SegEnds_NonXtal_BW#'!$A:$Z,25,FALSE)+VLOOKUP($A354,A:AL,37,FALSE)-50))</f>
        <v>308</v>
      </c>
      <c r="AK354" s="3">
        <v>312</v>
      </c>
      <c r="AL354" s="3">
        <v>319</v>
      </c>
      <c r="AM354" s="28" t="str">
        <f>VLOOKUP(A354,Classification!A:B,2,FALSE)</f>
        <v>C</v>
      </c>
      <c r="AN354" s="28" t="b">
        <f t="shared" si="235"/>
        <v>1</v>
      </c>
      <c r="AO354" s="3" t="str">
        <f>IF(ISERROR(MATCH(A354,'SegEnds_Xtal_Prot#'!B:B, 0)), "NoXtal", "Xtal")</f>
        <v>NoXtal</v>
      </c>
      <c r="AP354" s="3">
        <f t="shared" si="220"/>
        <v>1</v>
      </c>
      <c r="AQ354" s="3">
        <f t="shared" si="221"/>
        <v>1</v>
      </c>
      <c r="AR354" s="3" t="str">
        <f t="shared" si="222"/>
        <v>-</v>
      </c>
      <c r="AS354" s="3" t="str">
        <f t="shared" si="223"/>
        <v>-</v>
      </c>
      <c r="AT354" s="3" t="str">
        <f t="shared" si="224"/>
        <v>-</v>
      </c>
      <c r="AU354" s="3" t="str">
        <f t="shared" si="225"/>
        <v>-</v>
      </c>
      <c r="AV354" s="3">
        <f t="shared" si="226"/>
        <v>24</v>
      </c>
      <c r="AW354" s="3">
        <f t="shared" si="227"/>
        <v>1</v>
      </c>
      <c r="AX354" s="3">
        <f t="shared" si="228"/>
        <v>11</v>
      </c>
      <c r="AY354" s="3">
        <f t="shared" si="229"/>
        <v>10</v>
      </c>
      <c r="AZ354" s="3">
        <f t="shared" si="230"/>
        <v>2</v>
      </c>
      <c r="BA354" s="3">
        <f>IF(ISERROR(LEN(VLOOKUP(A354,Seqs!A:E,2,FALSE))-AL354),"-",LEN(VLOOKUP(A354,Seqs!A:E,2,FALSE))-AL354)</f>
        <v>122</v>
      </c>
      <c r="BB354" s="16">
        <f t="shared" si="231"/>
        <v>33</v>
      </c>
      <c r="BC354" s="9" t="str">
        <f t="shared" si="232"/>
        <v>-</v>
      </c>
      <c r="BD354" s="3">
        <f t="shared" si="233"/>
        <v>33</v>
      </c>
      <c r="BE354" s="3">
        <f t="shared" si="234"/>
        <v>39</v>
      </c>
    </row>
    <row r="355" spans="1:58" s="3" customFormat="1" x14ac:dyDescent="0.2">
      <c r="A355" s="3" t="s">
        <v>113</v>
      </c>
      <c r="B355" s="3" t="str">
        <f>LOWER(VLOOKUP(A355,Xtal_Templ!A:B,2,FALSE))</f>
        <v>grm1_human</v>
      </c>
      <c r="C355" s="3">
        <f>VLOOKUP($A355,'SegEnds_NonXtal_BW#'!$A:$Z,3,FALSE)+D355-50</f>
        <v>21</v>
      </c>
      <c r="D355" s="3">
        <v>37</v>
      </c>
      <c r="E355" s="3">
        <f>IF(ISERROR(VLOOKUP($A355,'SegEnds_NonXtal_BW#'!$A:$Z,4,FALSE)+VLOOKUP($A355,A:AL,4,FALSE)-50),"-",(VLOOKUP($A355,'SegEnds_NonXtal_BW#'!$A:$Z,4,FALSE)+VLOOKUP($A355,A:AL,4,FALSE)-50))</f>
        <v>47</v>
      </c>
      <c r="F355" s="3">
        <f t="shared" si="237"/>
        <v>48</v>
      </c>
      <c r="G355" s="3">
        <v>51</v>
      </c>
      <c r="H355" s="3">
        <f t="shared" si="238"/>
        <v>54</v>
      </c>
      <c r="I355" s="3">
        <f t="shared" si="239"/>
        <v>55</v>
      </c>
      <c r="J355" s="3">
        <v>70</v>
      </c>
      <c r="K355" s="3">
        <f>VLOOKUP($A355,'SegEnds_NonXtal_BW#'!$A:$Z,8,FALSE)+VLOOKUP($A355,A:AL,10,FALSE)-50</f>
        <v>81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86</v>
      </c>
      <c r="P355" s="3">
        <v>114</v>
      </c>
      <c r="Q355" s="3">
        <f>VLOOKUP($A355,'SegEnds_NonXtal_BW#'!$A:$Z,12,FALSE)+VLOOKUP($A355,A:AL,16,FALSE)-50</f>
        <v>118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1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125</v>
      </c>
      <c r="V355" s="3">
        <v>137</v>
      </c>
      <c r="W355" s="3">
        <f>IF(ISERROR(VLOOKUP($A355,'SegEnds_NonXtal_BW#'!$A:$Z,16,FALSE)+VLOOKUP($A355,A:AL,22,FALSE)-50),"-",(VLOOKUP($A355,'SegEnds_NonXtal_BW#'!$A:$Z,16,FALSE)+VLOOKUP($A355,A:AL,22,FALSE)-50))</f>
        <v>151</v>
      </c>
      <c r="X355" s="3">
        <f>IF(ISERROR(VLOOKUP($A355,'SegEnds_NonXtal_BW#'!$A:$Z,17,FALSE)+VLOOKUP($A355,A:AL,25,FALSE)-50),"-",(VLOOKUP($A355,'SegEnds_NonXtal_BW#'!$A:$Z,17,FALSE)+VLOOKUP($A355,A:AL,25,FALSE)-50))</f>
        <v>164</v>
      </c>
      <c r="Y355" s="106">
        <v>164</v>
      </c>
      <c r="Z355" s="3">
        <f>IF(ISERROR(VLOOKUP($A355,'SegEnds_NonXtal_BW#'!$A:$Z,18,FALSE)+VLOOKUP($A355,A:AL,25,FALSE)-50),"-",(VLOOKUP($A355,'SegEnds_NonXtal_BW#'!$A:$Z,18,FALSE)+VLOOKUP($A355,A:AL,25,FALSE)-50))</f>
        <v>166</v>
      </c>
      <c r="AA355" s="106">
        <v>167</v>
      </c>
      <c r="AB355" s="3">
        <v>180</v>
      </c>
      <c r="AC355" s="3">
        <f>IF(ISERROR((VLOOKUP($A355,'SegEnds_NonXtal_BW#'!$A:$Z,20,FALSE)+VLOOKUP($A355,A:AL,28,FALSE)-50)),"-",(VLOOKUP($A355,'SegEnds_NonXtal_BW#'!$A:$Z,20,FALSE)+VLOOKUP($A355,A:AL,28,FALSE)-50))</f>
        <v>191</v>
      </c>
      <c r="AD355" s="3">
        <f>IF(ISERROR(VLOOKUP($A355,'SegEnds_NonXtal_BW#'!$A:$Z,21,FALSE)+VLOOKUP($A355,A:AL,31,FALSE)-50),"-",(VLOOKUP($A355,'SegEnds_NonXtal_BW#'!$A:$Z,21,FALSE)+VLOOKUP($A355,A:AL,31,FALSE)-50))</f>
        <v>202</v>
      </c>
      <c r="AE355" s="3">
        <v>219</v>
      </c>
      <c r="AF355" s="3">
        <f>IF(ISERROR((VLOOKUP($A355,'SegEnds_NonXtal_BW#'!$A:$Z,22,FALSE)+VLOOKUP($A355,A:AL,31,FALSE)-50)),"-",(VLOOKUP($A355,'SegEnds_NonXtal_BW#'!$A:$Z,22,FALSE)+VLOOKUP($A355,A:AL,31,FALSE)-50))</f>
        <v>226</v>
      </c>
      <c r="AG355" s="3">
        <f>IF(ISERROR(VLOOKUP($A355,'SegEnds_NonXtal_BW#'!$A:$Z,23,FALSE)+VLOOKUP($A355,A:AL,34,FALSE)-50),"-",(VLOOKUP($A355,'SegEnds_NonXtal_BW#'!$A:$Z,23,FALSE)+VLOOKUP($A355,A:AL,34,FALSE)-50))</f>
        <v>237</v>
      </c>
      <c r="AH355" s="3">
        <v>254</v>
      </c>
      <c r="AI355" s="3">
        <f>IF(ISERROR((VLOOKUP($A355,'SegEnds_NonXtal_BW#'!$A:$Z,24,FALSE)+VLOOKUP($A355,A:AL,34,FALSE)-50)),"-",(VLOOKUP($A355,'SegEnds_NonXtal_BW#'!$A:$Z,24,FALSE)+VLOOKUP($A355,A:AL,34,FALSE)-50))</f>
        <v>268</v>
      </c>
      <c r="AJ355" s="3">
        <f>IF(ISERROR(VLOOKUP($A355,'SegEnds_NonXtal_BW#'!$A:$Z,25,FALSE)+VLOOKUP($A355,A:AL,37,FALSE)-50),"-",(VLOOKUP($A355,'SegEnds_NonXtal_BW#'!$A:$Z,25,FALSE)+VLOOKUP($A355,A:AL,37,FALSE)-50))</f>
        <v>271</v>
      </c>
      <c r="AK355" s="3">
        <v>275</v>
      </c>
      <c r="AL355" s="3">
        <v>281</v>
      </c>
      <c r="AM355" s="28" t="str">
        <f>VLOOKUP(A355,Classification!A:B,2,FALSE)</f>
        <v>C</v>
      </c>
      <c r="AN355" s="28" t="b">
        <f t="shared" si="235"/>
        <v>1</v>
      </c>
      <c r="AO355" s="3" t="str">
        <f>IF(ISERROR(MATCH(A355,'SegEnds_Xtal_Prot#'!B:B, 0)), "NoXtal", "Xtal")</f>
        <v>NoXtal</v>
      </c>
      <c r="AP355" s="3">
        <f t="shared" si="220"/>
        <v>1</v>
      </c>
      <c r="AQ355" s="3">
        <f t="shared" si="221"/>
        <v>1</v>
      </c>
      <c r="AR355" s="3" t="str">
        <f t="shared" si="222"/>
        <v>-</v>
      </c>
      <c r="AS355" s="3" t="str">
        <f t="shared" si="223"/>
        <v>-</v>
      </c>
      <c r="AT355" s="3" t="str">
        <f t="shared" si="224"/>
        <v>-</v>
      </c>
      <c r="AU355" s="3" t="str">
        <f t="shared" si="225"/>
        <v>-</v>
      </c>
      <c r="AV355" s="3">
        <f t="shared" si="226"/>
        <v>13</v>
      </c>
      <c r="AW355" s="3">
        <f t="shared" si="227"/>
        <v>1</v>
      </c>
      <c r="AX355" s="3">
        <f t="shared" si="228"/>
        <v>11</v>
      </c>
      <c r="AY355" s="3">
        <f t="shared" si="229"/>
        <v>11</v>
      </c>
      <c r="AZ355" s="3">
        <f t="shared" si="230"/>
        <v>3</v>
      </c>
      <c r="BA355" s="3">
        <f>IF(ISERROR(LEN(VLOOKUP(A355,Seqs!A:E,2,FALSE))-AL355),"-",LEN(VLOOKUP(A355,Seqs!A:E,2,FALSE))-AL355)</f>
        <v>64</v>
      </c>
      <c r="BB355" s="16">
        <f t="shared" si="231"/>
        <v>33</v>
      </c>
      <c r="BC355" s="9" t="str">
        <f t="shared" si="232"/>
        <v>-</v>
      </c>
      <c r="BD355" s="3">
        <f t="shared" si="233"/>
        <v>33</v>
      </c>
      <c r="BE355" s="3">
        <f t="shared" si="234"/>
        <v>39</v>
      </c>
    </row>
    <row r="356" spans="1:58" s="3" customFormat="1" x14ac:dyDescent="0.2">
      <c r="A356" s="3" t="s">
        <v>114</v>
      </c>
      <c r="B356" s="3" t="str">
        <f>LOWER(VLOOKUP(A356,Xtal_Templ!A:B,2,FALSE))</f>
        <v>grm1_human</v>
      </c>
      <c r="C356" s="3">
        <f>VLOOKUP($A356,'SegEnds_NonXtal_BW#'!$A:$Z,3,FALSE)+D356-50</f>
        <v>592</v>
      </c>
      <c r="D356" s="3">
        <v>608</v>
      </c>
      <c r="E356" s="3">
        <f>IF(ISERROR(VLOOKUP($A356,'SegEnds_NonXtal_BW#'!$A:$Z,4,FALSE)+VLOOKUP($A356,A:AL,4,FALSE)-50),"-",(VLOOKUP($A356,'SegEnds_NonXtal_BW#'!$A:$Z,4,FALSE)+VLOOKUP($A356,A:AL,4,FALSE)-50))</f>
        <v>618</v>
      </c>
      <c r="F356" s="3">
        <f t="shared" si="237"/>
        <v>621</v>
      </c>
      <c r="G356" s="3">
        <v>624</v>
      </c>
      <c r="H356" s="3">
        <f t="shared" si="238"/>
        <v>627</v>
      </c>
      <c r="I356" s="3">
        <f t="shared" si="239"/>
        <v>628</v>
      </c>
      <c r="J356" s="3">
        <v>640</v>
      </c>
      <c r="K356" s="3">
        <f>VLOOKUP($A356,'SegEnds_NonXtal_BW#'!$A:$Z,8,FALSE)+VLOOKUP($A356,A:AL,10,FALSE)-50</f>
        <v>651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656</v>
      </c>
      <c r="P356" s="3">
        <v>684</v>
      </c>
      <c r="Q356" s="3">
        <f>VLOOKUP($A356,'SegEnds_NonXtal_BW#'!$A:$Z,12,FALSE)+VLOOKUP($A356,A:AL,16,FALSE)-50</f>
        <v>688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1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700</v>
      </c>
      <c r="V356" s="3">
        <v>712</v>
      </c>
      <c r="W356" s="3">
        <f>IF(ISERROR(VLOOKUP($A356,'SegEnds_NonXtal_BW#'!$A:$Z,16,FALSE)+VLOOKUP($A356,A:AL,22,FALSE)-50),"-",(VLOOKUP($A356,'SegEnds_NonXtal_BW#'!$A:$Z,16,FALSE)+VLOOKUP($A356,A:AL,22,FALSE)-50))</f>
        <v>726</v>
      </c>
      <c r="X356" s="3">
        <f>IF(ISERROR(VLOOKUP($A356,'SegEnds_NonXtal_BW#'!$A:$Z,17,FALSE)+VLOOKUP($A356,A:AL,25,FALSE)-50),"-",(VLOOKUP($A356,'SegEnds_NonXtal_BW#'!$A:$Z,17,FALSE)+VLOOKUP($A356,A:AL,25,FALSE)-50))</f>
        <v>744</v>
      </c>
      <c r="Y356" s="3">
        <v>744</v>
      </c>
      <c r="Z356" s="3">
        <f t="shared" ref="Z356:Z364" si="240">Y356+2</f>
        <v>746</v>
      </c>
      <c r="AA356" s="3">
        <f>IF(ISERROR(VLOOKUP($A356,'SegEnds_NonXtal_BW#'!$A:$Z,19,FALSE)+VLOOKUP($A356,A:AL,28,FALSE)-50),"-",(VLOOKUP($A356,'SegEnds_NonXtal_BW#'!$A:$Z,19,FALSE)+VLOOKUP($A356,A:AL,28,FALSE)-50))</f>
        <v>748</v>
      </c>
      <c r="AB356" s="3">
        <v>762</v>
      </c>
      <c r="AC356" s="3">
        <f>IF(ISERROR((VLOOKUP($A356,'SegEnds_NonXtal_BW#'!$A:$Z,20,FALSE)+VLOOKUP($A356,A:AL,28,FALSE)-50)),"-",(VLOOKUP($A356,'SegEnds_NonXtal_BW#'!$A:$Z,20,FALSE)+VLOOKUP($A356,A:AL,28,FALSE)-50))</f>
        <v>773</v>
      </c>
      <c r="AD356" s="3">
        <f>IF(ISERROR(VLOOKUP($A356,'SegEnds_NonXtal_BW#'!$A:$Z,21,FALSE)+VLOOKUP($A356,A:AL,31,FALSE)-50),"-",(VLOOKUP($A356,'SegEnds_NonXtal_BW#'!$A:$Z,21,FALSE)+VLOOKUP($A356,A:AL,31,FALSE)-50))</f>
        <v>780</v>
      </c>
      <c r="AE356" s="3">
        <v>797</v>
      </c>
      <c r="AF356" s="3">
        <f>IF(ISERROR((VLOOKUP($A356,'SegEnds_NonXtal_BW#'!$A:$Z,22,FALSE)+VLOOKUP($A356,A:AL,31,FALSE)-50)),"-",(VLOOKUP($A356,'SegEnds_NonXtal_BW#'!$A:$Z,22,FALSE)+VLOOKUP($A356,A:AL,31,FALSE)-50))</f>
        <v>804</v>
      </c>
      <c r="AG356" s="3">
        <f>IF(ISERROR(VLOOKUP($A356,'SegEnds_NonXtal_BW#'!$A:$Z,23,FALSE)+VLOOKUP($A356,A:AL,34,FALSE)-50),"-",(VLOOKUP($A356,'SegEnds_NonXtal_BW#'!$A:$Z,23,FALSE)+VLOOKUP($A356,A:AL,34,FALSE)-50))</f>
        <v>809</v>
      </c>
      <c r="AH356" s="3">
        <v>826</v>
      </c>
      <c r="AI356" s="3">
        <f>IF(ISERROR((VLOOKUP($A356,'SegEnds_NonXtal_BW#'!$A:$Z,24,FALSE)+VLOOKUP($A356,A:AL,34,FALSE)-50)),"-",(VLOOKUP($A356,'SegEnds_NonXtal_BW#'!$A:$Z,24,FALSE)+VLOOKUP($A356,A:AL,34,FALSE)-50))</f>
        <v>840</v>
      </c>
      <c r="AJ356" s="3">
        <f>IF(ISERROR(VLOOKUP($A356,'SegEnds_NonXtal_BW#'!$A:$Z,25,FALSE)+VLOOKUP($A356,A:AL,37,FALSE)-50),"-",(VLOOKUP($A356,'SegEnds_NonXtal_BW#'!$A:$Z,25,FALSE)+VLOOKUP($A356,A:AL,37,FALSE)-50))</f>
        <v>841</v>
      </c>
      <c r="AK356" s="3">
        <v>845</v>
      </c>
      <c r="AL356" s="3">
        <f>IF(ISERROR((VLOOKUP($A356,'SegEnds_NonXtal_BW#'!$A:$Z,26,FALSE)+VLOOKUP($A356,A:AL,37,FALSE)-50)),"-",(VLOOKUP($A356,'SegEnds_NonXtal_BW#'!$A:$Z,26,FALSE)+VLOOKUP($A356,A:AL,37,FALSE)-50))</f>
        <v>852</v>
      </c>
      <c r="AM356" s="28" t="str">
        <f>VLOOKUP(A356,Classification!A:B,2,FALSE)</f>
        <v>C</v>
      </c>
      <c r="AN356" s="28" t="b">
        <f t="shared" si="235"/>
        <v>1</v>
      </c>
      <c r="AO356" s="3" t="str">
        <f>IF(ISERROR(MATCH(A356,'SegEnds_Xtal_Prot#'!B:B, 0)), "NoXtal", "Xtal")</f>
        <v>NoXtal</v>
      </c>
      <c r="AP356" s="3">
        <f t="shared" si="220"/>
        <v>3</v>
      </c>
      <c r="AQ356" s="3">
        <f t="shared" si="221"/>
        <v>1</v>
      </c>
      <c r="AR356" s="3" t="str">
        <f t="shared" si="222"/>
        <v>-</v>
      </c>
      <c r="AS356" s="3" t="str">
        <f t="shared" si="223"/>
        <v>-</v>
      </c>
      <c r="AT356" s="3" t="str">
        <f t="shared" si="224"/>
        <v>-</v>
      </c>
      <c r="AU356" s="3" t="str">
        <f t="shared" si="225"/>
        <v>-</v>
      </c>
      <c r="AV356" s="3">
        <f t="shared" si="226"/>
        <v>18</v>
      </c>
      <c r="AW356" s="3">
        <f t="shared" si="227"/>
        <v>2</v>
      </c>
      <c r="AX356" s="3">
        <f t="shared" si="228"/>
        <v>7</v>
      </c>
      <c r="AY356" s="3">
        <f t="shared" si="229"/>
        <v>5</v>
      </c>
      <c r="AZ356" s="3">
        <f t="shared" si="230"/>
        <v>1</v>
      </c>
      <c r="BA356" s="3">
        <f>IF(ISERROR(LEN(VLOOKUP(A356,Seqs!A:E,2,FALSE))-AL356),"-",LEN(VLOOKUP(A356,Seqs!A:E,2,FALSE))-AL356)</f>
        <v>74</v>
      </c>
      <c r="BB356" s="16">
        <f t="shared" si="231"/>
        <v>32</v>
      </c>
      <c r="BC356" s="9" t="str">
        <f t="shared" si="232"/>
        <v>-</v>
      </c>
      <c r="BD356" s="3">
        <f t="shared" si="233"/>
        <v>32</v>
      </c>
      <c r="BE356" s="3">
        <f t="shared" si="234"/>
        <v>35</v>
      </c>
    </row>
    <row r="357" spans="1:58" s="3" customFormat="1" x14ac:dyDescent="0.2">
      <c r="A357" s="3" t="s">
        <v>40</v>
      </c>
      <c r="B357" s="3" t="str">
        <f>LOWER(VLOOKUP(A357,Xtal_Templ!A:B,2,FALSE))</f>
        <v>grm1_human</v>
      </c>
      <c r="C357" s="3">
        <f>VLOOKUP($A357,'SegEnds_NonXtal_BW#'!$A:$Z,3,FALSE)+D357-50</f>
        <v>591</v>
      </c>
      <c r="D357" s="3">
        <v>607</v>
      </c>
      <c r="E357" s="3">
        <f>IF(ISERROR(VLOOKUP($A357,'SegEnds_NonXtal_BW#'!$A:$Z,4,FALSE)+VLOOKUP($A357,A:AL,4,FALSE)-50),"-",(VLOOKUP($A357,'SegEnds_NonXtal_BW#'!$A:$Z,4,FALSE)+VLOOKUP($A357,A:AL,4,FALSE)-50))</f>
        <v>617</v>
      </c>
      <c r="F357" s="3">
        <f t="shared" si="237"/>
        <v>620</v>
      </c>
      <c r="G357" s="3">
        <v>623</v>
      </c>
      <c r="H357" s="3">
        <f t="shared" si="238"/>
        <v>626</v>
      </c>
      <c r="I357" s="3">
        <f t="shared" si="239"/>
        <v>627</v>
      </c>
      <c r="J357" s="3">
        <v>638</v>
      </c>
      <c r="K357" s="3">
        <f>VLOOKUP($A357,'SegEnds_NonXtal_BW#'!$A:$Z,8,FALSE)+VLOOKUP($A357,A:AL,10,FALSE)-50</f>
        <v>649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654</v>
      </c>
      <c r="P357" s="3">
        <v>682</v>
      </c>
      <c r="Q357" s="3">
        <f>VLOOKUP($A357,'SegEnds_NonXtal_BW#'!$A:$Z,12,FALSE)+VLOOKUP($A357,A:AL,16,FALSE)-50</f>
        <v>686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1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702</v>
      </c>
      <c r="V357" s="3">
        <v>714</v>
      </c>
      <c r="W357" s="3">
        <f>IF(ISERROR(VLOOKUP($A357,'SegEnds_NonXtal_BW#'!$A:$Z,16,FALSE)+VLOOKUP($A357,A:AL,22,FALSE)-50),"-",(VLOOKUP($A357,'SegEnds_NonXtal_BW#'!$A:$Z,16,FALSE)+VLOOKUP($A357,A:AL,22,FALSE)-50))</f>
        <v>728</v>
      </c>
      <c r="X357" s="3">
        <f>IF(ISERROR(VLOOKUP($A357,'SegEnds_NonXtal_BW#'!$A:$Z,17,FALSE)+VLOOKUP($A357,A:AL,25,FALSE)-50),"-",(VLOOKUP($A357,'SegEnds_NonXtal_BW#'!$A:$Z,17,FALSE)+VLOOKUP($A357,A:AL,25,FALSE)-50))</f>
        <v>746</v>
      </c>
      <c r="Y357" s="3">
        <v>746</v>
      </c>
      <c r="Z357" s="3">
        <f t="shared" si="240"/>
        <v>748</v>
      </c>
      <c r="AA357" s="3">
        <f>IF(ISERROR(VLOOKUP($A357,'SegEnds_NonXtal_BW#'!$A:$Z,19,FALSE)+VLOOKUP($A357,A:AL,28,FALSE)-50),"-",(VLOOKUP($A357,'SegEnds_NonXtal_BW#'!$A:$Z,19,FALSE)+VLOOKUP($A357,A:AL,28,FALSE)-50))</f>
        <v>749</v>
      </c>
      <c r="AB357" s="3">
        <v>763</v>
      </c>
      <c r="AC357" s="3">
        <f>IF(ISERROR((VLOOKUP($A357,'SegEnds_NonXtal_BW#'!$A:$Z,20,FALSE)+VLOOKUP($A357,A:AL,28,FALSE)-50)),"-",(VLOOKUP($A357,'SegEnds_NonXtal_BW#'!$A:$Z,20,FALSE)+VLOOKUP($A357,A:AL,28,FALSE)-50))</f>
        <v>774</v>
      </c>
      <c r="AD357" s="3">
        <f>IF(ISERROR(VLOOKUP($A357,'SegEnds_NonXtal_BW#'!$A:$Z,21,FALSE)+VLOOKUP($A357,A:AL,31,FALSE)-50),"-",(VLOOKUP($A357,'SegEnds_NonXtal_BW#'!$A:$Z,21,FALSE)+VLOOKUP($A357,A:AL,31,FALSE)-50))</f>
        <v>783</v>
      </c>
      <c r="AE357" s="3">
        <v>800</v>
      </c>
      <c r="AF357" s="3">
        <f>IF(ISERROR((VLOOKUP($A357,'SegEnds_NonXtal_BW#'!$A:$Z,22,FALSE)+VLOOKUP($A357,A:AL,31,FALSE)-50)),"-",(VLOOKUP($A357,'SegEnds_NonXtal_BW#'!$A:$Z,22,FALSE)+VLOOKUP($A357,A:AL,31,FALSE)-50))</f>
        <v>807</v>
      </c>
      <c r="AG357" s="3">
        <f>IF(ISERROR(VLOOKUP($A357,'SegEnds_NonXtal_BW#'!$A:$Z,23,FALSE)+VLOOKUP($A357,A:AL,34,FALSE)-50),"-",(VLOOKUP($A357,'SegEnds_NonXtal_BW#'!$A:$Z,23,FALSE)+VLOOKUP($A357,A:AL,34,FALSE)-50))</f>
        <v>810</v>
      </c>
      <c r="AH357" s="3">
        <v>827</v>
      </c>
      <c r="AI357" s="3">
        <f>IF(ISERROR((VLOOKUP($A357,'SegEnds_NonXtal_BW#'!$A:$Z,24,FALSE)+VLOOKUP($A357,A:AL,34,FALSE)-50)),"-",(VLOOKUP($A357,'SegEnds_NonXtal_BW#'!$A:$Z,24,FALSE)+VLOOKUP($A357,A:AL,34,FALSE)-50))</f>
        <v>841</v>
      </c>
      <c r="AJ357" s="3">
        <f>IF(ISERROR(VLOOKUP($A357,'SegEnds_NonXtal_BW#'!$A:$Z,25,FALSE)+VLOOKUP($A357,A:AL,37,FALSE)-50),"-",(VLOOKUP($A357,'SegEnds_NonXtal_BW#'!$A:$Z,25,FALSE)+VLOOKUP($A357,A:AL,37,FALSE)-50))</f>
        <v>842</v>
      </c>
      <c r="AK357" s="3">
        <v>846</v>
      </c>
      <c r="AL357" s="3">
        <f>IF(ISERROR((VLOOKUP($A357,'SegEnds_NonXtal_BW#'!$A:$Z,26,FALSE)+VLOOKUP($A357,A:AL,37,FALSE)-50)),"-",(VLOOKUP($A357,'SegEnds_NonXtal_BW#'!$A:$Z,26,FALSE)+VLOOKUP($A357,A:AL,37,FALSE)-50))</f>
        <v>853</v>
      </c>
      <c r="AM357" s="28" t="str">
        <f>VLOOKUP(A357,Classification!A:B,2,FALSE)</f>
        <v>C</v>
      </c>
      <c r="AN357" s="28" t="b">
        <f t="shared" si="235"/>
        <v>1</v>
      </c>
      <c r="AO357" s="3" t="str">
        <f>IF(ISERROR(MATCH(A357,'SegEnds_Xtal_Prot#'!B:B, 0)), "NoXtal", "Xtal")</f>
        <v>Xtal</v>
      </c>
      <c r="AP357" s="3">
        <f t="shared" si="220"/>
        <v>3</v>
      </c>
      <c r="AQ357" s="3">
        <f t="shared" si="221"/>
        <v>1</v>
      </c>
      <c r="AR357" s="3" t="str">
        <f t="shared" si="222"/>
        <v>-</v>
      </c>
      <c r="AS357" s="3" t="str">
        <f t="shared" si="223"/>
        <v>-</v>
      </c>
      <c r="AT357" s="3" t="str">
        <f t="shared" si="224"/>
        <v>-</v>
      </c>
      <c r="AU357" s="3" t="str">
        <f t="shared" si="225"/>
        <v>-</v>
      </c>
      <c r="AV357" s="3">
        <f t="shared" si="226"/>
        <v>18</v>
      </c>
      <c r="AW357" s="3">
        <f t="shared" si="227"/>
        <v>1</v>
      </c>
      <c r="AX357" s="3">
        <f t="shared" si="228"/>
        <v>9</v>
      </c>
      <c r="AY357" s="3">
        <f t="shared" si="229"/>
        <v>3</v>
      </c>
      <c r="AZ357" s="3">
        <f t="shared" si="230"/>
        <v>1</v>
      </c>
      <c r="BA357" s="3">
        <f>IF(ISERROR(LEN(VLOOKUP(A357,Seqs!A:E,2,FALSE))-AL357),"-",LEN(VLOOKUP(A357,Seqs!A:E,2,FALSE))-AL357)</f>
        <v>341</v>
      </c>
      <c r="BB357" s="16">
        <f t="shared" si="231"/>
        <v>31</v>
      </c>
      <c r="BC357" s="9" t="str">
        <f t="shared" si="232"/>
        <v>-</v>
      </c>
      <c r="BD357" s="3">
        <f t="shared" si="233"/>
        <v>31</v>
      </c>
      <c r="BE357" s="3">
        <f t="shared" si="234"/>
        <v>37</v>
      </c>
    </row>
    <row r="358" spans="1:58" s="3" customFormat="1" x14ac:dyDescent="0.2">
      <c r="A358" s="3" t="s">
        <v>115</v>
      </c>
      <c r="B358" s="3" t="str">
        <f>LOWER(VLOOKUP(A358,Xtal_Templ!A:B,2,FALSE))</f>
        <v>grm1_human</v>
      </c>
      <c r="C358" s="3">
        <f>VLOOKUP($A358,'SegEnds_NonXtal_BW#'!$A:$Z,3,FALSE)+D358-50</f>
        <v>566</v>
      </c>
      <c r="D358" s="3">
        <v>582</v>
      </c>
      <c r="E358" s="3">
        <f>IF(ISERROR(VLOOKUP($A358,'SegEnds_NonXtal_BW#'!$A:$Z,4,FALSE)+VLOOKUP($A358,A:AL,4,FALSE)-50),"-",(VLOOKUP($A358,'SegEnds_NonXtal_BW#'!$A:$Z,4,FALSE)+VLOOKUP($A358,A:AL,4,FALSE)-50))</f>
        <v>592</v>
      </c>
      <c r="F358" s="3">
        <f t="shared" si="237"/>
        <v>595</v>
      </c>
      <c r="G358" s="3">
        <v>598</v>
      </c>
      <c r="H358" s="3">
        <f t="shared" si="238"/>
        <v>601</v>
      </c>
      <c r="I358" s="3">
        <f t="shared" si="239"/>
        <v>602</v>
      </c>
      <c r="J358" s="3">
        <v>613</v>
      </c>
      <c r="K358" s="3">
        <f>VLOOKUP($A358,'SegEnds_NonXtal_BW#'!$A:$Z,8,FALSE)+VLOOKUP($A358,A:AL,10,FALSE)-50</f>
        <v>624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629</v>
      </c>
      <c r="P358" s="3">
        <v>657</v>
      </c>
      <c r="Q358" s="3">
        <f>VLOOKUP($A358,'SegEnds_NonXtal_BW#'!$A:$Z,12,FALSE)+VLOOKUP($A358,A:AL,16,FALSE)-50</f>
        <v>661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1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675</v>
      </c>
      <c r="V358" s="3">
        <v>687</v>
      </c>
      <c r="W358" s="3">
        <f>IF(ISERROR(VLOOKUP($A358,'SegEnds_NonXtal_BW#'!$A:$Z,16,FALSE)+VLOOKUP($A358,A:AL,22,FALSE)-50),"-",(VLOOKUP($A358,'SegEnds_NonXtal_BW#'!$A:$Z,16,FALSE)+VLOOKUP($A358,A:AL,22,FALSE)-50))</f>
        <v>701</v>
      </c>
      <c r="X358" s="3">
        <f>IF(ISERROR(VLOOKUP($A358,'SegEnds_NonXtal_BW#'!$A:$Z,17,FALSE)+VLOOKUP($A358,A:AL,25,FALSE)-50),"-",(VLOOKUP($A358,'SegEnds_NonXtal_BW#'!$A:$Z,17,FALSE)+VLOOKUP($A358,A:AL,25,FALSE)-50))</f>
        <v>721</v>
      </c>
      <c r="Y358" s="3">
        <v>721</v>
      </c>
      <c r="Z358" s="3">
        <f t="shared" si="240"/>
        <v>723</v>
      </c>
      <c r="AA358" s="3">
        <f>IF(ISERROR(VLOOKUP($A358,'SegEnds_NonXtal_BW#'!$A:$Z,19,FALSE)+VLOOKUP($A358,A:AL,28,FALSE)-50),"-",(VLOOKUP($A358,'SegEnds_NonXtal_BW#'!$A:$Z,19,FALSE)+VLOOKUP($A358,A:AL,28,FALSE)-50))</f>
        <v>724</v>
      </c>
      <c r="AB358" s="3">
        <v>738</v>
      </c>
      <c r="AC358" s="3">
        <f>IF(ISERROR((VLOOKUP($A358,'SegEnds_NonXtal_BW#'!$A:$Z,20,FALSE)+VLOOKUP($A358,A:AL,28,FALSE)-50)),"-",(VLOOKUP($A358,'SegEnds_NonXtal_BW#'!$A:$Z,20,FALSE)+VLOOKUP($A358,A:AL,28,FALSE)-50))</f>
        <v>749</v>
      </c>
      <c r="AD358" s="3">
        <f>IF(ISERROR(VLOOKUP($A358,'SegEnds_NonXtal_BW#'!$A:$Z,21,FALSE)+VLOOKUP($A358,A:AL,31,FALSE)-50),"-",(VLOOKUP($A358,'SegEnds_NonXtal_BW#'!$A:$Z,21,FALSE)+VLOOKUP($A358,A:AL,31,FALSE)-50))</f>
        <v>758</v>
      </c>
      <c r="AE358" s="3">
        <v>775</v>
      </c>
      <c r="AF358" s="3">
        <f>IF(ISERROR((VLOOKUP($A358,'SegEnds_NonXtal_BW#'!$A:$Z,22,FALSE)+VLOOKUP($A358,A:AL,31,FALSE)-50)),"-",(VLOOKUP($A358,'SegEnds_NonXtal_BW#'!$A:$Z,22,FALSE)+VLOOKUP($A358,A:AL,31,FALSE)-50))</f>
        <v>782</v>
      </c>
      <c r="AG358" s="3">
        <f>IF(ISERROR(VLOOKUP($A358,'SegEnds_NonXtal_BW#'!$A:$Z,23,FALSE)+VLOOKUP($A358,A:AL,34,FALSE)-50),"-",(VLOOKUP($A358,'SegEnds_NonXtal_BW#'!$A:$Z,23,FALSE)+VLOOKUP($A358,A:AL,34,FALSE)-50))</f>
        <v>789</v>
      </c>
      <c r="AH358" s="3">
        <v>806</v>
      </c>
      <c r="AI358" s="3">
        <f>IF(ISERROR((VLOOKUP($A358,'SegEnds_NonXtal_BW#'!$A:$Z,24,FALSE)+VLOOKUP($A358,A:AL,34,FALSE)-50)),"-",(VLOOKUP($A358,'SegEnds_NonXtal_BW#'!$A:$Z,24,FALSE)+VLOOKUP($A358,A:AL,34,FALSE)-50))</f>
        <v>820</v>
      </c>
      <c r="AJ358" s="3">
        <f>IF(ISERROR(VLOOKUP($A358,'SegEnds_NonXtal_BW#'!$A:$Z,25,FALSE)+VLOOKUP($A358,A:AL,37,FALSE)-50),"-",(VLOOKUP($A358,'SegEnds_NonXtal_BW#'!$A:$Z,25,FALSE)+VLOOKUP($A358,A:AL,37,FALSE)-50))</f>
        <v>821</v>
      </c>
      <c r="AK358" s="3">
        <v>825</v>
      </c>
      <c r="AL358" s="3">
        <f>IF(ISERROR((VLOOKUP($A358,'SegEnds_NonXtal_BW#'!$A:$Z,26,FALSE)+VLOOKUP($A358,A:AL,37,FALSE)-50)),"-",(VLOOKUP($A358,'SegEnds_NonXtal_BW#'!$A:$Z,26,FALSE)+VLOOKUP($A358,A:AL,37,FALSE)-50))</f>
        <v>832</v>
      </c>
      <c r="AM358" s="28" t="str">
        <f>VLOOKUP(A358,Classification!A:B,2,FALSE)</f>
        <v>C</v>
      </c>
      <c r="AN358" s="28" t="b">
        <f t="shared" si="235"/>
        <v>1</v>
      </c>
      <c r="AO358" s="3" t="str">
        <f>IF(ISERROR(MATCH(A358,'SegEnds_Xtal_Prot#'!B:B, 0)), "NoXtal", "Xtal")</f>
        <v>NoXtal</v>
      </c>
      <c r="AP358" s="3">
        <f t="shared" si="220"/>
        <v>3</v>
      </c>
      <c r="AQ358" s="3">
        <f t="shared" si="221"/>
        <v>1</v>
      </c>
      <c r="AR358" s="3" t="str">
        <f t="shared" si="222"/>
        <v>-</v>
      </c>
      <c r="AS358" s="3" t="str">
        <f t="shared" si="223"/>
        <v>-</v>
      </c>
      <c r="AT358" s="3" t="str">
        <f t="shared" si="224"/>
        <v>-</v>
      </c>
      <c r="AU358" s="3" t="str">
        <f t="shared" si="225"/>
        <v>-</v>
      </c>
      <c r="AV358" s="3">
        <f t="shared" si="226"/>
        <v>20</v>
      </c>
      <c r="AW358" s="3">
        <f t="shared" si="227"/>
        <v>1</v>
      </c>
      <c r="AX358" s="3">
        <f t="shared" si="228"/>
        <v>9</v>
      </c>
      <c r="AY358" s="3">
        <f t="shared" si="229"/>
        <v>7</v>
      </c>
      <c r="AZ358" s="3">
        <f t="shared" si="230"/>
        <v>1</v>
      </c>
      <c r="BA358" s="3">
        <f>IF(ISERROR(LEN(VLOOKUP(A358,Seqs!A:E,2,FALSE))-AL358),"-",LEN(VLOOKUP(A358,Seqs!A:E,2,FALSE))-AL358)</f>
        <v>40</v>
      </c>
      <c r="BB358" s="16">
        <f t="shared" si="231"/>
        <v>31</v>
      </c>
      <c r="BC358" s="9" t="str">
        <f t="shared" si="232"/>
        <v>-</v>
      </c>
      <c r="BD358" s="3">
        <f t="shared" si="233"/>
        <v>31</v>
      </c>
      <c r="BE358" s="3">
        <f t="shared" si="234"/>
        <v>37</v>
      </c>
    </row>
    <row r="359" spans="1:58" s="3" customFormat="1" x14ac:dyDescent="0.2">
      <c r="A359" s="3" t="s">
        <v>116</v>
      </c>
      <c r="B359" s="3" t="str">
        <f>LOWER(VLOOKUP(A359,Xtal_Templ!A:B,2,FALSE))</f>
        <v>grm5_human</v>
      </c>
      <c r="C359" s="3">
        <f>VLOOKUP($A359,'SegEnds_NonXtal_BW#'!$A:$Z,3,FALSE)+D359-50</f>
        <v>575</v>
      </c>
      <c r="D359" s="3">
        <v>591</v>
      </c>
      <c r="E359" s="3">
        <f>IF(ISERROR(VLOOKUP($A359,'SegEnds_NonXtal_BW#'!$A:$Z,4,FALSE)+VLOOKUP($A359,A:AL,4,FALSE)-50),"-",(VLOOKUP($A359,'SegEnds_NonXtal_BW#'!$A:$Z,4,FALSE)+VLOOKUP($A359,A:AL,4,FALSE)-50))</f>
        <v>601</v>
      </c>
      <c r="F359" s="3">
        <f t="shared" si="237"/>
        <v>604</v>
      </c>
      <c r="G359" s="3">
        <v>607</v>
      </c>
      <c r="H359" s="3">
        <f t="shared" si="238"/>
        <v>610</v>
      </c>
      <c r="I359" s="3">
        <f t="shared" si="239"/>
        <v>611</v>
      </c>
      <c r="J359" s="3">
        <v>622</v>
      </c>
      <c r="K359" s="3">
        <f>VLOOKUP($A359,'SegEnds_NonXtal_BW#'!$A:$Z,8,FALSE)+VLOOKUP($A359,A:AL,10,FALSE)-50</f>
        <v>633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638</v>
      </c>
      <c r="P359" s="3">
        <v>666</v>
      </c>
      <c r="Q359" s="3">
        <f>VLOOKUP($A359,'SegEnds_NonXtal_BW#'!$A:$Z,12,FALSE)+VLOOKUP($A359,A:AL,16,FALSE)-50</f>
        <v>670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1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684</v>
      </c>
      <c r="V359" s="3">
        <v>696</v>
      </c>
      <c r="W359" s="3">
        <f>IF(ISERROR(VLOOKUP($A359,'SegEnds_NonXtal_BW#'!$A:$Z,16,FALSE)+VLOOKUP($A359,A:AL,22,FALSE)-50),"-",(VLOOKUP($A359,'SegEnds_NonXtal_BW#'!$A:$Z,16,FALSE)+VLOOKUP($A359,A:AL,22,FALSE)-50))</f>
        <v>710</v>
      </c>
      <c r="X359" s="3">
        <f>IF(ISERROR(VLOOKUP($A359,'SegEnds_NonXtal_BW#'!$A:$Z,17,FALSE)+VLOOKUP($A359,A:AL,25,FALSE)-50),"-",(VLOOKUP($A359,'SegEnds_NonXtal_BW#'!$A:$Z,17,FALSE)+VLOOKUP($A359,A:AL,25,FALSE)-50))</f>
        <v>730</v>
      </c>
      <c r="Y359" s="3">
        <v>730</v>
      </c>
      <c r="Z359" s="3">
        <f t="shared" si="240"/>
        <v>732</v>
      </c>
      <c r="AA359" s="3">
        <f>IF(ISERROR(VLOOKUP($A359,'SegEnds_NonXtal_BW#'!$A:$Z,19,FALSE)+VLOOKUP($A359,A:AL,28,FALSE)-50),"-",(VLOOKUP($A359,'SegEnds_NonXtal_BW#'!$A:$Z,19,FALSE)+VLOOKUP($A359,A:AL,28,FALSE)-50))</f>
        <v>733</v>
      </c>
      <c r="AB359" s="3">
        <v>747</v>
      </c>
      <c r="AC359" s="3">
        <f>IF(ISERROR((VLOOKUP($A359,'SegEnds_NonXtal_BW#'!$A:$Z,20,FALSE)+VLOOKUP($A359,A:AL,28,FALSE)-50)),"-",(VLOOKUP($A359,'SegEnds_NonXtal_BW#'!$A:$Z,20,FALSE)+VLOOKUP($A359,A:AL,28,FALSE)-50))</f>
        <v>758</v>
      </c>
      <c r="AD359" s="3">
        <f>IF(ISERROR(VLOOKUP($A359,'SegEnds_NonXtal_BW#'!$A:$Z,21,FALSE)+VLOOKUP($A359,A:AL,31,FALSE)-50),"-",(VLOOKUP($A359,'SegEnds_NonXtal_BW#'!$A:$Z,21,FALSE)+VLOOKUP($A359,A:AL,31,FALSE)-50))</f>
        <v>767</v>
      </c>
      <c r="AE359" s="3">
        <v>784</v>
      </c>
      <c r="AF359" s="3">
        <f>IF(ISERROR((VLOOKUP($A359,'SegEnds_NonXtal_BW#'!$A:$Z,22,FALSE)+VLOOKUP($A359,A:AL,31,FALSE)-50)),"-",(VLOOKUP($A359,'SegEnds_NonXtal_BW#'!$A:$Z,22,FALSE)+VLOOKUP($A359,A:AL,31,FALSE)-50))</f>
        <v>791</v>
      </c>
      <c r="AG359" s="3">
        <f>IF(ISERROR(VLOOKUP($A359,'SegEnds_NonXtal_BW#'!$A:$Z,23,FALSE)+VLOOKUP($A359,A:AL,34,FALSE)-50),"-",(VLOOKUP($A359,'SegEnds_NonXtal_BW#'!$A:$Z,23,FALSE)+VLOOKUP($A359,A:AL,34,FALSE)-50))</f>
        <v>798</v>
      </c>
      <c r="AH359" s="3">
        <v>815</v>
      </c>
      <c r="AI359" s="3">
        <f>IF(ISERROR((VLOOKUP($A359,'SegEnds_NonXtal_BW#'!$A:$Z,24,FALSE)+VLOOKUP($A359,A:AL,34,FALSE)-50)),"-",(VLOOKUP($A359,'SegEnds_NonXtal_BW#'!$A:$Z,24,FALSE)+VLOOKUP($A359,A:AL,34,FALSE)-50))</f>
        <v>829</v>
      </c>
      <c r="AJ359" s="3">
        <f>IF(ISERROR(VLOOKUP($A359,'SegEnds_NonXtal_BW#'!$A:$Z,25,FALSE)+VLOOKUP($A359,A:AL,37,FALSE)-50),"-",(VLOOKUP($A359,'SegEnds_NonXtal_BW#'!$A:$Z,25,FALSE)+VLOOKUP($A359,A:AL,37,FALSE)-50))</f>
        <v>830</v>
      </c>
      <c r="AK359" s="3">
        <v>834</v>
      </c>
      <c r="AL359" s="3">
        <f>IF(ISERROR((VLOOKUP($A359,'SegEnds_NonXtal_BW#'!$A:$Z,26,FALSE)+VLOOKUP($A359,A:AL,37,FALSE)-50)),"-",(VLOOKUP($A359,'SegEnds_NonXtal_BW#'!$A:$Z,26,FALSE)+VLOOKUP($A359,A:AL,37,FALSE)-50))</f>
        <v>841</v>
      </c>
      <c r="AM359" s="28" t="str">
        <f>VLOOKUP(A359,Classification!A:B,2,FALSE)</f>
        <v>C</v>
      </c>
      <c r="AN359" s="28" t="b">
        <f t="shared" si="235"/>
        <v>1</v>
      </c>
      <c r="AO359" s="3" t="str">
        <f>IF(ISERROR(MATCH(A359,'SegEnds_Xtal_Prot#'!B:B, 0)), "NoXtal", "Xtal")</f>
        <v>NoXtal</v>
      </c>
      <c r="AP359" s="3">
        <f t="shared" si="220"/>
        <v>3</v>
      </c>
      <c r="AQ359" s="3">
        <f t="shared" si="221"/>
        <v>1</v>
      </c>
      <c r="AR359" s="3" t="str">
        <f t="shared" si="222"/>
        <v>-</v>
      </c>
      <c r="AS359" s="3" t="str">
        <f t="shared" si="223"/>
        <v>-</v>
      </c>
      <c r="AT359" s="3" t="str">
        <f t="shared" si="224"/>
        <v>-</v>
      </c>
      <c r="AU359" s="3" t="str">
        <f t="shared" si="225"/>
        <v>-</v>
      </c>
      <c r="AV359" s="3">
        <f t="shared" si="226"/>
        <v>20</v>
      </c>
      <c r="AW359" s="3">
        <f t="shared" si="227"/>
        <v>1</v>
      </c>
      <c r="AX359" s="3">
        <f t="shared" si="228"/>
        <v>9</v>
      </c>
      <c r="AY359" s="3">
        <f t="shared" si="229"/>
        <v>7</v>
      </c>
      <c r="AZ359" s="3">
        <f t="shared" si="230"/>
        <v>1</v>
      </c>
      <c r="BA359" s="3">
        <f>IF(ISERROR(LEN(VLOOKUP(A359,Seqs!A:E,2,FALSE))-AL359),"-",LEN(VLOOKUP(A359,Seqs!A:E,2,FALSE))-AL359)</f>
        <v>38</v>
      </c>
      <c r="BB359" s="16">
        <f t="shared" si="231"/>
        <v>31</v>
      </c>
      <c r="BC359" s="9" t="str">
        <f t="shared" si="232"/>
        <v>-</v>
      </c>
      <c r="BD359" s="3">
        <f t="shared" si="233"/>
        <v>31</v>
      </c>
      <c r="BE359" s="3">
        <f t="shared" si="234"/>
        <v>37</v>
      </c>
    </row>
    <row r="360" spans="1:58" s="3" customFormat="1" x14ac:dyDescent="0.2">
      <c r="A360" s="3" t="s">
        <v>117</v>
      </c>
      <c r="B360" s="3" t="str">
        <f>LOWER(VLOOKUP(A360,Xtal_Templ!A:B,2,FALSE))</f>
        <v>grm5_human</v>
      </c>
      <c r="C360" s="3">
        <f>VLOOKUP($A360,'SegEnds_NonXtal_BW#'!$A:$Z,3,FALSE)+D360-50</f>
        <v>586</v>
      </c>
      <c r="D360" s="3">
        <v>602</v>
      </c>
      <c r="E360" s="3">
        <f>IF(ISERROR(VLOOKUP($A360,'SegEnds_NonXtal_BW#'!$A:$Z,4,FALSE)+VLOOKUP($A360,A:AL,4,FALSE)-50),"-",(VLOOKUP($A360,'SegEnds_NonXtal_BW#'!$A:$Z,4,FALSE)+VLOOKUP($A360,A:AL,4,FALSE)-50))</f>
        <v>612</v>
      </c>
      <c r="F360" s="3">
        <f t="shared" si="237"/>
        <v>615</v>
      </c>
      <c r="G360" s="3">
        <v>618</v>
      </c>
      <c r="H360" s="3">
        <f t="shared" si="238"/>
        <v>621</v>
      </c>
      <c r="I360" s="3">
        <f t="shared" si="239"/>
        <v>622</v>
      </c>
      <c r="J360" s="3">
        <v>633</v>
      </c>
      <c r="K360" s="3">
        <f>VLOOKUP($A360,'SegEnds_NonXtal_BW#'!$A:$Z,8,FALSE)+VLOOKUP($A360,A:AL,10,FALSE)-50</f>
        <v>644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649</v>
      </c>
      <c r="P360" s="3">
        <v>677</v>
      </c>
      <c r="Q360" s="3">
        <f>VLOOKUP($A360,'SegEnds_NonXtal_BW#'!$A:$Z,12,FALSE)+VLOOKUP($A360,A:AL,16,FALSE)-50</f>
        <v>681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1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695</v>
      </c>
      <c r="V360" s="3">
        <v>707</v>
      </c>
      <c r="W360" s="3">
        <f>IF(ISERROR(VLOOKUP($A360,'SegEnds_NonXtal_BW#'!$A:$Z,16,FALSE)+VLOOKUP($A360,A:AL,22,FALSE)-50),"-",(VLOOKUP($A360,'SegEnds_NonXtal_BW#'!$A:$Z,16,FALSE)+VLOOKUP($A360,A:AL,22,FALSE)-50))</f>
        <v>721</v>
      </c>
      <c r="X360" s="3">
        <f>IF(ISERROR(VLOOKUP($A360,'SegEnds_NonXtal_BW#'!$A:$Z,17,FALSE)+VLOOKUP($A360,A:AL,25,FALSE)-50),"-",(VLOOKUP($A360,'SegEnds_NonXtal_BW#'!$A:$Z,17,FALSE)+VLOOKUP($A360,A:AL,25,FALSE)-50))</f>
        <v>746</v>
      </c>
      <c r="Y360" s="3">
        <v>746</v>
      </c>
      <c r="Z360" s="3">
        <f t="shared" si="240"/>
        <v>748</v>
      </c>
      <c r="AA360" s="3">
        <f>IF(ISERROR(VLOOKUP($A360,'SegEnds_NonXtal_BW#'!$A:$Z,19,FALSE)+VLOOKUP($A360,A:AL,28,FALSE)-50),"-",(VLOOKUP($A360,'SegEnds_NonXtal_BW#'!$A:$Z,19,FALSE)+VLOOKUP($A360,A:AL,28,FALSE)-50))</f>
        <v>749</v>
      </c>
      <c r="AB360" s="3">
        <v>763</v>
      </c>
      <c r="AC360" s="3">
        <f>IF(ISERROR((VLOOKUP($A360,'SegEnds_NonXtal_BW#'!$A:$Z,20,FALSE)+VLOOKUP($A360,A:AL,28,FALSE)-50)),"-",(VLOOKUP($A360,'SegEnds_NonXtal_BW#'!$A:$Z,20,FALSE)+VLOOKUP($A360,A:AL,28,FALSE)-50))</f>
        <v>774</v>
      </c>
      <c r="AD360" s="3">
        <f>IF(ISERROR(VLOOKUP($A360,'SegEnds_NonXtal_BW#'!$A:$Z,21,FALSE)+VLOOKUP($A360,A:AL,31,FALSE)-50),"-",(VLOOKUP($A360,'SegEnds_NonXtal_BW#'!$A:$Z,21,FALSE)+VLOOKUP($A360,A:AL,31,FALSE)-50))</f>
        <v>783</v>
      </c>
      <c r="AE360" s="3">
        <v>800</v>
      </c>
      <c r="AF360" s="3">
        <f>IF(ISERROR((VLOOKUP($A360,'SegEnds_NonXtal_BW#'!$A:$Z,22,FALSE)+VLOOKUP($A360,A:AL,31,FALSE)-50)),"-",(VLOOKUP($A360,'SegEnds_NonXtal_BW#'!$A:$Z,22,FALSE)+VLOOKUP($A360,A:AL,31,FALSE)-50))</f>
        <v>807</v>
      </c>
      <c r="AG360" s="3">
        <f>IF(ISERROR(VLOOKUP($A360,'SegEnds_NonXtal_BW#'!$A:$Z,23,FALSE)+VLOOKUP($A360,A:AL,34,FALSE)-50),"-",(VLOOKUP($A360,'SegEnds_NonXtal_BW#'!$A:$Z,23,FALSE)+VLOOKUP($A360,A:AL,34,FALSE)-50))</f>
        <v>817</v>
      </c>
      <c r="AH360" s="3">
        <v>834</v>
      </c>
      <c r="AI360" s="3">
        <f>IF(ISERROR((VLOOKUP($A360,'SegEnds_NonXtal_BW#'!$A:$Z,24,FALSE)+VLOOKUP($A360,A:AL,34,FALSE)-50)),"-",(VLOOKUP($A360,'SegEnds_NonXtal_BW#'!$A:$Z,24,FALSE)+VLOOKUP($A360,A:AL,34,FALSE)-50))</f>
        <v>848</v>
      </c>
      <c r="AJ360" s="3">
        <f>IF(ISERROR(VLOOKUP($A360,'SegEnds_NonXtal_BW#'!$A:$Z,25,FALSE)+VLOOKUP($A360,A:AL,37,FALSE)-50),"-",(VLOOKUP($A360,'SegEnds_NonXtal_BW#'!$A:$Z,25,FALSE)+VLOOKUP($A360,A:AL,37,FALSE)-50))</f>
        <v>849</v>
      </c>
      <c r="AK360" s="3">
        <v>853</v>
      </c>
      <c r="AL360" s="3">
        <f>IF(ISERROR((VLOOKUP($A360,'SegEnds_NonXtal_BW#'!$A:$Z,26,FALSE)+VLOOKUP($A360,A:AL,37,FALSE)-50)),"-",(VLOOKUP($A360,'SegEnds_NonXtal_BW#'!$A:$Z,26,FALSE)+VLOOKUP($A360,A:AL,37,FALSE)-50))</f>
        <v>860</v>
      </c>
      <c r="AM360" s="28" t="str">
        <f>VLOOKUP(A360,Classification!A:B,2,FALSE)</f>
        <v>C</v>
      </c>
      <c r="AN360" s="28" t="b">
        <f t="shared" si="235"/>
        <v>1</v>
      </c>
      <c r="AO360" s="3" t="str">
        <f>IF(ISERROR(MATCH(A360,'SegEnds_Xtal_Prot#'!B:B, 0)), "NoXtal", "Xtal")</f>
        <v>NoXtal</v>
      </c>
      <c r="AP360" s="3">
        <f t="shared" si="220"/>
        <v>3</v>
      </c>
      <c r="AQ360" s="3">
        <f t="shared" si="221"/>
        <v>1</v>
      </c>
      <c r="AR360" s="3" t="str">
        <f t="shared" si="222"/>
        <v>-</v>
      </c>
      <c r="AS360" s="3" t="str">
        <f t="shared" si="223"/>
        <v>-</v>
      </c>
      <c r="AT360" s="3" t="str">
        <f t="shared" si="224"/>
        <v>-</v>
      </c>
      <c r="AU360" s="3" t="str">
        <f t="shared" si="225"/>
        <v>-</v>
      </c>
      <c r="AV360" s="3">
        <f t="shared" si="226"/>
        <v>25</v>
      </c>
      <c r="AW360" s="3">
        <f t="shared" si="227"/>
        <v>1</v>
      </c>
      <c r="AX360" s="3">
        <f t="shared" si="228"/>
        <v>9</v>
      </c>
      <c r="AY360" s="3">
        <f t="shared" si="229"/>
        <v>10</v>
      </c>
      <c r="AZ360" s="3">
        <f t="shared" si="230"/>
        <v>1</v>
      </c>
      <c r="BA360" s="3">
        <f>IF(ISERROR(LEN(VLOOKUP(A360,Seqs!A:E,2,FALSE))-AL360),"-",LEN(VLOOKUP(A360,Seqs!A:E,2,FALSE))-AL360)</f>
        <v>52</v>
      </c>
      <c r="BB360" s="16">
        <f t="shared" si="231"/>
        <v>31</v>
      </c>
      <c r="BC360" s="9" t="str">
        <f t="shared" si="232"/>
        <v>-</v>
      </c>
      <c r="BD360" s="3">
        <f t="shared" si="233"/>
        <v>31</v>
      </c>
      <c r="BE360" s="3">
        <f t="shared" si="234"/>
        <v>37</v>
      </c>
    </row>
    <row r="361" spans="1:58" s="3" customFormat="1" x14ac:dyDescent="0.2">
      <c r="A361" s="3" t="s">
        <v>41</v>
      </c>
      <c r="B361" s="3" t="str">
        <f>LOWER(VLOOKUP(A361,Xtal_Templ!A:B,2,FALSE))</f>
        <v>grm5_human</v>
      </c>
      <c r="C361" s="3">
        <f>VLOOKUP($A361,'SegEnds_NonXtal_BW#'!$A:$Z,3,FALSE)+D361-50</f>
        <v>578</v>
      </c>
      <c r="D361" s="3">
        <v>594</v>
      </c>
      <c r="E361" s="3">
        <f>IF(ISERROR(VLOOKUP($A361,'SegEnds_NonXtal_BW#'!$A:$Z,4,FALSE)+VLOOKUP($A361,A:AL,4,FALSE)-50),"-",(VLOOKUP($A361,'SegEnds_NonXtal_BW#'!$A:$Z,4,FALSE)+VLOOKUP($A361,A:AL,4,FALSE)-50))</f>
        <v>604</v>
      </c>
      <c r="F361" s="3">
        <f t="shared" si="237"/>
        <v>607</v>
      </c>
      <c r="G361" s="3">
        <v>610</v>
      </c>
      <c r="H361" s="3">
        <f t="shared" si="238"/>
        <v>613</v>
      </c>
      <c r="I361" s="3">
        <f t="shared" si="239"/>
        <v>614</v>
      </c>
      <c r="J361" s="3">
        <v>625</v>
      </c>
      <c r="K361" s="3">
        <f>VLOOKUP($A361,'SegEnds_NonXtal_BW#'!$A:$Z,8,FALSE)+VLOOKUP($A361,A:AL,10,FALSE)-50</f>
        <v>636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641</v>
      </c>
      <c r="P361" s="3">
        <v>669</v>
      </c>
      <c r="Q361" s="3">
        <f>VLOOKUP($A361,'SegEnds_NonXtal_BW#'!$A:$Z,12,FALSE)+VLOOKUP($A361,A:AL,16,FALSE)-50</f>
        <v>673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1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689</v>
      </c>
      <c r="V361" s="3">
        <v>701</v>
      </c>
      <c r="W361" s="3">
        <f>IF(ISERROR(VLOOKUP($A361,'SegEnds_NonXtal_BW#'!$A:$Z,16,FALSE)+VLOOKUP($A361,A:AL,22,FALSE)-50),"-",(VLOOKUP($A361,'SegEnds_NonXtal_BW#'!$A:$Z,16,FALSE)+VLOOKUP($A361,A:AL,22,FALSE)-50))</f>
        <v>715</v>
      </c>
      <c r="X361" s="3">
        <f>IF(ISERROR(VLOOKUP($A361,'SegEnds_NonXtal_BW#'!$A:$Z,17,FALSE)+VLOOKUP($A361,A:AL,25,FALSE)-50),"-",(VLOOKUP($A361,'SegEnds_NonXtal_BW#'!$A:$Z,17,FALSE)+VLOOKUP($A361,A:AL,25,FALSE)-50))</f>
        <v>733</v>
      </c>
      <c r="Y361" s="3">
        <v>733</v>
      </c>
      <c r="Z361" s="3">
        <f t="shared" si="240"/>
        <v>735</v>
      </c>
      <c r="AA361" s="3">
        <f>IF(ISERROR(VLOOKUP($A361,'SegEnds_NonXtal_BW#'!$A:$Z,19,FALSE)+VLOOKUP($A361,A:AL,28,FALSE)-50),"-",(VLOOKUP($A361,'SegEnds_NonXtal_BW#'!$A:$Z,19,FALSE)+VLOOKUP($A361,A:AL,28,FALSE)-50))</f>
        <v>736</v>
      </c>
      <c r="AB361" s="3">
        <v>750</v>
      </c>
      <c r="AC361" s="3">
        <f>IF(ISERROR((VLOOKUP($A361,'SegEnds_NonXtal_BW#'!$A:$Z,20,FALSE)+VLOOKUP($A361,A:AL,28,FALSE)-50)),"-",(VLOOKUP($A361,'SegEnds_NonXtal_BW#'!$A:$Z,20,FALSE)+VLOOKUP($A361,A:AL,28,FALSE)-50))</f>
        <v>761</v>
      </c>
      <c r="AD361" s="3">
        <f>IF(ISERROR(VLOOKUP($A361,'SegEnds_NonXtal_BW#'!$A:$Z,21,FALSE)+VLOOKUP($A361,A:AL,31,FALSE)-50),"-",(VLOOKUP($A361,'SegEnds_NonXtal_BW#'!$A:$Z,21,FALSE)+VLOOKUP($A361,A:AL,31,FALSE)-50))</f>
        <v>770</v>
      </c>
      <c r="AE361" s="3">
        <v>787</v>
      </c>
      <c r="AF361" s="3">
        <f>IF(ISERROR((VLOOKUP($A361,'SegEnds_NonXtal_BW#'!$A:$Z,22,FALSE)+VLOOKUP($A361,A:AL,31,FALSE)-50)),"-",(VLOOKUP($A361,'SegEnds_NonXtal_BW#'!$A:$Z,22,FALSE)+VLOOKUP($A361,A:AL,31,FALSE)-50))</f>
        <v>794</v>
      </c>
      <c r="AG361" s="3">
        <f>IF(ISERROR(VLOOKUP($A361,'SegEnds_NonXtal_BW#'!$A:$Z,23,FALSE)+VLOOKUP($A361,A:AL,34,FALSE)-50),"-",(VLOOKUP($A361,'SegEnds_NonXtal_BW#'!$A:$Z,23,FALSE)+VLOOKUP($A361,A:AL,34,FALSE)-50))</f>
        <v>797</v>
      </c>
      <c r="AH361" s="3">
        <v>814</v>
      </c>
      <c r="AI361" s="3">
        <f>IF(ISERROR((VLOOKUP($A361,'SegEnds_NonXtal_BW#'!$A:$Z,24,FALSE)+VLOOKUP($A361,A:AL,34,FALSE)-50)),"-",(VLOOKUP($A361,'SegEnds_NonXtal_BW#'!$A:$Z,24,FALSE)+VLOOKUP($A361,A:AL,34,FALSE)-50))</f>
        <v>828</v>
      </c>
      <c r="AJ361" s="3">
        <f>IF(ISERROR(VLOOKUP($A361,'SegEnds_NonXtal_BW#'!$A:$Z,25,FALSE)+VLOOKUP($A361,A:AL,37,FALSE)-50),"-",(VLOOKUP($A361,'SegEnds_NonXtal_BW#'!$A:$Z,25,FALSE)+VLOOKUP($A361,A:AL,37,FALSE)-50))</f>
        <v>829</v>
      </c>
      <c r="AK361" s="3">
        <v>833</v>
      </c>
      <c r="AL361" s="3">
        <f>IF(ISERROR((VLOOKUP($A361,'SegEnds_NonXtal_BW#'!$A:$Z,26,FALSE)+VLOOKUP($A361,A:AL,37,FALSE)-50)),"-",(VLOOKUP($A361,'SegEnds_NonXtal_BW#'!$A:$Z,26,FALSE)+VLOOKUP($A361,A:AL,37,FALSE)-50))</f>
        <v>840</v>
      </c>
      <c r="AM361" s="28" t="str">
        <f>VLOOKUP(A361,Classification!A:B,2,FALSE)</f>
        <v>C</v>
      </c>
      <c r="AN361" s="28" t="b">
        <f t="shared" si="235"/>
        <v>1</v>
      </c>
      <c r="AO361" s="3" t="str">
        <f>IF(ISERROR(MATCH(A361,'SegEnds_Xtal_Prot#'!B:B, 0)), "NoXtal", "Xtal")</f>
        <v>Xtal</v>
      </c>
      <c r="AP361" s="3">
        <f t="shared" si="220"/>
        <v>3</v>
      </c>
      <c r="AQ361" s="3">
        <f t="shared" si="221"/>
        <v>1</v>
      </c>
      <c r="AR361" s="3" t="str">
        <f t="shared" si="222"/>
        <v>-</v>
      </c>
      <c r="AS361" s="3" t="str">
        <f t="shared" si="223"/>
        <v>-</v>
      </c>
      <c r="AT361" s="3" t="str">
        <f t="shared" si="224"/>
        <v>-</v>
      </c>
      <c r="AU361" s="3" t="str">
        <f t="shared" si="225"/>
        <v>-</v>
      </c>
      <c r="AV361" s="3">
        <f t="shared" si="226"/>
        <v>18</v>
      </c>
      <c r="AW361" s="3">
        <f t="shared" si="227"/>
        <v>1</v>
      </c>
      <c r="AX361" s="3">
        <f t="shared" si="228"/>
        <v>9</v>
      </c>
      <c r="AY361" s="3">
        <f t="shared" si="229"/>
        <v>3</v>
      </c>
      <c r="AZ361" s="3">
        <f t="shared" si="230"/>
        <v>1</v>
      </c>
      <c r="BA361" s="3">
        <f>IF(ISERROR(LEN(VLOOKUP(A361,Seqs!A:E,2,FALSE))-AL361),"-",LEN(VLOOKUP(A361,Seqs!A:E,2,FALSE))-AL361)</f>
        <v>372</v>
      </c>
      <c r="BB361" s="16">
        <f t="shared" si="231"/>
        <v>31</v>
      </c>
      <c r="BC361" s="9" t="str">
        <f t="shared" si="232"/>
        <v>-</v>
      </c>
      <c r="BD361" s="3">
        <f t="shared" si="233"/>
        <v>31</v>
      </c>
      <c r="BE361" s="3">
        <f t="shared" si="234"/>
        <v>37</v>
      </c>
    </row>
    <row r="362" spans="1:58" s="3" customFormat="1" x14ac:dyDescent="0.2">
      <c r="A362" s="3" t="s">
        <v>118</v>
      </c>
      <c r="B362" s="3" t="str">
        <f>LOWER(VLOOKUP(A362,Xtal_Templ!A:B,2,FALSE))</f>
        <v>grm5_human</v>
      </c>
      <c r="C362" s="3">
        <f>VLOOKUP($A362,'SegEnds_NonXtal_BW#'!$A:$Z,3,FALSE)+D362-50</f>
        <v>584</v>
      </c>
      <c r="D362" s="3">
        <v>600</v>
      </c>
      <c r="E362" s="3">
        <f>IF(ISERROR(VLOOKUP($A362,'SegEnds_NonXtal_BW#'!$A:$Z,4,FALSE)+VLOOKUP($A362,A:AL,4,FALSE)-50),"-",(VLOOKUP($A362,'SegEnds_NonXtal_BW#'!$A:$Z,4,FALSE)+VLOOKUP($A362,A:AL,4,FALSE)-50))</f>
        <v>610</v>
      </c>
      <c r="F362" s="3">
        <f t="shared" si="237"/>
        <v>613</v>
      </c>
      <c r="G362" s="3">
        <v>616</v>
      </c>
      <c r="H362" s="3">
        <f t="shared" si="238"/>
        <v>619</v>
      </c>
      <c r="I362" s="3">
        <f t="shared" si="239"/>
        <v>620</v>
      </c>
      <c r="J362" s="3">
        <v>631</v>
      </c>
      <c r="K362" s="3">
        <f>VLOOKUP($A362,'SegEnds_NonXtal_BW#'!$A:$Z,8,FALSE)+VLOOKUP($A362,A:AL,10,FALSE)-50</f>
        <v>642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647</v>
      </c>
      <c r="P362" s="3">
        <v>675</v>
      </c>
      <c r="Q362" s="3">
        <f>VLOOKUP($A362,'SegEnds_NonXtal_BW#'!$A:$Z,12,FALSE)+VLOOKUP($A362,A:AL,16,FALSE)-50</f>
        <v>679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1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693</v>
      </c>
      <c r="V362" s="3">
        <v>705</v>
      </c>
      <c r="W362" s="3">
        <f>IF(ISERROR(VLOOKUP($A362,'SegEnds_NonXtal_BW#'!$A:$Z,16,FALSE)+VLOOKUP($A362,A:AL,22,FALSE)-50),"-",(VLOOKUP($A362,'SegEnds_NonXtal_BW#'!$A:$Z,16,FALSE)+VLOOKUP($A362,A:AL,22,FALSE)-50))</f>
        <v>719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si="240"/>
        <v>746</v>
      </c>
      <c r="AA362" s="3">
        <f>IF(ISERROR(VLOOKUP($A362,'SegEnds_NonXtal_BW#'!$A:$Z,19,FALSE)+VLOOKUP($A362,A:AL,28,FALSE)-50),"-",(VLOOKUP($A362,'SegEnds_NonXtal_BW#'!$A:$Z,19,FALSE)+VLOOKUP($A362,A:AL,28,FALSE)-50))</f>
        <v>747</v>
      </c>
      <c r="AB362" s="3">
        <v>761</v>
      </c>
      <c r="AC362" s="3">
        <f>IF(ISERROR((VLOOKUP($A362,'SegEnds_NonXtal_BW#'!$A:$Z,20,FALSE)+VLOOKUP($A362,A:AL,28,FALSE)-50)),"-",(VLOOKUP($A362,'SegEnds_NonXtal_BW#'!$A:$Z,20,FALSE)+VLOOKUP($A362,A:AL,28,FALSE)-50))</f>
        <v>772</v>
      </c>
      <c r="AD362" s="3">
        <f>IF(ISERROR(VLOOKUP($A362,'SegEnds_NonXtal_BW#'!$A:$Z,21,FALSE)+VLOOKUP($A362,A:AL,31,FALSE)-50),"-",(VLOOKUP($A362,'SegEnds_NonXtal_BW#'!$A:$Z,21,FALSE)+VLOOKUP($A362,A:AL,31,FALSE)-50))</f>
        <v>781</v>
      </c>
      <c r="AE362" s="3">
        <v>798</v>
      </c>
      <c r="AF362" s="3">
        <f>IF(ISERROR((VLOOKUP($A362,'SegEnds_NonXtal_BW#'!$A:$Z,22,FALSE)+VLOOKUP($A362,A:AL,31,FALSE)-50)),"-",(VLOOKUP($A362,'SegEnds_NonXtal_BW#'!$A:$Z,22,FALSE)+VLOOKUP($A362,A:AL,31,FALSE)-50))</f>
        <v>805</v>
      </c>
      <c r="AG362" s="3">
        <f>IF(ISERROR(VLOOKUP($A362,'SegEnds_NonXtal_BW#'!$A:$Z,23,FALSE)+VLOOKUP($A362,A:AL,34,FALSE)-50),"-",(VLOOKUP($A362,'SegEnds_NonXtal_BW#'!$A:$Z,23,FALSE)+VLOOKUP($A362,A:AL,34,FALSE)-50))</f>
        <v>815</v>
      </c>
      <c r="AH362" s="3">
        <v>832</v>
      </c>
      <c r="AI362" s="3">
        <f>IF(ISERROR((VLOOKUP($A362,'SegEnds_NonXtal_BW#'!$A:$Z,24,FALSE)+VLOOKUP($A362,A:AL,34,FALSE)-50)),"-",(VLOOKUP($A362,'SegEnds_NonXtal_BW#'!$A:$Z,24,FALSE)+VLOOKUP($A362,A:AL,34,FALSE)-50))</f>
        <v>846</v>
      </c>
      <c r="AJ362" s="3">
        <f>IF(ISERROR(VLOOKUP($A362,'SegEnds_NonXtal_BW#'!$A:$Z,25,FALSE)+VLOOKUP($A362,A:AL,37,FALSE)-50),"-",(VLOOKUP($A362,'SegEnds_NonXtal_BW#'!$A:$Z,25,FALSE)+VLOOKUP($A362,A:AL,37,FALSE)-50))</f>
        <v>847</v>
      </c>
      <c r="AK362" s="3">
        <v>851</v>
      </c>
      <c r="AL362" s="3">
        <f>IF(ISERROR((VLOOKUP($A362,'SegEnds_NonXtal_BW#'!$A:$Z,26,FALSE)+VLOOKUP($A362,A:AL,37,FALSE)-50)),"-",(VLOOKUP($A362,'SegEnds_NonXtal_BW#'!$A:$Z,26,FALSE)+VLOOKUP($A362,A:AL,37,FALSE)-50))</f>
        <v>858</v>
      </c>
      <c r="AM362" s="28" t="str">
        <f>VLOOKUP(A362,Classification!A:B,2,FALSE)</f>
        <v>C</v>
      </c>
      <c r="AN362" s="28" t="b">
        <f t="shared" si="235"/>
        <v>1</v>
      </c>
      <c r="AO362" s="3" t="str">
        <f>IF(ISERROR(MATCH(A362,'SegEnds_Xtal_Prot#'!B:B, 0)), "NoXtal", "Xtal")</f>
        <v>NoXtal</v>
      </c>
      <c r="AP362" s="3">
        <f t="shared" si="220"/>
        <v>3</v>
      </c>
      <c r="AQ362" s="3">
        <f t="shared" si="221"/>
        <v>1</v>
      </c>
      <c r="AR362" s="3" t="str">
        <f t="shared" si="222"/>
        <v>-</v>
      </c>
      <c r="AS362" s="3" t="str">
        <f t="shared" si="223"/>
        <v>-</v>
      </c>
      <c r="AT362" s="3" t="str">
        <f t="shared" si="224"/>
        <v>-</v>
      </c>
      <c r="AU362" s="3" t="str">
        <f t="shared" si="225"/>
        <v>-</v>
      </c>
      <c r="AV362" s="3">
        <f t="shared" si="226"/>
        <v>25</v>
      </c>
      <c r="AW362" s="3">
        <f t="shared" si="227"/>
        <v>1</v>
      </c>
      <c r="AX362" s="3">
        <f t="shared" si="228"/>
        <v>9</v>
      </c>
      <c r="AY362" s="3">
        <f t="shared" si="229"/>
        <v>10</v>
      </c>
      <c r="AZ362" s="3">
        <f t="shared" si="230"/>
        <v>1</v>
      </c>
      <c r="BA362" s="3">
        <f>IF(ISERROR(LEN(VLOOKUP(A362,Seqs!A:E,2,FALSE))-AL362),"-",LEN(VLOOKUP(A362,Seqs!A:E,2,FALSE))-AL362)</f>
        <v>19</v>
      </c>
      <c r="BB362" s="16">
        <f t="shared" si="231"/>
        <v>31</v>
      </c>
      <c r="BC362" s="9" t="str">
        <f t="shared" si="232"/>
        <v>-</v>
      </c>
      <c r="BD362" s="3">
        <f t="shared" si="233"/>
        <v>31</v>
      </c>
      <c r="BE362" s="3">
        <f t="shared" si="234"/>
        <v>37</v>
      </c>
      <c r="BF362" s="3">
        <f>AH362-AE362</f>
        <v>34</v>
      </c>
    </row>
    <row r="363" spans="1:58" s="3" customFormat="1" x14ac:dyDescent="0.2">
      <c r="A363" s="3" t="s">
        <v>119</v>
      </c>
      <c r="B363" s="3" t="str">
        <f>LOWER(VLOOKUP(A363,Xtal_Templ!A:B,2,FALSE))</f>
        <v>grm5_human</v>
      </c>
      <c r="C363" s="3">
        <f>VLOOKUP($A363,'SegEnds_NonXtal_BW#'!$A:$Z,3,FALSE)+D363-50</f>
        <v>589</v>
      </c>
      <c r="D363" s="3">
        <v>605</v>
      </c>
      <c r="E363" s="3">
        <f>IF(ISERROR(VLOOKUP($A363,'SegEnds_NonXtal_BW#'!$A:$Z,4,FALSE)+VLOOKUP($A363,A:AL,4,FALSE)-50),"-",(VLOOKUP($A363,'SegEnds_NonXtal_BW#'!$A:$Z,4,FALSE)+VLOOKUP($A363,A:AL,4,FALSE)-50))</f>
        <v>615</v>
      </c>
      <c r="F363" s="3">
        <f t="shared" si="237"/>
        <v>618</v>
      </c>
      <c r="G363" s="3">
        <v>621</v>
      </c>
      <c r="H363" s="3">
        <f t="shared" si="238"/>
        <v>624</v>
      </c>
      <c r="I363" s="3">
        <f t="shared" si="239"/>
        <v>625</v>
      </c>
      <c r="J363" s="3">
        <v>636</v>
      </c>
      <c r="K363" s="3">
        <f>VLOOKUP($A363,'SegEnds_NonXtal_BW#'!$A:$Z,8,FALSE)+VLOOKUP($A363,A:AL,10,FALSE)-50</f>
        <v>647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652</v>
      </c>
      <c r="P363" s="3">
        <v>680</v>
      </c>
      <c r="Q363" s="3">
        <f>VLOOKUP($A363,'SegEnds_NonXtal_BW#'!$A:$Z,12,FALSE)+VLOOKUP($A363,A:AL,16,FALSE)-50</f>
        <v>684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1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698</v>
      </c>
      <c r="V363" s="3">
        <v>710</v>
      </c>
      <c r="W363" s="3">
        <f>IF(ISERROR(VLOOKUP($A363,'SegEnds_NonXtal_BW#'!$A:$Z,16,FALSE)+VLOOKUP($A363,A:AL,22,FALSE)-50),"-",(VLOOKUP($A363,'SegEnds_NonXtal_BW#'!$A:$Z,16,FALSE)+VLOOKUP($A363,A:AL,22,FALSE)-50))</f>
        <v>724</v>
      </c>
      <c r="X363" s="3">
        <f>IF(ISERROR(VLOOKUP($A363,'SegEnds_NonXtal_BW#'!$A:$Z,17,FALSE)+VLOOKUP($A363,A:AL,25,FALSE)-50),"-",(VLOOKUP($A363,'SegEnds_NonXtal_BW#'!$A:$Z,17,FALSE)+VLOOKUP($A363,A:AL,25,FALSE)-50))</f>
        <v>749</v>
      </c>
      <c r="Y363" s="3">
        <v>749</v>
      </c>
      <c r="Z363" s="3">
        <f t="shared" si="240"/>
        <v>751</v>
      </c>
      <c r="AA363" s="3">
        <f>IF(ISERROR(VLOOKUP($A363,'SegEnds_NonXtal_BW#'!$A:$Z,19,FALSE)+VLOOKUP($A363,A:AL,28,FALSE)-50),"-",(VLOOKUP($A363,'SegEnds_NonXtal_BW#'!$A:$Z,19,FALSE)+VLOOKUP($A363,A:AL,28,FALSE)-50))</f>
        <v>752</v>
      </c>
      <c r="AB363" s="3">
        <v>766</v>
      </c>
      <c r="AC363" s="3">
        <f>IF(ISERROR((VLOOKUP($A363,'SegEnds_NonXtal_BW#'!$A:$Z,20,FALSE)+VLOOKUP($A363,A:AL,28,FALSE)-50)),"-",(VLOOKUP($A363,'SegEnds_NonXtal_BW#'!$A:$Z,20,FALSE)+VLOOKUP($A363,A:AL,28,FALSE)-50))</f>
        <v>777</v>
      </c>
      <c r="AD363" s="3">
        <f>IF(ISERROR(VLOOKUP($A363,'SegEnds_NonXtal_BW#'!$A:$Z,21,FALSE)+VLOOKUP($A363,A:AL,31,FALSE)-50),"-",(VLOOKUP($A363,'SegEnds_NonXtal_BW#'!$A:$Z,21,FALSE)+VLOOKUP($A363,A:AL,31,FALSE)-50))</f>
        <v>786</v>
      </c>
      <c r="AE363" s="3">
        <v>803</v>
      </c>
      <c r="AF363" s="3">
        <f>IF(ISERROR((VLOOKUP($A363,'SegEnds_NonXtal_BW#'!$A:$Z,22,FALSE)+VLOOKUP($A363,A:AL,31,FALSE)-50)),"-",(VLOOKUP($A363,'SegEnds_NonXtal_BW#'!$A:$Z,22,FALSE)+VLOOKUP($A363,A:AL,31,FALSE)-50))</f>
        <v>810</v>
      </c>
      <c r="AG363" s="3">
        <f>IF(ISERROR(VLOOKUP($A363,'SegEnds_NonXtal_BW#'!$A:$Z,23,FALSE)+VLOOKUP($A363,A:AL,34,FALSE)-50),"-",(VLOOKUP($A363,'SegEnds_NonXtal_BW#'!$A:$Z,23,FALSE)+VLOOKUP($A363,A:AL,34,FALSE)-50))</f>
        <v>820</v>
      </c>
      <c r="AH363" s="3">
        <v>837</v>
      </c>
      <c r="AI363" s="3">
        <f>IF(ISERROR((VLOOKUP($A363,'SegEnds_NonXtal_BW#'!$A:$Z,24,FALSE)+VLOOKUP($A363,A:AL,34,FALSE)-50)),"-",(VLOOKUP($A363,'SegEnds_NonXtal_BW#'!$A:$Z,24,FALSE)+VLOOKUP($A363,A:AL,34,FALSE)-50))</f>
        <v>851</v>
      </c>
      <c r="AJ363" s="3">
        <f>IF(ISERROR(VLOOKUP($A363,'SegEnds_NonXtal_BW#'!$A:$Z,25,FALSE)+VLOOKUP($A363,A:AL,37,FALSE)-50),"-",(VLOOKUP($A363,'SegEnds_NonXtal_BW#'!$A:$Z,25,FALSE)+VLOOKUP($A363,A:AL,37,FALSE)-50))</f>
        <v>852</v>
      </c>
      <c r="AK363" s="3">
        <v>856</v>
      </c>
      <c r="AL363" s="3">
        <f>IF(ISERROR((VLOOKUP($A363,'SegEnds_NonXtal_BW#'!$A:$Z,26,FALSE)+VLOOKUP($A363,A:AL,37,FALSE)-50)),"-",(VLOOKUP($A363,'SegEnds_NonXtal_BW#'!$A:$Z,26,FALSE)+VLOOKUP($A363,A:AL,37,FALSE)-50))</f>
        <v>863</v>
      </c>
      <c r="AM363" s="28" t="str">
        <f>VLOOKUP(A363,Classification!A:B,2,FALSE)</f>
        <v>C</v>
      </c>
      <c r="AN363" s="28" t="b">
        <f t="shared" si="235"/>
        <v>1</v>
      </c>
      <c r="AO363" s="3" t="str">
        <f>IF(ISERROR(MATCH(A363,'SegEnds_Xtal_Prot#'!B:B, 0)), "NoXtal", "Xtal")</f>
        <v>NoXtal</v>
      </c>
      <c r="AP363" s="3">
        <f t="shared" si="220"/>
        <v>3</v>
      </c>
      <c r="AQ363" s="3">
        <f t="shared" si="221"/>
        <v>1</v>
      </c>
      <c r="AR363" s="3" t="str">
        <f t="shared" si="222"/>
        <v>-</v>
      </c>
      <c r="AS363" s="3" t="str">
        <f t="shared" si="223"/>
        <v>-</v>
      </c>
      <c r="AT363" s="3" t="str">
        <f t="shared" si="224"/>
        <v>-</v>
      </c>
      <c r="AU363" s="3" t="str">
        <f t="shared" si="225"/>
        <v>-</v>
      </c>
      <c r="AV363" s="3">
        <f t="shared" si="226"/>
        <v>25</v>
      </c>
      <c r="AW363" s="3">
        <f t="shared" si="227"/>
        <v>1</v>
      </c>
      <c r="AX363" s="3">
        <f t="shared" si="228"/>
        <v>9</v>
      </c>
      <c r="AY363" s="3">
        <f t="shared" si="229"/>
        <v>10</v>
      </c>
      <c r="AZ363" s="3">
        <f t="shared" si="230"/>
        <v>1</v>
      </c>
      <c r="BA363" s="3">
        <f>IF(ISERROR(LEN(VLOOKUP(A363,Seqs!A:E,2,FALSE))-AL363),"-",LEN(VLOOKUP(A363,Seqs!A:E,2,FALSE))-AL363)</f>
        <v>52</v>
      </c>
      <c r="BB363" s="16">
        <f t="shared" si="231"/>
        <v>31</v>
      </c>
      <c r="BC363" s="9" t="str">
        <f t="shared" si="232"/>
        <v>-</v>
      </c>
      <c r="BD363" s="3">
        <f t="shared" si="233"/>
        <v>31</v>
      </c>
      <c r="BE363" s="3">
        <f t="shared" si="234"/>
        <v>37</v>
      </c>
    </row>
    <row r="364" spans="1:58" s="3" customFormat="1" x14ac:dyDescent="0.2">
      <c r="A364" s="3" t="s">
        <v>120</v>
      </c>
      <c r="B364" s="3" t="str">
        <f>LOWER(VLOOKUP(A364,Xtal_Templ!A:B,2,FALSE))</f>
        <v>grm5_human</v>
      </c>
      <c r="C364" s="3">
        <f>VLOOKUP($A364,'SegEnds_NonXtal_BW#'!$A:$Z,3,FALSE)+D364-50</f>
        <v>582</v>
      </c>
      <c r="D364" s="3">
        <v>598</v>
      </c>
      <c r="E364" s="3">
        <f>IF(ISERROR(VLOOKUP($A364,'SegEnds_NonXtal_BW#'!$A:$Z,4,FALSE)+VLOOKUP($A364,A:AL,4,FALSE)-50),"-",(VLOOKUP($A364,'SegEnds_NonXtal_BW#'!$A:$Z,4,FALSE)+VLOOKUP($A364,A:AL,4,FALSE)-50))</f>
        <v>608</v>
      </c>
      <c r="F364" s="3">
        <f t="shared" si="237"/>
        <v>611</v>
      </c>
      <c r="G364" s="3">
        <v>614</v>
      </c>
      <c r="H364" s="3">
        <f t="shared" si="238"/>
        <v>617</v>
      </c>
      <c r="I364" s="3">
        <f t="shared" si="239"/>
        <v>618</v>
      </c>
      <c r="J364" s="3">
        <v>629</v>
      </c>
      <c r="K364" s="3">
        <f>VLOOKUP($A364,'SegEnds_NonXtal_BW#'!$A:$Z,8,FALSE)+VLOOKUP($A364,A:AL,10,FALSE)-50</f>
        <v>640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645</v>
      </c>
      <c r="P364" s="3">
        <v>673</v>
      </c>
      <c r="Q364" s="3">
        <f>VLOOKUP($A364,'SegEnds_NonXtal_BW#'!$A:$Z,12,FALSE)+VLOOKUP($A364,A:AL,16,FALSE)-50</f>
        <v>677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1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691</v>
      </c>
      <c r="V364" s="3">
        <v>703</v>
      </c>
      <c r="W364" s="3">
        <f>IF(ISERROR(VLOOKUP($A364,'SegEnds_NonXtal_BW#'!$A:$Z,16,FALSE)+VLOOKUP($A364,A:AL,22,FALSE)-50),"-",(VLOOKUP($A364,'SegEnds_NonXtal_BW#'!$A:$Z,16,FALSE)+VLOOKUP($A364,A:AL,22,FALSE)-50))</f>
        <v>717</v>
      </c>
      <c r="X364" s="3">
        <f>IF(ISERROR(VLOOKUP($A364,'SegEnds_NonXtal_BW#'!$A:$Z,17,FALSE)+VLOOKUP($A364,A:AL,25,FALSE)-50),"-",(VLOOKUP($A364,'SegEnds_NonXtal_BW#'!$A:$Z,17,FALSE)+VLOOKUP($A364,A:AL,25,FALSE)-50))</f>
        <v>742</v>
      </c>
      <c r="Y364" s="3">
        <v>742</v>
      </c>
      <c r="Z364" s="3">
        <f t="shared" si="240"/>
        <v>744</v>
      </c>
      <c r="AA364" s="3">
        <f>IF(ISERROR(VLOOKUP($A364,'SegEnds_NonXtal_BW#'!$A:$Z,19,FALSE)+VLOOKUP($A364,A:AL,28,FALSE)-50),"-",(VLOOKUP($A364,'SegEnds_NonXtal_BW#'!$A:$Z,19,FALSE)+VLOOKUP($A364,A:AL,28,FALSE)-50))</f>
        <v>745</v>
      </c>
      <c r="AB364" s="3">
        <v>759</v>
      </c>
      <c r="AC364" s="3">
        <f>IF(ISERROR((VLOOKUP($A364,'SegEnds_NonXtal_BW#'!$A:$Z,20,FALSE)+VLOOKUP($A364,A:AL,28,FALSE)-50)),"-",(VLOOKUP($A364,'SegEnds_NonXtal_BW#'!$A:$Z,20,FALSE)+VLOOKUP($A364,A:AL,28,FALSE)-50))</f>
        <v>770</v>
      </c>
      <c r="AD364" s="3">
        <f>IF(ISERROR(VLOOKUP($A364,'SegEnds_NonXtal_BW#'!$A:$Z,21,FALSE)+VLOOKUP($A364,A:AL,31,FALSE)-50),"-",(VLOOKUP($A364,'SegEnds_NonXtal_BW#'!$A:$Z,21,FALSE)+VLOOKUP($A364,A:AL,31,FALSE)-50))</f>
        <v>779</v>
      </c>
      <c r="AE364" s="3">
        <v>796</v>
      </c>
      <c r="AF364" s="3">
        <f>IF(ISERROR((VLOOKUP($A364,'SegEnds_NonXtal_BW#'!$A:$Z,22,FALSE)+VLOOKUP($A364,A:AL,31,FALSE)-50)),"-",(VLOOKUP($A364,'SegEnds_NonXtal_BW#'!$A:$Z,22,FALSE)+VLOOKUP($A364,A:AL,31,FALSE)-50))</f>
        <v>803</v>
      </c>
      <c r="AG364" s="3">
        <f>IF(ISERROR(VLOOKUP($A364,'SegEnds_NonXtal_BW#'!$A:$Z,23,FALSE)+VLOOKUP($A364,A:AL,34,FALSE)-50),"-",(VLOOKUP($A364,'SegEnds_NonXtal_BW#'!$A:$Z,23,FALSE)+VLOOKUP($A364,A:AL,34,FALSE)-50))</f>
        <v>813</v>
      </c>
      <c r="AH364" s="3">
        <v>830</v>
      </c>
      <c r="AI364" s="3">
        <f>IF(ISERROR((VLOOKUP($A364,'SegEnds_NonXtal_BW#'!$A:$Z,24,FALSE)+VLOOKUP($A364,A:AL,34,FALSE)-50)),"-",(VLOOKUP($A364,'SegEnds_NonXtal_BW#'!$A:$Z,24,FALSE)+VLOOKUP($A364,A:AL,34,FALSE)-50))</f>
        <v>844</v>
      </c>
      <c r="AJ364" s="3">
        <f>IF(ISERROR(VLOOKUP($A364,'SegEnds_NonXtal_BW#'!$A:$Z,25,FALSE)+VLOOKUP($A364,A:AL,37,FALSE)-50),"-",(VLOOKUP($A364,'SegEnds_NonXtal_BW#'!$A:$Z,25,FALSE)+VLOOKUP($A364,A:AL,37,FALSE)-50))</f>
        <v>845</v>
      </c>
      <c r="AK364" s="3">
        <v>849</v>
      </c>
      <c r="AL364" s="3">
        <f>IF(ISERROR((VLOOKUP($A364,'SegEnds_NonXtal_BW#'!$A:$Z,26,FALSE)+VLOOKUP($A364,A:AL,37,FALSE)-50)),"-",(VLOOKUP($A364,'SegEnds_NonXtal_BW#'!$A:$Z,26,FALSE)+VLOOKUP($A364,A:AL,37,FALSE)-50))</f>
        <v>856</v>
      </c>
      <c r="AM364" s="28" t="str">
        <f>VLOOKUP(A364,Classification!A:B,2,FALSE)</f>
        <v>C</v>
      </c>
      <c r="AN364" s="28" t="b">
        <f t="shared" si="235"/>
        <v>1</v>
      </c>
      <c r="AO364" s="3" t="str">
        <f>IF(ISERROR(MATCH(A364,'SegEnds_Xtal_Prot#'!B:B, 0)), "NoXtal", "Xtal")</f>
        <v>NoXtal</v>
      </c>
      <c r="AP364" s="3">
        <f t="shared" si="220"/>
        <v>3</v>
      </c>
      <c r="AQ364" s="3">
        <f t="shared" si="221"/>
        <v>1</v>
      </c>
      <c r="AR364" s="3" t="str">
        <f t="shared" si="222"/>
        <v>-</v>
      </c>
      <c r="AS364" s="3" t="str">
        <f t="shared" si="223"/>
        <v>-</v>
      </c>
      <c r="AT364" s="3" t="str">
        <f t="shared" si="224"/>
        <v>-</v>
      </c>
      <c r="AU364" s="3" t="str">
        <f t="shared" si="225"/>
        <v>-</v>
      </c>
      <c r="AV364" s="3">
        <f t="shared" si="226"/>
        <v>25</v>
      </c>
      <c r="AW364" s="3">
        <f t="shared" si="227"/>
        <v>1</v>
      </c>
      <c r="AX364" s="3">
        <f t="shared" si="228"/>
        <v>9</v>
      </c>
      <c r="AY364" s="3">
        <f t="shared" si="229"/>
        <v>10</v>
      </c>
      <c r="AZ364" s="3">
        <f t="shared" si="230"/>
        <v>1</v>
      </c>
      <c r="BA364" s="3">
        <f>IF(ISERROR(LEN(VLOOKUP(A364,Seqs!A:E,2,FALSE))-AL364),"-",LEN(VLOOKUP(A364,Seqs!A:E,2,FALSE))-AL364)</f>
        <v>52</v>
      </c>
      <c r="BB364" s="16">
        <f t="shared" si="231"/>
        <v>31</v>
      </c>
      <c r="BC364" s="9" t="str">
        <f t="shared" si="232"/>
        <v>-</v>
      </c>
      <c r="BD364" s="3">
        <f t="shared" si="233"/>
        <v>31</v>
      </c>
      <c r="BE364" s="3">
        <f t="shared" si="234"/>
        <v>37</v>
      </c>
    </row>
    <row r="365" spans="1:58" s="3" customFormat="1" x14ac:dyDescent="0.2">
      <c r="A365" s="3" t="s">
        <v>121</v>
      </c>
      <c r="B365" s="3" t="str">
        <f>LOWER(VLOOKUP(A365,Xtal_Templ!A:B,2,FALSE))</f>
        <v>grm1_human</v>
      </c>
      <c r="C365" s="3">
        <f>VLOOKUP($A365,'SegEnds_NonXtal_BW#'!$A:$Z,3,FALSE)+D365-50</f>
        <v>26</v>
      </c>
      <c r="D365" s="3">
        <v>42</v>
      </c>
      <c r="E365" s="3">
        <f>IF(ISERROR(VLOOKUP($A365,'SegEnds_NonXtal_BW#'!$A:$Z,4,FALSE)+VLOOKUP($A365,A:AL,4,FALSE)-50),"-",(VLOOKUP($A365,'SegEnds_NonXtal_BW#'!$A:$Z,4,FALSE)+VLOOKUP($A365,A:AL,4,FALSE)-50))</f>
        <v>52</v>
      </c>
      <c r="F365" s="3">
        <f t="shared" si="237"/>
        <v>53</v>
      </c>
      <c r="G365" s="3">
        <v>56</v>
      </c>
      <c r="H365" s="3">
        <f t="shared" si="238"/>
        <v>59</v>
      </c>
      <c r="I365" s="3">
        <f t="shared" si="239"/>
        <v>60</v>
      </c>
      <c r="J365" s="3">
        <v>75</v>
      </c>
      <c r="K365" s="3">
        <f>VLOOKUP($A365,'SegEnds_NonXtal_BW#'!$A:$Z,8,FALSE)+VLOOKUP($A365,A:AL,10,FALSE)-50</f>
        <v>86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91</v>
      </c>
      <c r="P365" s="3">
        <v>119</v>
      </c>
      <c r="Q365" s="3">
        <f>VLOOKUP($A365,'SegEnds_NonXtal_BW#'!$A:$Z,12,FALSE)+VLOOKUP($A365,A:AL,16,FALSE)-50</f>
        <v>123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1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130</v>
      </c>
      <c r="V365" s="3">
        <v>142</v>
      </c>
      <c r="W365" s="3">
        <f>IF(ISERROR(VLOOKUP($A365,'SegEnds_NonXtal_BW#'!$A:$Z,16,FALSE)+VLOOKUP($A365,A:AL,22,FALSE)-50),"-",(VLOOKUP($A365,'SegEnds_NonXtal_BW#'!$A:$Z,16,FALSE)+VLOOKUP($A365,A:AL,22,FALSE)-50))</f>
        <v>156</v>
      </c>
      <c r="X365" s="3" t="str">
        <f>IF(ISERROR(VLOOKUP($A365,'SegEnds_NonXtal_BW#'!$A:$Z,17,FALSE)+VLOOKUP($A365,A:AL,25,FALSE)-50),"-",(VLOOKUP($A365,'SegEnds_NonXtal_BW#'!$A:$Z,17,FALSE)+VLOOKUP($A365,A:AL,25,FALSE)-50))</f>
        <v>-</v>
      </c>
      <c r="Y365" s="3" t="s">
        <v>23</v>
      </c>
      <c r="Z365" s="3" t="str">
        <f>IF(ISERROR(VLOOKUP($A365,'SegEnds_NonXtal_BW#'!$A:$Z,18,FALSE)+VLOOKUP($A365,A:AL,25,FALSE)-50),"-",(VLOOKUP($A365,'SegEnds_NonXtal_BW#'!$A:$Z,18,FALSE)+VLOOKUP($A365,A:AL,25,FALSE)-50))</f>
        <v>-</v>
      </c>
      <c r="AA365" s="3">
        <f>IF(ISERROR(VLOOKUP($A365,'SegEnds_NonXtal_BW#'!$A:$Z,19,FALSE)+VLOOKUP($A365,A:AL,28,FALSE)-50),"-",(VLOOKUP($A365,'SegEnds_NonXtal_BW#'!$A:$Z,19,FALSE)+VLOOKUP($A365,A:AL,28,FALSE)-50))</f>
        <v>173</v>
      </c>
      <c r="AB365" s="3">
        <v>187</v>
      </c>
      <c r="AC365" s="3">
        <f>IF(ISERROR((VLOOKUP($A365,'SegEnds_NonXtal_BW#'!$A:$Z,20,FALSE)+VLOOKUP($A365,A:AL,28,FALSE)-50)),"-",(VLOOKUP($A365,'SegEnds_NonXtal_BW#'!$A:$Z,20,FALSE)+VLOOKUP($A365,A:AL,28,FALSE)-50))</f>
        <v>198</v>
      </c>
      <c r="AD365" s="3">
        <f>IF(ISERROR(VLOOKUP($A365,'SegEnds_NonXtal_BW#'!$A:$Z,21,FALSE)+VLOOKUP($A365,A:AL,31,FALSE)-50),"-",(VLOOKUP($A365,'SegEnds_NonXtal_BW#'!$A:$Z,21,FALSE)+VLOOKUP($A365,A:AL,31,FALSE)-50))</f>
        <v>209</v>
      </c>
      <c r="AE365" s="3">
        <v>226</v>
      </c>
      <c r="AF365" s="3">
        <f>IF(ISERROR((VLOOKUP($A365,'SegEnds_NonXtal_BW#'!$A:$Z,22,FALSE)+VLOOKUP($A365,A:AL,31,FALSE)-50)),"-",(VLOOKUP($A365,'SegEnds_NonXtal_BW#'!$A:$Z,22,FALSE)+VLOOKUP($A365,A:AL,31,FALSE)-50))</f>
        <v>233</v>
      </c>
      <c r="AG365" s="3">
        <f>IF(ISERROR(VLOOKUP($A365,'SegEnds_NonXtal_BW#'!$A:$Z,23,FALSE)+VLOOKUP($A365,A:AL,34,FALSE)-50),"-",(VLOOKUP($A365,'SegEnds_NonXtal_BW#'!$A:$Z,23,FALSE)+VLOOKUP($A365,A:AL,34,FALSE)-50))</f>
        <v>240</v>
      </c>
      <c r="AH365" s="3">
        <v>257</v>
      </c>
      <c r="AI365" s="3">
        <f>IF(ISERROR((VLOOKUP($A365,'SegEnds_NonXtal_BW#'!$A:$Z,24,FALSE)+VLOOKUP($A365,A:AL,34,FALSE)-50)),"-",(VLOOKUP($A365,'SegEnds_NonXtal_BW#'!$A:$Z,24,FALSE)+VLOOKUP($A365,A:AL,34,FALSE)-50))</f>
        <v>271</v>
      </c>
      <c r="AJ365" s="3">
        <v>273</v>
      </c>
      <c r="AK365" s="3">
        <v>278</v>
      </c>
      <c r="AL365" s="3">
        <v>285</v>
      </c>
      <c r="AM365" s="28" t="str">
        <f>VLOOKUP(A365,Classification!A:B,2,FALSE)</f>
        <v>C</v>
      </c>
      <c r="AN365" s="28" t="b">
        <f t="shared" si="235"/>
        <v>1</v>
      </c>
      <c r="AO365" s="3" t="str">
        <f>IF(ISERROR(MATCH(A365,'SegEnds_Xtal_Prot#'!B:B, 0)), "NoXtal", "Xtal")</f>
        <v>NoXtal</v>
      </c>
      <c r="AP365" s="3">
        <f t="shared" si="220"/>
        <v>1</v>
      </c>
      <c r="AQ365" s="3">
        <f t="shared" si="221"/>
        <v>1</v>
      </c>
      <c r="AR365" s="3" t="str">
        <f t="shared" si="222"/>
        <v>-</v>
      </c>
      <c r="AS365" s="3" t="str">
        <f t="shared" si="223"/>
        <v>-</v>
      </c>
      <c r="AT365" s="3" t="str">
        <f t="shared" si="224"/>
        <v>-</v>
      </c>
      <c r="AU365" s="3" t="str">
        <f t="shared" si="225"/>
        <v>-</v>
      </c>
      <c r="AV365" s="3" t="str">
        <f t="shared" si="226"/>
        <v>-</v>
      </c>
      <c r="AW365" s="3" t="str">
        <f t="shared" si="227"/>
        <v>-</v>
      </c>
      <c r="AX365" s="3">
        <f t="shared" si="228"/>
        <v>11</v>
      </c>
      <c r="AY365" s="3">
        <f t="shared" si="229"/>
        <v>7</v>
      </c>
      <c r="AZ365" s="3">
        <f t="shared" si="230"/>
        <v>2</v>
      </c>
      <c r="BA365" s="3">
        <f>IF(ISERROR(LEN(VLOOKUP(A365,Seqs!A:E,2,FALSE))-AL365),"-",LEN(VLOOKUP(A365,Seqs!A:E,2,FALSE))-AL365)</f>
        <v>72</v>
      </c>
      <c r="BB365" s="16">
        <f t="shared" si="231"/>
        <v>33</v>
      </c>
      <c r="BC365" s="9" t="str">
        <f t="shared" si="232"/>
        <v>-</v>
      </c>
      <c r="BD365" s="3">
        <f t="shared" si="233"/>
        <v>33</v>
      </c>
      <c r="BE365" s="3">
        <f t="shared" si="234"/>
        <v>39</v>
      </c>
    </row>
    <row r="366" spans="1:58" s="3" customFormat="1" ht="17" customHeight="1" x14ac:dyDescent="0.2">
      <c r="A366" s="3" t="s">
        <v>122</v>
      </c>
      <c r="B366" s="3" t="str">
        <f>LOWER(VLOOKUP(A366,Xtal_Templ!A:B,2,FALSE))</f>
        <v>grm1_human</v>
      </c>
      <c r="C366" s="3">
        <f>VLOOKUP($A366,'SegEnds_NonXtal_BW#'!$A:$Z,3,FALSE)+D366-50</f>
        <v>565</v>
      </c>
      <c r="D366" s="3">
        <v>581</v>
      </c>
      <c r="E366" s="3">
        <f>IF(ISERROR(VLOOKUP($A366,'SegEnds_NonXtal_BW#'!$A:$Z,4,FALSE)+VLOOKUP($A366,A:AL,4,FALSE)-50),"-",(VLOOKUP($A366,'SegEnds_NonXtal_BW#'!$A:$Z,4,FALSE)+VLOOKUP($A366,A:AL,4,FALSE)-50))</f>
        <v>591</v>
      </c>
      <c r="F366" s="3">
        <f t="shared" si="237"/>
        <v>594</v>
      </c>
      <c r="G366" s="3">
        <v>597</v>
      </c>
      <c r="H366" s="3">
        <f t="shared" si="238"/>
        <v>600</v>
      </c>
      <c r="I366" s="3">
        <f t="shared" si="239"/>
        <v>601</v>
      </c>
      <c r="J366" s="3">
        <v>612</v>
      </c>
      <c r="K366" s="3">
        <f>VLOOKUP($A366,'SegEnds_NonXtal_BW#'!$A:$Z,8,FALSE)+VLOOKUP($A366,A:AL,10,FALSE)-50</f>
        <v>623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628</v>
      </c>
      <c r="P366" s="3">
        <v>656</v>
      </c>
      <c r="Q366" s="3">
        <f>VLOOKUP($A366,'SegEnds_NonXtal_BW#'!$A:$Z,12,FALSE)+VLOOKUP($A366,A:AL,16,FALSE)-50</f>
        <v>660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1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675</v>
      </c>
      <c r="V366" s="3">
        <v>687</v>
      </c>
      <c r="W366" s="3">
        <f>IF(ISERROR(VLOOKUP($A366,'SegEnds_NonXtal_BW#'!$A:$Z,16,FALSE)+VLOOKUP($A366,A:AL,22,FALSE)-50),"-",(VLOOKUP($A366,'SegEnds_NonXtal_BW#'!$A:$Z,16,FALSE)+VLOOKUP($A366,A:AL,22,FALSE)-50))</f>
        <v>701</v>
      </c>
      <c r="X366" s="3">
        <f>IF(ISERROR(VLOOKUP($A366,'SegEnds_NonXtal_BW#'!$A:$Z,17,FALSE)+VLOOKUP($A366,A:AL,25,FALSE)-50),"-",(VLOOKUP($A366,'SegEnds_NonXtal_BW#'!$A:$Z,17,FALSE)+VLOOKUP($A366,A:AL,25,FALSE)-50))</f>
        <v>720</v>
      </c>
      <c r="Y366" s="3">
        <v>720</v>
      </c>
      <c r="Z366" s="3">
        <f t="shared" ref="Z366:Z379" si="241">Y366+2</f>
        <v>722</v>
      </c>
      <c r="AA366" s="3">
        <f>IF(ISERROR(VLOOKUP($A366,'SegEnds_NonXtal_BW#'!$A:$Z,19,FALSE)+VLOOKUP($A366,A:AL,28,FALSE)-50),"-",(VLOOKUP($A366,'SegEnds_NonXtal_BW#'!$A:$Z,19,FALSE)+VLOOKUP($A366,A:AL,28,FALSE)-50))</f>
        <v>724</v>
      </c>
      <c r="AB366" s="3">
        <v>738</v>
      </c>
      <c r="AC366" s="3">
        <f>IF(ISERROR((VLOOKUP($A366,'SegEnds_NonXtal_BW#'!$A:$Z,20,FALSE)+VLOOKUP($A366,A:AL,28,FALSE)-50)),"-",(VLOOKUP($A366,'SegEnds_NonXtal_BW#'!$A:$Z,20,FALSE)+VLOOKUP($A366,A:AL,28,FALSE)-50))</f>
        <v>749</v>
      </c>
      <c r="AD366" s="3">
        <f>IF(ISERROR(VLOOKUP($A366,'SegEnds_NonXtal_BW#'!$A:$Z,21,FALSE)+VLOOKUP($A366,A:AL,31,FALSE)-50),"-",(VLOOKUP($A366,'SegEnds_NonXtal_BW#'!$A:$Z,21,FALSE)+VLOOKUP($A366,A:AL,31,FALSE)-50))</f>
        <v>758</v>
      </c>
      <c r="AE366" s="3">
        <v>775</v>
      </c>
      <c r="AF366" s="3">
        <f>IF(ISERROR((VLOOKUP($A366,'SegEnds_NonXtal_BW#'!$A:$Z,22,FALSE)+VLOOKUP($A366,A:AL,31,FALSE)-50)),"-",(VLOOKUP($A366,'SegEnds_NonXtal_BW#'!$A:$Z,22,FALSE)+VLOOKUP($A366,A:AL,31,FALSE)-50))</f>
        <v>782</v>
      </c>
      <c r="AG366" s="3">
        <f>IF(ISERROR(VLOOKUP($A366,'SegEnds_NonXtal_BW#'!$A:$Z,23,FALSE)+VLOOKUP($A366,A:AL,34,FALSE)-50),"-",(VLOOKUP($A366,'SegEnds_NonXtal_BW#'!$A:$Z,23,FALSE)+VLOOKUP($A366,A:AL,34,FALSE)-50))</f>
        <v>787</v>
      </c>
      <c r="AH366" s="3">
        <v>804</v>
      </c>
      <c r="AI366" s="3">
        <f>IF(ISERROR((VLOOKUP($A366,'SegEnds_NonXtal_BW#'!$A:$Z,24,FALSE)+VLOOKUP($A366,A:AL,34,FALSE)-50)),"-",(VLOOKUP($A366,'SegEnds_NonXtal_BW#'!$A:$Z,24,FALSE)+VLOOKUP($A366,A:AL,34,FALSE)-50))</f>
        <v>818</v>
      </c>
      <c r="AJ366" s="3">
        <f>IF(ISERROR(VLOOKUP($A366,'SegEnds_NonXtal_BW#'!$A:$Z,25,FALSE)+VLOOKUP($A366,A:AL,37,FALSE)-50),"-",(VLOOKUP($A366,'SegEnds_NonXtal_BW#'!$A:$Z,25,FALSE)+VLOOKUP($A366,A:AL,37,FALSE)-50))</f>
        <v>819</v>
      </c>
      <c r="AK366" s="3">
        <v>823</v>
      </c>
      <c r="AL366" s="3">
        <f>IF(ISERROR((VLOOKUP($A366,'SegEnds_NonXtal_BW#'!$A:$Z,26,FALSE)+VLOOKUP($A366,A:AL,37,FALSE)-50)),"-",(VLOOKUP($A366,'SegEnds_NonXtal_BW#'!$A:$Z,26,FALSE)+VLOOKUP($A366,A:AL,37,FALSE)-50))</f>
        <v>830</v>
      </c>
      <c r="AM366" s="28" t="str">
        <f>VLOOKUP(A366,Classification!A:B,2,FALSE)</f>
        <v>C</v>
      </c>
      <c r="AN366" s="28" t="b">
        <f t="shared" si="235"/>
        <v>1</v>
      </c>
      <c r="AO366" s="3" t="str">
        <f>IF(ISERROR(MATCH(A366,'SegEnds_Xtal_Prot#'!B:B, 0)), "NoXtal", "Xtal")</f>
        <v>NoXtal</v>
      </c>
      <c r="AP366" s="3">
        <f t="shared" si="220"/>
        <v>3</v>
      </c>
      <c r="AQ366" s="3">
        <f t="shared" si="221"/>
        <v>1</v>
      </c>
      <c r="AR366" s="3" t="str">
        <f t="shared" si="222"/>
        <v>-</v>
      </c>
      <c r="AS366" s="3" t="str">
        <f t="shared" si="223"/>
        <v>-</v>
      </c>
      <c r="AT366" s="3" t="str">
        <f t="shared" si="224"/>
        <v>-</v>
      </c>
      <c r="AU366" s="3" t="str">
        <f t="shared" si="225"/>
        <v>-</v>
      </c>
      <c r="AV366" s="3">
        <f t="shared" si="226"/>
        <v>19</v>
      </c>
      <c r="AW366" s="3">
        <f t="shared" si="227"/>
        <v>2</v>
      </c>
      <c r="AX366" s="3">
        <f t="shared" si="228"/>
        <v>9</v>
      </c>
      <c r="AY366" s="3">
        <f t="shared" si="229"/>
        <v>5</v>
      </c>
      <c r="AZ366" s="3">
        <f t="shared" si="230"/>
        <v>1</v>
      </c>
      <c r="BA366" s="3">
        <f>IF(ISERROR(LEN(VLOOKUP(A366,Seqs!A:E,2,FALSE))-AL366),"-",LEN(VLOOKUP(A366,Seqs!A:E,2,FALSE))-AL366)</f>
        <v>11</v>
      </c>
      <c r="BB366" s="16">
        <f t="shared" si="231"/>
        <v>31</v>
      </c>
      <c r="BC366" s="9" t="str">
        <f t="shared" si="232"/>
        <v>-</v>
      </c>
      <c r="BD366" s="3">
        <f t="shared" si="233"/>
        <v>31</v>
      </c>
      <c r="BE366" s="3">
        <f t="shared" si="234"/>
        <v>37</v>
      </c>
      <c r="BF366" s="3">
        <f>AH366-AE366</f>
        <v>29</v>
      </c>
    </row>
    <row r="367" spans="1:58" s="3" customFormat="1" x14ac:dyDescent="0.2">
      <c r="A367" s="3" t="s">
        <v>123</v>
      </c>
      <c r="B367" s="3" t="str">
        <f>LOWER(VLOOKUP(A367,Xtal_Templ!A:B,2,FALSE))</f>
        <v>grm1_human</v>
      </c>
      <c r="C367" s="3">
        <f>VLOOKUP($A367,'SegEnds_NonXtal_BW#'!$A:$Z,3,FALSE)+D367-50</f>
        <v>564</v>
      </c>
      <c r="D367" s="3">
        <v>580</v>
      </c>
      <c r="E367" s="3">
        <f>IF(ISERROR(VLOOKUP($A367,'SegEnds_NonXtal_BW#'!$A:$Z,4,FALSE)+VLOOKUP($A367,A:AL,4,FALSE)-50),"-",(VLOOKUP($A367,'SegEnds_NonXtal_BW#'!$A:$Z,4,FALSE)+VLOOKUP($A367,A:AL,4,FALSE)-50))</f>
        <v>590</v>
      </c>
      <c r="F367" s="3">
        <f t="shared" si="237"/>
        <v>593</v>
      </c>
      <c r="G367" s="3">
        <v>596</v>
      </c>
      <c r="H367" s="3">
        <f t="shared" si="238"/>
        <v>599</v>
      </c>
      <c r="I367" s="3">
        <f t="shared" si="239"/>
        <v>600</v>
      </c>
      <c r="J367" s="3">
        <v>611</v>
      </c>
      <c r="K367" s="3">
        <f>VLOOKUP($A367,'SegEnds_NonXtal_BW#'!$A:$Z,8,FALSE)+VLOOKUP($A367,A:AL,10,FALSE)-50</f>
        <v>622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627</v>
      </c>
      <c r="P367" s="3">
        <v>655</v>
      </c>
      <c r="Q367" s="3">
        <f>VLOOKUP($A367,'SegEnds_NonXtal_BW#'!$A:$Z,12,FALSE)+VLOOKUP($A367,A:AL,16,FALSE)-50</f>
        <v>659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1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674</v>
      </c>
      <c r="V367" s="3">
        <v>686</v>
      </c>
      <c r="W367" s="3">
        <f>IF(ISERROR(VLOOKUP($A367,'SegEnds_NonXtal_BW#'!$A:$Z,16,FALSE)+VLOOKUP($A367,A:AL,22,FALSE)-50),"-",(VLOOKUP($A367,'SegEnds_NonXtal_BW#'!$A:$Z,16,FALSE)+VLOOKUP($A367,A:AL,22,FALSE)-50))</f>
        <v>700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si="241"/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35"/>
        <v>1</v>
      </c>
      <c r="AO367" s="3" t="str">
        <f>IF(ISERROR(MATCH(A367,'SegEnds_Xtal_Prot#'!B:B, 0)), "NoXtal", "Xtal")</f>
        <v>NoXtal</v>
      </c>
      <c r="AP367" s="3">
        <f t="shared" si="220"/>
        <v>3</v>
      </c>
      <c r="AQ367" s="3">
        <f t="shared" si="221"/>
        <v>1</v>
      </c>
      <c r="AR367" s="3" t="str">
        <f t="shared" si="222"/>
        <v>-</v>
      </c>
      <c r="AS367" s="3" t="str">
        <f t="shared" si="223"/>
        <v>-</v>
      </c>
      <c r="AT367" s="3" t="str">
        <f t="shared" si="224"/>
        <v>-</v>
      </c>
      <c r="AU367" s="3" t="str">
        <f t="shared" si="225"/>
        <v>-</v>
      </c>
      <c r="AV367" s="3">
        <f t="shared" si="226"/>
        <v>20</v>
      </c>
      <c r="AW367" s="3">
        <f t="shared" si="227"/>
        <v>2</v>
      </c>
      <c r="AX367" s="3">
        <f t="shared" si="228"/>
        <v>9</v>
      </c>
      <c r="AY367" s="3">
        <f t="shared" si="229"/>
        <v>5</v>
      </c>
      <c r="AZ367" s="3">
        <f t="shared" si="230"/>
        <v>1</v>
      </c>
      <c r="BA367" s="3">
        <f>IF(ISERROR(LEN(VLOOKUP(A367,Seqs!A:E,2,FALSE))-AL367),"-",LEN(VLOOKUP(A367,Seqs!A:E,2,FALSE))-AL367)</f>
        <v>9</v>
      </c>
      <c r="BB367" s="16">
        <f t="shared" si="231"/>
        <v>31</v>
      </c>
      <c r="BC367" s="9" t="str">
        <f t="shared" si="232"/>
        <v>-</v>
      </c>
      <c r="BD367" s="3">
        <f t="shared" si="233"/>
        <v>31</v>
      </c>
      <c r="BE367" s="3">
        <f t="shared" si="234"/>
        <v>37</v>
      </c>
      <c r="BF367" s="3">
        <f>AH367-AE367</f>
        <v>29</v>
      </c>
    </row>
    <row r="368" spans="1:58" s="3" customFormat="1" x14ac:dyDescent="0.2">
      <c r="A368" s="3" t="s">
        <v>124</v>
      </c>
      <c r="B368" s="3" t="str">
        <f>LOWER(VLOOKUP(A368,Xtal_Templ!A:B,2,FALSE))</f>
        <v>grm1_human</v>
      </c>
      <c r="C368" s="3">
        <f>VLOOKUP($A368,'SegEnds_NonXtal_BW#'!$A:$Z,3,FALSE)+D368-50</f>
        <v>567</v>
      </c>
      <c r="D368" s="3">
        <v>583</v>
      </c>
      <c r="E368" s="3">
        <f>IF(ISERROR(VLOOKUP($A368,'SegEnds_NonXtal_BW#'!$A:$Z,4,FALSE)+VLOOKUP($A368,A:AL,4,FALSE)-50),"-",(VLOOKUP($A368,'SegEnds_NonXtal_BW#'!$A:$Z,4,FALSE)+VLOOKUP($A368,A:AL,4,FALSE)-50))</f>
        <v>593</v>
      </c>
      <c r="F368" s="3">
        <f t="shared" si="237"/>
        <v>596</v>
      </c>
      <c r="G368" s="3">
        <v>599</v>
      </c>
      <c r="H368" s="3">
        <f t="shared" si="238"/>
        <v>602</v>
      </c>
      <c r="I368" s="3">
        <f t="shared" si="239"/>
        <v>603</v>
      </c>
      <c r="J368" s="3">
        <v>614</v>
      </c>
      <c r="K368" s="3">
        <f>VLOOKUP($A368,'SegEnds_NonXtal_BW#'!$A:$Z,8,FALSE)+VLOOKUP($A368,A:AL,10,FALSE)-50</f>
        <v>625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630</v>
      </c>
      <c r="P368" s="3">
        <v>658</v>
      </c>
      <c r="Q368" s="3">
        <f>VLOOKUP($A368,'SegEnds_NonXtal_BW#'!$A:$Z,12,FALSE)+VLOOKUP($A368,A:AL,16,FALSE)-50</f>
        <v>662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1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677</v>
      </c>
      <c r="V368" s="3">
        <v>689</v>
      </c>
      <c r="W368" s="3">
        <f>IF(ISERROR(VLOOKUP($A368,'SegEnds_NonXtal_BW#'!$A:$Z,16,FALSE)+VLOOKUP($A368,A:AL,22,FALSE)-50),"-",(VLOOKUP($A368,'SegEnds_NonXtal_BW#'!$A:$Z,16,FALSE)+VLOOKUP($A368,A:AL,22,FALSE)-50))</f>
        <v>703</v>
      </c>
      <c r="X368" s="3">
        <f>IF(ISERROR(VLOOKUP($A368,'SegEnds_NonXtal_BW#'!$A:$Z,17,FALSE)+VLOOKUP($A368,A:AL,25,FALSE)-50),"-",(VLOOKUP($A368,'SegEnds_NonXtal_BW#'!$A:$Z,17,FALSE)+VLOOKUP($A368,A:AL,25,FALSE)-50))</f>
        <v>722</v>
      </c>
      <c r="Y368" s="3">
        <v>722</v>
      </c>
      <c r="Z368" s="3">
        <f t="shared" si="241"/>
        <v>724</v>
      </c>
      <c r="AA368" s="3">
        <f>IF(ISERROR(VLOOKUP($A368,'SegEnds_NonXtal_BW#'!$A:$Z,19,FALSE)+VLOOKUP($A368,A:AL,28,FALSE)-50),"-",(VLOOKUP($A368,'SegEnds_NonXtal_BW#'!$A:$Z,19,FALSE)+VLOOKUP($A368,A:AL,28,FALSE)-50))</f>
        <v>726</v>
      </c>
      <c r="AB368" s="3">
        <v>740</v>
      </c>
      <c r="AC368" s="3">
        <f>IF(ISERROR((VLOOKUP($A368,'SegEnds_NonXtal_BW#'!$A:$Z,20,FALSE)+VLOOKUP($A368,A:AL,28,FALSE)-50)),"-",(VLOOKUP($A368,'SegEnds_NonXtal_BW#'!$A:$Z,20,FALSE)+VLOOKUP($A368,A:AL,28,FALSE)-50))</f>
        <v>751</v>
      </c>
      <c r="AD368" s="3">
        <f>IF(ISERROR(VLOOKUP($A368,'SegEnds_NonXtal_BW#'!$A:$Z,21,FALSE)+VLOOKUP($A368,A:AL,31,FALSE)-50),"-",(VLOOKUP($A368,'SegEnds_NonXtal_BW#'!$A:$Z,21,FALSE)+VLOOKUP($A368,A:AL,31,FALSE)-50))</f>
        <v>760</v>
      </c>
      <c r="AE368" s="3">
        <v>777</v>
      </c>
      <c r="AF368" s="3">
        <f>IF(ISERROR((VLOOKUP($A368,'SegEnds_NonXtal_BW#'!$A:$Z,22,FALSE)+VLOOKUP($A368,A:AL,31,FALSE)-50)),"-",(VLOOKUP($A368,'SegEnds_NonXtal_BW#'!$A:$Z,22,FALSE)+VLOOKUP($A368,A:AL,31,FALSE)-50))</f>
        <v>784</v>
      </c>
      <c r="AG368" s="3">
        <f>IF(ISERROR(VLOOKUP($A368,'SegEnds_NonXtal_BW#'!$A:$Z,23,FALSE)+VLOOKUP($A368,A:AL,34,FALSE)-50),"-",(VLOOKUP($A368,'SegEnds_NonXtal_BW#'!$A:$Z,23,FALSE)+VLOOKUP($A368,A:AL,34,FALSE)-50))</f>
        <v>789</v>
      </c>
      <c r="AH368" s="3">
        <v>806</v>
      </c>
      <c r="AI368" s="3">
        <f>IF(ISERROR((VLOOKUP($A368,'SegEnds_NonXtal_BW#'!$A:$Z,24,FALSE)+VLOOKUP($A368,A:AL,34,FALSE)-50)),"-",(VLOOKUP($A368,'SegEnds_NonXtal_BW#'!$A:$Z,24,FALSE)+VLOOKUP($A368,A:AL,34,FALSE)-50))</f>
        <v>820</v>
      </c>
      <c r="AJ368" s="3">
        <f>IF(ISERROR(VLOOKUP($A368,'SegEnds_NonXtal_BW#'!$A:$Z,25,FALSE)+VLOOKUP($A368,A:AL,37,FALSE)-50),"-",(VLOOKUP($A368,'SegEnds_NonXtal_BW#'!$A:$Z,25,FALSE)+VLOOKUP($A368,A:AL,37,FALSE)-50))</f>
        <v>821</v>
      </c>
      <c r="AK368" s="3">
        <v>825</v>
      </c>
      <c r="AL368" s="3">
        <f>IF(ISERROR((VLOOKUP($A368,'SegEnds_NonXtal_BW#'!$A:$Z,26,FALSE)+VLOOKUP($A368,A:AL,37,FALSE)-50)),"-",(VLOOKUP($A368,'SegEnds_NonXtal_BW#'!$A:$Z,26,FALSE)+VLOOKUP($A368,A:AL,37,FALSE)-50))</f>
        <v>832</v>
      </c>
      <c r="AM368" s="28" t="str">
        <f>VLOOKUP(A368,Classification!A:B,2,FALSE)</f>
        <v>C</v>
      </c>
      <c r="AN368" s="28" t="b">
        <f t="shared" si="235"/>
        <v>1</v>
      </c>
      <c r="AO368" s="3" t="str">
        <f>IF(ISERROR(MATCH(A368,'SegEnds_Xtal_Prot#'!B:B, 0)), "NoXtal", "Xtal")</f>
        <v>NoXtal</v>
      </c>
      <c r="AP368" s="3">
        <f t="shared" si="220"/>
        <v>3</v>
      </c>
      <c r="AQ368" s="3">
        <f t="shared" si="221"/>
        <v>1</v>
      </c>
      <c r="AR368" s="3" t="str">
        <f t="shared" si="222"/>
        <v>-</v>
      </c>
      <c r="AS368" s="3" t="str">
        <f t="shared" si="223"/>
        <v>-</v>
      </c>
      <c r="AT368" s="3" t="str">
        <f t="shared" si="224"/>
        <v>-</v>
      </c>
      <c r="AU368" s="3" t="str">
        <f t="shared" si="225"/>
        <v>-</v>
      </c>
      <c r="AV368" s="3">
        <f t="shared" si="226"/>
        <v>19</v>
      </c>
      <c r="AW368" s="3">
        <f t="shared" si="227"/>
        <v>2</v>
      </c>
      <c r="AX368" s="3">
        <f t="shared" si="228"/>
        <v>9</v>
      </c>
      <c r="AY368" s="3">
        <f t="shared" si="229"/>
        <v>5</v>
      </c>
      <c r="AZ368" s="3">
        <f t="shared" si="230"/>
        <v>1</v>
      </c>
      <c r="BA368" s="3">
        <f>IF(ISERROR(LEN(VLOOKUP(A368,Seqs!A:E,2,FALSE))-AL368),"-",LEN(VLOOKUP(A368,Seqs!A:E,2,FALSE))-AL368)</f>
        <v>20</v>
      </c>
      <c r="BB368" s="16">
        <f t="shared" si="231"/>
        <v>31</v>
      </c>
      <c r="BC368" s="9" t="str">
        <f t="shared" si="232"/>
        <v>-</v>
      </c>
      <c r="BD368" s="3">
        <f t="shared" si="233"/>
        <v>31</v>
      </c>
      <c r="BE368" s="3">
        <f t="shared" si="234"/>
        <v>37</v>
      </c>
      <c r="BF368" s="3">
        <f>AH368-AE368</f>
        <v>29</v>
      </c>
    </row>
    <row r="369" spans="1:58" s="3" customFormat="1" x14ac:dyDescent="0.2">
      <c r="A369" s="3" t="s">
        <v>446</v>
      </c>
      <c r="B369" s="3" t="str">
        <f>LOWER(VLOOKUP(A369,Xtal_Templ!A:B,2,FALSE))</f>
        <v>smo_human</v>
      </c>
      <c r="C369" s="3">
        <f>VLOOKUP($A369,'SegEnds_NonXtal_BW#'!$A:$Z,3,FALSE)+D369-50</f>
        <v>312</v>
      </c>
      <c r="D369" s="3">
        <v>334</v>
      </c>
      <c r="E369" s="3">
        <f>IF(ISERROR(VLOOKUP($A369,'SegEnds_NonXtal_BW#'!$A:$Z,4,FALSE)+VLOOKUP($A369,A:AL,4,FALSE)-50),"-",(VLOOKUP($A369,'SegEnds_NonXtal_BW#'!$A:$Z,4,FALSE)+VLOOKUP($A369,A:AL,4,FALSE)-50))</f>
        <v>344</v>
      </c>
      <c r="F369" s="3">
        <f t="shared" si="237"/>
        <v>345</v>
      </c>
      <c r="G369" s="3">
        <v>348</v>
      </c>
      <c r="H369" s="3">
        <f t="shared" ref="H369:H379" si="242">G369+1</f>
        <v>349</v>
      </c>
      <c r="I369" s="3">
        <f t="shared" si="239"/>
        <v>350</v>
      </c>
      <c r="J369" s="3">
        <v>360</v>
      </c>
      <c r="K369" s="3">
        <f>VLOOKUP($A369,'SegEnds_NonXtal_BW#'!$A:$Z,8,FALSE)+VLOOKUP($A369,A:AL,10,FALSE)-50</f>
        <v>373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400</v>
      </c>
      <c r="P369" s="3">
        <v>427</v>
      </c>
      <c r="Q369" s="3">
        <f>VLOOKUP($A369,'SegEnds_NonXtal_BW#'!$A:$Z,12,FALSE)+VLOOKUP($A369,A:AL,16,FALSE)-50</f>
        <v>436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1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440</v>
      </c>
      <c r="V369" s="3">
        <v>452</v>
      </c>
      <c r="W369" s="3">
        <f>IF(ISERROR(VLOOKUP($A369,'SegEnds_NonXtal_BW#'!$A:$Z,16,FALSE)+VLOOKUP($A369,A:AL,22,FALSE)-50),"-",(VLOOKUP($A369,'SegEnds_NonXtal_BW#'!$A:$Z,16,FALSE)+VLOOKUP($A369,A:AL,22,FALSE)-50))</f>
        <v>465</v>
      </c>
      <c r="X369" s="3">
        <f>IF(ISERROR(VLOOKUP($A369,'SegEnds_NonXtal_BW#'!$A:$Z,17,FALSE)+VLOOKUP($A369,A:AL,25,FALSE)-50),"-",(VLOOKUP($A369,'SegEnds_NonXtal_BW#'!$A:$Z,17,FALSE)+VLOOKUP($A369,A:AL,25,FALSE)-50))</f>
        <v>477</v>
      </c>
      <c r="Y369" s="3">
        <v>477</v>
      </c>
      <c r="Z369" s="3">
        <f t="shared" si="241"/>
        <v>479</v>
      </c>
      <c r="AA369" s="3">
        <f>IF(ISERROR(VLOOKUP($A369,'SegEnds_NonXtal_BW#'!$A:$Z,19,FALSE)+VLOOKUP($A369,A:AL,28,FALSE)-50),"-",(VLOOKUP($A369,'SegEnds_NonXtal_BW#'!$A:$Z,19,FALSE)+VLOOKUP($A369,A:AL,28,FALSE)-50))</f>
        <v>483</v>
      </c>
      <c r="AB369" s="3">
        <v>498</v>
      </c>
      <c r="AC369" s="3">
        <f>IF(ISERROR((VLOOKUP($A369,'SegEnds_NonXtal_BW#'!$A:$Z,20,FALSE)+VLOOKUP($A369,A:AL,28,FALSE)-50)),"-",(VLOOKUP($A369,'SegEnds_NonXtal_BW#'!$A:$Z,20,FALSE)+VLOOKUP($A369,A:AL,28,FALSE)-50))</f>
        <v>520</v>
      </c>
      <c r="AD369" s="3">
        <f>IF(ISERROR(VLOOKUP($A369,'SegEnds_NonXtal_BW#'!$A:$Z,21,FALSE)+VLOOKUP($A369,A:AL,31,FALSE)-50),"-",(VLOOKUP($A369,'SegEnds_NonXtal_BW#'!$A:$Z,21,FALSE)+VLOOKUP($A369,A:AL,31,FALSE)-50))</f>
        <v>527</v>
      </c>
      <c r="AE369" s="3">
        <v>553</v>
      </c>
      <c r="AF369" s="3">
        <f>IF(ISERROR((VLOOKUP($A369,'SegEnds_NonXtal_BW#'!$A:$Z,22,FALSE)+VLOOKUP($A369,A:AL,31,FALSE)-50)),"-",(VLOOKUP($A369,'SegEnds_NonXtal_BW#'!$A:$Z,22,FALSE)+VLOOKUP($A369,A:AL,31,FALSE)-50))</f>
        <v>581</v>
      </c>
      <c r="AG369" s="3">
        <f>IF(ISERROR(VLOOKUP($A369,'SegEnds_NonXtal_BW#'!$A:$Z,23,FALSE)+VLOOKUP($A369,A:AL,34,FALSE)-50),"-",(VLOOKUP($A369,'SegEnds_NonXtal_BW#'!$A:$Z,23,FALSE)+VLOOKUP($A369,A:AL,34,FALSE)-50))</f>
        <v>599</v>
      </c>
      <c r="AH369" s="3">
        <v>615</v>
      </c>
      <c r="AI369" s="3">
        <f>IF(ISERROR((VLOOKUP($A369,'SegEnds_NonXtal_BW#'!$A:$Z,24,FALSE)+VLOOKUP($A369,A:AL,34,FALSE)-50)),"-",(VLOOKUP($A369,'SegEnds_NonXtal_BW#'!$A:$Z,24,FALSE)+VLOOKUP($A369,A:AL,34,FALSE)-50))</f>
        <v>622</v>
      </c>
      <c r="AJ369" s="3">
        <f>IF(ISERROR(VLOOKUP($A369,'SegEnds_NonXtal_BW#'!$A:$Z,25,FALSE)+VLOOKUP($A369,A:AL,37,FALSE)-50),"-",(VLOOKUP($A369,'SegEnds_NonXtal_BW#'!$A:$Z,25,FALSE)+VLOOKUP($A369,A:AL,37,FALSE)-50))</f>
        <v>623</v>
      </c>
      <c r="AK369" s="3">
        <v>626</v>
      </c>
      <c r="AL369" s="3">
        <f>IF(ISERROR((VLOOKUP($A369,'SegEnds_NonXtal_BW#'!$A:$Z,26,FALSE)+VLOOKUP($A369,A:AL,37,FALSE)-50)),"-",(VLOOKUP($A369,'SegEnds_NonXtal_BW#'!$A:$Z,26,FALSE)+VLOOKUP($A369,A:AL,37,FALSE)-50))</f>
        <v>638</v>
      </c>
      <c r="AM369" s="28" t="str">
        <f>VLOOKUP(A369,Classification!A:B,2,FALSE)</f>
        <v>F</v>
      </c>
      <c r="AN369" s="28" t="b">
        <f t="shared" si="235"/>
        <v>1</v>
      </c>
      <c r="AO369" s="3" t="str">
        <f>IF(ISERROR(MATCH(A369,'SegEnds_Xtal_Prot#'!B:B, 0)), "NoXtal", "Xtal")</f>
        <v>NoXtal</v>
      </c>
      <c r="AP369" s="3">
        <f t="shared" si="220"/>
        <v>1</v>
      </c>
      <c r="AQ369" s="3">
        <f t="shared" si="221"/>
        <v>1</v>
      </c>
      <c r="AR369" s="3" t="str">
        <f t="shared" si="222"/>
        <v>-</v>
      </c>
      <c r="AS369" s="3" t="str">
        <f t="shared" si="223"/>
        <v>-</v>
      </c>
      <c r="AT369" s="3" t="str">
        <f t="shared" si="224"/>
        <v>-</v>
      </c>
      <c r="AU369" s="3" t="str">
        <f t="shared" si="225"/>
        <v>-</v>
      </c>
      <c r="AV369" s="3">
        <f t="shared" si="226"/>
        <v>12</v>
      </c>
      <c r="AW369" s="3">
        <f t="shared" si="227"/>
        <v>4</v>
      </c>
      <c r="AX369" s="3">
        <f t="shared" si="228"/>
        <v>7</v>
      </c>
      <c r="AY369" s="3">
        <f t="shared" si="229"/>
        <v>18</v>
      </c>
      <c r="AZ369" s="3">
        <f t="shared" si="230"/>
        <v>1</v>
      </c>
      <c r="BA369" s="3">
        <f>IF(ISERROR(LEN(VLOOKUP(A369,Seqs!A:E,2,FALSE))-AL369),"-",LEN(VLOOKUP(A369,Seqs!A:E,2,FALSE))-AL369)</f>
        <v>9</v>
      </c>
      <c r="BB369" s="16">
        <f t="shared" si="231"/>
        <v>26</v>
      </c>
      <c r="BC369" s="9" t="str">
        <f t="shared" si="232"/>
        <v>-</v>
      </c>
      <c r="BD369" s="3">
        <f t="shared" si="233"/>
        <v>26</v>
      </c>
      <c r="BE369" s="3">
        <f t="shared" si="234"/>
        <v>55</v>
      </c>
      <c r="BF369" s="3">
        <f>AH369-AE369</f>
        <v>62</v>
      </c>
    </row>
    <row r="370" spans="1:58" s="3" customFormat="1" x14ac:dyDescent="0.2">
      <c r="A370" s="3" t="s">
        <v>447</v>
      </c>
      <c r="B370" s="3" t="str">
        <f>LOWER(VLOOKUP(A370,Xtal_Templ!A:B,2,FALSE))</f>
        <v>smo_human</v>
      </c>
      <c r="C370" s="3">
        <f>VLOOKUP($A370,'SegEnds_NonXtal_BW#'!$A:$Z,3,FALSE)+D370-50</f>
        <v>220</v>
      </c>
      <c r="D370" s="3">
        <v>242</v>
      </c>
      <c r="E370" s="3">
        <f>IF(ISERROR(VLOOKUP($A370,'SegEnds_NonXtal_BW#'!$A:$Z,4,FALSE)+VLOOKUP($A370,A:AL,4,FALSE)-50),"-",(VLOOKUP($A370,'SegEnds_NonXtal_BW#'!$A:$Z,4,FALSE)+VLOOKUP($A370,A:AL,4,FALSE)-50))</f>
        <v>252</v>
      </c>
      <c r="F370" s="3">
        <f t="shared" si="237"/>
        <v>253</v>
      </c>
      <c r="G370" s="3">
        <v>256</v>
      </c>
      <c r="H370" s="3">
        <f t="shared" si="242"/>
        <v>257</v>
      </c>
      <c r="I370" s="3">
        <f t="shared" si="239"/>
        <v>258</v>
      </c>
      <c r="J370" s="3">
        <v>268</v>
      </c>
      <c r="K370" s="3">
        <f>VLOOKUP($A370,'SegEnds_NonXtal_BW#'!$A:$Z,8,FALSE)+VLOOKUP($A370,A:AL,10,FALSE)-50</f>
        <v>281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307</v>
      </c>
      <c r="P370" s="3">
        <v>334</v>
      </c>
      <c r="Q370" s="3">
        <f>VLOOKUP($A370,'SegEnds_NonXtal_BW#'!$A:$Z,12,FALSE)+VLOOKUP($A370,A:AL,16,FALSE)-50</f>
        <v>343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1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347</v>
      </c>
      <c r="V370" s="3">
        <v>359</v>
      </c>
      <c r="W370" s="3">
        <f>IF(ISERROR(VLOOKUP($A370,'SegEnds_NonXtal_BW#'!$A:$Z,16,FALSE)+VLOOKUP($A370,A:AL,22,FALSE)-50),"-",(VLOOKUP($A370,'SegEnds_NonXtal_BW#'!$A:$Z,16,FALSE)+VLOOKUP($A370,A:AL,22,FALSE)-50))</f>
        <v>372</v>
      </c>
      <c r="X370" s="3">
        <f>IF(ISERROR(VLOOKUP($A370,'SegEnds_NonXtal_BW#'!$A:$Z,17,FALSE)+VLOOKUP($A370,A:AL,25,FALSE)-50),"-",(VLOOKUP($A370,'SegEnds_NonXtal_BW#'!$A:$Z,17,FALSE)+VLOOKUP($A370,A:AL,25,FALSE)-50))</f>
        <v>384</v>
      </c>
      <c r="Y370" s="3">
        <v>384</v>
      </c>
      <c r="Z370" s="3">
        <f t="shared" si="241"/>
        <v>386</v>
      </c>
      <c r="AA370" s="3">
        <f>IF(ISERROR(VLOOKUP($A370,'SegEnds_NonXtal_BW#'!$A:$Z,19,FALSE)+VLOOKUP($A370,A:AL,28,FALSE)-50),"-",(VLOOKUP($A370,'SegEnds_NonXtal_BW#'!$A:$Z,19,FALSE)+VLOOKUP($A370,A:AL,28,FALSE)-50))</f>
        <v>390</v>
      </c>
      <c r="AB370" s="3">
        <v>405</v>
      </c>
      <c r="AC370" s="3">
        <f>IF(ISERROR((VLOOKUP($A370,'SegEnds_NonXtal_BW#'!$A:$Z,20,FALSE)+VLOOKUP($A370,A:AL,28,FALSE)-50)),"-",(VLOOKUP($A370,'SegEnds_NonXtal_BW#'!$A:$Z,20,FALSE)+VLOOKUP($A370,A:AL,28,FALSE)-50))</f>
        <v>427</v>
      </c>
      <c r="AD370" s="3">
        <f>IF(ISERROR(VLOOKUP($A370,'SegEnds_NonXtal_BW#'!$A:$Z,21,FALSE)+VLOOKUP($A370,A:AL,31,FALSE)-50),"-",(VLOOKUP($A370,'SegEnds_NonXtal_BW#'!$A:$Z,21,FALSE)+VLOOKUP($A370,A:AL,31,FALSE)-50))</f>
        <v>434</v>
      </c>
      <c r="AE370" s="3">
        <v>460</v>
      </c>
      <c r="AF370" s="3">
        <f>IF(ISERROR((VLOOKUP($A370,'SegEnds_NonXtal_BW#'!$A:$Z,22,FALSE)+VLOOKUP($A370,A:AL,31,FALSE)-50)),"-",(VLOOKUP($A370,'SegEnds_NonXtal_BW#'!$A:$Z,22,FALSE)+VLOOKUP($A370,A:AL,31,FALSE)-50))</f>
        <v>488</v>
      </c>
      <c r="AG370" s="3">
        <f>IF(ISERROR(VLOOKUP($A370,'SegEnds_NonXtal_BW#'!$A:$Z,23,FALSE)+VLOOKUP($A370,A:AL,34,FALSE)-50),"-",(VLOOKUP($A370,'SegEnds_NonXtal_BW#'!$A:$Z,23,FALSE)+VLOOKUP($A370,A:AL,34,FALSE)-50))</f>
        <v>500</v>
      </c>
      <c r="AH370" s="3">
        <v>516</v>
      </c>
      <c r="AI370" s="3">
        <f>IF(ISERROR((VLOOKUP($A370,'SegEnds_NonXtal_BW#'!$A:$Z,24,FALSE)+VLOOKUP($A370,A:AL,34,FALSE)-50)),"-",(VLOOKUP($A370,'SegEnds_NonXtal_BW#'!$A:$Z,24,FALSE)+VLOOKUP($A370,A:AL,34,FALSE)-50))</f>
        <v>523</v>
      </c>
      <c r="AJ370" s="3">
        <f>IF(ISERROR(VLOOKUP($A370,'SegEnds_NonXtal_BW#'!$A:$Z,25,FALSE)+VLOOKUP($A370,A:AL,37,FALSE)-50),"-",(VLOOKUP($A370,'SegEnds_NonXtal_BW#'!$A:$Z,25,FALSE)+VLOOKUP($A370,A:AL,37,FALSE)-50))</f>
        <v>524</v>
      </c>
      <c r="AK370" s="3">
        <v>527</v>
      </c>
      <c r="AL370" s="3">
        <f>IF(ISERROR((VLOOKUP($A370,'SegEnds_NonXtal_BW#'!$A:$Z,26,FALSE)+VLOOKUP($A370,A:AL,37,FALSE)-50)),"-",(VLOOKUP($A370,'SegEnds_NonXtal_BW#'!$A:$Z,26,FALSE)+VLOOKUP($A370,A:AL,37,FALSE)-50))</f>
        <v>539</v>
      </c>
      <c r="AM370" s="28" t="str">
        <f>VLOOKUP(A370,Classification!A:B,2,FALSE)</f>
        <v>F</v>
      </c>
      <c r="AN370" s="28" t="b">
        <f t="shared" si="235"/>
        <v>1</v>
      </c>
      <c r="AO370" s="3" t="str">
        <f>IF(ISERROR(MATCH(A370,'SegEnds_Xtal_Prot#'!B:B, 0)), "NoXtal", "Xtal")</f>
        <v>NoXtal</v>
      </c>
      <c r="AP370" s="3">
        <f t="shared" si="220"/>
        <v>1</v>
      </c>
      <c r="AQ370" s="3">
        <f t="shared" si="221"/>
        <v>1</v>
      </c>
      <c r="AR370" s="3" t="str">
        <f t="shared" si="222"/>
        <v>-</v>
      </c>
      <c r="AS370" s="3" t="str">
        <f t="shared" si="223"/>
        <v>-</v>
      </c>
      <c r="AT370" s="3" t="str">
        <f t="shared" si="224"/>
        <v>-</v>
      </c>
      <c r="AU370" s="3" t="str">
        <f t="shared" si="225"/>
        <v>-</v>
      </c>
      <c r="AV370" s="3">
        <f t="shared" si="226"/>
        <v>12</v>
      </c>
      <c r="AW370" s="3">
        <f t="shared" si="227"/>
        <v>4</v>
      </c>
      <c r="AX370" s="3">
        <f t="shared" si="228"/>
        <v>7</v>
      </c>
      <c r="AY370" s="3">
        <f t="shared" si="229"/>
        <v>12</v>
      </c>
      <c r="AZ370" s="3">
        <f t="shared" si="230"/>
        <v>1</v>
      </c>
      <c r="BA370" s="3">
        <f>IF(ISERROR(LEN(VLOOKUP(A370,Seqs!A:E,2,FALSE))-AL370),"-",LEN(VLOOKUP(A370,Seqs!A:E,2,FALSE))-AL370)</f>
        <v>42</v>
      </c>
      <c r="BB370" s="16">
        <f t="shared" si="231"/>
        <v>26</v>
      </c>
      <c r="BC370" s="9" t="str">
        <f t="shared" si="232"/>
        <v>-</v>
      </c>
      <c r="BD370" s="3">
        <f t="shared" si="233"/>
        <v>26</v>
      </c>
      <c r="BE370" s="3">
        <f t="shared" si="234"/>
        <v>55</v>
      </c>
    </row>
    <row r="371" spans="1:58" s="3" customFormat="1" x14ac:dyDescent="0.2">
      <c r="A371" s="3" t="s">
        <v>448</v>
      </c>
      <c r="B371" s="3" t="str">
        <f>LOWER(VLOOKUP(A371,Xtal_Templ!A:B,2,FALSE))</f>
        <v>smo_human</v>
      </c>
      <c r="C371" s="3">
        <f>VLOOKUP($A371,'SegEnds_NonXtal_BW#'!$A:$Z,3,FALSE)+D371-50</f>
        <v>237</v>
      </c>
      <c r="D371" s="3">
        <v>259</v>
      </c>
      <c r="E371" s="3">
        <f>IF(ISERROR(VLOOKUP($A371,'SegEnds_NonXtal_BW#'!$A:$Z,4,FALSE)+VLOOKUP($A371,A:AL,4,FALSE)-50),"-",(VLOOKUP($A371,'SegEnds_NonXtal_BW#'!$A:$Z,4,FALSE)+VLOOKUP($A371,A:AL,4,FALSE)-50))</f>
        <v>269</v>
      </c>
      <c r="F371" s="3">
        <f t="shared" si="237"/>
        <v>270</v>
      </c>
      <c r="G371" s="3">
        <v>273</v>
      </c>
      <c r="H371" s="3">
        <f t="shared" si="242"/>
        <v>274</v>
      </c>
      <c r="I371" s="3">
        <f t="shared" si="239"/>
        <v>275</v>
      </c>
      <c r="J371" s="3">
        <v>285</v>
      </c>
      <c r="K371" s="3">
        <f>VLOOKUP($A371,'SegEnds_NonXtal_BW#'!$A:$Z,8,FALSE)+VLOOKUP($A371,A:AL,10,FALSE)-50</f>
        <v>298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325</v>
      </c>
      <c r="P371" s="3">
        <v>352</v>
      </c>
      <c r="Q371" s="3">
        <f>VLOOKUP($A371,'SegEnds_NonXtal_BW#'!$A:$Z,12,FALSE)+VLOOKUP($A371,A:AL,16,FALSE)-50</f>
        <v>361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1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365</v>
      </c>
      <c r="V371" s="3">
        <v>377</v>
      </c>
      <c r="W371" s="3">
        <f>IF(ISERROR(VLOOKUP($A371,'SegEnds_NonXtal_BW#'!$A:$Z,16,FALSE)+VLOOKUP($A371,A:AL,22,FALSE)-50),"-",(VLOOKUP($A371,'SegEnds_NonXtal_BW#'!$A:$Z,16,FALSE)+VLOOKUP($A371,A:AL,22,FALSE)-50))</f>
        <v>390</v>
      </c>
      <c r="X371" s="3">
        <f>IF(ISERROR(VLOOKUP($A371,'SegEnds_NonXtal_BW#'!$A:$Z,17,FALSE)+VLOOKUP($A371,A:AL,25,FALSE)-50),"-",(VLOOKUP($A371,'SegEnds_NonXtal_BW#'!$A:$Z,17,FALSE)+VLOOKUP($A371,A:AL,25,FALSE)-50))</f>
        <v>402</v>
      </c>
      <c r="Y371" s="3">
        <v>402</v>
      </c>
      <c r="Z371" s="3">
        <f t="shared" si="241"/>
        <v>404</v>
      </c>
      <c r="AA371" s="3">
        <f>IF(ISERROR(VLOOKUP($A371,'SegEnds_NonXtal_BW#'!$A:$Z,19,FALSE)+VLOOKUP($A371,A:AL,28,FALSE)-50),"-",(VLOOKUP($A371,'SegEnds_NonXtal_BW#'!$A:$Z,19,FALSE)+VLOOKUP($A371,A:AL,28,FALSE)-50))</f>
        <v>408</v>
      </c>
      <c r="AB371" s="3">
        <v>423</v>
      </c>
      <c r="AC371" s="3">
        <f>IF(ISERROR((VLOOKUP($A371,'SegEnds_NonXtal_BW#'!$A:$Z,20,FALSE)+VLOOKUP($A371,A:AL,28,FALSE)-50)),"-",(VLOOKUP($A371,'SegEnds_NonXtal_BW#'!$A:$Z,20,FALSE)+VLOOKUP($A371,A:AL,28,FALSE)-50))</f>
        <v>445</v>
      </c>
      <c r="AD371" s="3">
        <f>IF(ISERROR(VLOOKUP($A371,'SegEnds_NonXtal_BW#'!$A:$Z,21,FALSE)+VLOOKUP($A371,A:AL,31,FALSE)-50),"-",(VLOOKUP($A371,'SegEnds_NonXtal_BW#'!$A:$Z,21,FALSE)+VLOOKUP($A371,A:AL,31,FALSE)-50))</f>
        <v>452</v>
      </c>
      <c r="AE371" s="3">
        <v>478</v>
      </c>
      <c r="AF371" s="3">
        <f>IF(ISERROR((VLOOKUP($A371,'SegEnds_NonXtal_BW#'!$A:$Z,22,FALSE)+VLOOKUP($A371,A:AL,31,FALSE)-50)),"-",(VLOOKUP($A371,'SegEnds_NonXtal_BW#'!$A:$Z,22,FALSE)+VLOOKUP($A371,A:AL,31,FALSE)-50))</f>
        <v>506</v>
      </c>
      <c r="AG371" s="3">
        <f>IF(ISERROR(VLOOKUP($A371,'SegEnds_NonXtal_BW#'!$A:$Z,23,FALSE)+VLOOKUP($A371,A:AL,34,FALSE)-50),"-",(VLOOKUP($A371,'SegEnds_NonXtal_BW#'!$A:$Z,23,FALSE)+VLOOKUP($A371,A:AL,34,FALSE)-50))</f>
        <v>517</v>
      </c>
      <c r="AH371" s="3">
        <v>533</v>
      </c>
      <c r="AI371" s="3">
        <f>IF(ISERROR((VLOOKUP($A371,'SegEnds_NonXtal_BW#'!$A:$Z,24,FALSE)+VLOOKUP($A371,A:AL,34,FALSE)-50)),"-",(VLOOKUP($A371,'SegEnds_NonXtal_BW#'!$A:$Z,24,FALSE)+VLOOKUP($A371,A:AL,34,FALSE)-50))</f>
        <v>540</v>
      </c>
      <c r="AJ371" s="3">
        <f>IF(ISERROR(VLOOKUP($A371,'SegEnds_NonXtal_BW#'!$A:$Z,25,FALSE)+VLOOKUP($A371,A:AL,37,FALSE)-50),"-",(VLOOKUP($A371,'SegEnds_NonXtal_BW#'!$A:$Z,25,FALSE)+VLOOKUP($A371,A:AL,37,FALSE)-50))</f>
        <v>541</v>
      </c>
      <c r="AK371" s="3">
        <v>544</v>
      </c>
      <c r="AL371" s="3">
        <f>IF(ISERROR((VLOOKUP($A371,'SegEnds_NonXtal_BW#'!$A:$Z,26,FALSE)+VLOOKUP($A371,A:AL,37,FALSE)-50)),"-",(VLOOKUP($A371,'SegEnds_NonXtal_BW#'!$A:$Z,26,FALSE)+VLOOKUP($A371,A:AL,37,FALSE)-50))</f>
        <v>556</v>
      </c>
      <c r="AM371" s="28" t="str">
        <f>VLOOKUP(A371,Classification!A:B,2,FALSE)</f>
        <v>F</v>
      </c>
      <c r="AN371" s="28" t="b">
        <f t="shared" si="235"/>
        <v>1</v>
      </c>
      <c r="AO371" s="3" t="str">
        <f>IF(ISERROR(MATCH(A371,'SegEnds_Xtal_Prot#'!B:B, 0)), "NoXtal", "Xtal")</f>
        <v>NoXtal</v>
      </c>
      <c r="AP371" s="3">
        <f t="shared" si="220"/>
        <v>1</v>
      </c>
      <c r="AQ371" s="3">
        <f t="shared" si="221"/>
        <v>1</v>
      </c>
      <c r="AR371" s="3" t="str">
        <f t="shared" si="222"/>
        <v>-</v>
      </c>
      <c r="AS371" s="3" t="str">
        <f t="shared" si="223"/>
        <v>-</v>
      </c>
      <c r="AT371" s="3" t="str">
        <f t="shared" si="224"/>
        <v>-</v>
      </c>
      <c r="AU371" s="3" t="str">
        <f t="shared" si="225"/>
        <v>-</v>
      </c>
      <c r="AV371" s="3">
        <f t="shared" si="226"/>
        <v>12</v>
      </c>
      <c r="AW371" s="3">
        <f t="shared" si="227"/>
        <v>4</v>
      </c>
      <c r="AX371" s="3">
        <f t="shared" si="228"/>
        <v>7</v>
      </c>
      <c r="AY371" s="3">
        <f t="shared" si="229"/>
        <v>11</v>
      </c>
      <c r="AZ371" s="3">
        <f t="shared" si="230"/>
        <v>1</v>
      </c>
      <c r="BA371" s="3">
        <f>IF(ISERROR(LEN(VLOOKUP(A371,Seqs!A:E,2,FALSE))-AL371),"-",LEN(VLOOKUP(A371,Seqs!A:E,2,FALSE))-AL371)</f>
        <v>9</v>
      </c>
      <c r="BB371" s="16">
        <f t="shared" si="231"/>
        <v>26</v>
      </c>
      <c r="BC371" s="9" t="str">
        <f t="shared" si="232"/>
        <v>-</v>
      </c>
      <c r="BD371" s="3">
        <f t="shared" si="233"/>
        <v>26</v>
      </c>
      <c r="BE371" s="3">
        <f t="shared" si="234"/>
        <v>55</v>
      </c>
      <c r="BF371" s="3">
        <f>AH371-AE371</f>
        <v>55</v>
      </c>
    </row>
    <row r="372" spans="1:58" s="3" customFormat="1" x14ac:dyDescent="0.2">
      <c r="A372" s="3" t="s">
        <v>449</v>
      </c>
      <c r="B372" s="3" t="str">
        <f>LOWER(VLOOKUP(A372,Xtal_Templ!A:B,2,FALSE))</f>
        <v>smo_human</v>
      </c>
      <c r="C372" s="3">
        <f>VLOOKUP($A372,'SegEnds_NonXtal_BW#'!$A:$Z,3,FALSE)+D372-50</f>
        <v>195</v>
      </c>
      <c r="D372" s="3">
        <v>217</v>
      </c>
      <c r="E372" s="3">
        <f>IF(ISERROR(VLOOKUP($A372,'SegEnds_NonXtal_BW#'!$A:$Z,4,FALSE)+VLOOKUP($A372,A:AL,4,FALSE)-50),"-",(VLOOKUP($A372,'SegEnds_NonXtal_BW#'!$A:$Z,4,FALSE)+VLOOKUP($A372,A:AL,4,FALSE)-50))</f>
        <v>227</v>
      </c>
      <c r="F372" s="3">
        <f t="shared" si="237"/>
        <v>228</v>
      </c>
      <c r="G372" s="3">
        <v>231</v>
      </c>
      <c r="H372" s="3">
        <f t="shared" si="242"/>
        <v>232</v>
      </c>
      <c r="I372" s="3">
        <f t="shared" si="239"/>
        <v>233</v>
      </c>
      <c r="J372" s="3">
        <v>243</v>
      </c>
      <c r="K372" s="3">
        <f>VLOOKUP($A372,'SegEnds_NonXtal_BW#'!$A:$Z,8,FALSE)+VLOOKUP($A372,A:AL,10,FALSE)-50</f>
        <v>256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284</v>
      </c>
      <c r="P372" s="3">
        <v>311</v>
      </c>
      <c r="Q372" s="3">
        <f>VLOOKUP($A372,'SegEnds_NonXtal_BW#'!$A:$Z,12,FALSE)+VLOOKUP($A372,A:AL,16,FALSE)-50</f>
        <v>320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1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324</v>
      </c>
      <c r="V372" s="3">
        <v>336</v>
      </c>
      <c r="W372" s="3">
        <f>IF(ISERROR(VLOOKUP($A372,'SegEnds_NonXtal_BW#'!$A:$Z,16,FALSE)+VLOOKUP($A372,A:AL,22,FALSE)-50),"-",(VLOOKUP($A372,'SegEnds_NonXtal_BW#'!$A:$Z,16,FALSE)+VLOOKUP($A372,A:AL,22,FALSE)-50))</f>
        <v>349</v>
      </c>
      <c r="X372" s="3">
        <f>IF(ISERROR(VLOOKUP($A372,'SegEnds_NonXtal_BW#'!$A:$Z,17,FALSE)+VLOOKUP($A372,A:AL,25,FALSE)-50),"-",(VLOOKUP($A372,'SegEnds_NonXtal_BW#'!$A:$Z,17,FALSE)+VLOOKUP($A372,A:AL,25,FALSE)-50))</f>
        <v>361</v>
      </c>
      <c r="Y372" s="3">
        <v>361</v>
      </c>
      <c r="Z372" s="3">
        <f t="shared" si="241"/>
        <v>363</v>
      </c>
      <c r="AA372" s="3">
        <f>IF(ISERROR(VLOOKUP($A372,'SegEnds_NonXtal_BW#'!$A:$Z,19,FALSE)+VLOOKUP($A372,A:AL,28,FALSE)-50),"-",(VLOOKUP($A372,'SegEnds_NonXtal_BW#'!$A:$Z,19,FALSE)+VLOOKUP($A372,A:AL,28,FALSE)-50))</f>
        <v>367</v>
      </c>
      <c r="AB372" s="3">
        <v>382</v>
      </c>
      <c r="AC372" s="3">
        <f>IF(ISERROR((VLOOKUP($A372,'SegEnds_NonXtal_BW#'!$A:$Z,20,FALSE)+VLOOKUP($A372,A:AL,28,FALSE)-50)),"-",(VLOOKUP($A372,'SegEnds_NonXtal_BW#'!$A:$Z,20,FALSE)+VLOOKUP($A372,A:AL,28,FALSE)-50))</f>
        <v>404</v>
      </c>
      <c r="AD372" s="3">
        <f>IF(ISERROR(VLOOKUP($A372,'SegEnds_NonXtal_BW#'!$A:$Z,21,FALSE)+VLOOKUP($A372,A:AL,31,FALSE)-50),"-",(VLOOKUP($A372,'SegEnds_NonXtal_BW#'!$A:$Z,21,FALSE)+VLOOKUP($A372,A:AL,31,FALSE)-50))</f>
        <v>411</v>
      </c>
      <c r="AE372" s="3">
        <v>437</v>
      </c>
      <c r="AF372" s="3">
        <f>IF(ISERROR((VLOOKUP($A372,'SegEnds_NonXtal_BW#'!$A:$Z,22,FALSE)+VLOOKUP($A372,A:AL,31,FALSE)-50)),"-",(VLOOKUP($A372,'SegEnds_NonXtal_BW#'!$A:$Z,22,FALSE)+VLOOKUP($A372,A:AL,31,FALSE)-50))</f>
        <v>465</v>
      </c>
      <c r="AG372" s="3">
        <f>IF(ISERROR(VLOOKUP($A372,'SegEnds_NonXtal_BW#'!$A:$Z,23,FALSE)+VLOOKUP($A372,A:AL,34,FALSE)-50),"-",(VLOOKUP($A372,'SegEnds_NonXtal_BW#'!$A:$Z,23,FALSE)+VLOOKUP($A372,A:AL,34,FALSE)-50))</f>
        <v>476</v>
      </c>
      <c r="AH372" s="3">
        <v>492</v>
      </c>
      <c r="AI372" s="3">
        <f>IF(ISERROR((VLOOKUP($A372,'SegEnds_NonXtal_BW#'!$A:$Z,24,FALSE)+VLOOKUP($A372,A:AL,34,FALSE)-50)),"-",(VLOOKUP($A372,'SegEnds_NonXtal_BW#'!$A:$Z,24,FALSE)+VLOOKUP($A372,A:AL,34,FALSE)-50))</f>
        <v>499</v>
      </c>
      <c r="AJ372" s="3">
        <f>IF(ISERROR(VLOOKUP($A372,'SegEnds_NonXtal_BW#'!$A:$Z,25,FALSE)+VLOOKUP($A372,A:AL,37,FALSE)-50),"-",(VLOOKUP($A372,'SegEnds_NonXtal_BW#'!$A:$Z,25,FALSE)+VLOOKUP($A372,A:AL,37,FALSE)-50))</f>
        <v>500</v>
      </c>
      <c r="AK372" s="3">
        <v>503</v>
      </c>
      <c r="AL372" s="3">
        <f>IF(ISERROR((VLOOKUP($A372,'SegEnds_NonXtal_BW#'!$A:$Z,26,FALSE)+VLOOKUP($A372,A:AL,37,FALSE)-50)),"-",(VLOOKUP($A372,'SegEnds_NonXtal_BW#'!$A:$Z,26,FALSE)+VLOOKUP($A372,A:AL,37,FALSE)-50))</f>
        <v>515</v>
      </c>
      <c r="AM372" s="28" t="str">
        <f>VLOOKUP(A372,Classification!A:B,2,FALSE)</f>
        <v>F</v>
      </c>
      <c r="AN372" s="28" t="b">
        <f t="shared" si="235"/>
        <v>1</v>
      </c>
      <c r="AO372" s="3" t="str">
        <f>IF(ISERROR(MATCH(A372,'SegEnds_Xtal_Prot#'!B:B, 0)), "NoXtal", "Xtal")</f>
        <v>NoXtal</v>
      </c>
      <c r="AP372" s="3">
        <f t="shared" si="220"/>
        <v>1</v>
      </c>
      <c r="AQ372" s="3">
        <f t="shared" si="221"/>
        <v>1</v>
      </c>
      <c r="AR372" s="3" t="str">
        <f t="shared" si="222"/>
        <v>-</v>
      </c>
      <c r="AS372" s="3" t="str">
        <f t="shared" si="223"/>
        <v>-</v>
      </c>
      <c r="AT372" s="3" t="str">
        <f t="shared" si="224"/>
        <v>-</v>
      </c>
      <c r="AU372" s="3" t="str">
        <f t="shared" si="225"/>
        <v>-</v>
      </c>
      <c r="AV372" s="3">
        <f t="shared" si="226"/>
        <v>12</v>
      </c>
      <c r="AW372" s="3">
        <f t="shared" si="227"/>
        <v>4</v>
      </c>
      <c r="AX372" s="3">
        <f t="shared" si="228"/>
        <v>7</v>
      </c>
      <c r="AY372" s="3">
        <f t="shared" si="229"/>
        <v>11</v>
      </c>
      <c r="AZ372" s="3">
        <f t="shared" si="230"/>
        <v>1</v>
      </c>
      <c r="BA372" s="3">
        <f>IF(ISERROR(LEN(VLOOKUP(A372,Seqs!A:E,2,FALSE))-AL372),"-",LEN(VLOOKUP(A372,Seqs!A:E,2,FALSE))-AL372)</f>
        <v>151</v>
      </c>
      <c r="BB372" s="16">
        <f t="shared" si="231"/>
        <v>26</v>
      </c>
      <c r="BC372" s="9" t="str">
        <f t="shared" si="232"/>
        <v>-</v>
      </c>
      <c r="BD372" s="3">
        <f t="shared" si="233"/>
        <v>26</v>
      </c>
      <c r="BE372" s="3">
        <f t="shared" si="234"/>
        <v>55</v>
      </c>
    </row>
    <row r="373" spans="1:58" s="3" customFormat="1" x14ac:dyDescent="0.2">
      <c r="A373" s="3" t="s">
        <v>450</v>
      </c>
      <c r="B373" s="3" t="str">
        <f>LOWER(VLOOKUP(A373,Xtal_Templ!A:B,2,FALSE))</f>
        <v>smo_human</v>
      </c>
      <c r="C373" s="3">
        <f>VLOOKUP($A373,'SegEnds_NonXtal_BW#'!$A:$Z,3,FALSE)+D373-50</f>
        <v>212</v>
      </c>
      <c r="D373" s="3">
        <v>234</v>
      </c>
      <c r="E373" s="3">
        <f>IF(ISERROR(VLOOKUP($A373,'SegEnds_NonXtal_BW#'!$A:$Z,4,FALSE)+VLOOKUP($A373,A:AL,4,FALSE)-50),"-",(VLOOKUP($A373,'SegEnds_NonXtal_BW#'!$A:$Z,4,FALSE)+VLOOKUP($A373,A:AL,4,FALSE)-50))</f>
        <v>244</v>
      </c>
      <c r="F373" s="3">
        <f t="shared" si="237"/>
        <v>245</v>
      </c>
      <c r="G373" s="3">
        <v>248</v>
      </c>
      <c r="H373" s="3">
        <f t="shared" si="242"/>
        <v>249</v>
      </c>
      <c r="I373" s="3">
        <f t="shared" si="239"/>
        <v>250</v>
      </c>
      <c r="J373" s="3">
        <v>260</v>
      </c>
      <c r="K373" s="3">
        <f>VLOOKUP($A373,'SegEnds_NonXtal_BW#'!$A:$Z,8,FALSE)+VLOOKUP($A373,A:AL,10,FALSE)-50</f>
        <v>273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300</v>
      </c>
      <c r="P373" s="3">
        <v>327</v>
      </c>
      <c r="Q373" s="3">
        <f>VLOOKUP($A373,'SegEnds_NonXtal_BW#'!$A:$Z,12,FALSE)+VLOOKUP($A373,A:AL,16,FALSE)-50</f>
        <v>336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1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340</v>
      </c>
      <c r="V373" s="3">
        <v>352</v>
      </c>
      <c r="W373" s="3">
        <f>IF(ISERROR(VLOOKUP($A373,'SegEnds_NonXtal_BW#'!$A:$Z,16,FALSE)+VLOOKUP($A373,A:AL,22,FALSE)-50),"-",(VLOOKUP($A373,'SegEnds_NonXtal_BW#'!$A:$Z,16,FALSE)+VLOOKUP($A373,A:AL,22,FALSE)-50))</f>
        <v>365</v>
      </c>
      <c r="X373" s="3">
        <f>IF(ISERROR(VLOOKUP($A373,'SegEnds_NonXtal_BW#'!$A:$Z,17,FALSE)+VLOOKUP($A373,A:AL,25,FALSE)-50),"-",(VLOOKUP($A373,'SegEnds_NonXtal_BW#'!$A:$Z,17,FALSE)+VLOOKUP($A373,A:AL,25,FALSE)-50))</f>
        <v>377</v>
      </c>
      <c r="Y373" s="3">
        <v>377</v>
      </c>
      <c r="Z373" s="3">
        <f t="shared" si="241"/>
        <v>379</v>
      </c>
      <c r="AA373" s="3">
        <f>IF(ISERROR(VLOOKUP($A373,'SegEnds_NonXtal_BW#'!$A:$Z,19,FALSE)+VLOOKUP($A373,A:AL,28,FALSE)-50),"-",(VLOOKUP($A373,'SegEnds_NonXtal_BW#'!$A:$Z,19,FALSE)+VLOOKUP($A373,A:AL,28,FALSE)-50))</f>
        <v>383</v>
      </c>
      <c r="AB373" s="3">
        <v>398</v>
      </c>
      <c r="AC373" s="3">
        <f>IF(ISERROR((VLOOKUP($A373,'SegEnds_NonXtal_BW#'!$A:$Z,20,FALSE)+VLOOKUP($A373,A:AL,28,FALSE)-50)),"-",(VLOOKUP($A373,'SegEnds_NonXtal_BW#'!$A:$Z,20,FALSE)+VLOOKUP($A373,A:AL,28,FALSE)-50))</f>
        <v>420</v>
      </c>
      <c r="AD373" s="3">
        <f>IF(ISERROR(VLOOKUP($A373,'SegEnds_NonXtal_BW#'!$A:$Z,21,FALSE)+VLOOKUP($A373,A:AL,31,FALSE)-50),"-",(VLOOKUP($A373,'SegEnds_NonXtal_BW#'!$A:$Z,21,FALSE)+VLOOKUP($A373,A:AL,31,FALSE)-50))</f>
        <v>427</v>
      </c>
      <c r="AE373" s="3">
        <v>453</v>
      </c>
      <c r="AF373" s="3">
        <f>IF(ISERROR((VLOOKUP($A373,'SegEnds_NonXtal_BW#'!$A:$Z,22,FALSE)+VLOOKUP($A373,A:AL,31,FALSE)-50)),"-",(VLOOKUP($A373,'SegEnds_NonXtal_BW#'!$A:$Z,22,FALSE)+VLOOKUP($A373,A:AL,31,FALSE)-50))</f>
        <v>469</v>
      </c>
      <c r="AG373" s="3">
        <f>IF(ISERROR(VLOOKUP($A373,'SegEnds_NonXtal_BW#'!$A:$Z,23,FALSE)+VLOOKUP($A373,A:AL,34,FALSE)-50),"-",(VLOOKUP($A373,'SegEnds_NonXtal_BW#'!$A:$Z,23,FALSE)+VLOOKUP($A373,A:AL,34,FALSE)-50))</f>
        <v>473</v>
      </c>
      <c r="AH373" s="3">
        <v>489</v>
      </c>
      <c r="AI373" s="3">
        <f>IF(ISERROR((VLOOKUP($A373,'SegEnds_NonXtal_BW#'!$A:$Z,24,FALSE)+VLOOKUP($A373,A:AL,34,FALSE)-50)),"-",(VLOOKUP($A373,'SegEnds_NonXtal_BW#'!$A:$Z,24,FALSE)+VLOOKUP($A373,A:AL,34,FALSE)-50))</f>
        <v>496</v>
      </c>
      <c r="AJ373" s="3">
        <f>IF(ISERROR(VLOOKUP($A373,'SegEnds_NonXtal_BW#'!$A:$Z,25,FALSE)+VLOOKUP($A373,A:AL,37,FALSE)-50),"-",(VLOOKUP($A373,'SegEnds_NonXtal_BW#'!$A:$Z,25,FALSE)+VLOOKUP($A373,A:AL,37,FALSE)-50))</f>
        <v>497</v>
      </c>
      <c r="AK373" s="3">
        <v>500</v>
      </c>
      <c r="AL373" s="3">
        <f>IF(ISERROR((VLOOKUP($A373,'SegEnds_NonXtal_BW#'!$A:$Z,26,FALSE)+VLOOKUP($A373,A:AL,37,FALSE)-50)),"-",(VLOOKUP($A373,'SegEnds_NonXtal_BW#'!$A:$Z,26,FALSE)+VLOOKUP($A373,A:AL,37,FALSE)-50))</f>
        <v>512</v>
      </c>
      <c r="AM373" s="28" t="str">
        <f>VLOOKUP(A373,Classification!A:B,2,FALSE)</f>
        <v>F</v>
      </c>
      <c r="AN373" s="28" t="b">
        <f t="shared" si="235"/>
        <v>1</v>
      </c>
      <c r="AO373" s="3" t="str">
        <f>IF(ISERROR(MATCH(A373,'SegEnds_Xtal_Prot#'!B:B, 0)), "NoXtal", "Xtal")</f>
        <v>NoXtal</v>
      </c>
      <c r="AP373" s="3">
        <f t="shared" si="220"/>
        <v>1</v>
      </c>
      <c r="AQ373" s="3">
        <f t="shared" si="221"/>
        <v>1</v>
      </c>
      <c r="AR373" s="3" t="str">
        <f t="shared" si="222"/>
        <v>-</v>
      </c>
      <c r="AS373" s="3" t="str">
        <f t="shared" si="223"/>
        <v>-</v>
      </c>
      <c r="AT373" s="3" t="str">
        <f t="shared" si="224"/>
        <v>-</v>
      </c>
      <c r="AU373" s="3" t="str">
        <f t="shared" si="225"/>
        <v>-</v>
      </c>
      <c r="AV373" s="3">
        <f t="shared" si="226"/>
        <v>12</v>
      </c>
      <c r="AW373" s="3">
        <f t="shared" si="227"/>
        <v>4</v>
      </c>
      <c r="AX373" s="3">
        <f t="shared" si="228"/>
        <v>7</v>
      </c>
      <c r="AY373" s="3">
        <f t="shared" si="229"/>
        <v>4</v>
      </c>
      <c r="AZ373" s="3">
        <f t="shared" si="230"/>
        <v>1</v>
      </c>
      <c r="BA373" s="3">
        <f>IF(ISERROR(LEN(VLOOKUP(A373,Seqs!A:E,2,FALSE))-AL373),"-",LEN(VLOOKUP(A373,Seqs!A:E,2,FALSE))-AL373)</f>
        <v>25</v>
      </c>
      <c r="BB373" s="16">
        <f t="shared" si="231"/>
        <v>26</v>
      </c>
      <c r="BC373" s="9" t="str">
        <f t="shared" si="232"/>
        <v>-</v>
      </c>
      <c r="BD373" s="3">
        <f t="shared" si="233"/>
        <v>26</v>
      </c>
      <c r="BE373" s="3">
        <f t="shared" si="234"/>
        <v>55</v>
      </c>
      <c r="BF373" s="3">
        <f>AH373-AE373</f>
        <v>36</v>
      </c>
    </row>
    <row r="374" spans="1:58" s="3" customFormat="1" x14ac:dyDescent="0.2">
      <c r="A374" s="3" t="s">
        <v>451</v>
      </c>
      <c r="B374" s="3" t="str">
        <f>LOWER(VLOOKUP(A374,Xtal_Templ!A:B,2,FALSE))</f>
        <v>smo_human</v>
      </c>
      <c r="C374" s="3">
        <f>VLOOKUP($A374,'SegEnds_NonXtal_BW#'!$A:$Z,3,FALSE)+D374-50</f>
        <v>228</v>
      </c>
      <c r="D374" s="3">
        <v>250</v>
      </c>
      <c r="E374" s="3">
        <f>IF(ISERROR(VLOOKUP($A374,'SegEnds_NonXtal_BW#'!$A:$Z,4,FALSE)+VLOOKUP($A374,A:AL,4,FALSE)-50),"-",(VLOOKUP($A374,'SegEnds_NonXtal_BW#'!$A:$Z,4,FALSE)+VLOOKUP($A374,A:AL,4,FALSE)-50))</f>
        <v>260</v>
      </c>
      <c r="F374" s="3">
        <f t="shared" si="237"/>
        <v>261</v>
      </c>
      <c r="G374" s="3">
        <v>264</v>
      </c>
      <c r="H374" s="3">
        <f t="shared" si="242"/>
        <v>265</v>
      </c>
      <c r="I374" s="3">
        <f t="shared" si="239"/>
        <v>266</v>
      </c>
      <c r="J374" s="3">
        <v>276</v>
      </c>
      <c r="K374" s="3">
        <f>VLOOKUP($A374,'SegEnds_NonXtal_BW#'!$A:$Z,8,FALSE)+VLOOKUP($A374,A:AL,10,FALSE)-50</f>
        <v>289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313</v>
      </c>
      <c r="P374" s="3">
        <v>340</v>
      </c>
      <c r="Q374" s="3">
        <f>VLOOKUP($A374,'SegEnds_NonXtal_BW#'!$A:$Z,12,FALSE)+VLOOKUP($A374,A:AL,16,FALSE)-50</f>
        <v>349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1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353</v>
      </c>
      <c r="V374" s="3">
        <v>365</v>
      </c>
      <c r="W374" s="3">
        <f>IF(ISERROR(VLOOKUP($A374,'SegEnds_NonXtal_BW#'!$A:$Z,16,FALSE)+VLOOKUP($A374,A:AL,22,FALSE)-50),"-",(VLOOKUP($A374,'SegEnds_NonXtal_BW#'!$A:$Z,16,FALSE)+VLOOKUP($A374,A:AL,22,FALSE)-50))</f>
        <v>378</v>
      </c>
      <c r="X374" s="3">
        <f>IF(ISERROR(VLOOKUP($A374,'SegEnds_NonXtal_BW#'!$A:$Z,17,FALSE)+VLOOKUP($A374,A:AL,25,FALSE)-50),"-",(VLOOKUP($A374,'SegEnds_NonXtal_BW#'!$A:$Z,17,FALSE)+VLOOKUP($A374,A:AL,25,FALSE)-50))</f>
        <v>390</v>
      </c>
      <c r="Y374" s="3">
        <v>390</v>
      </c>
      <c r="Z374" s="3">
        <f t="shared" si="241"/>
        <v>392</v>
      </c>
      <c r="AA374" s="3">
        <f>IF(ISERROR(VLOOKUP($A374,'SegEnds_NonXtal_BW#'!$A:$Z,19,FALSE)+VLOOKUP($A374,A:AL,28,FALSE)-50),"-",(VLOOKUP($A374,'SegEnds_NonXtal_BW#'!$A:$Z,19,FALSE)+VLOOKUP($A374,A:AL,28,FALSE)-50))</f>
        <v>396</v>
      </c>
      <c r="AB374" s="3">
        <v>411</v>
      </c>
      <c r="AC374" s="3">
        <f>IF(ISERROR((VLOOKUP($A374,'SegEnds_NonXtal_BW#'!$A:$Z,20,FALSE)+VLOOKUP($A374,A:AL,28,FALSE)-50)),"-",(VLOOKUP($A374,'SegEnds_NonXtal_BW#'!$A:$Z,20,FALSE)+VLOOKUP($A374,A:AL,28,FALSE)-50))</f>
        <v>433</v>
      </c>
      <c r="AD374" s="3">
        <f>IF(ISERROR(VLOOKUP($A374,'SegEnds_NonXtal_BW#'!$A:$Z,21,FALSE)+VLOOKUP($A374,A:AL,31,FALSE)-50),"-",(VLOOKUP($A374,'SegEnds_NonXtal_BW#'!$A:$Z,21,FALSE)+VLOOKUP($A374,A:AL,31,FALSE)-50))</f>
        <v>440</v>
      </c>
      <c r="AE374" s="3">
        <v>466</v>
      </c>
      <c r="AF374" s="3">
        <f>IF(ISERROR((VLOOKUP($A374,'SegEnds_NonXtal_BW#'!$A:$Z,22,FALSE)+VLOOKUP($A374,A:AL,31,FALSE)-50)),"-",(VLOOKUP($A374,'SegEnds_NonXtal_BW#'!$A:$Z,22,FALSE)+VLOOKUP($A374,A:AL,31,FALSE)-50))</f>
        <v>494</v>
      </c>
      <c r="AG374" s="3">
        <f>IF(ISERROR(VLOOKUP($A374,'SegEnds_NonXtal_BW#'!$A:$Z,23,FALSE)+VLOOKUP($A374,A:AL,34,FALSE)-50),"-",(VLOOKUP($A374,'SegEnds_NonXtal_BW#'!$A:$Z,23,FALSE)+VLOOKUP($A374,A:AL,34,FALSE)-50))</f>
        <v>499</v>
      </c>
      <c r="AH374" s="3">
        <v>515</v>
      </c>
      <c r="AI374" s="3">
        <f>IF(ISERROR((VLOOKUP($A374,'SegEnds_NonXtal_BW#'!$A:$Z,24,FALSE)+VLOOKUP($A374,A:AL,34,FALSE)-50)),"-",(VLOOKUP($A374,'SegEnds_NonXtal_BW#'!$A:$Z,24,FALSE)+VLOOKUP($A374,A:AL,34,FALSE)-50))</f>
        <v>522</v>
      </c>
      <c r="AJ374" s="3">
        <f>IF(ISERROR(VLOOKUP($A374,'SegEnds_NonXtal_BW#'!$A:$Z,25,FALSE)+VLOOKUP($A374,A:AL,37,FALSE)-50),"-",(VLOOKUP($A374,'SegEnds_NonXtal_BW#'!$A:$Z,25,FALSE)+VLOOKUP($A374,A:AL,37,FALSE)-50))</f>
        <v>523</v>
      </c>
      <c r="AK374" s="3">
        <v>526</v>
      </c>
      <c r="AL374" s="3">
        <f>IF(ISERROR((VLOOKUP($A374,'SegEnds_NonXtal_BW#'!$A:$Z,26,FALSE)+VLOOKUP($A374,A:AL,37,FALSE)-50)),"-",(VLOOKUP($A374,'SegEnds_NonXtal_BW#'!$A:$Z,26,FALSE)+VLOOKUP($A374,A:AL,37,FALSE)-50))</f>
        <v>538</v>
      </c>
      <c r="AM374" s="28" t="str">
        <f>VLOOKUP(A374,Classification!A:B,2,FALSE)</f>
        <v>F</v>
      </c>
      <c r="AN374" s="28" t="b">
        <f t="shared" si="235"/>
        <v>1</v>
      </c>
      <c r="AO374" s="3" t="str">
        <f>IF(ISERROR(MATCH(A374,'SegEnds_Xtal_Prot#'!B:B, 0)), "NoXtal", "Xtal")</f>
        <v>NoXtal</v>
      </c>
      <c r="AP374" s="3">
        <f t="shared" si="220"/>
        <v>1</v>
      </c>
      <c r="AQ374" s="3">
        <f t="shared" si="221"/>
        <v>1</v>
      </c>
      <c r="AR374" s="3" t="str">
        <f t="shared" si="222"/>
        <v>-</v>
      </c>
      <c r="AS374" s="3" t="str">
        <f t="shared" si="223"/>
        <v>-</v>
      </c>
      <c r="AT374" s="3" t="str">
        <f t="shared" si="224"/>
        <v>-</v>
      </c>
      <c r="AU374" s="3" t="str">
        <f t="shared" si="225"/>
        <v>-</v>
      </c>
      <c r="AV374" s="3">
        <f t="shared" si="226"/>
        <v>12</v>
      </c>
      <c r="AW374" s="3">
        <f t="shared" si="227"/>
        <v>4</v>
      </c>
      <c r="AX374" s="3">
        <f t="shared" si="228"/>
        <v>7</v>
      </c>
      <c r="AY374" s="3">
        <f t="shared" si="229"/>
        <v>5</v>
      </c>
      <c r="AZ374" s="3">
        <f t="shared" si="230"/>
        <v>1</v>
      </c>
      <c r="BA374" s="3">
        <f>IF(ISERROR(LEN(VLOOKUP(A374,Seqs!A:E,2,FALSE))-AL374),"-",LEN(VLOOKUP(A374,Seqs!A:E,2,FALSE))-AL374)</f>
        <v>47</v>
      </c>
      <c r="BB374" s="16">
        <f t="shared" si="231"/>
        <v>26</v>
      </c>
      <c r="BC374" s="9" t="str">
        <f t="shared" si="232"/>
        <v>-</v>
      </c>
      <c r="BD374" s="3">
        <f t="shared" si="233"/>
        <v>26</v>
      </c>
      <c r="BE374" s="3">
        <f t="shared" si="234"/>
        <v>55</v>
      </c>
    </row>
    <row r="375" spans="1:58" s="3" customFormat="1" x14ac:dyDescent="0.2">
      <c r="A375" s="3" t="s">
        <v>452</v>
      </c>
      <c r="B375" s="3" t="str">
        <f>LOWER(VLOOKUP(A375,Xtal_Templ!A:B,2,FALSE))</f>
        <v>smo_human</v>
      </c>
      <c r="C375" s="3">
        <f>VLOOKUP($A375,'SegEnds_NonXtal_BW#'!$A:$Z,3,FALSE)+D375-50</f>
        <v>191</v>
      </c>
      <c r="D375" s="3">
        <v>213</v>
      </c>
      <c r="E375" s="3">
        <f>IF(ISERROR(VLOOKUP($A375,'SegEnds_NonXtal_BW#'!$A:$Z,4,FALSE)+VLOOKUP($A375,A:AL,4,FALSE)-50),"-",(VLOOKUP($A375,'SegEnds_NonXtal_BW#'!$A:$Z,4,FALSE)+VLOOKUP($A375,A:AL,4,FALSE)-50))</f>
        <v>223</v>
      </c>
      <c r="F375" s="3">
        <f t="shared" si="237"/>
        <v>224</v>
      </c>
      <c r="G375" s="3">
        <v>227</v>
      </c>
      <c r="H375" s="3">
        <f t="shared" si="242"/>
        <v>228</v>
      </c>
      <c r="I375" s="3">
        <f t="shared" si="239"/>
        <v>229</v>
      </c>
      <c r="J375" s="3">
        <v>239</v>
      </c>
      <c r="K375" s="3">
        <f>VLOOKUP($A375,'SegEnds_NonXtal_BW#'!$A:$Z,8,FALSE)+VLOOKUP($A375,A:AL,10,FALSE)-50</f>
        <v>252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280</v>
      </c>
      <c r="P375" s="3">
        <v>307</v>
      </c>
      <c r="Q375" s="3">
        <f>VLOOKUP($A375,'SegEnds_NonXtal_BW#'!$A:$Z,12,FALSE)+VLOOKUP($A375,A:AL,16,FALSE)-50</f>
        <v>316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1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320</v>
      </c>
      <c r="V375" s="3">
        <v>332</v>
      </c>
      <c r="W375" s="3">
        <f>IF(ISERROR(VLOOKUP($A375,'SegEnds_NonXtal_BW#'!$A:$Z,16,FALSE)+VLOOKUP($A375,A:AL,22,FALSE)-50),"-",(VLOOKUP($A375,'SegEnds_NonXtal_BW#'!$A:$Z,16,FALSE)+VLOOKUP($A375,A:AL,22,FALSE)-50))</f>
        <v>345</v>
      </c>
      <c r="X375" s="3">
        <f>IF(ISERROR(VLOOKUP($A375,'SegEnds_NonXtal_BW#'!$A:$Z,17,FALSE)+VLOOKUP($A375,A:AL,25,FALSE)-50),"-",(VLOOKUP($A375,'SegEnds_NonXtal_BW#'!$A:$Z,17,FALSE)+VLOOKUP($A375,A:AL,25,FALSE)-50))</f>
        <v>357</v>
      </c>
      <c r="Y375" s="3">
        <v>357</v>
      </c>
      <c r="Z375" s="3">
        <f t="shared" si="241"/>
        <v>359</v>
      </c>
      <c r="AA375" s="3">
        <f>IF(ISERROR(VLOOKUP($A375,'SegEnds_NonXtal_BW#'!$A:$Z,19,FALSE)+VLOOKUP($A375,A:AL,28,FALSE)-50),"-",(VLOOKUP($A375,'SegEnds_NonXtal_BW#'!$A:$Z,19,FALSE)+VLOOKUP($A375,A:AL,28,FALSE)-50))</f>
        <v>363</v>
      </c>
      <c r="AB375" s="3">
        <v>378</v>
      </c>
      <c r="AC375" s="3">
        <f>IF(ISERROR((VLOOKUP($A375,'SegEnds_NonXtal_BW#'!$A:$Z,20,FALSE)+VLOOKUP($A375,A:AL,28,FALSE)-50)),"-",(VLOOKUP($A375,'SegEnds_NonXtal_BW#'!$A:$Z,20,FALSE)+VLOOKUP($A375,A:AL,28,FALSE)-50))</f>
        <v>400</v>
      </c>
      <c r="AD375" s="3">
        <f>IF(ISERROR(VLOOKUP($A375,'SegEnds_NonXtal_BW#'!$A:$Z,21,FALSE)+VLOOKUP($A375,A:AL,31,FALSE)-50),"-",(VLOOKUP($A375,'SegEnds_NonXtal_BW#'!$A:$Z,21,FALSE)+VLOOKUP($A375,A:AL,31,FALSE)-50))</f>
        <v>407</v>
      </c>
      <c r="AE375" s="3">
        <v>433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472</v>
      </c>
      <c r="AH375" s="3">
        <v>488</v>
      </c>
      <c r="AI375" s="3">
        <f>IF(ISERROR((VLOOKUP($A375,'SegEnds_NonXtal_BW#'!$A:$Z,24,FALSE)+VLOOKUP($A375,A:AL,34,FALSE)-50)),"-",(VLOOKUP($A375,'SegEnds_NonXtal_BW#'!$A:$Z,24,FALSE)+VLOOKUP($A375,A:AL,34,FALSE)-50))</f>
        <v>495</v>
      </c>
      <c r="AJ375" s="3">
        <f>IF(ISERROR(VLOOKUP($A375,'SegEnds_NonXtal_BW#'!$A:$Z,25,FALSE)+VLOOKUP($A375,A:AL,37,FALSE)-50),"-",(VLOOKUP($A375,'SegEnds_NonXtal_BW#'!$A:$Z,25,FALSE)+VLOOKUP($A375,A:AL,37,FALSE)-50))</f>
        <v>496</v>
      </c>
      <c r="AK375" s="3">
        <v>499</v>
      </c>
      <c r="AL375" s="3">
        <f>IF(ISERROR((VLOOKUP($A375,'SegEnds_NonXtal_BW#'!$A:$Z,26,FALSE)+VLOOKUP($A375,A:AL,37,FALSE)-50)),"-",(VLOOKUP($A375,'SegEnds_NonXtal_BW#'!$A:$Z,26,FALSE)+VLOOKUP($A375,A:AL,37,FALSE)-50))</f>
        <v>511</v>
      </c>
      <c r="AM375" s="28" t="str">
        <f>VLOOKUP(A375,Classification!A:B,2,FALSE)</f>
        <v>F</v>
      </c>
      <c r="AN375" s="28" t="b">
        <f t="shared" si="235"/>
        <v>1</v>
      </c>
      <c r="AO375" s="3" t="str">
        <f>IF(ISERROR(MATCH(A375,'SegEnds_Xtal_Prot#'!B:B, 0)), "NoXtal", "Xtal")</f>
        <v>NoXtal</v>
      </c>
      <c r="AP375" s="3">
        <f t="shared" si="220"/>
        <v>1</v>
      </c>
      <c r="AQ375" s="3">
        <f t="shared" si="221"/>
        <v>1</v>
      </c>
      <c r="AR375" s="3" t="str">
        <f t="shared" si="222"/>
        <v>-</v>
      </c>
      <c r="AS375" s="3" t="str">
        <f t="shared" si="223"/>
        <v>-</v>
      </c>
      <c r="AT375" s="3" t="str">
        <f t="shared" si="224"/>
        <v>-</v>
      </c>
      <c r="AU375" s="3" t="str">
        <f t="shared" si="225"/>
        <v>-</v>
      </c>
      <c r="AV375" s="3">
        <f t="shared" si="226"/>
        <v>12</v>
      </c>
      <c r="AW375" s="3">
        <f t="shared" si="227"/>
        <v>4</v>
      </c>
      <c r="AX375" s="3">
        <f t="shared" si="228"/>
        <v>7</v>
      </c>
      <c r="AY375" s="3">
        <f t="shared" si="229"/>
        <v>11</v>
      </c>
      <c r="AZ375" s="3">
        <f t="shared" si="230"/>
        <v>1</v>
      </c>
      <c r="BA375" s="3">
        <f>IF(ISERROR(LEN(VLOOKUP(A375,Seqs!A:E,2,FALSE))-AL375),"-",LEN(VLOOKUP(A375,Seqs!A:E,2,FALSE))-AL375)</f>
        <v>195</v>
      </c>
      <c r="BB375" s="16">
        <f t="shared" si="231"/>
        <v>26</v>
      </c>
      <c r="BC375" s="9" t="str">
        <f t="shared" si="232"/>
        <v>-</v>
      </c>
      <c r="BD375" s="3">
        <f t="shared" si="233"/>
        <v>26</v>
      </c>
      <c r="BE375" s="3">
        <f t="shared" si="234"/>
        <v>55</v>
      </c>
    </row>
    <row r="376" spans="1:58" s="3" customFormat="1" x14ac:dyDescent="0.2">
      <c r="A376" s="3" t="s">
        <v>453</v>
      </c>
      <c r="B376" s="3" t="str">
        <f>LOWER(VLOOKUP(A376,Xtal_Templ!A:B,2,FALSE))</f>
        <v>smo_human</v>
      </c>
      <c r="C376" s="3">
        <f>VLOOKUP($A376,'SegEnds_NonXtal_BW#'!$A:$Z,3,FALSE)+D376-50</f>
        <v>246</v>
      </c>
      <c r="D376" s="3">
        <v>268</v>
      </c>
      <c r="E376" s="3">
        <f>IF(ISERROR(VLOOKUP($A376,'SegEnds_NonXtal_BW#'!$A:$Z,4,FALSE)+VLOOKUP($A376,A:AL,4,FALSE)-50),"-",(VLOOKUP($A376,'SegEnds_NonXtal_BW#'!$A:$Z,4,FALSE)+VLOOKUP($A376,A:AL,4,FALSE)-50))</f>
        <v>278</v>
      </c>
      <c r="F376" s="3">
        <f t="shared" si="237"/>
        <v>279</v>
      </c>
      <c r="G376" s="3">
        <v>282</v>
      </c>
      <c r="H376" s="3">
        <f t="shared" si="242"/>
        <v>283</v>
      </c>
      <c r="I376" s="3">
        <f t="shared" si="239"/>
        <v>284</v>
      </c>
      <c r="J376" s="3">
        <v>294</v>
      </c>
      <c r="K376" s="3">
        <f>VLOOKUP($A376,'SegEnds_NonXtal_BW#'!$A:$Z,8,FALSE)+VLOOKUP($A376,A:AL,10,FALSE)-50</f>
        <v>307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334</v>
      </c>
      <c r="P376" s="3">
        <v>361</v>
      </c>
      <c r="Q376" s="3">
        <f>VLOOKUP($A376,'SegEnds_NonXtal_BW#'!$A:$Z,12,FALSE)+VLOOKUP($A376,A:AL,16,FALSE)-50</f>
        <v>370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1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374</v>
      </c>
      <c r="V376" s="3">
        <v>386</v>
      </c>
      <c r="W376" s="3">
        <f>IF(ISERROR(VLOOKUP($A376,'SegEnds_NonXtal_BW#'!$A:$Z,16,FALSE)+VLOOKUP($A376,A:AL,22,FALSE)-50),"-",(VLOOKUP($A376,'SegEnds_NonXtal_BW#'!$A:$Z,16,FALSE)+VLOOKUP($A376,A:AL,22,FALSE)-50))</f>
        <v>399</v>
      </c>
      <c r="X376" s="3">
        <f>IF(ISERROR(VLOOKUP($A376,'SegEnds_NonXtal_BW#'!$A:$Z,17,FALSE)+VLOOKUP($A376,A:AL,25,FALSE)-50),"-",(VLOOKUP($A376,'SegEnds_NonXtal_BW#'!$A:$Z,17,FALSE)+VLOOKUP($A376,A:AL,25,FALSE)-50))</f>
        <v>411</v>
      </c>
      <c r="Y376" s="3">
        <v>411</v>
      </c>
      <c r="Z376" s="3">
        <f t="shared" si="241"/>
        <v>413</v>
      </c>
      <c r="AA376" s="3">
        <f>IF(ISERROR(VLOOKUP($A376,'SegEnds_NonXtal_BW#'!$A:$Z,19,FALSE)+VLOOKUP($A376,A:AL,28,FALSE)-50),"-",(VLOOKUP($A376,'SegEnds_NonXtal_BW#'!$A:$Z,19,FALSE)+VLOOKUP($A376,A:AL,28,FALSE)-50))</f>
        <v>417</v>
      </c>
      <c r="AB376" s="3">
        <v>432</v>
      </c>
      <c r="AC376" s="3">
        <f>IF(ISERROR((VLOOKUP($A376,'SegEnds_NonXtal_BW#'!$A:$Z,20,FALSE)+VLOOKUP($A376,A:AL,28,FALSE)-50)),"-",(VLOOKUP($A376,'SegEnds_NonXtal_BW#'!$A:$Z,20,FALSE)+VLOOKUP($A376,A:AL,28,FALSE)-50))</f>
        <v>454</v>
      </c>
      <c r="AD376" s="3">
        <f>IF(ISERROR(VLOOKUP($A376,'SegEnds_NonXtal_BW#'!$A:$Z,21,FALSE)+VLOOKUP($A376,A:AL,31,FALSE)-50),"-",(VLOOKUP($A376,'SegEnds_NonXtal_BW#'!$A:$Z,21,FALSE)+VLOOKUP($A376,A:AL,31,FALSE)-50))</f>
        <v>461</v>
      </c>
      <c r="AE376" s="3">
        <v>487</v>
      </c>
      <c r="AF376" s="3">
        <f>IF(ISERROR((VLOOKUP($A376,'SegEnds_NonXtal_BW#'!$A:$Z,22,FALSE)+VLOOKUP($A376,A:AL,31,FALSE)-50)),"-",(VLOOKUP($A376,'SegEnds_NonXtal_BW#'!$A:$Z,22,FALSE)+VLOOKUP($A376,A:AL,31,FALSE)-50))</f>
        <v>515</v>
      </c>
      <c r="AG376" s="3">
        <f>IF(ISERROR(VLOOKUP($A376,'SegEnds_NonXtal_BW#'!$A:$Z,23,FALSE)+VLOOKUP($A376,A:AL,34,FALSE)-50),"-",(VLOOKUP($A376,'SegEnds_NonXtal_BW#'!$A:$Z,23,FALSE)+VLOOKUP($A376,A:AL,34,FALSE)-50))</f>
        <v>526</v>
      </c>
      <c r="AH376" s="3">
        <v>542</v>
      </c>
      <c r="AI376" s="3">
        <f>IF(ISERROR((VLOOKUP($A376,'SegEnds_NonXtal_BW#'!$A:$Z,24,FALSE)+VLOOKUP($A376,A:AL,34,FALSE)-50)),"-",(VLOOKUP($A376,'SegEnds_NonXtal_BW#'!$A:$Z,24,FALSE)+VLOOKUP($A376,A:AL,34,FALSE)-50))</f>
        <v>549</v>
      </c>
      <c r="AJ376" s="3">
        <f>IF(ISERROR(VLOOKUP($A376,'SegEnds_NonXtal_BW#'!$A:$Z,25,FALSE)+VLOOKUP($A376,A:AL,37,FALSE)-50),"-",(VLOOKUP($A376,'SegEnds_NonXtal_BW#'!$A:$Z,25,FALSE)+VLOOKUP($A376,A:AL,37,FALSE)-50))</f>
        <v>550</v>
      </c>
      <c r="AK376" s="3">
        <v>553</v>
      </c>
      <c r="AL376" s="3">
        <f>IF(ISERROR((VLOOKUP($A376,'SegEnds_NonXtal_BW#'!$A:$Z,26,FALSE)+VLOOKUP($A376,A:AL,37,FALSE)-50)),"-",(VLOOKUP($A376,'SegEnds_NonXtal_BW#'!$A:$Z,26,FALSE)+VLOOKUP($A376,A:AL,37,FALSE)-50))</f>
        <v>565</v>
      </c>
      <c r="AM376" s="28" t="str">
        <f>VLOOKUP(A376,Classification!A:B,2,FALSE)</f>
        <v>F</v>
      </c>
      <c r="AN376" s="28" t="b">
        <f t="shared" si="235"/>
        <v>1</v>
      </c>
      <c r="AO376" s="3" t="str">
        <f>IF(ISERROR(MATCH(A376,'SegEnds_Xtal_Prot#'!B:B, 0)), "NoXtal", "Xtal")</f>
        <v>NoXtal</v>
      </c>
      <c r="AP376" s="3">
        <f t="shared" si="220"/>
        <v>1</v>
      </c>
      <c r="AQ376" s="3">
        <f t="shared" si="221"/>
        <v>1</v>
      </c>
      <c r="AR376" s="3" t="str">
        <f t="shared" si="222"/>
        <v>-</v>
      </c>
      <c r="AS376" s="3" t="str">
        <f t="shared" si="223"/>
        <v>-</v>
      </c>
      <c r="AT376" s="3" t="str">
        <f t="shared" si="224"/>
        <v>-</v>
      </c>
      <c r="AU376" s="3" t="str">
        <f t="shared" si="225"/>
        <v>-</v>
      </c>
      <c r="AV376" s="3">
        <f t="shared" si="226"/>
        <v>12</v>
      </c>
      <c r="AW376" s="3">
        <f t="shared" si="227"/>
        <v>4</v>
      </c>
      <c r="AX376" s="3">
        <f t="shared" si="228"/>
        <v>7</v>
      </c>
      <c r="AY376" s="3">
        <f t="shared" si="229"/>
        <v>11</v>
      </c>
      <c r="AZ376" s="3">
        <f t="shared" si="230"/>
        <v>1</v>
      </c>
      <c r="BA376" s="3">
        <f>IF(ISERROR(LEN(VLOOKUP(A376,Seqs!A:E,2,FALSE))-AL376),"-",LEN(VLOOKUP(A376,Seqs!A:E,2,FALSE))-AL376)</f>
        <v>9</v>
      </c>
      <c r="BB376" s="16">
        <f t="shared" si="231"/>
        <v>26</v>
      </c>
      <c r="BC376" s="9" t="str">
        <f t="shared" si="232"/>
        <v>-</v>
      </c>
      <c r="BD376" s="3">
        <f t="shared" si="233"/>
        <v>26</v>
      </c>
      <c r="BE376" s="3">
        <f t="shared" si="234"/>
        <v>55</v>
      </c>
      <c r="BF376" s="3">
        <f>AH376-AE376</f>
        <v>55</v>
      </c>
    </row>
    <row r="377" spans="1:58" s="3" customFormat="1" x14ac:dyDescent="0.2">
      <c r="A377" s="3" t="s">
        <v>454</v>
      </c>
      <c r="B377" s="3" t="str">
        <f>LOWER(VLOOKUP(A377,Xtal_Templ!A:B,2,FALSE))</f>
        <v>smo_human</v>
      </c>
      <c r="C377" s="3">
        <f>VLOOKUP($A377,'SegEnds_NonXtal_BW#'!$A:$Z,3,FALSE)+D377-50</f>
        <v>270</v>
      </c>
      <c r="D377" s="3">
        <v>292</v>
      </c>
      <c r="E377" s="3">
        <f>IF(ISERROR(VLOOKUP($A377,'SegEnds_NonXtal_BW#'!$A:$Z,4,FALSE)+VLOOKUP($A377,A:AL,4,FALSE)-50),"-",(VLOOKUP($A377,'SegEnds_NonXtal_BW#'!$A:$Z,4,FALSE)+VLOOKUP($A377,A:AL,4,FALSE)-50))</f>
        <v>302</v>
      </c>
      <c r="F377" s="3">
        <f t="shared" si="237"/>
        <v>303</v>
      </c>
      <c r="G377" s="3">
        <v>306</v>
      </c>
      <c r="H377" s="3">
        <f t="shared" si="242"/>
        <v>307</v>
      </c>
      <c r="I377" s="3">
        <f t="shared" si="239"/>
        <v>308</v>
      </c>
      <c r="J377" s="3">
        <v>318</v>
      </c>
      <c r="K377" s="3">
        <f>VLOOKUP($A377,'SegEnds_NonXtal_BW#'!$A:$Z,8,FALSE)+VLOOKUP($A377,A:AL,10,FALSE)-50</f>
        <v>331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394</v>
      </c>
      <c r="P377" s="3">
        <v>421</v>
      </c>
      <c r="Q377" s="3">
        <f>VLOOKUP($A377,'SegEnds_NonXtal_BW#'!$A:$Z,12,FALSE)+VLOOKUP($A377,A:AL,16,FALSE)-50</f>
        <v>430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1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434</v>
      </c>
      <c r="V377" s="3">
        <v>446</v>
      </c>
      <c r="W377" s="3">
        <f>IF(ISERROR(VLOOKUP($A377,'SegEnds_NonXtal_BW#'!$A:$Z,16,FALSE)+VLOOKUP($A377,A:AL,22,FALSE)-50),"-",(VLOOKUP($A377,'SegEnds_NonXtal_BW#'!$A:$Z,16,FALSE)+VLOOKUP($A377,A:AL,22,FALSE)-50))</f>
        <v>459</v>
      </c>
      <c r="X377" s="3">
        <f>IF(ISERROR(VLOOKUP($A377,'SegEnds_NonXtal_BW#'!$A:$Z,17,FALSE)+VLOOKUP($A377,A:AL,25,FALSE)-50),"-",(VLOOKUP($A377,'SegEnds_NonXtal_BW#'!$A:$Z,17,FALSE)+VLOOKUP($A377,A:AL,25,FALSE)-50))</f>
        <v>471</v>
      </c>
      <c r="Y377" s="3">
        <v>471</v>
      </c>
      <c r="Z377" s="3">
        <f t="shared" si="241"/>
        <v>473</v>
      </c>
      <c r="AA377" s="3">
        <f>IF(ISERROR(VLOOKUP($A377,'SegEnds_NonXtal_BW#'!$A:$Z,19,FALSE)+VLOOKUP($A377,A:AL,28,FALSE)-50),"-",(VLOOKUP($A377,'SegEnds_NonXtal_BW#'!$A:$Z,19,FALSE)+VLOOKUP($A377,A:AL,28,FALSE)-50))</f>
        <v>477</v>
      </c>
      <c r="AB377" s="3">
        <v>492</v>
      </c>
      <c r="AC377" s="3">
        <f>IF(ISERROR((VLOOKUP($A377,'SegEnds_NonXtal_BW#'!$A:$Z,20,FALSE)+VLOOKUP($A377,A:AL,28,FALSE)-50)),"-",(VLOOKUP($A377,'SegEnds_NonXtal_BW#'!$A:$Z,20,FALSE)+VLOOKUP($A377,A:AL,28,FALSE)-50))</f>
        <v>514</v>
      </c>
      <c r="AD377" s="3">
        <f>IF(ISERROR(VLOOKUP($A377,'SegEnds_NonXtal_BW#'!$A:$Z,21,FALSE)+VLOOKUP($A377,A:AL,31,FALSE)-50),"-",(VLOOKUP($A377,'SegEnds_NonXtal_BW#'!$A:$Z,21,FALSE)+VLOOKUP($A377,A:AL,31,FALSE)-50))</f>
        <v>523</v>
      </c>
      <c r="AE377" s="3">
        <v>549</v>
      </c>
      <c r="AF377" s="3">
        <f>IF(ISERROR((VLOOKUP($A377,'SegEnds_NonXtal_BW#'!$A:$Z,22,FALSE)+VLOOKUP($A377,A:AL,31,FALSE)-50)),"-",(VLOOKUP($A377,'SegEnds_NonXtal_BW#'!$A:$Z,22,FALSE)+VLOOKUP($A377,A:AL,31,FALSE)-50))</f>
        <v>577</v>
      </c>
      <c r="AG377" s="3">
        <f>IF(ISERROR(VLOOKUP($A377,'SegEnds_NonXtal_BW#'!$A:$Z,23,FALSE)+VLOOKUP($A377,A:AL,34,FALSE)-50),"-",(VLOOKUP($A377,'SegEnds_NonXtal_BW#'!$A:$Z,23,FALSE)+VLOOKUP($A377,A:AL,34,FALSE)-50))</f>
        <v>582</v>
      </c>
      <c r="AH377" s="3">
        <v>598</v>
      </c>
      <c r="AI377" s="3">
        <f>IF(ISERROR((VLOOKUP($A377,'SegEnds_NonXtal_BW#'!$A:$Z,24,FALSE)+VLOOKUP($A377,A:AL,34,FALSE)-50)),"-",(VLOOKUP($A377,'SegEnds_NonXtal_BW#'!$A:$Z,24,FALSE)+VLOOKUP($A377,A:AL,34,FALSE)-50))</f>
        <v>605</v>
      </c>
      <c r="AJ377" s="3">
        <f>IF(ISERROR(VLOOKUP($A377,'SegEnds_NonXtal_BW#'!$A:$Z,25,FALSE)+VLOOKUP($A377,A:AL,37,FALSE)-50),"-",(VLOOKUP($A377,'SegEnds_NonXtal_BW#'!$A:$Z,25,FALSE)+VLOOKUP($A377,A:AL,37,FALSE)-50))</f>
        <v>606</v>
      </c>
      <c r="AK377" s="3">
        <v>609</v>
      </c>
      <c r="AL377" s="3">
        <f>IF(ISERROR((VLOOKUP($A377,'SegEnds_NonXtal_BW#'!$A:$Z,26,FALSE)+VLOOKUP($A377,A:AL,37,FALSE)-50)),"-",(VLOOKUP($A377,'SegEnds_NonXtal_BW#'!$A:$Z,26,FALSE)+VLOOKUP($A377,A:AL,37,FALSE)-50))</f>
        <v>621</v>
      </c>
      <c r="AM377" s="28" t="str">
        <f>VLOOKUP(A377,Classification!A:B,2,FALSE)</f>
        <v>F</v>
      </c>
      <c r="AN377" s="28" t="b">
        <f t="shared" si="235"/>
        <v>1</v>
      </c>
      <c r="AO377" s="3" t="str">
        <f>IF(ISERROR(MATCH(A377,'SegEnds_Xtal_Prot#'!B:B, 0)), "NoXtal", "Xtal")</f>
        <v>NoXtal</v>
      </c>
      <c r="AP377" s="3">
        <f t="shared" si="220"/>
        <v>1</v>
      </c>
      <c r="AQ377" s="3">
        <f t="shared" si="221"/>
        <v>1</v>
      </c>
      <c r="AR377" s="3" t="str">
        <f t="shared" si="222"/>
        <v>-</v>
      </c>
      <c r="AS377" s="3" t="str">
        <f t="shared" si="223"/>
        <v>-</v>
      </c>
      <c r="AT377" s="3" t="str">
        <f t="shared" si="224"/>
        <v>-</v>
      </c>
      <c r="AU377" s="3" t="str">
        <f t="shared" si="225"/>
        <v>-</v>
      </c>
      <c r="AV377" s="3">
        <f t="shared" si="226"/>
        <v>12</v>
      </c>
      <c r="AW377" s="3">
        <f t="shared" si="227"/>
        <v>4</v>
      </c>
      <c r="AX377" s="3">
        <f t="shared" si="228"/>
        <v>9</v>
      </c>
      <c r="AY377" s="3">
        <f t="shared" si="229"/>
        <v>5</v>
      </c>
      <c r="AZ377" s="3">
        <f t="shared" si="230"/>
        <v>1</v>
      </c>
      <c r="BA377" s="3">
        <f>IF(ISERROR(LEN(VLOOKUP(A377,Seqs!A:E,2,FALSE))-AL377),"-",LEN(VLOOKUP(A377,Seqs!A:E,2,FALSE))-AL377)</f>
        <v>73</v>
      </c>
      <c r="BB377" s="16">
        <f t="shared" si="231"/>
        <v>26</v>
      </c>
      <c r="BC377" s="9" t="str">
        <f t="shared" si="232"/>
        <v>-</v>
      </c>
      <c r="BD377" s="3">
        <f t="shared" si="233"/>
        <v>26</v>
      </c>
      <c r="BE377" s="3">
        <f t="shared" si="234"/>
        <v>57</v>
      </c>
    </row>
    <row r="378" spans="1:58" s="3" customFormat="1" x14ac:dyDescent="0.2">
      <c r="A378" s="3" t="s">
        <v>455</v>
      </c>
      <c r="B378" s="3" t="str">
        <f>LOWER(VLOOKUP(A378,Xtal_Templ!A:B,2,FALSE))</f>
        <v>smo_human</v>
      </c>
      <c r="C378" s="3">
        <f>VLOOKUP($A378,'SegEnds_NonXtal_BW#'!$A:$Z,3,FALSE)+D378-50</f>
        <v>224</v>
      </c>
      <c r="D378" s="3">
        <v>246</v>
      </c>
      <c r="E378" s="3">
        <f>IF(ISERROR(VLOOKUP($A378,'SegEnds_NonXtal_BW#'!$A:$Z,4,FALSE)+VLOOKUP($A378,A:AL,4,FALSE)-50),"-",(VLOOKUP($A378,'SegEnds_NonXtal_BW#'!$A:$Z,4,FALSE)+VLOOKUP($A378,A:AL,4,FALSE)-50))</f>
        <v>256</v>
      </c>
      <c r="F378" s="3">
        <f t="shared" si="237"/>
        <v>257</v>
      </c>
      <c r="G378" s="3">
        <v>260</v>
      </c>
      <c r="H378" s="3">
        <f t="shared" si="242"/>
        <v>261</v>
      </c>
      <c r="I378" s="3">
        <f t="shared" si="239"/>
        <v>262</v>
      </c>
      <c r="J378" s="3">
        <v>272</v>
      </c>
      <c r="K378" s="3">
        <f>VLOOKUP($A378,'SegEnds_NonXtal_BW#'!$A:$Z,8,FALSE)+VLOOKUP($A378,A:AL,10,FALSE)-50</f>
        <v>285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311</v>
      </c>
      <c r="P378" s="3">
        <v>338</v>
      </c>
      <c r="Q378" s="3">
        <f>VLOOKUP($A378,'SegEnds_NonXtal_BW#'!$A:$Z,12,FALSE)+VLOOKUP($A378,A:AL,16,FALSE)-50</f>
        <v>347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1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351</v>
      </c>
      <c r="V378" s="3">
        <v>363</v>
      </c>
      <c r="W378" s="3">
        <f>IF(ISERROR(VLOOKUP($A378,'SegEnds_NonXtal_BW#'!$A:$Z,16,FALSE)+VLOOKUP($A378,A:AL,22,FALSE)-50),"-",(VLOOKUP($A378,'SegEnds_NonXtal_BW#'!$A:$Z,16,FALSE)+VLOOKUP($A378,A:AL,22,FALSE)-50))</f>
        <v>376</v>
      </c>
      <c r="X378" s="3">
        <f>IF(ISERROR(VLOOKUP($A378,'SegEnds_NonXtal_BW#'!$A:$Z,17,FALSE)+VLOOKUP($A378,A:AL,25,FALSE)-50),"-",(VLOOKUP($A378,'SegEnds_NonXtal_BW#'!$A:$Z,17,FALSE)+VLOOKUP($A378,A:AL,25,FALSE)-50))</f>
        <v>388</v>
      </c>
      <c r="Y378" s="3">
        <v>388</v>
      </c>
      <c r="Z378" s="3">
        <f t="shared" si="241"/>
        <v>390</v>
      </c>
      <c r="AA378" s="3">
        <f>IF(ISERROR(VLOOKUP($A378,'SegEnds_NonXtal_BW#'!$A:$Z,19,FALSE)+VLOOKUP($A378,A:AL,28,FALSE)-50),"-",(VLOOKUP($A378,'SegEnds_NonXtal_BW#'!$A:$Z,19,FALSE)+VLOOKUP($A378,A:AL,28,FALSE)-50))</f>
        <v>394</v>
      </c>
      <c r="AB378" s="3">
        <v>409</v>
      </c>
      <c r="AC378" s="3">
        <f>IF(ISERROR((VLOOKUP($A378,'SegEnds_NonXtal_BW#'!$A:$Z,20,FALSE)+VLOOKUP($A378,A:AL,28,FALSE)-50)),"-",(VLOOKUP($A378,'SegEnds_NonXtal_BW#'!$A:$Z,20,FALSE)+VLOOKUP($A378,A:AL,28,FALSE)-50))</f>
        <v>431</v>
      </c>
      <c r="AD378" s="3">
        <f>IF(ISERROR(VLOOKUP($A378,'SegEnds_NonXtal_BW#'!$A:$Z,21,FALSE)+VLOOKUP($A378,A:AL,31,FALSE)-50),"-",(VLOOKUP($A378,'SegEnds_NonXtal_BW#'!$A:$Z,21,FALSE)+VLOOKUP($A378,A:AL,31,FALSE)-50))</f>
        <v>438</v>
      </c>
      <c r="AE378" s="3">
        <v>464</v>
      </c>
      <c r="AF378" s="3">
        <f>IF(ISERROR((VLOOKUP($A378,'SegEnds_NonXtal_BW#'!$A:$Z,22,FALSE)+VLOOKUP($A378,A:AL,31,FALSE)-50)),"-",(VLOOKUP($A378,'SegEnds_NonXtal_BW#'!$A:$Z,22,FALSE)+VLOOKUP($A378,A:AL,31,FALSE)-50))</f>
        <v>492</v>
      </c>
      <c r="AG378" s="3">
        <f>IF(ISERROR(VLOOKUP($A378,'SegEnds_NonXtal_BW#'!$A:$Z,23,FALSE)+VLOOKUP($A378,A:AL,34,FALSE)-50),"-",(VLOOKUP($A378,'SegEnds_NonXtal_BW#'!$A:$Z,23,FALSE)+VLOOKUP($A378,A:AL,34,FALSE)-50))</f>
        <v>506</v>
      </c>
      <c r="AH378" s="3">
        <v>522</v>
      </c>
      <c r="AI378" s="3">
        <f>IF(ISERROR((VLOOKUP($A378,'SegEnds_NonXtal_BW#'!$A:$Z,24,FALSE)+VLOOKUP($A378,A:AL,34,FALSE)-50)),"-",(VLOOKUP($A378,'SegEnds_NonXtal_BW#'!$A:$Z,24,FALSE)+VLOOKUP($A378,A:AL,34,FALSE)-50))</f>
        <v>529</v>
      </c>
      <c r="AJ378" s="3">
        <f>IF(ISERROR(VLOOKUP($A378,'SegEnds_NonXtal_BW#'!$A:$Z,25,FALSE)+VLOOKUP($A378,A:AL,37,FALSE)-50),"-",(VLOOKUP($A378,'SegEnds_NonXtal_BW#'!$A:$Z,25,FALSE)+VLOOKUP($A378,A:AL,37,FALSE)-50))</f>
        <v>530</v>
      </c>
      <c r="AK378" s="3">
        <v>533</v>
      </c>
      <c r="AL378" s="3">
        <f>IF(ISERROR((VLOOKUP($A378,'SegEnds_NonXtal_BW#'!$A:$Z,26,FALSE)+VLOOKUP($A378,A:AL,37,FALSE)-50)),"-",(VLOOKUP($A378,'SegEnds_NonXtal_BW#'!$A:$Z,26,FALSE)+VLOOKUP($A378,A:AL,37,FALSE)-50))</f>
        <v>545</v>
      </c>
      <c r="AM378" s="28" t="str">
        <f>VLOOKUP(A378,Classification!A:B,2,FALSE)</f>
        <v>F</v>
      </c>
      <c r="AN378" s="28" t="b">
        <f t="shared" si="235"/>
        <v>1</v>
      </c>
      <c r="AO378" s="3" t="str">
        <f>IF(ISERROR(MATCH(A378,'SegEnds_Xtal_Prot#'!B:B, 0)), "NoXtal", "Xtal")</f>
        <v>NoXtal</v>
      </c>
      <c r="AP378" s="3">
        <f t="shared" si="220"/>
        <v>1</v>
      </c>
      <c r="AQ378" s="3">
        <f t="shared" si="221"/>
        <v>1</v>
      </c>
      <c r="AR378" s="3" t="str">
        <f t="shared" si="222"/>
        <v>-</v>
      </c>
      <c r="AS378" s="3" t="str">
        <f t="shared" si="223"/>
        <v>-</v>
      </c>
      <c r="AT378" s="3" t="str">
        <f t="shared" si="224"/>
        <v>-</v>
      </c>
      <c r="AU378" s="3" t="str">
        <f t="shared" si="225"/>
        <v>-</v>
      </c>
      <c r="AV378" s="3">
        <f t="shared" si="226"/>
        <v>12</v>
      </c>
      <c r="AW378" s="3">
        <f t="shared" si="227"/>
        <v>4</v>
      </c>
      <c r="AX378" s="3">
        <f t="shared" si="228"/>
        <v>7</v>
      </c>
      <c r="AY378" s="3">
        <f t="shared" si="229"/>
        <v>14</v>
      </c>
      <c r="AZ378" s="3">
        <f t="shared" si="230"/>
        <v>1</v>
      </c>
      <c r="BA378" s="3">
        <f>IF(ISERROR(LEN(VLOOKUP(A378,Seqs!A:E,2,FALSE))-AL378),"-",LEN(VLOOKUP(A378,Seqs!A:E,2,FALSE))-AL378)</f>
        <v>46</v>
      </c>
      <c r="BB378" s="16">
        <f t="shared" si="231"/>
        <v>26</v>
      </c>
      <c r="BC378" s="9" t="str">
        <f t="shared" si="232"/>
        <v>-</v>
      </c>
      <c r="BD378" s="3">
        <f t="shared" si="233"/>
        <v>26</v>
      </c>
      <c r="BE378" s="3">
        <f t="shared" si="234"/>
        <v>55</v>
      </c>
    </row>
    <row r="379" spans="1:58" s="3" customFormat="1" x14ac:dyDescent="0.2">
      <c r="A379" s="3" t="s">
        <v>33</v>
      </c>
      <c r="B379" s="3" t="str">
        <f>LOWER(VLOOKUP(A379,Xtal_Templ!A:B,2,FALSE))</f>
        <v>smo_human</v>
      </c>
      <c r="C379" s="3">
        <f>VLOOKUP($A379,'SegEnds_NonXtal_BW#'!$A:$Z,3,FALSE)+D379-50</f>
        <v>223</v>
      </c>
      <c r="D379" s="3">
        <v>245</v>
      </c>
      <c r="E379" s="3">
        <f>IF(ISERROR(VLOOKUP($A379,'SegEnds_NonXtal_BW#'!$A:$Z,4,FALSE)+VLOOKUP($A379,A:AL,4,FALSE)-50),"-",(VLOOKUP($A379,'SegEnds_NonXtal_BW#'!$A:$Z,4,FALSE)+VLOOKUP($A379,A:AL,4,FALSE)-50))</f>
        <v>255</v>
      </c>
      <c r="F379" s="3">
        <f t="shared" si="237"/>
        <v>256</v>
      </c>
      <c r="G379" s="3">
        <v>259</v>
      </c>
      <c r="H379" s="3">
        <f t="shared" si="242"/>
        <v>260</v>
      </c>
      <c r="I379" s="3">
        <f t="shared" si="239"/>
        <v>261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339</v>
      </c>
      <c r="Q379" s="3">
        <f>VLOOKUP($A379,'SegEnds_NonXtal_BW#'!$A:$Z,12,FALSE)+VLOOKUP($A379,A:AL,16,FALSE)-50</f>
        <v>348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1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353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378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41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468</v>
      </c>
      <c r="AF379" s="3">
        <f>IF(ISERROR((VLOOKUP($A379,'SegEnds_NonXtal_BW#'!$A:$Z,22,FALSE)+VLOOKUP($A379,A:AL,31,FALSE)-50)),"-",(VLOOKUP($A379,'SegEnds_NonXtal_BW#'!$A:$Z,22,FALSE)+VLOOKUP($A379,A:AL,31,FALSE)-50))</f>
        <v>496</v>
      </c>
      <c r="AG379" s="3">
        <f>IF(ISERROR(VLOOKUP($A379,'SegEnds_NonXtal_BW#'!$A:$Z,23,FALSE)+VLOOKUP($A379,A:AL,34,FALSE)-50),"-",(VLOOKUP($A379,'SegEnds_NonXtal_BW#'!$A:$Z,23,FALSE)+VLOOKUP($A379,A:AL,34,FALSE)-50))</f>
        <v>514</v>
      </c>
      <c r="AH379" s="3">
        <v>530</v>
      </c>
      <c r="AI379" s="3">
        <f>IF(ISERROR((VLOOKUP($A379,'SegEnds_NonXtal_BW#'!$A:$Z,24,FALSE)+VLOOKUP($A379,A:AL,34,FALSE)-50)),"-",(VLOOKUP($A379,'SegEnds_NonXtal_BW#'!$A:$Z,24,FALSE)+VLOOKUP($A379,A:AL,34,FALSE)-50))</f>
        <v>537</v>
      </c>
      <c r="AJ379" s="3">
        <f>IF(ISERROR(VLOOKUP($A379,'SegEnds_NonXtal_BW#'!$A:$Z,25,FALSE)+VLOOKUP($A379,A:AL,37,FALSE)-50),"-",(VLOOKUP($A379,'SegEnds_NonXtal_BW#'!$A:$Z,25,FALSE)+VLOOKUP($A379,A:AL,37,FALSE)-50))</f>
        <v>538</v>
      </c>
      <c r="AK379" s="3">
        <v>541</v>
      </c>
      <c r="AL379" s="3">
        <f>IF(ISERROR((VLOOKUP($A379,'SegEnds_NonXtal_BW#'!$A:$Z,26,FALSE)+VLOOKUP($A379,A:AL,37,FALSE)-50)),"-",(VLOOKUP($A379,'SegEnds_NonXtal_BW#'!$A:$Z,26,FALSE)+VLOOKUP($A379,A:AL,37,FALSE)-50))</f>
        <v>553</v>
      </c>
      <c r="AM379" s="28" t="str">
        <f>VLOOKUP(A379,Classification!A:B,2,FALSE)</f>
        <v>F</v>
      </c>
      <c r="AN379" s="28" t="b">
        <f t="shared" si="235"/>
        <v>1</v>
      </c>
      <c r="AO379" s="3" t="str">
        <f>IF(ISERROR(MATCH(A379,'SegEnds_Xtal_Prot#'!B:B, 0)), "NoXtal", "Xtal")</f>
        <v>Xtal</v>
      </c>
      <c r="AP379" s="3">
        <f t="shared" si="220"/>
        <v>1</v>
      </c>
      <c r="AQ379" s="3">
        <f t="shared" si="221"/>
        <v>1</v>
      </c>
      <c r="AR379" s="3" t="str">
        <f t="shared" si="222"/>
        <v>-</v>
      </c>
      <c r="AS379" s="3" t="str">
        <f t="shared" si="223"/>
        <v>-</v>
      </c>
      <c r="AT379" s="3" t="str">
        <f t="shared" si="224"/>
        <v>-</v>
      </c>
      <c r="AU379" s="3" t="str">
        <f t="shared" si="225"/>
        <v>-</v>
      </c>
      <c r="AV379" s="3">
        <f t="shared" si="226"/>
        <v>12</v>
      </c>
      <c r="AW379" s="3">
        <f t="shared" si="227"/>
        <v>4</v>
      </c>
      <c r="AX379" s="3">
        <f t="shared" si="228"/>
        <v>9</v>
      </c>
      <c r="AY379" s="3">
        <f t="shared" si="229"/>
        <v>18</v>
      </c>
      <c r="AZ379" s="3">
        <f t="shared" si="230"/>
        <v>1</v>
      </c>
      <c r="BA379" s="3">
        <f>IF(ISERROR(LEN(VLOOKUP(A379,Seqs!A:E,2,FALSE))-AL379),"-",LEN(VLOOKUP(A379,Seqs!A:E,2,FALSE))-AL379)</f>
        <v>234</v>
      </c>
      <c r="BB379" s="16">
        <f t="shared" si="231"/>
        <v>27</v>
      </c>
      <c r="BC379" s="9" t="str">
        <f t="shared" si="232"/>
        <v>-</v>
      </c>
      <c r="BD379" s="3">
        <f t="shared" si="233"/>
        <v>27</v>
      </c>
      <c r="BE379" s="3">
        <f t="shared" si="234"/>
        <v>57</v>
      </c>
    </row>
    <row r="380" spans="1:58" s="3" customFormat="1" x14ac:dyDescent="0.2">
      <c r="A380" s="3" t="s">
        <v>481</v>
      </c>
      <c r="B380" s="3" t="str">
        <f>LOWER(VLOOKUP(A380,Xtal_Templ!A:B,2,FALSE))</f>
        <v>agtr1_human</v>
      </c>
      <c r="C380" s="3">
        <v>20</v>
      </c>
      <c r="D380" s="3">
        <v>53</v>
      </c>
      <c r="E380" s="3">
        <f>IF(ISERROR(VLOOKUP($A380,'SegEnds_NonXtal_BW#'!$A:$Z,4,FALSE)+VLOOKUP($A380,A:AL,4,FALSE)-50),"-",(VLOOKUP($A380,'SegEnds_NonXtal_BW#'!$A:$Z,4,FALSE)+VLOOKUP($A380,A:AL,4,FALSE)-50))</f>
        <v>63</v>
      </c>
      <c r="F380" s="3" t="str">
        <f>IF(ISERROR(VLOOKUP($A380,'SegEnds_NonXtal_BW#'!$A:$Z,5,FALSE)+VLOOKUP($A380,A:AL,7,FALSE)-50),"-",(VLOOKUP($A380,'SegEnds_NonXtal_BW#'!$A:$Z,5,FALSE)+VLOOKUP($A380,A:AL,7,FALSE)-50))</f>
        <v>-</v>
      </c>
      <c r="G380" s="3" t="s">
        <v>23</v>
      </c>
      <c r="H380" s="3" t="str">
        <f>IF(ISERROR(VLOOKUP($A380,'SegEnds_NonXtal_BW#'!$A:$Z,6,FALSE)+VLOOKUP($A380,A:AL,7,FALSE)-50),"-",(VLOOKUP($A380,'SegEnds_NonXtal_BW#'!$A:$Z,6,FALSE)+VLOOKUP($A380,A:AL,7,FALSE)-50))</f>
        <v>-</v>
      </c>
      <c r="I380" s="3">
        <f>VLOOKUP($A380,'SegEnds_NonXtal_BW#'!$A:$Z,7,FALSE)+J380-50</f>
        <v>60</v>
      </c>
      <c r="J380" s="3">
        <v>71</v>
      </c>
      <c r="K380" s="3">
        <f>VLOOKUP($A380,'SegEnds_NonXtal_BW#'!$A:$Z,8,FALSE)+VLOOKUP($A380,A:AL,10,FALSE)-50</f>
        <v>84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125</v>
      </c>
      <c r="P380" s="3">
        <v>152</v>
      </c>
      <c r="Q380" s="3">
        <f>VLOOKUP($A380,'SegEnds_NonXtal_BW#'!$A:$Z,12,FALSE)+VLOOKUP($A380,A:AL,16,FALSE)-50</f>
        <v>158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1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175</v>
      </c>
      <c r="V380" s="3">
        <v>185</v>
      </c>
      <c r="W380" s="3">
        <f>IF(ISERROR(VLOOKUP($A380,'SegEnds_NonXtal_BW#'!$A:$Z,16,FALSE)+VLOOKUP($A380,A:AL,22,FALSE)-50),"-",(VLOOKUP($A380,'SegEnds_NonXtal_BW#'!$A:$Z,16,FALSE)+VLOOKUP($A380,A:AL,22,FALSE)-50))</f>
        <v>199</v>
      </c>
      <c r="X380" s="3" t="str">
        <f>IF(ISERROR(VLOOKUP($A380,'SegEnds_NonXtal_BW#'!$A:$Z,17,FALSE)+VLOOKUP($A380,A:AL,25,FALSE)-50),"-",(VLOOKUP($A380,'SegEnds_NonXtal_BW#'!$A:$Z,17,FALSE)+VLOOKUP($A380,A:AL,25,FALSE)-50))</f>
        <v>-</v>
      </c>
      <c r="Y380" s="3" t="s">
        <v>23</v>
      </c>
      <c r="Z380" s="3" t="str">
        <f>IF(ISERROR(VLOOKUP($A380,'SegEnds_NonXtal_BW#'!$A:$Z,18,FALSE)+VLOOKUP($A380,A:AL,25,FALSE)-50),"-",(VLOOKUP($A380,'SegEnds_NonXtal_BW#'!$A:$Z,18,FALSE)+VLOOKUP($A380,A:AL,25,FALSE)-50))</f>
        <v>-</v>
      </c>
      <c r="AA380" s="3">
        <f>IF(ISERROR(VLOOKUP($A380,'SegEnds_NonXtal_BW#'!$A:$Z,19,FALSE)+VLOOKUP($A380,A:AL,28,FALSE)-50),"-",(VLOOKUP($A380,'SegEnds_NonXtal_BW#'!$A:$Z,19,FALSE)+VLOOKUP($A380,A:AL,28,FALSE)-50))</f>
        <v>257</v>
      </c>
      <c r="AB380" s="3">
        <v>268</v>
      </c>
      <c r="AC380" s="3">
        <f>IF(ISERROR((VLOOKUP($A380,'SegEnds_NonXtal_BW#'!$A:$Z,20,FALSE)+VLOOKUP($A380,A:AL,28,FALSE)-50)),"-",(VLOOKUP($A380,'SegEnds_NonXtal_BW#'!$A:$Z,20,FALSE)+VLOOKUP($A380,A:AL,28,FALSE)-50))</f>
        <v>279</v>
      </c>
      <c r="AD380" s="3">
        <f>IF(ISERROR(VLOOKUP($A380,'SegEnds_NonXtal_BW#'!$A:$Z,21,FALSE)+VLOOKUP($A380,A:AL,31,FALSE)-50),"-",(VLOOKUP($A380,'SegEnds_NonXtal_BW#'!$A:$Z,21,FALSE)+VLOOKUP($A380,A:AL,31,FALSE)-50))</f>
        <v>326</v>
      </c>
      <c r="AE380" s="3">
        <v>347</v>
      </c>
      <c r="AF380" s="3">
        <f>IF(ISERROR((VLOOKUP($A380,'SegEnds_NonXtal_BW#'!$A:$Z,22,FALSE)+VLOOKUP($A380,A:AL,31,FALSE)-50)),"-",(VLOOKUP($A380,'SegEnds_NonXtal_BW#'!$A:$Z,22,FALSE)+VLOOKUP($A380,A:AL,31,FALSE)-50))</f>
        <v>350</v>
      </c>
      <c r="AG380" s="3">
        <f>IF(ISERROR(VLOOKUP($A380,'SegEnds_NonXtal_BW#'!$A:$Z,23,FALSE)+VLOOKUP($A380,A:AL,34,FALSE)-50),"-",(VLOOKUP($A380,'SegEnds_NonXtal_BW#'!$A:$Z,23,FALSE)+VLOOKUP($A380,A:AL,34,FALSE)-50))</f>
        <v>365</v>
      </c>
      <c r="AH380" s="3">
        <v>380</v>
      </c>
      <c r="AI380" s="3">
        <f>IF(ISERROR((VLOOKUP($A380,'SegEnds_NonXtal_BW#'!$A:$Z,24,FALSE)+VLOOKUP($A380,A:AL,34,FALSE)-50)),"-",(VLOOKUP($A380,'SegEnds_NonXtal_BW#'!$A:$Z,24,FALSE)+VLOOKUP($A380,A:AL,34,FALSE)-50))</f>
        <v>386</v>
      </c>
      <c r="AJ380" s="3">
        <f>IF(ISERROR(VLOOKUP($A380,'SegEnds_NonXtal_BW#'!$A:$Z,25,FALSE)+VLOOKUP($A380,A:AL,37,FALSE)-50),"-",(VLOOKUP($A380,'SegEnds_NonXtal_BW#'!$A:$Z,25,FALSE)+VLOOKUP($A380,A:AL,37,FALSE)-50))</f>
        <v>387</v>
      </c>
      <c r="AK380" s="3">
        <v>390</v>
      </c>
      <c r="AL380" s="3">
        <f>IF(ISERROR((VLOOKUP($A380,'SegEnds_NonXtal_BW#'!$A:$Z,26,FALSE)+VLOOKUP($A380,A:AL,37,FALSE)-50)),"-",(VLOOKUP($A380,'SegEnds_NonXtal_BW#'!$A:$Z,26,FALSE)+VLOOKUP($A380,A:AL,37,FALSE)-50))</f>
        <v>397</v>
      </c>
      <c r="AM380" s="28" t="str">
        <f>VLOOKUP(A380,Classification!A:B,2,FALSE)</f>
        <v>O</v>
      </c>
      <c r="AN380" s="28" t="b">
        <f t="shared" si="235"/>
        <v>1</v>
      </c>
      <c r="AO380" s="3" t="str">
        <f>IF(ISERROR(MATCH(A380,'SegEnds_Xtal_Prot#'!B:B, 0)), "NoXtal", "Xtal")</f>
        <v>NoXtal</v>
      </c>
      <c r="AP380" s="3" t="str">
        <f t="shared" si="220"/>
        <v>-</v>
      </c>
      <c r="AQ380" s="3" t="str">
        <f t="shared" si="221"/>
        <v>-</v>
      </c>
      <c r="AR380" s="3" t="str">
        <f t="shared" si="222"/>
        <v>-</v>
      </c>
      <c r="AS380" s="3" t="str">
        <f t="shared" si="223"/>
        <v>-</v>
      </c>
      <c r="AT380" s="3" t="str">
        <f t="shared" si="224"/>
        <v>-</v>
      </c>
      <c r="AU380" s="3" t="str">
        <f t="shared" si="225"/>
        <v>-</v>
      </c>
      <c r="AV380" s="3" t="str">
        <f t="shared" si="226"/>
        <v>-</v>
      </c>
      <c r="AW380" s="3" t="str">
        <f t="shared" si="227"/>
        <v>-</v>
      </c>
      <c r="AX380" s="3">
        <f t="shared" si="228"/>
        <v>47</v>
      </c>
      <c r="AY380" s="3">
        <f t="shared" si="229"/>
        <v>15</v>
      </c>
      <c r="AZ380" s="3">
        <f t="shared" si="230"/>
        <v>1</v>
      </c>
      <c r="BA380" s="3">
        <f>IF(ISERROR(LEN(VLOOKUP(A380,Seqs!A:E,2,FALSE))-AL380),"-",LEN(VLOOKUP(A380,Seqs!A:E,2,FALSE))-AL380)</f>
        <v>20</v>
      </c>
      <c r="BB380" s="16">
        <f t="shared" si="231"/>
        <v>18</v>
      </c>
      <c r="BC380" s="9" t="str">
        <f t="shared" si="232"/>
        <v>-</v>
      </c>
      <c r="BD380" s="3">
        <f t="shared" si="233"/>
        <v>18</v>
      </c>
      <c r="BE380" s="3">
        <f t="shared" si="234"/>
        <v>79</v>
      </c>
      <c r="BF380" s="3">
        <f>AH380-AE380</f>
        <v>33</v>
      </c>
    </row>
    <row r="381" spans="1:58" s="3" customFormat="1" x14ac:dyDescent="0.2">
      <c r="A381" s="3" t="s">
        <v>482</v>
      </c>
      <c r="B381" s="3" t="str">
        <f>LOWER(VLOOKUP(A381,Xtal_Templ!A:B,2,FALSE))</f>
        <v>ccr9_human</v>
      </c>
      <c r="C381" s="3">
        <v>202</v>
      </c>
      <c r="D381" s="3">
        <v>231</v>
      </c>
      <c r="E381" s="3">
        <f>IF(ISERROR(VLOOKUP($A381,'SegEnds_NonXtal_BW#'!$A:$Z,4,FALSE)+VLOOKUP($A381,A:AL,4,FALSE)-50),"-",(VLOOKUP($A381,'SegEnds_NonXtal_BW#'!$A:$Z,4,FALSE)+VLOOKUP($A381,A:AL,4,FALSE)-50))</f>
        <v>241</v>
      </c>
      <c r="F381" s="3" t="str">
        <f>IF(ISERROR(VLOOKUP($A381,'SegEnds_NonXtal_BW#'!$A:$Z,5,FALSE)+VLOOKUP($A381,A:AL,7,FALSE)-50),"-",(VLOOKUP($A381,'SegEnds_NonXtal_BW#'!$A:$Z,5,FALSE)+VLOOKUP($A381,A:AL,7,FALSE)-50))</f>
        <v>-</v>
      </c>
      <c r="G381" s="3" t="s">
        <v>23</v>
      </c>
      <c r="H381" s="3" t="str">
        <f>IF(ISERROR(VLOOKUP($A381,'SegEnds_NonXtal_BW#'!$A:$Z,6,FALSE)+VLOOKUP($A381,A:AL,7,FALSE)-50),"-",(VLOOKUP($A381,'SegEnds_NonXtal_BW#'!$A:$Z,6,FALSE)+VLOOKUP($A381,A:AL,7,FALSE)-50))</f>
        <v>-</v>
      </c>
      <c r="I381" s="3">
        <f>VLOOKUP($A381,'SegEnds_NonXtal_BW#'!$A:$Z,7,FALSE)+J381-50</f>
        <v>269</v>
      </c>
      <c r="J381" s="3">
        <v>280</v>
      </c>
      <c r="K381" s="3">
        <f>VLOOKUP($A381,'SegEnds_NonXtal_BW#'!$A:$Z,8,FALSE)+VLOOKUP($A381,A:AL,10,FALSE)-50</f>
        <v>293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327</v>
      </c>
      <c r="P381" s="3">
        <v>354</v>
      </c>
      <c r="Q381" s="3">
        <f>VLOOKUP($A381,'SegEnds_NonXtal_BW#'!$A:$Z,12,FALSE)+VLOOKUP($A381,A:AL,16,FALSE)-50</f>
        <v>360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1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381</v>
      </c>
      <c r="V381" s="3">
        <v>391</v>
      </c>
      <c r="W381" s="3">
        <f>IF(ISERROR(VLOOKUP($A381,'SegEnds_NonXtal_BW#'!$A:$Z,16,FALSE)+VLOOKUP($A381,A:AL,22,FALSE)-50),"-",(VLOOKUP($A381,'SegEnds_NonXtal_BW#'!$A:$Z,16,FALSE)+VLOOKUP($A381,A:AL,22,FALSE)-50))</f>
        <v>405</v>
      </c>
      <c r="X381" s="3" t="str">
        <f>IF(ISERROR(VLOOKUP($A381,'SegEnds_NonXtal_BW#'!$A:$Z,17,FALSE)+VLOOKUP($A381,A:AL,25,FALSE)-50),"-",(VLOOKUP($A381,'SegEnds_NonXtal_BW#'!$A:$Z,17,FALSE)+VLOOKUP($A381,A:AL,25,FALSE)-50))</f>
        <v>-</v>
      </c>
      <c r="Y381" s="3" t="s">
        <v>23</v>
      </c>
      <c r="Z381" s="3" t="str">
        <f>IF(ISERROR(VLOOKUP($A381,'SegEnds_NonXtal_BW#'!$A:$Z,18,FALSE)+VLOOKUP($A381,A:AL,25,FALSE)-50),"-",(VLOOKUP($A381,'SegEnds_NonXtal_BW#'!$A:$Z,18,FALSE)+VLOOKUP($A381,A:AL,25,FALSE)-50))</f>
        <v>-</v>
      </c>
      <c r="AA381" s="3">
        <f>IF(ISERROR(VLOOKUP($A381,'SegEnds_NonXtal_BW#'!$A:$Z,19,FALSE)+VLOOKUP($A381,A:AL,28,FALSE)-50),"-",(VLOOKUP($A381,'SegEnds_NonXtal_BW#'!$A:$Z,19,FALSE)+VLOOKUP($A381,A:AL,28,FALSE)-50))</f>
        <v>461</v>
      </c>
      <c r="AB381" s="3">
        <v>472</v>
      </c>
      <c r="AC381" s="3">
        <f>IF(ISERROR((VLOOKUP($A381,'SegEnds_NonXtal_BW#'!$A:$Z,20,FALSE)+VLOOKUP($A381,A:AL,28,FALSE)-50)),"-",(VLOOKUP($A381,'SegEnds_NonXtal_BW#'!$A:$Z,20,FALSE)+VLOOKUP($A381,A:AL,28,FALSE)-50))</f>
        <v>483</v>
      </c>
      <c r="AD381" s="3">
        <f>IF(ISERROR(VLOOKUP($A381,'SegEnds_NonXtal_BW#'!$A:$Z,21,FALSE)+VLOOKUP($A381,A:AL,31,FALSE)-50),"-",(VLOOKUP($A381,'SegEnds_NonXtal_BW#'!$A:$Z,21,FALSE)+VLOOKUP($A381,A:AL,31,FALSE)-50))</f>
        <v>488</v>
      </c>
      <c r="AE381" s="3">
        <v>509</v>
      </c>
      <c r="AF381" s="3">
        <f>IF(ISERROR((VLOOKUP($A381,'SegEnds_NonXtal_BW#'!$A:$Z,22,FALSE)+VLOOKUP($A381,A:AL,31,FALSE)-50)),"-",(VLOOKUP($A381,'SegEnds_NonXtal_BW#'!$A:$Z,22,FALSE)+VLOOKUP($A381,A:AL,31,FALSE)-50))</f>
        <v>512</v>
      </c>
      <c r="AG381" s="3">
        <f>IF(ISERROR(VLOOKUP($A381,'SegEnds_NonXtal_BW#'!$A:$Z,23,FALSE)+VLOOKUP($A381,A:AL,34,FALSE)-50),"-",(VLOOKUP($A381,'SegEnds_NonXtal_BW#'!$A:$Z,23,FALSE)+VLOOKUP($A381,A:AL,34,FALSE)-50))</f>
        <v>538</v>
      </c>
      <c r="AH381" s="3">
        <v>553</v>
      </c>
      <c r="AI381" s="3">
        <f>IF(ISERROR((VLOOKUP($A381,'SegEnds_NonXtal_BW#'!$A:$Z,24,FALSE)+VLOOKUP($A381,A:AL,34,FALSE)-50)),"-",(VLOOKUP($A381,'SegEnds_NonXtal_BW#'!$A:$Z,24,FALSE)+VLOOKUP($A381,A:AL,34,FALSE)-50))</f>
        <v>559</v>
      </c>
      <c r="AJ381" s="3">
        <f>IF(ISERROR(VLOOKUP($A381,'SegEnds_NonXtal_BW#'!$A:$Z,25,FALSE)+VLOOKUP($A381,A:AL,37,FALSE)-50),"-",(VLOOKUP($A381,'SegEnds_NonXtal_BW#'!$A:$Z,25,FALSE)+VLOOKUP($A381,A:AL,37,FALSE)-50))</f>
        <v>561</v>
      </c>
      <c r="AK381" s="3">
        <v>564</v>
      </c>
      <c r="AL381" s="3">
        <f>IF(ISERROR((VLOOKUP($A381,'SegEnds_NonXtal_BW#'!$A:$Z,26,FALSE)+VLOOKUP($A381,A:AL,37,FALSE)-50)),"-",(VLOOKUP($A381,'SegEnds_NonXtal_BW#'!$A:$Z,26,FALSE)+VLOOKUP($A381,A:AL,37,FALSE)-50))</f>
        <v>571</v>
      </c>
      <c r="AM381" s="28" t="str">
        <f>VLOOKUP(A381,Classification!A:B,2,FALSE)</f>
        <v>O</v>
      </c>
      <c r="AN381" s="28" t="b">
        <f t="shared" si="235"/>
        <v>1</v>
      </c>
      <c r="AO381" s="3" t="str">
        <f>IF(ISERROR(MATCH(A381,'SegEnds_Xtal_Prot#'!B:B, 0)), "NoXtal", "Xtal")</f>
        <v>NoXtal</v>
      </c>
      <c r="AP381" s="3" t="str">
        <f t="shared" si="220"/>
        <v>-</v>
      </c>
      <c r="AQ381" s="3" t="str">
        <f t="shared" si="221"/>
        <v>-</v>
      </c>
      <c r="AR381" s="3" t="str">
        <f t="shared" si="222"/>
        <v>-</v>
      </c>
      <c r="AS381" s="3" t="str">
        <f t="shared" si="223"/>
        <v>-</v>
      </c>
      <c r="AT381" s="3" t="str">
        <f t="shared" si="224"/>
        <v>-</v>
      </c>
      <c r="AU381" s="3" t="str">
        <f t="shared" si="225"/>
        <v>-</v>
      </c>
      <c r="AV381" s="3" t="str">
        <f t="shared" si="226"/>
        <v>-</v>
      </c>
      <c r="AW381" s="3" t="str">
        <f t="shared" si="227"/>
        <v>-</v>
      </c>
      <c r="AX381" s="3">
        <f t="shared" si="228"/>
        <v>5</v>
      </c>
      <c r="AY381" s="3">
        <f t="shared" si="229"/>
        <v>26</v>
      </c>
      <c r="AZ381" s="3">
        <f t="shared" si="230"/>
        <v>2</v>
      </c>
      <c r="BA381" s="3">
        <f>IF(ISERROR(LEN(VLOOKUP(A381,Seqs!A:E,2,FALSE))-AL381),"-",LEN(VLOOKUP(A381,Seqs!A:E,2,FALSE))-AL381)</f>
        <v>29</v>
      </c>
      <c r="BB381" s="16">
        <f t="shared" si="231"/>
        <v>49</v>
      </c>
      <c r="BC381" s="9" t="str">
        <f t="shared" si="232"/>
        <v>-</v>
      </c>
      <c r="BD381" s="3">
        <f t="shared" si="233"/>
        <v>49</v>
      </c>
      <c r="BE381" s="3">
        <f t="shared" si="234"/>
        <v>37</v>
      </c>
      <c r="BF381" s="3">
        <f>AH381-AE381</f>
        <v>44</v>
      </c>
    </row>
    <row r="382" spans="1:58" s="3" customFormat="1" x14ac:dyDescent="0.2">
      <c r="A382" s="3" t="s">
        <v>485</v>
      </c>
      <c r="B382" s="3" t="str">
        <f>LOWER(VLOOKUP(A382,Xtal_Templ!A:B,2,FALSE))</f>
        <v>aa2ar_human</v>
      </c>
      <c r="C382" s="3">
        <v>12</v>
      </c>
      <c r="D382" s="3">
        <v>42</v>
      </c>
      <c r="E382" s="3">
        <f>IF(ISERROR(VLOOKUP($A382,'SegEnds_NonXtal_BW#'!$A:$Z,4,FALSE)+VLOOKUP($A382,A:AL,4,FALSE)-50),"-",(VLOOKUP($A382,'SegEnds_NonXtal_BW#'!$A:$Z,4,FALSE)+VLOOKUP($A382,A:AL,4,FALSE)-50))</f>
        <v>52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67</v>
      </c>
      <c r="J382" s="3">
        <v>78</v>
      </c>
      <c r="K382" s="3">
        <f>VLOOKUP($A382,'SegEnds_NonXtal_BW#'!$A:$Z,8,FALSE)+VLOOKUP($A382,A:AL,10,FALSE)-50</f>
        <v>91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114</v>
      </c>
      <c r="P382" s="3">
        <v>141</v>
      </c>
      <c r="Q382" s="3">
        <f>VLOOKUP($A382,'SegEnds_NonXtal_BW#'!$A:$Z,12,FALSE)+VLOOKUP($A382,A:AL,16,FALSE)-50</f>
        <v>147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1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152</v>
      </c>
      <c r="V382" s="3">
        <v>162</v>
      </c>
      <c r="W382" s="3">
        <f>IF(ISERROR(VLOOKUP($A382,'SegEnds_NonXtal_BW#'!$A:$Z,16,FALSE)+VLOOKUP($A382,A:AL,22,FALSE)-50),"-",(VLOOKUP($A382,'SegEnds_NonXtal_BW#'!$A:$Z,16,FALSE)+VLOOKUP($A382,A:AL,22,FALSE)-50))</f>
        <v>176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190</v>
      </c>
      <c r="AB382" s="3">
        <v>201</v>
      </c>
      <c r="AC382" s="3">
        <f>IF(ISERROR((VLOOKUP($A382,'SegEnds_NonXtal_BW#'!$A:$Z,20,FALSE)+VLOOKUP($A382,A:AL,28,FALSE)-50)),"-",(VLOOKUP($A382,'SegEnds_NonXtal_BW#'!$A:$Z,20,FALSE)+VLOOKUP($A382,A:AL,28,FALSE)-50))</f>
        <v>212</v>
      </c>
      <c r="AD382" s="3">
        <f>IF(ISERROR(VLOOKUP($A382,'SegEnds_NonXtal_BW#'!$A:$Z,21,FALSE)+VLOOKUP($A382,A:AL,31,FALSE)-50),"-",(VLOOKUP($A382,'SegEnds_NonXtal_BW#'!$A:$Z,21,FALSE)+VLOOKUP($A382,A:AL,31,FALSE)-50))</f>
        <v>238</v>
      </c>
      <c r="AE382" s="3">
        <v>259</v>
      </c>
      <c r="AF382" s="3">
        <f>IF(ISERROR((VLOOKUP($A382,'SegEnds_NonXtal_BW#'!$A:$Z,22,FALSE)+VLOOKUP($A382,A:AL,31,FALSE)-50)),"-",(VLOOKUP($A382,'SegEnds_NonXtal_BW#'!$A:$Z,22,FALSE)+VLOOKUP($A382,A:AL,31,FALSE)-50))</f>
        <v>262</v>
      </c>
      <c r="AG382" s="3">
        <f>IF(ISERROR(VLOOKUP($A382,'SegEnds_NonXtal_BW#'!$A:$Z,23,FALSE)+VLOOKUP($A382,A:AL,34,FALSE)-50),"-",(VLOOKUP($A382,'SegEnds_NonXtal_BW#'!$A:$Z,23,FALSE)+VLOOKUP($A382,A:AL,34,FALSE)-50))</f>
        <v>293</v>
      </c>
      <c r="AH382" s="3">
        <v>308</v>
      </c>
      <c r="AI382" s="3">
        <f>IF(ISERROR((VLOOKUP($A382,'SegEnds_NonXtal_BW#'!$A:$Z,24,FALSE)+VLOOKUP($A382,A:AL,34,FALSE)-50)),"-",(VLOOKUP($A382,'SegEnds_NonXtal_BW#'!$A:$Z,24,FALSE)+VLOOKUP($A382,A:AL,34,FALSE)-50))</f>
        <v>314</v>
      </c>
      <c r="AJ382" s="3">
        <f>IF(ISERROR(VLOOKUP($A382,'SegEnds_NonXtal_BW#'!$A:$Z,25,FALSE)+VLOOKUP($A382,A:AL,37,FALSE)-50),"-",(VLOOKUP($A382,'SegEnds_NonXtal_BW#'!$A:$Z,25,FALSE)+VLOOKUP($A382,A:AL,37,FALSE)-50))</f>
        <v>315</v>
      </c>
      <c r="AK382" s="3">
        <v>318</v>
      </c>
      <c r="AL382" s="3">
        <f>IF(ISERROR((VLOOKUP($A382,'SegEnds_NonXtal_BW#'!$A:$Z,26,FALSE)+VLOOKUP($A382,A:AL,37,FALSE)-50)),"-",(VLOOKUP($A382,'SegEnds_NonXtal_BW#'!$A:$Z,26,FALSE)+VLOOKUP($A382,A:AL,37,FALSE)-50))</f>
        <v>325</v>
      </c>
      <c r="AM382" s="28" t="str">
        <f>VLOOKUP(A382,Classification!A:B,2,FALSE)</f>
        <v>O</v>
      </c>
      <c r="AN382" s="28" t="b">
        <f t="shared" si="235"/>
        <v>1</v>
      </c>
      <c r="AO382" s="3" t="str">
        <f>IF(ISERROR(MATCH(A382,'SegEnds_Xtal_Prot#'!B:B, 0)), "NoXtal", "Xtal")</f>
        <v>NoXtal</v>
      </c>
      <c r="AP382" s="3" t="str">
        <f t="shared" si="220"/>
        <v>-</v>
      </c>
      <c r="AQ382" s="3" t="str">
        <f t="shared" si="221"/>
        <v>-</v>
      </c>
      <c r="AR382" s="3" t="str">
        <f t="shared" si="222"/>
        <v>-</v>
      </c>
      <c r="AS382" s="3" t="str">
        <f t="shared" si="223"/>
        <v>-</v>
      </c>
      <c r="AT382" s="3" t="str">
        <f t="shared" si="224"/>
        <v>-</v>
      </c>
      <c r="AU382" s="3" t="str">
        <f t="shared" si="225"/>
        <v>-</v>
      </c>
      <c r="AV382" s="3" t="str">
        <f t="shared" si="226"/>
        <v>-</v>
      </c>
      <c r="AW382" s="3" t="str">
        <f t="shared" si="227"/>
        <v>-</v>
      </c>
      <c r="AX382" s="3">
        <f t="shared" si="228"/>
        <v>26</v>
      </c>
      <c r="AY382" s="3">
        <f t="shared" si="229"/>
        <v>31</v>
      </c>
      <c r="AZ382" s="3">
        <f t="shared" si="230"/>
        <v>1</v>
      </c>
      <c r="BA382" s="3">
        <f>IF(ISERROR(LEN(VLOOKUP(A382,Seqs!A:E,2,FALSE))-AL382),"-",LEN(VLOOKUP(A382,Seqs!A:E,2,FALSE))-AL382)</f>
        <v>79</v>
      </c>
      <c r="BB382" s="16">
        <f t="shared" si="231"/>
        <v>36</v>
      </c>
      <c r="BC382" s="9" t="str">
        <f t="shared" si="232"/>
        <v>-</v>
      </c>
      <c r="BD382" s="3">
        <f t="shared" si="233"/>
        <v>36</v>
      </c>
      <c r="BE382" s="3">
        <f t="shared" si="234"/>
        <v>58</v>
      </c>
    </row>
    <row r="383" spans="1:58" s="3" customFormat="1" x14ac:dyDescent="0.2">
      <c r="A383" s="3" t="s">
        <v>486</v>
      </c>
      <c r="B383" s="3" t="str">
        <f>LOWER(VLOOKUP(A383,Xtal_Templ!A:B,2,FALSE))</f>
        <v>5ht2c_human</v>
      </c>
      <c r="C383" s="3">
        <f>VLOOKUP($A383,'SegEnds_NonXtal_BW#'!$A:$Z,3,FALSE)+D383-50</f>
        <v>12</v>
      </c>
      <c r="D383" s="3">
        <v>29</v>
      </c>
      <c r="E383" s="3">
        <f>IF(ISERROR(VLOOKUP($A383,'SegEnds_NonXtal_BW#'!$A:$Z,4,FALSE)+VLOOKUP($A383,A:AL,4,FALSE)-50),"-",(VLOOKUP($A383,'SegEnds_NonXtal_BW#'!$A:$Z,4,FALSE)+VLOOKUP($A383,A:AL,4,FALSE)-50))</f>
        <v>39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46</v>
      </c>
      <c r="J383" s="3">
        <v>57</v>
      </c>
      <c r="K383" s="3">
        <f>VLOOKUP($A383,'SegEnds_NonXtal_BW#'!$A:$Z,8,FALSE)+VLOOKUP($A383,A:AL,10,FALSE)-50</f>
        <v>70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77</v>
      </c>
      <c r="P383" s="3">
        <v>104</v>
      </c>
      <c r="Q383" s="3">
        <f>VLOOKUP($A383,'SegEnds_NonXtal_BW#'!$A:$Z,12,FALSE)+VLOOKUP($A383,A:AL,16,FALSE)-50</f>
        <v>110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1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125</v>
      </c>
      <c r="V383" s="3">
        <v>135</v>
      </c>
      <c r="W383" s="3">
        <f>IF(ISERROR(VLOOKUP($A383,'SegEnds_NonXtal_BW#'!$A:$Z,16,FALSE)+VLOOKUP($A383,A:AL,22,FALSE)-50),"-",(VLOOKUP($A383,'SegEnds_NonXtal_BW#'!$A:$Z,16,FALSE)+VLOOKUP($A383,A:AL,22,FALSE)-50))</f>
        <v>149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153</v>
      </c>
      <c r="AB383" s="3">
        <v>164</v>
      </c>
      <c r="AC383" s="3">
        <f>IF(ISERROR((VLOOKUP($A383,'SegEnds_NonXtal_BW#'!$A:$Z,20,FALSE)+VLOOKUP($A383,A:AL,28,FALSE)-50)),"-",(VLOOKUP($A383,'SegEnds_NonXtal_BW#'!$A:$Z,20,FALSE)+VLOOKUP($A383,A:AL,28,FALSE)-50))</f>
        <v>175</v>
      </c>
      <c r="AD383" s="3">
        <f>IF(ISERROR(VLOOKUP($A383,'SegEnds_NonXtal_BW#'!$A:$Z,21,FALSE)+VLOOKUP($A383,A:AL,31,FALSE)-50),"-",(VLOOKUP($A383,'SegEnds_NonXtal_BW#'!$A:$Z,21,FALSE)+VLOOKUP($A383,A:AL,31,FALSE)-50))</f>
        <v>210</v>
      </c>
      <c r="AE383" s="3">
        <v>231</v>
      </c>
      <c r="AF383" s="3">
        <f>IF(ISERROR((VLOOKUP($A383,'SegEnds_NonXtal_BW#'!$A:$Z,22,FALSE)+VLOOKUP($A383,A:AL,31,FALSE)-50)),"-",(VLOOKUP($A383,'SegEnds_NonXtal_BW#'!$A:$Z,22,FALSE)+VLOOKUP($A383,A:AL,31,FALSE)-50))</f>
        <v>234</v>
      </c>
      <c r="AG383" s="3">
        <f>IF(ISERROR(VLOOKUP($A383,'SegEnds_NonXtal_BW#'!$A:$Z,23,FALSE)+VLOOKUP($A383,A:AL,34,FALSE)-50),"-",(VLOOKUP($A383,'SegEnds_NonXtal_BW#'!$A:$Z,23,FALSE)+VLOOKUP($A383,A:AL,34,FALSE)-50))</f>
        <v>261</v>
      </c>
      <c r="AH383" s="3">
        <v>276</v>
      </c>
      <c r="AI383" s="3">
        <f>IF(ISERROR((VLOOKUP($A383,'SegEnds_NonXtal_BW#'!$A:$Z,24,FALSE)+VLOOKUP($A383,A:AL,34,FALSE)-50)),"-",(VLOOKUP($A383,'SegEnds_NonXtal_BW#'!$A:$Z,24,FALSE)+VLOOKUP($A383,A:AL,34,FALSE)-50))</f>
        <v>282</v>
      </c>
      <c r="AJ383" s="3">
        <v>286</v>
      </c>
      <c r="AK383" s="3">
        <v>294</v>
      </c>
      <c r="AL383" s="3">
        <f>IF(ISERROR((VLOOKUP($A383,'SegEnds_NonXtal_BW#'!$A:$Z,26,FALSE)+VLOOKUP($A383,A:AL,37,FALSE)-50)),"-",(VLOOKUP($A383,'SegEnds_NonXtal_BW#'!$A:$Z,26,FALSE)+VLOOKUP($A383,A:AL,37,FALSE)-50))</f>
        <v>301</v>
      </c>
      <c r="AM383" s="28" t="str">
        <f>VLOOKUP(A383,Classification!A:B,2,FALSE)</f>
        <v>O</v>
      </c>
      <c r="AN383" s="28" t="b">
        <f t="shared" si="235"/>
        <v>1</v>
      </c>
      <c r="AO383" s="3" t="str">
        <f>IF(ISERROR(MATCH(A383,'SegEnds_Xtal_Prot#'!B:B, 0)), "NoXtal", "Xtal")</f>
        <v>NoXtal</v>
      </c>
      <c r="AP383" s="3" t="str">
        <f t="shared" si="220"/>
        <v>-</v>
      </c>
      <c r="AQ383" s="3" t="str">
        <f t="shared" si="221"/>
        <v>-</v>
      </c>
      <c r="AR383" s="3" t="str">
        <f t="shared" si="222"/>
        <v>-</v>
      </c>
      <c r="AS383" s="3" t="str">
        <f t="shared" si="223"/>
        <v>-</v>
      </c>
      <c r="AT383" s="3" t="str">
        <f t="shared" si="224"/>
        <v>-</v>
      </c>
      <c r="AU383" s="3" t="str">
        <f t="shared" si="225"/>
        <v>-</v>
      </c>
      <c r="AV383" s="3" t="str">
        <f t="shared" si="226"/>
        <v>-</v>
      </c>
      <c r="AW383" s="3" t="str">
        <f t="shared" si="227"/>
        <v>-</v>
      </c>
      <c r="AX383" s="3">
        <f t="shared" si="228"/>
        <v>35</v>
      </c>
      <c r="AY383" s="3">
        <f t="shared" si="229"/>
        <v>27</v>
      </c>
      <c r="AZ383" s="3">
        <f t="shared" si="230"/>
        <v>4</v>
      </c>
      <c r="BA383" s="3">
        <f>IF(ISERROR(LEN(VLOOKUP(A383,Seqs!A:E,2,FALSE))-AL383),"-",LEN(VLOOKUP(A383,Seqs!A:E,2,FALSE))-AL383)</f>
        <v>34</v>
      </c>
      <c r="BB383" s="16">
        <f t="shared" si="231"/>
        <v>28</v>
      </c>
      <c r="BC383" s="9" t="str">
        <f t="shared" si="232"/>
        <v>-</v>
      </c>
      <c r="BD383" s="3">
        <f t="shared" si="233"/>
        <v>28</v>
      </c>
      <c r="BE383" s="3">
        <f t="shared" si="234"/>
        <v>67</v>
      </c>
    </row>
    <row r="384" spans="1:58" s="3" customFormat="1" x14ac:dyDescent="0.2">
      <c r="A384" s="3" t="s">
        <v>484</v>
      </c>
      <c r="B384" s="3" t="str">
        <f>LOWER(VLOOKUP(A384,Xtal_Templ!A:B,2,FALSE))</f>
        <v>oprk_human</v>
      </c>
      <c r="C384" s="3">
        <v>27</v>
      </c>
      <c r="D384" s="3">
        <v>64</v>
      </c>
      <c r="E384" s="3">
        <f>IF(ISERROR(VLOOKUP($A384,'SegEnds_NonXtal_BW#'!$A:$Z,4,FALSE)+VLOOKUP($A384,A:AL,4,FALSE)-50),"-",(VLOOKUP($A384,'SegEnds_NonXtal_BW#'!$A:$Z,4,FALSE)+VLOOKUP($A384,A:AL,4,FALSE)-50))</f>
        <v>74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85</v>
      </c>
      <c r="J384" s="3">
        <v>96</v>
      </c>
      <c r="K384" s="3">
        <f>VLOOKUP($A384,'SegEnds_NonXtal_BW#'!$A:$Z,8,FALSE)+VLOOKUP($A384,A:AL,10,FALSE)-50</f>
        <v>109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1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162</v>
      </c>
      <c r="V384" s="3">
        <v>172</v>
      </c>
      <c r="W384" s="3">
        <f>IF(ISERROR(VLOOKUP($A384,'SegEnds_NonXtal_BW#'!$A:$Z,16,FALSE)+VLOOKUP($A384,A:AL,22,FALSE)-50),"-",(VLOOKUP($A384,'SegEnds_NonXtal_BW#'!$A:$Z,16,FALSE)+VLOOKUP($A384,A:AL,22,FALSE)-50))</f>
        <v>183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187</v>
      </c>
      <c r="AB384" s="3">
        <v>197</v>
      </c>
      <c r="AC384" s="3">
        <f>IF(ISERROR((VLOOKUP($A384,'SegEnds_NonXtal_BW#'!$A:$Z,20,FALSE)+VLOOKUP($A384,A:AL,28,FALSE)-50)),"-",(VLOOKUP($A384,'SegEnds_NonXtal_BW#'!$A:$Z,20,FALSE)+VLOOKUP($A384,A:AL,28,FALSE)-50))</f>
        <v>208</v>
      </c>
      <c r="AD384" s="3">
        <f>IF(ISERROR(VLOOKUP($A384,'SegEnds_NonXtal_BW#'!$A:$Z,21,FALSE)+VLOOKUP($A384,A:AL,31,FALSE)-50),"-",(VLOOKUP($A384,'SegEnds_NonXtal_BW#'!$A:$Z,21,FALSE)+VLOOKUP($A384,A:AL,31,FALSE)-50))</f>
        <v>252</v>
      </c>
      <c r="AE384" s="3">
        <v>273</v>
      </c>
      <c r="AF384" s="3">
        <f>IF(ISERROR((VLOOKUP($A384,'SegEnds_NonXtal_BW#'!$A:$Z,22,FALSE)+VLOOKUP($A384,A:AL,31,FALSE)-50)),"-",(VLOOKUP($A384,'SegEnds_NonXtal_BW#'!$A:$Z,22,FALSE)+VLOOKUP($A384,A:AL,31,FALSE)-50))</f>
        <v>276</v>
      </c>
      <c r="AG384" s="3">
        <f>IF(ISERROR(VLOOKUP($A384,'SegEnds_NonXtal_BW#'!$A:$Z,23,FALSE)+VLOOKUP($A384,A:AL,34,FALSE)-50),"-",(VLOOKUP($A384,'SegEnds_NonXtal_BW#'!$A:$Z,23,FALSE)+VLOOKUP($A384,A:AL,34,FALSE)-50))</f>
        <v>294</v>
      </c>
      <c r="AH384" s="3">
        <v>309</v>
      </c>
      <c r="AI384" s="3">
        <f>IF(ISERROR((VLOOKUP($A384,'SegEnds_NonXtal_BW#'!$A:$Z,24,FALSE)+VLOOKUP($A384,A:AL,34,FALSE)-50)),"-",(VLOOKUP($A384,'SegEnds_NonXtal_BW#'!$A:$Z,24,FALSE)+VLOOKUP($A384,A:AL,34,FALSE)-50))</f>
        <v>315</v>
      </c>
      <c r="AJ384" s="106">
        <v>320</v>
      </c>
      <c r="AK384" s="3">
        <v>333</v>
      </c>
      <c r="AL384" s="3">
        <f>IF(ISERROR((VLOOKUP($A384,'SegEnds_NonXtal_BW#'!$A:$Z,26,FALSE)+VLOOKUP($A384,A:AL,37,FALSE)-50)),"-",(VLOOKUP($A384,'SegEnds_NonXtal_BW#'!$A:$Z,26,FALSE)+VLOOKUP($A384,A:AL,37,FALSE)-50))</f>
        <v>340</v>
      </c>
      <c r="AM384" s="28" t="str">
        <f>VLOOKUP(A384,Classification!A:B,2,FALSE)</f>
        <v>O</v>
      </c>
      <c r="AN384" s="28" t="b">
        <f t="shared" si="235"/>
        <v>1</v>
      </c>
      <c r="AO384" s="3" t="str">
        <f>IF(ISERROR(MATCH(A384,'SegEnds_Xtal_Prot#'!B:B, 0)), "NoXtal", "Xtal")</f>
        <v>NoXtal</v>
      </c>
      <c r="AP384" s="3" t="str">
        <f t="shared" si="220"/>
        <v>-</v>
      </c>
      <c r="AQ384" s="3" t="str">
        <f t="shared" si="221"/>
        <v>-</v>
      </c>
      <c r="AR384" s="3" t="str">
        <f t="shared" si="222"/>
        <v>-</v>
      </c>
      <c r="AS384" s="3" t="str">
        <f t="shared" si="223"/>
        <v>-</v>
      </c>
      <c r="AT384" s="3" t="str">
        <f t="shared" si="224"/>
        <v>-</v>
      </c>
      <c r="AU384" s="3" t="str">
        <f t="shared" si="225"/>
        <v>-</v>
      </c>
      <c r="AV384" s="3" t="str">
        <f t="shared" si="226"/>
        <v>-</v>
      </c>
      <c r="AW384" s="3" t="str">
        <f t="shared" si="227"/>
        <v>-</v>
      </c>
      <c r="AX384" s="3">
        <f t="shared" si="228"/>
        <v>44</v>
      </c>
      <c r="AY384" s="3">
        <f t="shared" si="229"/>
        <v>18</v>
      </c>
      <c r="AZ384" s="3">
        <f t="shared" si="230"/>
        <v>5</v>
      </c>
      <c r="BA384" s="3">
        <f>IF(ISERROR(LEN(VLOOKUP(A384,Seqs!A:E,2,FALSE))-AL384),"-",LEN(VLOOKUP(A384,Seqs!A:E,2,FALSE))-AL384)</f>
        <v>33</v>
      </c>
      <c r="BB384" s="16">
        <f t="shared" si="231"/>
        <v>32</v>
      </c>
      <c r="BC384" s="9" t="str">
        <f t="shared" si="232"/>
        <v>-</v>
      </c>
      <c r="BD384" s="3">
        <f t="shared" si="233"/>
        <v>32</v>
      </c>
      <c r="BE384" s="3">
        <f t="shared" si="234"/>
        <v>76</v>
      </c>
    </row>
    <row r="385" spans="1:58" s="3" customFormat="1" x14ac:dyDescent="0.2">
      <c r="A385" s="3" t="s">
        <v>456</v>
      </c>
      <c r="B385" s="3" t="str">
        <f>LOWER(VLOOKUP(A385,Xtal_Templ!A:B,2,FALSE))</f>
        <v>drd2_human</v>
      </c>
      <c r="C385" s="3">
        <f>VLOOKUP($A385,'SegEnds_NonXtal_BW#'!$A:$Z,3,FALSE)+D385-50</f>
        <v>6</v>
      </c>
      <c r="D385" s="3">
        <v>24</v>
      </c>
      <c r="E385" s="3">
        <f t="shared" ref="E385:E409" si="243">F385-1</f>
        <v>36</v>
      </c>
      <c r="F385" s="3">
        <f t="shared" ref="F385:F409" si="244">G385-2</f>
        <v>37</v>
      </c>
      <c r="G385" s="3">
        <v>39</v>
      </c>
      <c r="H385" s="3">
        <f t="shared" ref="H385:I409" si="245">G385+1</f>
        <v>40</v>
      </c>
      <c r="I385" s="3">
        <f t="shared" si="245"/>
        <v>41</v>
      </c>
      <c r="J385" s="3">
        <v>54</v>
      </c>
      <c r="K385" s="3">
        <f>VLOOKUP($A385,'SegEnds_NonXtal_BW#'!$A:$Z,8,FALSE)+VLOOKUP($A385,A:AL,10,FALSE)-50</f>
        <v>71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106</v>
      </c>
      <c r="Q385" s="3">
        <f>VLOOKUP($A385,'SegEnds_NonXtal_BW#'!$A:$Z,12,FALSE)+VLOOKUP($A385,A:AL,16,FALSE)-50</f>
        <v>112</v>
      </c>
      <c r="R385" s="3">
        <f t="shared" ref="R385:R409" si="246">S385</f>
        <v>115</v>
      </c>
      <c r="S385" s="3">
        <v>115</v>
      </c>
      <c r="T385" s="101">
        <f t="shared" ref="T385:T409" si="247">S385+7</f>
        <v>122</v>
      </c>
      <c r="U385" s="9">
        <f>IF(ISERROR(VLOOKUP($A385,'SegEnds_NonXtal_BW#'!$A:$Z,15,FALSE)+VLOOKUP($A385,A:AL,22,FALSE)-50),"-",VLOOKUP($A385,'SegEnds_NonXtal_BW#'!$A:$Z,15,FALSE)+VLOOKUP($A385,A:AL,22,FALSE)-50)</f>
        <v>123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147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167</v>
      </c>
      <c r="AB385" s="3">
        <v>185</v>
      </c>
      <c r="AC385" s="3">
        <f>IF(ISERROR((VLOOKUP($A385,'SegEnds_NonXtal_BW#'!$A:$Z,20,FALSE)+VLOOKUP($A385,A:AL,28,FALSE)-50)),"-",(VLOOKUP($A385,'SegEnds_NonXtal_BW#'!$A:$Z,20,FALSE)+VLOOKUP($A385,A:AL,28,FALSE)-50))</f>
        <v>207</v>
      </c>
      <c r="AD385" s="3">
        <f>IF(ISERROR(VLOOKUP($A385,'SegEnds_NonXtal_BW#'!$A:$Z,21,FALSE)+VLOOKUP($A385,A:AL,31,FALSE)-50),"-",(VLOOKUP($A385,'SegEnds_NonXtal_BW#'!$A:$Z,21,FALSE)+VLOOKUP($A385,A:AL,31,FALSE)-50))</f>
        <v>217</v>
      </c>
      <c r="AE385" s="3">
        <v>238</v>
      </c>
      <c r="AF385" s="3">
        <f>IF(ISERROR((VLOOKUP($A385,'SegEnds_NonXtal_BW#'!$A:$Z,22,FALSE)+VLOOKUP($A385,A:AL,31,FALSE)-50)),"-",(VLOOKUP($A385,'SegEnds_NonXtal_BW#'!$A:$Z,22,FALSE)+VLOOKUP($A385,A:AL,31,FALSE)-50))</f>
        <v>249</v>
      </c>
      <c r="AG385" s="3">
        <f>IF(ISERROR(VLOOKUP($A385,'SegEnds_NonXtal_BW#'!$A:$Z,23,FALSE)+VLOOKUP($A385,A:AL,34,FALSE)-50),"-",(VLOOKUP($A385,'SegEnds_NonXtal_BW#'!$A:$Z,23,FALSE)+VLOOKUP($A385,A:AL,34,FALSE)-50))</f>
        <v>255</v>
      </c>
      <c r="AH385" s="3">
        <v>274</v>
      </c>
      <c r="AI385" s="3">
        <f>IF(ISERROR((VLOOKUP($A385,'SegEnds_NonXtal_BW#'!$A:$Z,24,FALSE)+VLOOKUP($A385,A:AL,34,FALSE)-50)),"-",(VLOOKUP($A385,'SegEnds_NonXtal_BW#'!$A:$Z,24,FALSE)+VLOOKUP($A385,A:AL,34,FALSE)-50))</f>
        <v>280</v>
      </c>
      <c r="AJ385" s="3">
        <f>IF(ISERROR(VLOOKUP($A385,'SegEnds_NonXtal_BW#'!$A:$Z,25,FALSE)+VLOOKUP($A385,A:AL,37,FALSE)-50),"-",(VLOOKUP($A385,'SegEnds_NonXtal_BW#'!$A:$Z,25,FALSE)+VLOOKUP($A385,A:AL,37,FALSE)-50))</f>
        <v>281</v>
      </c>
      <c r="AK385" s="3">
        <v>284</v>
      </c>
      <c r="AL385" s="3">
        <f>IF(ISERROR((VLOOKUP($A385,'SegEnds_NonXtal_BW#'!$A:$Z,26,FALSE)+VLOOKUP($A385,A:AL,37,FALSE)-50)),"-",(VLOOKUP($A385,'SegEnds_NonXtal_BW#'!$A:$Z,26,FALSE)+VLOOKUP($A385,A:AL,37,FALSE)-50))</f>
        <v>294</v>
      </c>
      <c r="AM385" s="28" t="str">
        <f>VLOOKUP(A385,Classification!A:B,2,FALSE)</f>
        <v>T</v>
      </c>
      <c r="AN385" s="28" t="b">
        <f t="shared" si="235"/>
        <v>1</v>
      </c>
      <c r="AO385" s="3" t="str">
        <f>IF(ISERROR(MATCH(A385,'SegEnds_Xtal_Prot#'!B:B, 0)), "NoXtal", "Xtal")</f>
        <v>NoXtal</v>
      </c>
      <c r="AP385" s="3">
        <f t="shared" si="220"/>
        <v>1</v>
      </c>
      <c r="AQ385" s="3">
        <f t="shared" si="221"/>
        <v>1</v>
      </c>
      <c r="AR385" s="3" t="str">
        <f t="shared" si="222"/>
        <v>-</v>
      </c>
      <c r="AS385" s="3" t="str">
        <f t="shared" si="223"/>
        <v>-</v>
      </c>
      <c r="AT385" s="3">
        <f t="shared" si="224"/>
        <v>3</v>
      </c>
      <c r="AU385" s="3">
        <f t="shared" si="225"/>
        <v>1</v>
      </c>
      <c r="AV385" s="3" t="str">
        <f t="shared" si="226"/>
        <v>-</v>
      </c>
      <c r="AW385" s="3" t="str">
        <f t="shared" si="227"/>
        <v>-</v>
      </c>
      <c r="AX385" s="3">
        <f t="shared" si="228"/>
        <v>10</v>
      </c>
      <c r="AY385" s="3">
        <f t="shared" si="229"/>
        <v>6</v>
      </c>
      <c r="AZ385" s="3">
        <f t="shared" si="230"/>
        <v>1</v>
      </c>
      <c r="BA385" s="3">
        <f>IF(ISERROR(LEN(VLOOKUP(A385,Seqs!A:E,2,FALSE))-AL385),"-",LEN(VLOOKUP(A385,Seqs!A:E,2,FALSE))-AL385)</f>
        <v>13</v>
      </c>
      <c r="BB385" s="16">
        <f t="shared" si="231"/>
        <v>30</v>
      </c>
      <c r="BC385" s="9">
        <f t="shared" si="232"/>
        <v>20</v>
      </c>
      <c r="BD385" s="3">
        <f t="shared" si="233"/>
        <v>30</v>
      </c>
      <c r="BE385" s="3">
        <f t="shared" si="234"/>
        <v>53</v>
      </c>
      <c r="BF385" s="3">
        <f t="shared" ref="BF385:BF409" si="248">AH385-AE385</f>
        <v>36</v>
      </c>
    </row>
    <row r="386" spans="1:58" s="3" customFormat="1" x14ac:dyDescent="0.2">
      <c r="A386" s="3" t="s">
        <v>457</v>
      </c>
      <c r="B386" s="3" t="str">
        <f>LOWER(VLOOKUP(A386,Xtal_Templ!A:B,2,FALSE))</f>
        <v>apj_human</v>
      </c>
      <c r="C386" s="3">
        <f>VLOOKUP($A386,'SegEnds_NonXtal_BW#'!$A:$Z,3,FALSE)+D386-50</f>
        <v>6</v>
      </c>
      <c r="D386" s="3">
        <v>24</v>
      </c>
      <c r="E386" s="3">
        <f t="shared" si="243"/>
        <v>36</v>
      </c>
      <c r="F386" s="3">
        <f t="shared" si="244"/>
        <v>37</v>
      </c>
      <c r="G386" s="3">
        <v>39</v>
      </c>
      <c r="H386" s="3">
        <f t="shared" si="245"/>
        <v>40</v>
      </c>
      <c r="I386" s="3">
        <f t="shared" si="245"/>
        <v>41</v>
      </c>
      <c r="J386" s="3">
        <v>55</v>
      </c>
      <c r="K386" s="3">
        <f>VLOOKUP($A386,'SegEnds_NonXtal_BW#'!$A:$Z,8,FALSE)+VLOOKUP($A386,A:AL,10,FALSE)-50</f>
        <v>72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78</v>
      </c>
      <c r="P386" s="3">
        <v>107</v>
      </c>
      <c r="Q386" s="3">
        <f>VLOOKUP($A386,'SegEnds_NonXtal_BW#'!$A:$Z,12,FALSE)+VLOOKUP($A386,A:AL,16,FALSE)-50</f>
        <v>113</v>
      </c>
      <c r="R386" s="3">
        <f t="shared" si="246"/>
        <v>116</v>
      </c>
      <c r="S386" s="3">
        <v>116</v>
      </c>
      <c r="T386" s="101">
        <f t="shared" si="247"/>
        <v>123</v>
      </c>
      <c r="U386" s="9">
        <f>IF(ISERROR(VLOOKUP($A386,'SegEnds_NonXtal_BW#'!$A:$Z,15,FALSE)+VLOOKUP($A386,A:AL,22,FALSE)-50),"-",VLOOKUP($A386,'SegEnds_NonXtal_BW#'!$A:$Z,15,FALSE)+VLOOKUP($A386,A:AL,22,FALSE)-50)</f>
        <v>124</v>
      </c>
      <c r="V386" s="3">
        <v>136</v>
      </c>
      <c r="W386" s="3">
        <f>IF(ISERROR(VLOOKUP($A386,'SegEnds_NonXtal_BW#'!$A:$Z,16,FALSE)+VLOOKUP($A386,A:AL,22,FALSE)-50),"-",(VLOOKUP($A386,'SegEnds_NonXtal_BW#'!$A:$Z,16,FALSE)+VLOOKUP($A386,A:AL,22,FALSE)-50))</f>
        <v>150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172</v>
      </c>
      <c r="AB386" s="3">
        <v>190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222</v>
      </c>
      <c r="AE386" s="3">
        <v>243</v>
      </c>
      <c r="AF386" s="3">
        <f>IF(ISERROR((VLOOKUP($A386,'SegEnds_NonXtal_BW#'!$A:$Z,22,FALSE)+VLOOKUP($A386,A:AL,31,FALSE)-50)),"-",(VLOOKUP($A386,'SegEnds_NonXtal_BW#'!$A:$Z,22,FALSE)+VLOOKUP($A386,A:AL,31,FALSE)-50))</f>
        <v>254</v>
      </c>
      <c r="AG386" s="3">
        <f>IF(ISERROR(VLOOKUP($A386,'SegEnds_NonXtal_BW#'!$A:$Z,23,FALSE)+VLOOKUP($A386,A:AL,34,FALSE)-50),"-",(VLOOKUP($A386,'SegEnds_NonXtal_BW#'!$A:$Z,23,FALSE)+VLOOKUP($A386,A:AL,34,FALSE)-50))</f>
        <v>259</v>
      </c>
      <c r="AH386" s="3">
        <v>278</v>
      </c>
      <c r="AI386" s="3">
        <f>IF(ISERROR((VLOOKUP($A386,'SegEnds_NonXtal_BW#'!$A:$Z,24,FALSE)+VLOOKUP($A386,A:AL,34,FALSE)-50)),"-",(VLOOKUP($A386,'SegEnds_NonXtal_BW#'!$A:$Z,24,FALSE)+VLOOKUP($A386,A:AL,34,FALSE)-50))</f>
        <v>284</v>
      </c>
      <c r="AJ386" s="3">
        <f>IF(ISERROR(VLOOKUP($A386,'SegEnds_NonXtal_BW#'!$A:$Z,25,FALSE)+VLOOKUP($A386,A:AL,37,FALSE)-50),"-",(VLOOKUP($A386,'SegEnds_NonXtal_BW#'!$A:$Z,25,FALSE)+VLOOKUP($A386,A:AL,37,FALSE)-50))</f>
        <v>285</v>
      </c>
      <c r="AK386" s="3">
        <v>288</v>
      </c>
      <c r="AL386" s="3">
        <f>IF(ISERROR((VLOOKUP($A386,'SegEnds_NonXtal_BW#'!$A:$Z,26,FALSE)+VLOOKUP($A386,A:AL,37,FALSE)-50)),"-",(VLOOKUP($A386,'SegEnds_NonXtal_BW#'!$A:$Z,26,FALSE)+VLOOKUP($A386,A:AL,37,FALSE)-50))</f>
        <v>298</v>
      </c>
      <c r="AM386" s="28" t="str">
        <f>VLOOKUP(A386,Classification!A:B,2,FALSE)</f>
        <v>T</v>
      </c>
      <c r="AN386" s="28" t="b">
        <f t="shared" si="235"/>
        <v>1</v>
      </c>
      <c r="AO386" s="3" t="str">
        <f>IF(ISERROR(MATCH(A386,'SegEnds_Xtal_Prot#'!B:B, 0)), "NoXtal", "Xtal")</f>
        <v>NoXtal</v>
      </c>
      <c r="AP386" s="3">
        <f t="shared" si="220"/>
        <v>1</v>
      </c>
      <c r="AQ386" s="3">
        <f t="shared" si="221"/>
        <v>1</v>
      </c>
      <c r="AR386" s="3" t="str">
        <f t="shared" si="222"/>
        <v>-</v>
      </c>
      <c r="AS386" s="3" t="str">
        <f t="shared" si="223"/>
        <v>-</v>
      </c>
      <c r="AT386" s="3">
        <f t="shared" si="224"/>
        <v>3</v>
      </c>
      <c r="AU386" s="3">
        <f t="shared" si="225"/>
        <v>1</v>
      </c>
      <c r="AV386" s="3" t="str">
        <f t="shared" si="226"/>
        <v>-</v>
      </c>
      <c r="AW386" s="3" t="str">
        <f t="shared" si="227"/>
        <v>-</v>
      </c>
      <c r="AX386" s="3">
        <f t="shared" si="228"/>
        <v>10</v>
      </c>
      <c r="AY386" s="3">
        <f t="shared" si="229"/>
        <v>5</v>
      </c>
      <c r="AZ386" s="3">
        <f t="shared" si="230"/>
        <v>1</v>
      </c>
      <c r="BA386" s="3">
        <f>IF(ISERROR(LEN(VLOOKUP(A386,Seqs!A:E,2,FALSE))-AL386),"-",LEN(VLOOKUP(A386,Seqs!A:E,2,FALSE))-AL386)</f>
        <v>5</v>
      </c>
      <c r="BB386" s="16">
        <f t="shared" si="231"/>
        <v>31</v>
      </c>
      <c r="BC386" s="9">
        <f t="shared" si="232"/>
        <v>20</v>
      </c>
      <c r="BD386" s="3">
        <f t="shared" si="233"/>
        <v>31</v>
      </c>
      <c r="BE386" s="3">
        <f t="shared" si="234"/>
        <v>53</v>
      </c>
      <c r="BF386" s="3">
        <f t="shared" si="248"/>
        <v>35</v>
      </c>
    </row>
    <row r="387" spans="1:58" s="3" customFormat="1" x14ac:dyDescent="0.2">
      <c r="A387" s="3" t="s">
        <v>458</v>
      </c>
      <c r="B387" s="3" t="str">
        <f>LOWER(VLOOKUP(A387,Xtal_Templ!A:B,2,FALSE))</f>
        <v>5ht2c_human</v>
      </c>
      <c r="C387" s="3">
        <f>VLOOKUP($A387,'SegEnds_NonXtal_BW#'!$A:$Z,3,FALSE)+D387-50</f>
        <v>6</v>
      </c>
      <c r="D387" s="3">
        <v>24</v>
      </c>
      <c r="E387" s="3">
        <f t="shared" si="243"/>
        <v>36</v>
      </c>
      <c r="F387" s="3">
        <f t="shared" si="244"/>
        <v>37</v>
      </c>
      <c r="G387" s="3">
        <v>39</v>
      </c>
      <c r="H387" s="3">
        <f t="shared" si="245"/>
        <v>40</v>
      </c>
      <c r="I387" s="3">
        <f t="shared" si="245"/>
        <v>41</v>
      </c>
      <c r="J387" s="3">
        <v>55</v>
      </c>
      <c r="K387" s="3">
        <f>VLOOKUP($A387,'SegEnds_NonXtal_BW#'!$A:$Z,8,FALSE)+VLOOKUP($A387,A:AL,10,FALSE)-50</f>
        <v>72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78</v>
      </c>
      <c r="P387" s="3">
        <v>107</v>
      </c>
      <c r="Q387" s="3">
        <f>VLOOKUP($A387,'SegEnds_NonXtal_BW#'!$A:$Z,12,FALSE)+VLOOKUP($A387,A:AL,16,FALSE)-50</f>
        <v>113</v>
      </c>
      <c r="R387" s="3">
        <f t="shared" si="246"/>
        <v>116</v>
      </c>
      <c r="S387" s="3">
        <v>116</v>
      </c>
      <c r="T387" s="101">
        <f t="shared" si="247"/>
        <v>123</v>
      </c>
      <c r="U387" s="9">
        <f>IF(ISERROR(VLOOKUP($A387,'SegEnds_NonXtal_BW#'!$A:$Z,15,FALSE)+VLOOKUP($A387,A:AL,22,FALSE)-50),"-",VLOOKUP($A387,'SegEnds_NonXtal_BW#'!$A:$Z,15,FALSE)+VLOOKUP($A387,A:AL,22,FALSE)-50)</f>
        <v>124</v>
      </c>
      <c r="V387" s="3">
        <v>136</v>
      </c>
      <c r="W387" s="3">
        <f>IF(ISERROR(VLOOKUP($A387,'SegEnds_NonXtal_BW#'!$A:$Z,16,FALSE)+VLOOKUP($A387,A:AL,22,FALSE)-50),"-",(VLOOKUP($A387,'SegEnds_NonXtal_BW#'!$A:$Z,16,FALSE)+VLOOKUP($A387,A:AL,22,FALSE)-50))</f>
        <v>153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172</v>
      </c>
      <c r="AB387" s="3">
        <v>190</v>
      </c>
      <c r="AC387" s="3">
        <f>IF(ISERROR((VLOOKUP($A387,'SegEnds_NonXtal_BW#'!$A:$Z,20,FALSE)+VLOOKUP($A387,A:AL,28,FALSE)-50)),"-",(VLOOKUP($A387,'SegEnds_NonXtal_BW#'!$A:$Z,20,FALSE)+VLOOKUP($A387,A:AL,28,FALSE)-50))</f>
        <v>212</v>
      </c>
      <c r="AD387" s="3">
        <f>IF(ISERROR(VLOOKUP($A387,'SegEnds_NonXtal_BW#'!$A:$Z,21,FALSE)+VLOOKUP($A387,A:AL,31,FALSE)-50),"-",(VLOOKUP($A387,'SegEnds_NonXtal_BW#'!$A:$Z,21,FALSE)+VLOOKUP($A387,A:AL,31,FALSE)-50))</f>
        <v>221</v>
      </c>
      <c r="AE387" s="3">
        <v>242</v>
      </c>
      <c r="AF387" s="3">
        <f>IF(ISERROR((VLOOKUP($A387,'SegEnds_NonXtal_BW#'!$A:$Z,22,FALSE)+VLOOKUP($A387,A:AL,31,FALSE)-50)),"-",(VLOOKUP($A387,'SegEnds_NonXtal_BW#'!$A:$Z,22,FALSE)+VLOOKUP($A387,A:AL,31,FALSE)-50))</f>
        <v>253</v>
      </c>
      <c r="AG387" s="3">
        <f>IF(ISERROR(VLOOKUP($A387,'SegEnds_NonXtal_BW#'!$A:$Z,23,FALSE)+VLOOKUP($A387,A:AL,34,FALSE)-50),"-",(VLOOKUP($A387,'SegEnds_NonXtal_BW#'!$A:$Z,23,FALSE)+VLOOKUP($A387,A:AL,34,FALSE)-50))</f>
        <v>258</v>
      </c>
      <c r="AH387" s="3">
        <v>277</v>
      </c>
      <c r="AI387" s="3">
        <f>IF(ISERROR((VLOOKUP($A387,'SegEnds_NonXtal_BW#'!$A:$Z,24,FALSE)+VLOOKUP($A387,A:AL,34,FALSE)-50)),"-",(VLOOKUP($A387,'SegEnds_NonXtal_BW#'!$A:$Z,24,FALSE)+VLOOKUP($A387,A:AL,34,FALSE)-50))</f>
        <v>283</v>
      </c>
      <c r="AJ387" s="3">
        <f>IF(ISERROR(VLOOKUP($A387,'SegEnds_NonXtal_BW#'!$A:$Z,25,FALSE)+VLOOKUP($A387,A:AL,37,FALSE)-50),"-",(VLOOKUP($A387,'SegEnds_NonXtal_BW#'!$A:$Z,25,FALSE)+VLOOKUP($A387,A:AL,37,FALSE)-50))</f>
        <v>284</v>
      </c>
      <c r="AK387" s="3">
        <v>287</v>
      </c>
      <c r="AL387" s="3">
        <f>IF(ISERROR((VLOOKUP($A387,'SegEnds_NonXtal_BW#'!$A:$Z,26,FALSE)+VLOOKUP($A387,A:AL,37,FALSE)-50)),"-",(VLOOKUP($A387,'SegEnds_NonXtal_BW#'!$A:$Z,26,FALSE)+VLOOKUP($A387,A:AL,37,FALSE)-50))</f>
        <v>297</v>
      </c>
      <c r="AM387" s="28" t="str">
        <f>VLOOKUP(A387,Classification!A:B,2,FALSE)</f>
        <v>T</v>
      </c>
      <c r="AN387" s="28" t="b">
        <f t="shared" si="235"/>
        <v>1</v>
      </c>
      <c r="AO387" s="3" t="str">
        <f>IF(ISERROR(MATCH(A387,'SegEnds_Xtal_Prot#'!B:B, 0)), "NoXtal", "Xtal")</f>
        <v>NoXtal</v>
      </c>
      <c r="AP387" s="3">
        <f t="shared" si="220"/>
        <v>1</v>
      </c>
      <c r="AQ387" s="3">
        <f t="shared" si="221"/>
        <v>1</v>
      </c>
      <c r="AR387" s="3" t="str">
        <f t="shared" si="222"/>
        <v>-</v>
      </c>
      <c r="AS387" s="3" t="str">
        <f t="shared" si="223"/>
        <v>-</v>
      </c>
      <c r="AT387" s="3">
        <f t="shared" si="224"/>
        <v>3</v>
      </c>
      <c r="AU387" s="3">
        <f t="shared" si="225"/>
        <v>1</v>
      </c>
      <c r="AV387" s="3" t="str">
        <f t="shared" si="226"/>
        <v>-</v>
      </c>
      <c r="AW387" s="3" t="str">
        <f t="shared" si="227"/>
        <v>-</v>
      </c>
      <c r="AX387" s="3">
        <f t="shared" si="228"/>
        <v>9</v>
      </c>
      <c r="AY387" s="3">
        <f t="shared" si="229"/>
        <v>5</v>
      </c>
      <c r="AZ387" s="3">
        <f t="shared" si="230"/>
        <v>1</v>
      </c>
      <c r="BA387" s="3">
        <f>IF(ISERROR(LEN(VLOOKUP(A387,Seqs!A:E,2,FALSE))-AL387),"-",LEN(VLOOKUP(A387,Seqs!A:E,2,FALSE))-AL387)</f>
        <v>20</v>
      </c>
      <c r="BB387" s="16">
        <f t="shared" si="231"/>
        <v>31</v>
      </c>
      <c r="BC387" s="9">
        <f t="shared" si="232"/>
        <v>20</v>
      </c>
      <c r="BD387" s="3">
        <f t="shared" si="233"/>
        <v>31</v>
      </c>
      <c r="BE387" s="3">
        <f t="shared" si="234"/>
        <v>52</v>
      </c>
      <c r="BF387" s="3">
        <f t="shared" si="248"/>
        <v>35</v>
      </c>
    </row>
    <row r="388" spans="1:58" s="3" customFormat="1" x14ac:dyDescent="0.2">
      <c r="A388" s="3" t="s">
        <v>459</v>
      </c>
      <c r="B388" s="3" t="str">
        <f>LOWER(VLOOKUP(A388,Xtal_Templ!A:B,2,FALSE))</f>
        <v>cxcr4_human</v>
      </c>
      <c r="C388" s="3">
        <f>VLOOKUP($A388,'SegEnds_NonXtal_BW#'!$A:$Z,3,FALSE)+D388-50</f>
        <v>7</v>
      </c>
      <c r="D388" s="3">
        <v>25</v>
      </c>
      <c r="E388" s="3">
        <f t="shared" si="243"/>
        <v>37</v>
      </c>
      <c r="F388" s="3">
        <f t="shared" si="244"/>
        <v>38</v>
      </c>
      <c r="G388" s="3">
        <v>40</v>
      </c>
      <c r="H388" s="3">
        <f t="shared" si="245"/>
        <v>41</v>
      </c>
      <c r="I388" s="3">
        <f t="shared" si="245"/>
        <v>42</v>
      </c>
      <c r="J388" s="3">
        <v>56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77</v>
      </c>
      <c r="P388" s="3">
        <v>103</v>
      </c>
      <c r="Q388" s="3">
        <f>VLOOKUP($A388,'SegEnds_NonXtal_BW#'!$A:$Z,12,FALSE)+VLOOKUP($A388,A:AL,16,FALSE)-50</f>
        <v>109</v>
      </c>
      <c r="R388" s="3">
        <f t="shared" si="246"/>
        <v>112</v>
      </c>
      <c r="S388" s="3">
        <v>112</v>
      </c>
      <c r="T388" s="101">
        <f t="shared" si="247"/>
        <v>119</v>
      </c>
      <c r="U388" s="9">
        <f>IF(ISERROR(VLOOKUP($A388,'SegEnds_NonXtal_BW#'!$A:$Z,15,FALSE)+VLOOKUP($A388,A:AL,22,FALSE)-50),"-",VLOOKUP($A388,'SegEnds_NonXtal_BW#'!$A:$Z,15,FALSE)+VLOOKUP($A388,A:AL,22,FALSE)-50)</f>
        <v>120</v>
      </c>
      <c r="V388" s="3">
        <v>132</v>
      </c>
      <c r="W388" s="3">
        <f>IF(ISERROR(VLOOKUP($A388,'SegEnds_NonXtal_BW#'!$A:$Z,16,FALSE)+VLOOKUP($A388,A:AL,22,FALSE)-50),"-",(VLOOKUP($A388,'SegEnds_NonXtal_BW#'!$A:$Z,16,FALSE)+VLOOKUP($A388,A:AL,22,FALSE)-50))</f>
        <v>146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170</v>
      </c>
      <c r="AB388" s="3">
        <v>188</v>
      </c>
      <c r="AC388" s="3">
        <f>IF(ISERROR((VLOOKUP($A388,'SegEnds_NonXtal_BW#'!$A:$Z,20,FALSE)+VLOOKUP($A388,A:AL,28,FALSE)-50)),"-",(VLOOKUP($A388,'SegEnds_NonXtal_BW#'!$A:$Z,20,FALSE)+VLOOKUP($A388,A:AL,28,FALSE)-50))</f>
        <v>210</v>
      </c>
      <c r="AD388" s="3">
        <f>IF(ISERROR(VLOOKUP($A388,'SegEnds_NonXtal_BW#'!$A:$Z,21,FALSE)+VLOOKUP($A388,A:AL,31,FALSE)-50),"-",(VLOOKUP($A388,'SegEnds_NonXtal_BW#'!$A:$Z,21,FALSE)+VLOOKUP($A388,A:AL,31,FALSE)-50))</f>
        <v>217</v>
      </c>
      <c r="AE388" s="3">
        <v>238</v>
      </c>
      <c r="AF388" s="3">
        <f>IF(ISERROR((VLOOKUP($A388,'SegEnds_NonXtal_BW#'!$A:$Z,22,FALSE)+VLOOKUP($A388,A:AL,31,FALSE)-50)),"-",(VLOOKUP($A388,'SegEnds_NonXtal_BW#'!$A:$Z,22,FALSE)+VLOOKUP($A388,A:AL,31,FALSE)-50))</f>
        <v>249</v>
      </c>
      <c r="AG388" s="3">
        <f>IF(ISERROR(VLOOKUP($A388,'SegEnds_NonXtal_BW#'!$A:$Z,23,FALSE)+VLOOKUP($A388,A:AL,34,FALSE)-50),"-",(VLOOKUP($A388,'SegEnds_NonXtal_BW#'!$A:$Z,23,FALSE)+VLOOKUP($A388,A:AL,34,FALSE)-50))</f>
        <v>254</v>
      </c>
      <c r="AH388" s="3">
        <v>273</v>
      </c>
      <c r="AI388" s="3">
        <f>IF(ISERROR((VLOOKUP($A388,'SegEnds_NonXtal_BW#'!$A:$Z,24,FALSE)+VLOOKUP($A388,A:AL,34,FALSE)-50)),"-",(VLOOKUP($A388,'SegEnds_NonXtal_BW#'!$A:$Z,24,FALSE)+VLOOKUP($A388,A:AL,34,FALSE)-50))</f>
        <v>279</v>
      </c>
      <c r="AJ388" s="3">
        <f>IF(ISERROR(VLOOKUP($A388,'SegEnds_NonXtal_BW#'!$A:$Z,25,FALSE)+VLOOKUP($A388,A:AL,37,FALSE)-50),"-",(VLOOKUP($A388,'SegEnds_NonXtal_BW#'!$A:$Z,25,FALSE)+VLOOKUP($A388,A:AL,37,FALSE)-50))</f>
        <v>280</v>
      </c>
      <c r="AK388" s="3">
        <v>283</v>
      </c>
      <c r="AL388" s="3">
        <v>291</v>
      </c>
      <c r="AM388" s="28" t="str">
        <f>VLOOKUP(A388,Classification!A:B,2,FALSE)</f>
        <v>T</v>
      </c>
      <c r="AN388" s="28" t="b">
        <f t="shared" si="235"/>
        <v>1</v>
      </c>
      <c r="AO388" s="3" t="str">
        <f>IF(ISERROR(MATCH(A388,'SegEnds_Xtal_Prot#'!B:B, 0)), "NoXtal", "Xtal")</f>
        <v>NoXtal</v>
      </c>
      <c r="AP388" s="3">
        <f t="shared" ref="AP388:AP409" si="249">IF(ISERROR(F388-E388),"-",F388-E388)</f>
        <v>1</v>
      </c>
      <c r="AQ388" s="3">
        <f t="shared" ref="AQ388:AQ409" si="250">IF(ISERROR(I388-H388),"-",I388-H388)</f>
        <v>1</v>
      </c>
      <c r="AR388" s="3" t="str">
        <f t="shared" ref="AR388:AR409" si="251">IF(ISERROR(L388-K388),"-",L388-K388)</f>
        <v>-</v>
      </c>
      <c r="AS388" s="3" t="str">
        <f t="shared" ref="AS388:AS409" si="252">IF(ISERROR(O388-N388),"-",O388-N388)</f>
        <v>-</v>
      </c>
      <c r="AT388" s="3">
        <f t="shared" ref="AT388:AT409" si="253">IF(ISERROR(R388-Q388),"-",R388-Q388)</f>
        <v>3</v>
      </c>
      <c r="AU388" s="3">
        <f t="shared" ref="AU388:AU409" si="254">IF(ISERROR(U388-T388),"-",U388-T388)</f>
        <v>1</v>
      </c>
      <c r="AV388" s="3" t="str">
        <f t="shared" ref="AV388:AV409" si="255">IF(ISERROR(X388-W388),"-",X388-W388)</f>
        <v>-</v>
      </c>
      <c r="AW388" s="3" t="str">
        <f t="shared" ref="AW388:AW409" si="256">IF(ISERROR(AA388-Z388),"-",AA388-Z388)</f>
        <v>-</v>
      </c>
      <c r="AX388" s="3">
        <f t="shared" ref="AX388:AX409" si="257">IF(ISERROR(AD388-AC388),"-",AD388-AC388)</f>
        <v>7</v>
      </c>
      <c r="AY388" s="3">
        <f t="shared" ref="AY388:AY409" si="258">IF(ISERROR(AG388-AF388),"-",AG388-AF388)</f>
        <v>5</v>
      </c>
      <c r="AZ388" s="3">
        <f t="shared" ref="AZ388:AZ409" si="259">IF(ISERROR(AJ388-AI388),"-",AJ388-AI388)</f>
        <v>1</v>
      </c>
      <c r="BA388" s="3">
        <f>IF(ISERROR(LEN(VLOOKUP(A388,Seqs!A:E,2,FALSE))-AL388),"-",LEN(VLOOKUP(A388,Seqs!A:E,2,FALSE))-AL388)</f>
        <v>0</v>
      </c>
      <c r="BB388" s="16">
        <f t="shared" ref="BB388:BB409" si="260">J388-D388</f>
        <v>31</v>
      </c>
      <c r="BC388" s="9">
        <f t="shared" ref="BC388:BC409" si="261">IF(ISERROR(V388-S388),"-",V388-S388)</f>
        <v>20</v>
      </c>
      <c r="BD388" s="3">
        <f t="shared" ref="BD388:BD409" si="262">J388-D388</f>
        <v>31</v>
      </c>
      <c r="BE388" s="3">
        <f t="shared" ref="BE388:BE409" si="263">AE388-AB388</f>
        <v>50</v>
      </c>
      <c r="BF388" s="3">
        <f t="shared" si="248"/>
        <v>35</v>
      </c>
    </row>
    <row r="389" spans="1:58" s="3" customFormat="1" x14ac:dyDescent="0.2">
      <c r="A389" s="3" t="s">
        <v>460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43"/>
        <v>36</v>
      </c>
      <c r="F389" s="3">
        <f t="shared" si="244"/>
        <v>37</v>
      </c>
      <c r="G389" s="3">
        <v>39</v>
      </c>
      <c r="H389" s="3">
        <f t="shared" si="245"/>
        <v>40</v>
      </c>
      <c r="I389" s="3">
        <f t="shared" si="245"/>
        <v>41</v>
      </c>
      <c r="J389" s="3">
        <v>55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si="246"/>
        <v>115</v>
      </c>
      <c r="S389" s="3">
        <v>115</v>
      </c>
      <c r="T389" s="101">
        <f t="shared" si="247"/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152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169</v>
      </c>
      <c r="AB389" s="3">
        <v>187</v>
      </c>
      <c r="AC389" s="3">
        <f>IF(ISERROR((VLOOKUP($A389,'SegEnds_NonXtal_BW#'!$A:$Z,20,FALSE)+VLOOKUP($A389,A:AL,28,FALSE)-50)),"-",(VLOOKUP($A389,'SegEnds_NonXtal_BW#'!$A:$Z,20,FALSE)+VLOOKUP($A389,A:AL,28,FALSE)-50))</f>
        <v>209</v>
      </c>
      <c r="AD389" s="3">
        <f>IF(ISERROR(VLOOKUP($A389,'SegEnds_NonXtal_BW#'!$A:$Z,21,FALSE)+VLOOKUP($A389,A:AL,31,FALSE)-50),"-",(VLOOKUP($A389,'SegEnds_NonXtal_BW#'!$A:$Z,21,FALSE)+VLOOKUP($A389,A:AL,31,FALSE)-50))</f>
        <v>219</v>
      </c>
      <c r="AE389" s="3">
        <v>240</v>
      </c>
      <c r="AF389" s="3">
        <f>IF(ISERROR((VLOOKUP($A389,'SegEnds_NonXtal_BW#'!$A:$Z,22,FALSE)+VLOOKUP($A389,A:AL,31,FALSE)-50)),"-",(VLOOKUP($A389,'SegEnds_NonXtal_BW#'!$A:$Z,22,FALSE)+VLOOKUP($A389,A:AL,31,FALSE)-50))</f>
        <v>251</v>
      </c>
      <c r="AG389" s="3">
        <f>IF(ISERROR(VLOOKUP($A389,'SegEnds_NonXtal_BW#'!$A:$Z,23,FALSE)+VLOOKUP($A389,A:AL,34,FALSE)-50),"-",(VLOOKUP($A389,'SegEnds_NonXtal_BW#'!$A:$Z,23,FALSE)+VLOOKUP($A389,A:AL,34,FALSE)-50))</f>
        <v>257</v>
      </c>
      <c r="AH389" s="3">
        <v>276</v>
      </c>
      <c r="AI389" s="3">
        <f>IF(ISERROR((VLOOKUP($A389,'SegEnds_NonXtal_BW#'!$A:$Z,24,FALSE)+VLOOKUP($A389,A:AL,34,FALSE)-50)),"-",(VLOOKUP($A389,'SegEnds_NonXtal_BW#'!$A:$Z,24,FALSE)+VLOOKUP($A389,A:AL,34,FALSE)-50))</f>
        <v>282</v>
      </c>
      <c r="AJ389" s="3">
        <f>IF(ISERROR(VLOOKUP($A389,'SegEnds_NonXtal_BW#'!$A:$Z,25,FALSE)+VLOOKUP($A389,A:AL,37,FALSE)-50),"-",(VLOOKUP($A389,'SegEnds_NonXtal_BW#'!$A:$Z,25,FALSE)+VLOOKUP($A389,A:AL,37,FALSE)-50))</f>
        <v>283</v>
      </c>
      <c r="AK389" s="3">
        <v>286</v>
      </c>
      <c r="AL389" s="3">
        <f>IF(ISERROR((VLOOKUP($A389,'SegEnds_NonXtal_BW#'!$A:$Z,26,FALSE)+VLOOKUP($A389,A:AL,37,FALSE)-50)),"-",(VLOOKUP($A389,'SegEnds_NonXtal_BW#'!$A:$Z,26,FALSE)+VLOOKUP($A389,A:AL,37,FALSE)-50))</f>
        <v>296</v>
      </c>
      <c r="AM389" s="28" t="str">
        <f>VLOOKUP(A389,Classification!A:B,2,FALSE)</f>
        <v>T</v>
      </c>
      <c r="AN389" s="28" t="b">
        <f t="shared" ref="AN389:AN409" si="264">AND(IF(Y389="-",IF(AA389-W389&gt;3,TRUE,FALSE),TRUE),IF(M389="-",IF(O389-K389&gt;3,TRUE,FALSE),TRUE),IF(AG389-AF389&gt;1,TRUE,FALSE),C389&lt;E389,OR(E389&lt;F389,F389="-"),OR(F389&lt;H389,F389="-"),OR(H389&lt;I389,H389="-"),I389&lt;K389,OR(K389&lt;L389,L389="-"),OR(L389&lt;N389,L389="-"),OR(N389&lt;O389,N389="-"),O389&lt;Q389,OR(Q389&lt;R389,R389="-"),OR(R389&lt;T389,R389="-"),OR(T389&lt;U389,T389="-"),U389&lt;W389,OR(W389&lt;X389,X389="-"),OR(X389&lt;Z389,X389="-"),OR(Z389&lt;AA389,Z389="-"),AA389&lt;AC389,AC389&lt;AD389,AD389&lt;AF389,AF389&lt;AG389,AG389&lt;AI389,OR(AI389&lt;AJ389,AJ389="-"),OR(AJ389&lt;AL389,AJ389="-"))</f>
        <v>1</v>
      </c>
      <c r="AO389" s="3" t="str">
        <f>IF(ISERROR(MATCH(A389,'SegEnds_Xtal_Prot#'!B:B, 0)), "NoXtal", "Xtal")</f>
        <v>NoXtal</v>
      </c>
      <c r="AP389" s="3">
        <f t="shared" si="249"/>
        <v>1</v>
      </c>
      <c r="AQ389" s="3">
        <f t="shared" si="250"/>
        <v>1</v>
      </c>
      <c r="AR389" s="3" t="str">
        <f t="shared" si="251"/>
        <v>-</v>
      </c>
      <c r="AS389" s="3" t="str">
        <f t="shared" si="252"/>
        <v>-</v>
      </c>
      <c r="AT389" s="3">
        <f t="shared" si="253"/>
        <v>3</v>
      </c>
      <c r="AU389" s="3">
        <f t="shared" si="254"/>
        <v>1</v>
      </c>
      <c r="AV389" s="3" t="str">
        <f t="shared" si="255"/>
        <v>-</v>
      </c>
      <c r="AW389" s="3" t="str">
        <f t="shared" si="256"/>
        <v>-</v>
      </c>
      <c r="AX389" s="3">
        <f t="shared" si="257"/>
        <v>10</v>
      </c>
      <c r="AY389" s="3">
        <f t="shared" si="258"/>
        <v>6</v>
      </c>
      <c r="AZ389" s="3">
        <f t="shared" si="259"/>
        <v>1</v>
      </c>
      <c r="BA389" s="3">
        <f>IF(ISERROR(LEN(VLOOKUP(A389,Seqs!A:E,2,FALSE))-AL389),"-",LEN(VLOOKUP(A389,Seqs!A:E,2,FALSE))-AL389)</f>
        <v>3</v>
      </c>
      <c r="BB389" s="16">
        <f t="shared" si="260"/>
        <v>31</v>
      </c>
      <c r="BC389" s="9">
        <f t="shared" si="261"/>
        <v>20</v>
      </c>
      <c r="BD389" s="3">
        <f t="shared" si="262"/>
        <v>31</v>
      </c>
      <c r="BE389" s="3">
        <f t="shared" si="263"/>
        <v>53</v>
      </c>
      <c r="BF389" s="3">
        <f t="shared" si="248"/>
        <v>36</v>
      </c>
    </row>
    <row r="390" spans="1:58" s="3" customFormat="1" x14ac:dyDescent="0.2">
      <c r="A390" s="3" t="s">
        <v>461</v>
      </c>
      <c r="B390" s="3" t="str">
        <f>LOWER(VLOOKUP(A390,Xtal_Templ!A:B,2,FALSE))</f>
        <v>5ht2c_human</v>
      </c>
      <c r="C390" s="3">
        <f>VLOOKUP($A390,'SegEnds_NonXtal_BW#'!$A:$Z,3,FALSE)+D390-50</f>
        <v>6</v>
      </c>
      <c r="D390" s="3">
        <v>24</v>
      </c>
      <c r="E390" s="3">
        <f t="shared" si="243"/>
        <v>36</v>
      </c>
      <c r="F390" s="3">
        <f t="shared" si="244"/>
        <v>37</v>
      </c>
      <c r="G390" s="3">
        <v>39</v>
      </c>
      <c r="H390" s="3">
        <f t="shared" si="245"/>
        <v>40</v>
      </c>
      <c r="I390" s="3">
        <f t="shared" si="245"/>
        <v>41</v>
      </c>
      <c r="J390" s="3">
        <v>55</v>
      </c>
      <c r="K390" s="3">
        <f>VLOOKUP($A390,'SegEnds_NonXtal_BW#'!$A:$Z,8,FALSE)+VLOOKUP($A390,A:AL,10,FALSE)-50</f>
        <v>71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106</v>
      </c>
      <c r="Q390" s="3">
        <f>VLOOKUP($A390,'SegEnds_NonXtal_BW#'!$A:$Z,12,FALSE)+VLOOKUP($A390,A:AL,16,FALSE)-50</f>
        <v>112</v>
      </c>
      <c r="R390" s="3">
        <f t="shared" si="246"/>
        <v>115</v>
      </c>
      <c r="S390" s="3">
        <v>115</v>
      </c>
      <c r="T390" s="101">
        <f t="shared" si="247"/>
        <v>122</v>
      </c>
      <c r="U390" s="9">
        <f>IF(ISERROR(VLOOKUP($A390,'SegEnds_NonXtal_BW#'!$A:$Z,15,FALSE)+VLOOKUP($A390,A:AL,22,FALSE)-50),"-",VLOOKUP($A390,'SegEnds_NonXtal_BW#'!$A:$Z,15,FALSE)+VLOOKUP($A390,A:AL,22,FALSE)-50)</f>
        <v>123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152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169</v>
      </c>
      <c r="AB390" s="3">
        <v>187</v>
      </c>
      <c r="AC390" s="3">
        <f>IF(ISERROR((VLOOKUP($A390,'SegEnds_NonXtal_BW#'!$A:$Z,20,FALSE)+VLOOKUP($A390,A:AL,28,FALSE)-50)),"-",(VLOOKUP($A390,'SegEnds_NonXtal_BW#'!$A:$Z,20,FALSE)+VLOOKUP($A390,A:AL,28,FALSE)-50))</f>
        <v>209</v>
      </c>
      <c r="AD390" s="3">
        <f>IF(ISERROR(VLOOKUP($A390,'SegEnds_NonXtal_BW#'!$A:$Z,21,FALSE)+VLOOKUP($A390,A:AL,31,FALSE)-50),"-",(VLOOKUP($A390,'SegEnds_NonXtal_BW#'!$A:$Z,21,FALSE)+VLOOKUP($A390,A:AL,31,FALSE)-50))</f>
        <v>219</v>
      </c>
      <c r="AE390" s="3">
        <v>240</v>
      </c>
      <c r="AF390" s="3">
        <f>IF(ISERROR((VLOOKUP($A390,'SegEnds_NonXtal_BW#'!$A:$Z,22,FALSE)+VLOOKUP($A390,A:AL,31,FALSE)-50)),"-",(VLOOKUP($A390,'SegEnds_NonXtal_BW#'!$A:$Z,22,FALSE)+VLOOKUP($A390,A:AL,31,FALSE)-50))</f>
        <v>251</v>
      </c>
      <c r="AG390" s="3">
        <f>IF(ISERROR(VLOOKUP($A390,'SegEnds_NonXtal_BW#'!$A:$Z,23,FALSE)+VLOOKUP($A390,A:AL,34,FALSE)-50),"-",(VLOOKUP($A390,'SegEnds_NonXtal_BW#'!$A:$Z,23,FALSE)+VLOOKUP($A390,A:AL,34,FALSE)-50))</f>
        <v>257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f>IF(ISERROR(VLOOKUP($A390,'SegEnds_NonXtal_BW#'!$A:$Z,25,FALSE)+VLOOKUP($A390,A:AL,37,FALSE)-50),"-",(VLOOKUP($A390,'SegEnds_NonXtal_BW#'!$A:$Z,25,FALSE)+VLOOKUP($A390,A:AL,37,FALSE)-50))</f>
        <v>283</v>
      </c>
      <c r="AK390" s="3">
        <v>286</v>
      </c>
      <c r="AL390" s="3">
        <f>IF(ISERROR((VLOOKUP($A390,'SegEnds_NonXtal_BW#'!$A:$Z,26,FALSE)+VLOOKUP($A390,A:AL,37,FALSE)-50)),"-",(VLOOKUP($A390,'SegEnds_NonXtal_BW#'!$A:$Z,26,FALSE)+VLOOKUP($A390,A:AL,37,FALSE)-50))</f>
        <v>296</v>
      </c>
      <c r="AM390" s="28" t="str">
        <f>VLOOKUP(A390,Classification!A:B,2,FALSE)</f>
        <v>T</v>
      </c>
      <c r="AN390" s="28" t="b">
        <f t="shared" si="264"/>
        <v>1</v>
      </c>
      <c r="AO390" s="3" t="str">
        <f>IF(ISERROR(MATCH(A390,'SegEnds_Xtal_Prot#'!B:B, 0)), "NoXtal", "Xtal")</f>
        <v>NoXtal</v>
      </c>
      <c r="AP390" s="3">
        <f t="shared" si="249"/>
        <v>1</v>
      </c>
      <c r="AQ390" s="3">
        <f t="shared" si="250"/>
        <v>1</v>
      </c>
      <c r="AR390" s="3" t="str">
        <f t="shared" si="251"/>
        <v>-</v>
      </c>
      <c r="AS390" s="3" t="str">
        <f t="shared" si="252"/>
        <v>-</v>
      </c>
      <c r="AT390" s="3">
        <f t="shared" si="253"/>
        <v>3</v>
      </c>
      <c r="AU390" s="3">
        <f t="shared" si="254"/>
        <v>1</v>
      </c>
      <c r="AV390" s="3" t="str">
        <f t="shared" si="255"/>
        <v>-</v>
      </c>
      <c r="AW390" s="3" t="str">
        <f t="shared" si="256"/>
        <v>-</v>
      </c>
      <c r="AX390" s="3">
        <f t="shared" si="257"/>
        <v>10</v>
      </c>
      <c r="AY390" s="3">
        <f t="shared" si="258"/>
        <v>6</v>
      </c>
      <c r="AZ390" s="3">
        <f t="shared" si="259"/>
        <v>1</v>
      </c>
      <c r="BA390" s="3">
        <f>IF(ISERROR(LEN(VLOOKUP(A390,Seqs!A:E,2,FALSE))-AL390),"-",LEN(VLOOKUP(A390,Seqs!A:E,2,FALSE))-AL390)</f>
        <v>13</v>
      </c>
      <c r="BB390" s="16">
        <f t="shared" si="260"/>
        <v>31</v>
      </c>
      <c r="BC390" s="9">
        <f t="shared" si="261"/>
        <v>20</v>
      </c>
      <c r="BD390" s="3">
        <f t="shared" si="262"/>
        <v>31</v>
      </c>
      <c r="BE390" s="3">
        <f t="shared" si="263"/>
        <v>53</v>
      </c>
      <c r="BF390" s="3">
        <f t="shared" si="248"/>
        <v>36</v>
      </c>
    </row>
    <row r="391" spans="1:58" s="3" customFormat="1" x14ac:dyDescent="0.2">
      <c r="A391" s="3" t="s">
        <v>462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3"/>
        <v>36</v>
      </c>
      <c r="F391" s="3">
        <f t="shared" si="244"/>
        <v>37</v>
      </c>
      <c r="G391" s="3">
        <v>39</v>
      </c>
      <c r="H391" s="3">
        <f t="shared" si="245"/>
        <v>40</v>
      </c>
      <c r="I391" s="3">
        <f t="shared" si="24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46"/>
        <v>115</v>
      </c>
      <c r="S391" s="3">
        <v>115</v>
      </c>
      <c r="T391" s="101">
        <f t="shared" si="24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si="264"/>
        <v>1</v>
      </c>
      <c r="AO391" s="3" t="str">
        <f>IF(ISERROR(MATCH(A391,'SegEnds_Xtal_Prot#'!B:B, 0)), "NoXtal", "Xtal")</f>
        <v>NoXtal</v>
      </c>
      <c r="AP391" s="3">
        <f t="shared" si="249"/>
        <v>1</v>
      </c>
      <c r="AQ391" s="3">
        <f t="shared" si="250"/>
        <v>1</v>
      </c>
      <c r="AR391" s="3" t="str">
        <f t="shared" si="251"/>
        <v>-</v>
      </c>
      <c r="AS391" s="3" t="str">
        <f t="shared" si="252"/>
        <v>-</v>
      </c>
      <c r="AT391" s="3">
        <f t="shared" si="253"/>
        <v>3</v>
      </c>
      <c r="AU391" s="3">
        <f t="shared" si="254"/>
        <v>1</v>
      </c>
      <c r="AV391" s="3" t="str">
        <f t="shared" si="255"/>
        <v>-</v>
      </c>
      <c r="AW391" s="3" t="str">
        <f t="shared" si="256"/>
        <v>-</v>
      </c>
      <c r="AX391" s="3">
        <f t="shared" si="257"/>
        <v>10</v>
      </c>
      <c r="AY391" s="3">
        <f t="shared" si="258"/>
        <v>6</v>
      </c>
      <c r="AZ391" s="3">
        <f t="shared" si="259"/>
        <v>1</v>
      </c>
      <c r="BA391" s="3">
        <f>IF(ISERROR(LEN(VLOOKUP(A391,Seqs!A:E,2,FALSE))-AL391),"-",LEN(VLOOKUP(A391,Seqs!A:E,2,FALSE))-AL391)</f>
        <v>23</v>
      </c>
      <c r="BB391" s="16">
        <f t="shared" si="260"/>
        <v>31</v>
      </c>
      <c r="BC391" s="9">
        <f t="shared" si="261"/>
        <v>20</v>
      </c>
      <c r="BD391" s="3">
        <f t="shared" si="262"/>
        <v>31</v>
      </c>
      <c r="BE391" s="3">
        <f t="shared" si="263"/>
        <v>53</v>
      </c>
      <c r="BF391" s="3">
        <f t="shared" si="248"/>
        <v>36</v>
      </c>
    </row>
    <row r="392" spans="1:58" s="3" customFormat="1" x14ac:dyDescent="0.2">
      <c r="A392" s="3" t="s">
        <v>463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si="243"/>
        <v>36</v>
      </c>
      <c r="F392" s="3">
        <f t="shared" si="244"/>
        <v>37</v>
      </c>
      <c r="G392" s="3">
        <v>39</v>
      </c>
      <c r="H392" s="3">
        <f t="shared" si="245"/>
        <v>40</v>
      </c>
      <c r="I392" s="3">
        <f t="shared" si="24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46"/>
        <v>115</v>
      </c>
      <c r="S392" s="3">
        <v>115</v>
      </c>
      <c r="T392" s="101">
        <f t="shared" si="24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64"/>
        <v>1</v>
      </c>
      <c r="AO392" s="3" t="str">
        <f>IF(ISERROR(MATCH(A392,'SegEnds_Xtal_Prot#'!B:B, 0)), "NoXtal", "Xtal")</f>
        <v>NoXtal</v>
      </c>
      <c r="AP392" s="3">
        <f t="shared" si="249"/>
        <v>1</v>
      </c>
      <c r="AQ392" s="3">
        <f t="shared" si="250"/>
        <v>1</v>
      </c>
      <c r="AR392" s="3" t="str">
        <f t="shared" si="251"/>
        <v>-</v>
      </c>
      <c r="AS392" s="3" t="str">
        <f t="shared" si="252"/>
        <v>-</v>
      </c>
      <c r="AT392" s="3">
        <f t="shared" si="253"/>
        <v>3</v>
      </c>
      <c r="AU392" s="3">
        <f t="shared" si="254"/>
        <v>1</v>
      </c>
      <c r="AV392" s="3" t="str">
        <f t="shared" si="255"/>
        <v>-</v>
      </c>
      <c r="AW392" s="3" t="str">
        <f t="shared" si="256"/>
        <v>-</v>
      </c>
      <c r="AX392" s="3">
        <f t="shared" si="257"/>
        <v>10</v>
      </c>
      <c r="AY392" s="3">
        <f t="shared" si="258"/>
        <v>6</v>
      </c>
      <c r="AZ392" s="3">
        <f t="shared" si="259"/>
        <v>1</v>
      </c>
      <c r="BA392" s="3">
        <f>IF(ISERROR(LEN(VLOOKUP(A392,Seqs!A:E,2,FALSE))-AL392),"-",LEN(VLOOKUP(A392,Seqs!A:E,2,FALSE))-AL392)</f>
        <v>13</v>
      </c>
      <c r="BB392" s="16">
        <f t="shared" si="260"/>
        <v>31</v>
      </c>
      <c r="BC392" s="9">
        <f t="shared" si="261"/>
        <v>20</v>
      </c>
      <c r="BD392" s="3">
        <f t="shared" si="262"/>
        <v>31</v>
      </c>
      <c r="BE392" s="3">
        <f t="shared" si="263"/>
        <v>53</v>
      </c>
      <c r="BF392" s="3">
        <f t="shared" si="248"/>
        <v>36</v>
      </c>
    </row>
    <row r="393" spans="1:58" s="3" customFormat="1" x14ac:dyDescent="0.2">
      <c r="A393" s="3" t="s">
        <v>464</v>
      </c>
      <c r="B393" s="3" t="str">
        <f>LOWER(VLOOKUP(A393,Xtal_Templ!A:B,2,FALSE))</f>
        <v>agtr1_human</v>
      </c>
      <c r="C393" s="3">
        <f>VLOOKUP($A393,'SegEnds_NonXtal_BW#'!$A:$Z,3,FALSE)+D393-50</f>
        <v>15</v>
      </c>
      <c r="D393" s="3">
        <v>33</v>
      </c>
      <c r="E393" s="3">
        <f t="shared" si="243"/>
        <v>45</v>
      </c>
      <c r="F393" s="3">
        <f t="shared" si="244"/>
        <v>46</v>
      </c>
      <c r="G393" s="3">
        <v>48</v>
      </c>
      <c r="H393" s="3">
        <f t="shared" si="245"/>
        <v>49</v>
      </c>
      <c r="I393" s="3">
        <f t="shared" si="245"/>
        <v>50</v>
      </c>
      <c r="J393" s="3">
        <v>64</v>
      </c>
      <c r="K393" s="3">
        <f>VLOOKUP($A393,'SegEnds_NonXtal_BW#'!$A:$Z,8,FALSE)+VLOOKUP($A393,A:AL,10,FALSE)-50</f>
        <v>81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85</v>
      </c>
      <c r="P393" s="3">
        <v>117</v>
      </c>
      <c r="Q393" s="3">
        <f>VLOOKUP($A393,'SegEnds_NonXtal_BW#'!$A:$Z,12,FALSE)+VLOOKUP($A393,A:AL,16,FALSE)-50</f>
        <v>123</v>
      </c>
      <c r="R393" s="3">
        <f t="shared" si="246"/>
        <v>126</v>
      </c>
      <c r="S393" s="3">
        <v>126</v>
      </c>
      <c r="T393" s="101">
        <f t="shared" si="247"/>
        <v>133</v>
      </c>
      <c r="U393" s="9">
        <f>IF(ISERROR(VLOOKUP($A393,'SegEnds_NonXtal_BW#'!$A:$Z,15,FALSE)+VLOOKUP($A393,A:AL,22,FALSE)-50),"-",VLOOKUP($A393,'SegEnds_NonXtal_BW#'!$A:$Z,15,FALSE)+VLOOKUP($A393,A:AL,22,FALSE)-50)</f>
        <v>134</v>
      </c>
      <c r="V393" s="3">
        <v>146</v>
      </c>
      <c r="W393" s="3">
        <f>IF(ISERROR(VLOOKUP($A393,'SegEnds_NonXtal_BW#'!$A:$Z,16,FALSE)+VLOOKUP($A393,A:AL,22,FALSE)-50),"-",(VLOOKUP($A393,'SegEnds_NonXtal_BW#'!$A:$Z,16,FALSE)+VLOOKUP($A393,A:AL,22,FALSE)-50))</f>
        <v>160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187</v>
      </c>
      <c r="AB393" s="3">
        <v>205</v>
      </c>
      <c r="AC393" s="3">
        <f>IF(ISERROR((VLOOKUP($A393,'SegEnds_NonXtal_BW#'!$A:$Z,20,FALSE)+VLOOKUP($A393,A:AL,28,FALSE)-50)),"-",(VLOOKUP($A393,'SegEnds_NonXtal_BW#'!$A:$Z,20,FALSE)+VLOOKUP($A393,A:AL,28,FALSE)-50))</f>
        <v>227</v>
      </c>
      <c r="AD393" s="3">
        <f>IF(ISERROR(VLOOKUP($A393,'SegEnds_NonXtal_BW#'!$A:$Z,21,FALSE)+VLOOKUP($A393,A:AL,31,FALSE)-50),"-",(VLOOKUP($A393,'SegEnds_NonXtal_BW#'!$A:$Z,21,FALSE)+VLOOKUP($A393,A:AL,31,FALSE)-50))</f>
        <v>237</v>
      </c>
      <c r="AE393" s="3">
        <v>258</v>
      </c>
      <c r="AF393" s="3">
        <f>IF(ISERROR((VLOOKUP($A393,'SegEnds_NonXtal_BW#'!$A:$Z,22,FALSE)+VLOOKUP($A393,A:AL,31,FALSE)-50)),"-",(VLOOKUP($A393,'SegEnds_NonXtal_BW#'!$A:$Z,22,FALSE)+VLOOKUP($A393,A:AL,31,FALSE)-50))</f>
        <v>269</v>
      </c>
      <c r="AG393" s="3">
        <f>IF(ISERROR(VLOOKUP($A393,'SegEnds_NonXtal_BW#'!$A:$Z,23,FALSE)+VLOOKUP($A393,A:AL,34,FALSE)-50),"-",(VLOOKUP($A393,'SegEnds_NonXtal_BW#'!$A:$Z,23,FALSE)+VLOOKUP($A393,A:AL,34,FALSE)-50))</f>
        <v>275</v>
      </c>
      <c r="AH393" s="3">
        <v>294</v>
      </c>
      <c r="AI393" s="3">
        <f>IF(ISERROR((VLOOKUP($A393,'SegEnds_NonXtal_BW#'!$A:$Z,24,FALSE)+VLOOKUP($A393,A:AL,34,FALSE)-50)),"-",(VLOOKUP($A393,'SegEnds_NonXtal_BW#'!$A:$Z,24,FALSE)+VLOOKUP($A393,A:AL,34,FALSE)-50))</f>
        <v>300</v>
      </c>
      <c r="AJ393" s="3">
        <f>IF(ISERROR(VLOOKUP($A393,'SegEnds_NonXtal_BW#'!$A:$Z,25,FALSE)+VLOOKUP($A393,A:AL,37,FALSE)-50),"-",(VLOOKUP($A393,'SegEnds_NonXtal_BW#'!$A:$Z,25,FALSE)+VLOOKUP($A393,A:AL,37,FALSE)-50))</f>
        <v>301</v>
      </c>
      <c r="AK393" s="3">
        <v>304</v>
      </c>
      <c r="AL393" s="3">
        <f>IF(ISERROR((VLOOKUP($A393,'SegEnds_NonXtal_BW#'!$A:$Z,26,FALSE)+VLOOKUP($A393,A:AL,37,FALSE)-50)),"-",(VLOOKUP($A393,'SegEnds_NonXtal_BW#'!$A:$Z,26,FALSE)+VLOOKUP($A393,A:AL,37,FALSE)-50))</f>
        <v>314</v>
      </c>
      <c r="AM393" s="28" t="str">
        <f>VLOOKUP(A393,Classification!A:B,2,FALSE)</f>
        <v>T</v>
      </c>
      <c r="AN393" s="28" t="b">
        <f t="shared" si="264"/>
        <v>1</v>
      </c>
      <c r="AO393" s="3" t="str">
        <f>IF(ISERROR(MATCH(A393,'SegEnds_Xtal_Prot#'!B:B, 0)), "NoXtal", "Xtal")</f>
        <v>NoXtal</v>
      </c>
      <c r="AP393" s="3">
        <f t="shared" si="249"/>
        <v>1</v>
      </c>
      <c r="AQ393" s="3">
        <f t="shared" si="250"/>
        <v>1</v>
      </c>
      <c r="AR393" s="3" t="str">
        <f t="shared" si="251"/>
        <v>-</v>
      </c>
      <c r="AS393" s="3" t="str">
        <f t="shared" si="252"/>
        <v>-</v>
      </c>
      <c r="AT393" s="3">
        <f t="shared" si="253"/>
        <v>3</v>
      </c>
      <c r="AU393" s="3">
        <f t="shared" si="254"/>
        <v>1</v>
      </c>
      <c r="AV393" s="3" t="str">
        <f t="shared" si="255"/>
        <v>-</v>
      </c>
      <c r="AW393" s="3" t="str">
        <f t="shared" si="256"/>
        <v>-</v>
      </c>
      <c r="AX393" s="3">
        <f t="shared" si="257"/>
        <v>10</v>
      </c>
      <c r="AY393" s="3">
        <f t="shared" si="258"/>
        <v>6</v>
      </c>
      <c r="AZ393" s="3">
        <f t="shared" si="259"/>
        <v>1</v>
      </c>
      <c r="BA393" s="3">
        <f>IF(ISERROR(LEN(VLOOKUP(A393,Seqs!A:E,2,FALSE))-AL393),"-",LEN(VLOOKUP(A393,Seqs!A:E,2,FALSE))-AL393)</f>
        <v>19</v>
      </c>
      <c r="BB393" s="16">
        <f t="shared" si="260"/>
        <v>31</v>
      </c>
      <c r="BC393" s="9">
        <f t="shared" si="261"/>
        <v>20</v>
      </c>
      <c r="BD393" s="3">
        <f t="shared" si="262"/>
        <v>31</v>
      </c>
      <c r="BE393" s="3">
        <f t="shared" si="263"/>
        <v>53</v>
      </c>
      <c r="BF393" s="3">
        <f t="shared" si="248"/>
        <v>36</v>
      </c>
    </row>
    <row r="394" spans="1:58" s="3" customFormat="1" x14ac:dyDescent="0.2">
      <c r="A394" s="3" t="s">
        <v>465</v>
      </c>
      <c r="B394" s="3" t="str">
        <f>LOWER(VLOOKUP(A394,Xtal_Templ!A:B,2,FALSE))</f>
        <v>agtr1_human</v>
      </c>
      <c r="C394" s="3">
        <f>VLOOKUP($A394,'SegEnds_NonXtal_BW#'!$A:$Z,3,FALSE)+D394-50</f>
        <v>34</v>
      </c>
      <c r="D394" s="3">
        <v>52</v>
      </c>
      <c r="E394" s="3">
        <f t="shared" si="243"/>
        <v>64</v>
      </c>
      <c r="F394" s="3">
        <f t="shared" si="244"/>
        <v>65</v>
      </c>
      <c r="G394" s="3">
        <v>67</v>
      </c>
      <c r="H394" s="3">
        <f t="shared" si="245"/>
        <v>68</v>
      </c>
      <c r="I394" s="3">
        <f t="shared" si="245"/>
        <v>69</v>
      </c>
      <c r="J394" s="3">
        <v>83</v>
      </c>
      <c r="K394" s="3">
        <f>VLOOKUP($A394,'SegEnds_NonXtal_BW#'!$A:$Z,8,FALSE)+VLOOKUP($A394,A:AL,10,FALSE)-50</f>
        <v>99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103</v>
      </c>
      <c r="P394" s="3">
        <v>135</v>
      </c>
      <c r="Q394" s="3">
        <f>VLOOKUP($A394,'SegEnds_NonXtal_BW#'!$A:$Z,12,FALSE)+VLOOKUP($A394,A:AL,16,FALSE)-50</f>
        <v>141</v>
      </c>
      <c r="R394" s="3">
        <f t="shared" si="246"/>
        <v>144</v>
      </c>
      <c r="S394" s="3">
        <v>144</v>
      </c>
      <c r="T394" s="101">
        <f t="shared" si="247"/>
        <v>151</v>
      </c>
      <c r="U394" s="9">
        <f>IF(ISERROR(VLOOKUP($A394,'SegEnds_NonXtal_BW#'!$A:$Z,15,FALSE)+VLOOKUP($A394,A:AL,22,FALSE)-50),"-",VLOOKUP($A394,'SegEnds_NonXtal_BW#'!$A:$Z,15,FALSE)+VLOOKUP($A394,A:AL,22,FALSE)-50)</f>
        <v>152</v>
      </c>
      <c r="V394" s="3">
        <v>164</v>
      </c>
      <c r="W394" s="3">
        <f>IF(ISERROR(VLOOKUP($A394,'SegEnds_NonXtal_BW#'!$A:$Z,16,FALSE)+VLOOKUP($A394,A:AL,22,FALSE)-50),"-",(VLOOKUP($A394,'SegEnds_NonXtal_BW#'!$A:$Z,16,FALSE)+VLOOKUP($A394,A:AL,22,FALSE)-50))</f>
        <v>178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202</v>
      </c>
      <c r="AB394" s="3">
        <v>220</v>
      </c>
      <c r="AC394" s="3">
        <f>IF(ISERROR((VLOOKUP($A394,'SegEnds_NonXtal_BW#'!$A:$Z,20,FALSE)+VLOOKUP($A394,A:AL,28,FALSE)-50)),"-",(VLOOKUP($A394,'SegEnds_NonXtal_BW#'!$A:$Z,20,FALSE)+VLOOKUP($A394,A:AL,28,FALSE)-50))</f>
        <v>242</v>
      </c>
      <c r="AD394" s="3">
        <f>IF(ISERROR(VLOOKUP($A394,'SegEnds_NonXtal_BW#'!$A:$Z,21,FALSE)+VLOOKUP($A394,A:AL,31,FALSE)-50),"-",(VLOOKUP($A394,'SegEnds_NonXtal_BW#'!$A:$Z,21,FALSE)+VLOOKUP($A394,A:AL,31,FALSE)-50))</f>
        <v>252</v>
      </c>
      <c r="AE394" s="3">
        <v>273</v>
      </c>
      <c r="AF394" s="3">
        <f>IF(ISERROR((VLOOKUP($A394,'SegEnds_NonXtal_BW#'!$A:$Z,22,FALSE)+VLOOKUP($A394,A:AL,31,FALSE)-50)),"-",(VLOOKUP($A394,'SegEnds_NonXtal_BW#'!$A:$Z,22,FALSE)+VLOOKUP($A394,A:AL,31,FALSE)-50))</f>
        <v>284</v>
      </c>
      <c r="AG394" s="3">
        <f>IF(ISERROR(VLOOKUP($A394,'SegEnds_NonXtal_BW#'!$A:$Z,23,FALSE)+VLOOKUP($A394,A:AL,34,FALSE)-50),"-",(VLOOKUP($A394,'SegEnds_NonXtal_BW#'!$A:$Z,23,FALSE)+VLOOKUP($A394,A:AL,34,FALSE)-50))</f>
        <v>289</v>
      </c>
      <c r="AH394" s="3">
        <v>308</v>
      </c>
      <c r="AI394" s="3">
        <f>IF(ISERROR((VLOOKUP($A394,'SegEnds_NonXtal_BW#'!$A:$Z,24,FALSE)+VLOOKUP($A394,A:AL,34,FALSE)-50)),"-",(VLOOKUP($A394,'SegEnds_NonXtal_BW#'!$A:$Z,24,FALSE)+VLOOKUP($A394,A:AL,34,FALSE)-50))</f>
        <v>314</v>
      </c>
      <c r="AJ394" s="3">
        <f>IF(ISERROR(VLOOKUP($A394,'SegEnds_NonXtal_BW#'!$A:$Z,25,FALSE)+VLOOKUP($A394,A:AL,37,FALSE)-50),"-",(VLOOKUP($A394,'SegEnds_NonXtal_BW#'!$A:$Z,25,FALSE)+VLOOKUP($A394,A:AL,37,FALSE)-50))</f>
        <v>315</v>
      </c>
      <c r="AK394" s="3">
        <v>318</v>
      </c>
      <c r="AL394" s="3">
        <f>IF(ISERROR((VLOOKUP($A394,'SegEnds_NonXtal_BW#'!$A:$Z,26,FALSE)+VLOOKUP($A394,A:AL,37,FALSE)-50)),"-",(VLOOKUP($A394,'SegEnds_NonXtal_BW#'!$A:$Z,26,FALSE)+VLOOKUP($A394,A:AL,37,FALSE)-50))</f>
        <v>328</v>
      </c>
      <c r="AM394" s="28" t="str">
        <f>VLOOKUP(A394,Classification!A:B,2,FALSE)</f>
        <v>T</v>
      </c>
      <c r="AN394" s="28" t="b">
        <f t="shared" si="264"/>
        <v>1</v>
      </c>
      <c r="AO394" s="3" t="str">
        <f>IF(ISERROR(MATCH(A394,'SegEnds_Xtal_Prot#'!B:B, 0)), "NoXtal", "Xtal")</f>
        <v>NoXtal</v>
      </c>
      <c r="AP394" s="3">
        <f t="shared" si="249"/>
        <v>1</v>
      </c>
      <c r="AQ394" s="3">
        <f t="shared" si="250"/>
        <v>1</v>
      </c>
      <c r="AR394" s="3" t="str">
        <f t="shared" si="251"/>
        <v>-</v>
      </c>
      <c r="AS394" s="3" t="str">
        <f t="shared" si="252"/>
        <v>-</v>
      </c>
      <c r="AT394" s="3">
        <f t="shared" si="253"/>
        <v>3</v>
      </c>
      <c r="AU394" s="3">
        <f t="shared" si="254"/>
        <v>1</v>
      </c>
      <c r="AV394" s="3" t="str">
        <f t="shared" si="255"/>
        <v>-</v>
      </c>
      <c r="AW394" s="3" t="str">
        <f t="shared" si="256"/>
        <v>-</v>
      </c>
      <c r="AX394" s="3">
        <f t="shared" si="257"/>
        <v>10</v>
      </c>
      <c r="AY394" s="3">
        <f t="shared" si="258"/>
        <v>5</v>
      </c>
      <c r="AZ394" s="3">
        <f t="shared" si="259"/>
        <v>1</v>
      </c>
      <c r="BA394" s="3">
        <f>IF(ISERROR(LEN(VLOOKUP(A394,Seqs!A:E,2,FALSE))-AL394),"-",LEN(VLOOKUP(A394,Seqs!A:E,2,FALSE))-AL394)</f>
        <v>10</v>
      </c>
      <c r="BB394" s="16">
        <f t="shared" si="260"/>
        <v>31</v>
      </c>
      <c r="BC394" s="9">
        <f t="shared" si="261"/>
        <v>20</v>
      </c>
      <c r="BD394" s="3">
        <f t="shared" si="262"/>
        <v>31</v>
      </c>
      <c r="BE394" s="3">
        <f t="shared" si="263"/>
        <v>53</v>
      </c>
      <c r="BF394" s="3">
        <f t="shared" si="248"/>
        <v>35</v>
      </c>
    </row>
    <row r="395" spans="1:58" s="3" customFormat="1" x14ac:dyDescent="0.2">
      <c r="A395" s="3" t="s">
        <v>466</v>
      </c>
      <c r="B395" s="3" t="str">
        <f>LOWER(VLOOKUP(A395,Xtal_Templ!A:B,2,FALSE))</f>
        <v>cxcr4_human</v>
      </c>
      <c r="C395" s="3">
        <f>VLOOKUP($A395,'SegEnds_NonXtal_BW#'!$A:$Z,3,FALSE)+D395-50</f>
        <v>18</v>
      </c>
      <c r="D395" s="3">
        <v>36</v>
      </c>
      <c r="E395" s="3">
        <f t="shared" si="243"/>
        <v>48</v>
      </c>
      <c r="F395" s="3">
        <f t="shared" si="244"/>
        <v>49</v>
      </c>
      <c r="G395" s="3">
        <v>51</v>
      </c>
      <c r="H395" s="3">
        <f t="shared" si="245"/>
        <v>52</v>
      </c>
      <c r="I395" s="3">
        <f t="shared" si="245"/>
        <v>53</v>
      </c>
      <c r="J395" s="3">
        <v>67</v>
      </c>
      <c r="K395" s="3">
        <f>VLOOKUP($A395,'SegEnds_NonXtal_BW#'!$A:$Z,8,FALSE)+VLOOKUP($A395,A:AL,10,FALSE)-50</f>
        <v>83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87</v>
      </c>
      <c r="P395" s="3">
        <v>119</v>
      </c>
      <c r="Q395" s="3">
        <f>VLOOKUP($A395,'SegEnds_NonXtal_BW#'!$A:$Z,12,FALSE)+VLOOKUP($A395,A:AL,16,FALSE)-50</f>
        <v>125</v>
      </c>
      <c r="R395" s="3">
        <f t="shared" si="246"/>
        <v>128</v>
      </c>
      <c r="S395" s="3">
        <v>128</v>
      </c>
      <c r="T395" s="101">
        <f t="shared" si="247"/>
        <v>135</v>
      </c>
      <c r="U395" s="9">
        <f>IF(ISERROR(VLOOKUP($A395,'SegEnds_NonXtal_BW#'!$A:$Z,15,FALSE)+VLOOKUP($A395,A:AL,22,FALSE)-50),"-",VLOOKUP($A395,'SegEnds_NonXtal_BW#'!$A:$Z,15,FALSE)+VLOOKUP($A395,A:AL,22,FALSE)-50)</f>
        <v>136</v>
      </c>
      <c r="V395" s="3">
        <v>148</v>
      </c>
      <c r="W395" s="3">
        <f>IF(ISERROR(VLOOKUP($A395,'SegEnds_NonXtal_BW#'!$A:$Z,16,FALSE)+VLOOKUP($A395,A:AL,22,FALSE)-50),"-",(VLOOKUP($A395,'SegEnds_NonXtal_BW#'!$A:$Z,16,FALSE)+VLOOKUP($A395,A:AL,22,FALSE)-50))</f>
        <v>162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274</v>
      </c>
      <c r="AH395" s="3">
        <v>293</v>
      </c>
      <c r="AI395" s="3">
        <f>IF(ISERROR((VLOOKUP($A395,'SegEnds_NonXtal_BW#'!$A:$Z,24,FALSE)+VLOOKUP($A395,A:AL,34,FALSE)-50)),"-",(VLOOKUP($A395,'SegEnds_NonXtal_BW#'!$A:$Z,24,FALSE)+VLOOKUP($A395,A:AL,34,FALSE)-50))</f>
        <v>299</v>
      </c>
      <c r="AJ395" s="3">
        <f>IF(ISERROR(VLOOKUP($A395,'SegEnds_NonXtal_BW#'!$A:$Z,25,FALSE)+VLOOKUP($A395,A:AL,37,FALSE)-50),"-",(VLOOKUP($A395,'SegEnds_NonXtal_BW#'!$A:$Z,25,FALSE)+VLOOKUP($A395,A:AL,37,FALSE)-50))</f>
        <v>300</v>
      </c>
      <c r="AK395" s="3">
        <v>303</v>
      </c>
      <c r="AL395" s="3">
        <f>IF(ISERROR((VLOOKUP($A395,'SegEnds_NonXtal_BW#'!$A:$Z,26,FALSE)+VLOOKUP($A395,A:AL,37,FALSE)-50)),"-",(VLOOKUP($A395,'SegEnds_NonXtal_BW#'!$A:$Z,26,FALSE)+VLOOKUP($A395,A:AL,37,FALSE)-50))</f>
        <v>313</v>
      </c>
      <c r="AM395" s="28" t="str">
        <f>VLOOKUP(A395,Classification!A:B,2,FALSE)</f>
        <v>T</v>
      </c>
      <c r="AN395" s="28" t="b">
        <f t="shared" si="264"/>
        <v>1</v>
      </c>
      <c r="AO395" s="3" t="str">
        <f>IF(ISERROR(MATCH(A395,'SegEnds_Xtal_Prot#'!B:B, 0)), "NoXtal", "Xtal")</f>
        <v>NoXtal</v>
      </c>
      <c r="AP395" s="3">
        <f t="shared" si="249"/>
        <v>1</v>
      </c>
      <c r="AQ395" s="3">
        <f t="shared" si="250"/>
        <v>1</v>
      </c>
      <c r="AR395" s="3" t="str">
        <f t="shared" si="251"/>
        <v>-</v>
      </c>
      <c r="AS395" s="3" t="str">
        <f t="shared" si="252"/>
        <v>-</v>
      </c>
      <c r="AT395" s="3">
        <f t="shared" si="253"/>
        <v>3</v>
      </c>
      <c r="AU395" s="3">
        <f t="shared" si="254"/>
        <v>1</v>
      </c>
      <c r="AV395" s="3" t="str">
        <f t="shared" si="255"/>
        <v>-</v>
      </c>
      <c r="AW395" s="3" t="str">
        <f t="shared" si="256"/>
        <v>-</v>
      </c>
      <c r="AX395" s="3">
        <f t="shared" si="257"/>
        <v>10</v>
      </c>
      <c r="AY395" s="3">
        <f t="shared" si="258"/>
        <v>5</v>
      </c>
      <c r="AZ395" s="3">
        <f t="shared" si="259"/>
        <v>1</v>
      </c>
      <c r="BA395" s="3">
        <f>IF(ISERROR(LEN(VLOOKUP(A395,Seqs!A:E,2,FALSE))-AL395),"-",LEN(VLOOKUP(A395,Seqs!A:E,2,FALSE))-AL395)</f>
        <v>10</v>
      </c>
      <c r="BB395" s="16">
        <f t="shared" si="260"/>
        <v>31</v>
      </c>
      <c r="BC395" s="9">
        <f t="shared" si="261"/>
        <v>20</v>
      </c>
      <c r="BD395" s="3">
        <f t="shared" si="262"/>
        <v>31</v>
      </c>
      <c r="BE395" s="3">
        <f t="shared" si="263"/>
        <v>53</v>
      </c>
      <c r="BF395" s="3">
        <f t="shared" si="248"/>
        <v>35</v>
      </c>
    </row>
    <row r="396" spans="1:58" s="3" customFormat="1" x14ac:dyDescent="0.2">
      <c r="A396" s="3" t="s">
        <v>467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3"/>
        <v>36</v>
      </c>
      <c r="F396" s="3">
        <f t="shared" si="244"/>
        <v>37</v>
      </c>
      <c r="G396" s="3">
        <v>39</v>
      </c>
      <c r="H396" s="3">
        <f t="shared" si="245"/>
        <v>40</v>
      </c>
      <c r="I396" s="3">
        <f t="shared" si="245"/>
        <v>41</v>
      </c>
      <c r="J396" s="3">
        <v>55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78</v>
      </c>
      <c r="P396" s="3">
        <v>107</v>
      </c>
      <c r="Q396" s="3">
        <f>VLOOKUP($A396,'SegEnds_NonXtal_BW#'!$A:$Z,12,FALSE)+VLOOKUP($A396,A:AL,16,FALSE)-50</f>
        <v>113</v>
      </c>
      <c r="R396" s="3">
        <f t="shared" si="246"/>
        <v>116</v>
      </c>
      <c r="S396" s="3">
        <v>116</v>
      </c>
      <c r="T396" s="101">
        <f t="shared" si="247"/>
        <v>123</v>
      </c>
      <c r="U396" s="9">
        <f>IF(ISERROR(VLOOKUP($A396,'SegEnds_NonXtal_BW#'!$A:$Z,15,FALSE)+VLOOKUP($A396,A:AL,22,FALSE)-50),"-",VLOOKUP($A396,'SegEnds_NonXtal_BW#'!$A:$Z,15,FALSE)+VLOOKUP($A396,A:AL,22,FALSE)-50)</f>
        <v>124</v>
      </c>
      <c r="V396" s="3">
        <v>136</v>
      </c>
      <c r="W396" s="3">
        <f>IF(ISERROR(VLOOKUP($A396,'SegEnds_NonXtal_BW#'!$A:$Z,16,FALSE)+VLOOKUP($A396,A:AL,22,FALSE)-50),"-",(VLOOKUP($A396,'SegEnds_NonXtal_BW#'!$A:$Z,16,FALSE)+VLOOKUP($A396,A:AL,22,FALSE)-50))</f>
        <v>148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192</v>
      </c>
      <c r="AC396" s="3">
        <f>IF(ISERROR((VLOOKUP($A396,'SegEnds_NonXtal_BW#'!$A:$Z,20,FALSE)+VLOOKUP($A396,A:AL,28,FALSE)-50)),"-",(VLOOKUP($A396,'SegEnds_NonXtal_BW#'!$A:$Z,20,FALSE)+VLOOKUP($A396,A:AL,28,FALSE)-50))</f>
        <v>214</v>
      </c>
      <c r="AD396" s="3">
        <f>IF(ISERROR(VLOOKUP($A396,'SegEnds_NonXtal_BW#'!$A:$Z,21,FALSE)+VLOOKUP($A396,A:AL,31,FALSE)-50),"-",(VLOOKUP($A396,'SegEnds_NonXtal_BW#'!$A:$Z,21,FALSE)+VLOOKUP($A396,A:AL,31,FALSE)-50))</f>
        <v>224</v>
      </c>
      <c r="AE396" s="3">
        <v>245</v>
      </c>
      <c r="AF396" s="3">
        <f>IF(ISERROR((VLOOKUP($A396,'SegEnds_NonXtal_BW#'!$A:$Z,22,FALSE)+VLOOKUP($A396,A:AL,31,FALSE)-50)),"-",(VLOOKUP($A396,'SegEnds_NonXtal_BW#'!$A:$Z,22,FALSE)+VLOOKUP($A396,A:AL,31,FALSE)-50))</f>
        <v>256</v>
      </c>
      <c r="AG396" s="3">
        <f>IF(ISERROR(VLOOKUP($A396,'SegEnds_NonXtal_BW#'!$A:$Z,23,FALSE)+VLOOKUP($A396,A:AL,34,FALSE)-50),"-",(VLOOKUP($A396,'SegEnds_NonXtal_BW#'!$A:$Z,23,FALSE)+VLOOKUP($A396,A:AL,34,FALSE)-50))</f>
        <v>261</v>
      </c>
      <c r="AH396" s="3">
        <v>280</v>
      </c>
      <c r="AI396" s="3">
        <f>IF(ISERROR((VLOOKUP($A396,'SegEnds_NonXtal_BW#'!$A:$Z,24,FALSE)+VLOOKUP($A396,A:AL,34,FALSE)-50)),"-",(VLOOKUP($A396,'SegEnds_NonXtal_BW#'!$A:$Z,24,FALSE)+VLOOKUP($A396,A:AL,34,FALSE)-50))</f>
        <v>286</v>
      </c>
      <c r="AJ396" s="3">
        <f>IF(ISERROR(VLOOKUP($A396,'SegEnds_NonXtal_BW#'!$A:$Z,25,FALSE)+VLOOKUP($A396,A:AL,37,FALSE)-50),"-",(VLOOKUP($A396,'SegEnds_NonXtal_BW#'!$A:$Z,25,FALSE)+VLOOKUP($A396,A:AL,37,FALSE)-50))</f>
        <v>287</v>
      </c>
      <c r="AK396" s="3">
        <v>290</v>
      </c>
      <c r="AL396" s="3">
        <f>IF(ISERROR((VLOOKUP($A396,'SegEnds_NonXtal_BW#'!$A:$Z,26,FALSE)+VLOOKUP($A396,A:AL,37,FALSE)-50)),"-",(VLOOKUP($A396,'SegEnds_NonXtal_BW#'!$A:$Z,26,FALSE)+VLOOKUP($A396,A:AL,37,FALSE)-50))</f>
        <v>300</v>
      </c>
      <c r="AM396" s="28" t="str">
        <f>VLOOKUP(A396,Classification!A:B,2,FALSE)</f>
        <v>T</v>
      </c>
      <c r="AN396" s="28" t="b">
        <f t="shared" si="264"/>
        <v>1</v>
      </c>
      <c r="AO396" s="3" t="str">
        <f>IF(ISERROR(MATCH(A396,'SegEnds_Xtal_Prot#'!B:B, 0)), "NoXtal", "Xtal")</f>
        <v>NoXtal</v>
      </c>
      <c r="AP396" s="3">
        <f t="shared" si="249"/>
        <v>1</v>
      </c>
      <c r="AQ396" s="3">
        <f t="shared" si="250"/>
        <v>1</v>
      </c>
      <c r="AR396" s="3" t="str">
        <f t="shared" si="251"/>
        <v>-</v>
      </c>
      <c r="AS396" s="3" t="str">
        <f t="shared" si="252"/>
        <v>-</v>
      </c>
      <c r="AT396" s="3">
        <f t="shared" si="253"/>
        <v>3</v>
      </c>
      <c r="AU396" s="3">
        <f t="shared" si="254"/>
        <v>1</v>
      </c>
      <c r="AV396" s="3" t="str">
        <f t="shared" si="255"/>
        <v>-</v>
      </c>
      <c r="AW396" s="3" t="str">
        <f t="shared" si="256"/>
        <v>-</v>
      </c>
      <c r="AX396" s="3">
        <f t="shared" si="257"/>
        <v>10</v>
      </c>
      <c r="AY396" s="3">
        <f t="shared" si="258"/>
        <v>5</v>
      </c>
      <c r="AZ396" s="3">
        <f t="shared" si="259"/>
        <v>1</v>
      </c>
      <c r="BA396" s="3">
        <f>IF(ISERROR(LEN(VLOOKUP(A396,Seqs!A:E,2,FALSE))-AL396),"-",LEN(VLOOKUP(A396,Seqs!A:E,2,FALSE))-AL396)</f>
        <v>7</v>
      </c>
      <c r="BB396" s="16">
        <f t="shared" si="260"/>
        <v>31</v>
      </c>
      <c r="BC396" s="9">
        <f t="shared" si="261"/>
        <v>20</v>
      </c>
      <c r="BD396" s="3">
        <f t="shared" si="262"/>
        <v>31</v>
      </c>
      <c r="BE396" s="3">
        <f t="shared" si="263"/>
        <v>53</v>
      </c>
      <c r="BF396" s="3">
        <f t="shared" si="248"/>
        <v>35</v>
      </c>
    </row>
    <row r="397" spans="1:58" s="3" customFormat="1" x14ac:dyDescent="0.2">
      <c r="A397" s="3" t="s">
        <v>468</v>
      </c>
      <c r="B397" s="3" t="str">
        <f>LOWER(VLOOKUP(A397,Xtal_Templ!A:B,2,FALSE))</f>
        <v>hrh1_human</v>
      </c>
      <c r="C397" s="3">
        <f>VLOOKUP($A397,'SegEnds_NonXtal_BW#'!$A:$Z,3,FALSE)+D397-50</f>
        <v>6</v>
      </c>
      <c r="D397" s="3">
        <v>24</v>
      </c>
      <c r="E397" s="3">
        <f t="shared" si="243"/>
        <v>36</v>
      </c>
      <c r="F397" s="3">
        <f t="shared" si="244"/>
        <v>37</v>
      </c>
      <c r="G397" s="3">
        <v>39</v>
      </c>
      <c r="H397" s="3">
        <f t="shared" si="245"/>
        <v>40</v>
      </c>
      <c r="I397" s="3">
        <f t="shared" si="245"/>
        <v>41</v>
      </c>
      <c r="J397" s="3">
        <v>55</v>
      </c>
      <c r="K397" s="3">
        <f>VLOOKUP($A397,'SegEnds_NonXtal_BW#'!$A:$Z,8,FALSE)+VLOOKUP($A397,A:AL,10,FALSE)-50</f>
        <v>72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78</v>
      </c>
      <c r="P397" s="3">
        <v>107</v>
      </c>
      <c r="Q397" s="3">
        <f>VLOOKUP($A397,'SegEnds_NonXtal_BW#'!$A:$Z,12,FALSE)+VLOOKUP($A397,A:AL,16,FALSE)-50</f>
        <v>113</v>
      </c>
      <c r="R397" s="3">
        <f t="shared" si="246"/>
        <v>116</v>
      </c>
      <c r="S397" s="3">
        <v>116</v>
      </c>
      <c r="T397" s="101">
        <f t="shared" si="247"/>
        <v>123</v>
      </c>
      <c r="U397" s="9">
        <f>IF(ISERROR(VLOOKUP($A397,'SegEnds_NonXtal_BW#'!$A:$Z,15,FALSE)+VLOOKUP($A397,A:AL,22,FALSE)-50),"-",VLOOKUP($A397,'SegEnds_NonXtal_BW#'!$A:$Z,15,FALSE)+VLOOKUP($A397,A:AL,22,FALSE)-50)</f>
        <v>124</v>
      </c>
      <c r="V397" s="3">
        <v>136</v>
      </c>
      <c r="W397" s="3">
        <f>IF(ISERROR(VLOOKUP($A397,'SegEnds_NonXtal_BW#'!$A:$Z,16,FALSE)+VLOOKUP($A397,A:AL,22,FALSE)-50),"-",(VLOOKUP($A397,'SegEnds_NonXtal_BW#'!$A:$Z,16,FALSE)+VLOOKUP($A397,A:AL,22,FALSE)-50))</f>
        <v>148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174</v>
      </c>
      <c r="AB397" s="3">
        <v>192</v>
      </c>
      <c r="AC397" s="3">
        <f>IF(ISERROR((VLOOKUP($A397,'SegEnds_NonXtal_BW#'!$A:$Z,20,FALSE)+VLOOKUP($A397,A:AL,28,FALSE)-50)),"-",(VLOOKUP($A397,'SegEnds_NonXtal_BW#'!$A:$Z,20,FALSE)+VLOOKUP($A397,A:AL,28,FALSE)-50))</f>
        <v>214</v>
      </c>
      <c r="AD397" s="3">
        <f>IF(ISERROR(VLOOKUP($A397,'SegEnds_NonXtal_BW#'!$A:$Z,21,FALSE)+VLOOKUP($A397,A:AL,31,FALSE)-50),"-",(VLOOKUP($A397,'SegEnds_NonXtal_BW#'!$A:$Z,21,FALSE)+VLOOKUP($A397,A:AL,31,FALSE)-50))</f>
        <v>224</v>
      </c>
      <c r="AE397" s="3">
        <v>245</v>
      </c>
      <c r="AF397" s="3">
        <f>IF(ISERROR((VLOOKUP($A397,'SegEnds_NonXtal_BW#'!$A:$Z,22,FALSE)+VLOOKUP($A397,A:AL,31,FALSE)-50)),"-",(VLOOKUP($A397,'SegEnds_NonXtal_BW#'!$A:$Z,22,FALSE)+VLOOKUP($A397,A:AL,31,FALSE)-50))</f>
        <v>256</v>
      </c>
      <c r="AG397" s="3">
        <f>IF(ISERROR(VLOOKUP($A397,'SegEnds_NonXtal_BW#'!$A:$Z,23,FALSE)+VLOOKUP($A397,A:AL,34,FALSE)-50),"-",(VLOOKUP($A397,'SegEnds_NonXtal_BW#'!$A:$Z,23,FALSE)+VLOOKUP($A397,A:AL,34,FALSE)-50))</f>
        <v>262</v>
      </c>
      <c r="AH397" s="3">
        <v>281</v>
      </c>
      <c r="AI397" s="3">
        <f>IF(ISERROR((VLOOKUP($A397,'SegEnds_NonXtal_BW#'!$A:$Z,24,FALSE)+VLOOKUP($A397,A:AL,34,FALSE)-50)),"-",(VLOOKUP($A397,'SegEnds_NonXtal_BW#'!$A:$Z,24,FALSE)+VLOOKUP($A397,A:AL,34,FALSE)-50))</f>
        <v>287</v>
      </c>
      <c r="AJ397" s="3">
        <f>IF(ISERROR(VLOOKUP($A397,'SegEnds_NonXtal_BW#'!$A:$Z,25,FALSE)+VLOOKUP($A397,A:AL,37,FALSE)-50),"-",(VLOOKUP($A397,'SegEnds_NonXtal_BW#'!$A:$Z,25,FALSE)+VLOOKUP($A397,A:AL,37,FALSE)-50))</f>
        <v>288</v>
      </c>
      <c r="AK397" s="3">
        <v>291</v>
      </c>
      <c r="AL397" s="3">
        <f>IF(ISERROR((VLOOKUP($A397,'SegEnds_NonXtal_BW#'!$A:$Z,26,FALSE)+VLOOKUP($A397,A:AL,37,FALSE)-50)),"-",(VLOOKUP($A397,'SegEnds_NonXtal_BW#'!$A:$Z,26,FALSE)+VLOOKUP($A397,A:AL,37,FALSE)-50))</f>
        <v>301</v>
      </c>
      <c r="AM397" s="28" t="str">
        <f>VLOOKUP(A397,Classification!A:B,2,FALSE)</f>
        <v>T</v>
      </c>
      <c r="AN397" s="28" t="b">
        <f t="shared" si="264"/>
        <v>1</v>
      </c>
      <c r="AO397" s="3" t="str">
        <f>IF(ISERROR(MATCH(A397,'SegEnds_Xtal_Prot#'!B:B, 0)), "NoXtal", "Xtal")</f>
        <v>NoXtal</v>
      </c>
      <c r="AP397" s="3">
        <f t="shared" si="249"/>
        <v>1</v>
      </c>
      <c r="AQ397" s="3">
        <f t="shared" si="250"/>
        <v>1</v>
      </c>
      <c r="AR397" s="3" t="str">
        <f t="shared" si="251"/>
        <v>-</v>
      </c>
      <c r="AS397" s="3" t="str">
        <f t="shared" si="252"/>
        <v>-</v>
      </c>
      <c r="AT397" s="3">
        <f t="shared" si="253"/>
        <v>3</v>
      </c>
      <c r="AU397" s="3">
        <f t="shared" si="254"/>
        <v>1</v>
      </c>
      <c r="AV397" s="3" t="str">
        <f t="shared" si="255"/>
        <v>-</v>
      </c>
      <c r="AW397" s="3" t="str">
        <f t="shared" si="256"/>
        <v>-</v>
      </c>
      <c r="AX397" s="3">
        <f t="shared" si="257"/>
        <v>10</v>
      </c>
      <c r="AY397" s="3">
        <f t="shared" si="258"/>
        <v>6</v>
      </c>
      <c r="AZ397" s="3">
        <f t="shared" si="259"/>
        <v>1</v>
      </c>
      <c r="BA397" s="3">
        <f>IF(ISERROR(LEN(VLOOKUP(A397,Seqs!A:E,2,FALSE))-AL397),"-",LEN(VLOOKUP(A397,Seqs!A:E,2,FALSE))-AL397)</f>
        <v>13</v>
      </c>
      <c r="BB397" s="16">
        <f t="shared" si="260"/>
        <v>31</v>
      </c>
      <c r="BC397" s="9">
        <f t="shared" si="261"/>
        <v>20</v>
      </c>
      <c r="BD397" s="3">
        <f t="shared" si="262"/>
        <v>31</v>
      </c>
      <c r="BE397" s="3">
        <f t="shared" si="263"/>
        <v>53</v>
      </c>
      <c r="BF397" s="3">
        <f t="shared" si="248"/>
        <v>36</v>
      </c>
    </row>
    <row r="398" spans="1:58" s="3" customFormat="1" x14ac:dyDescent="0.2">
      <c r="A398" s="3" t="s">
        <v>469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43"/>
        <v>36</v>
      </c>
      <c r="F398" s="3">
        <f t="shared" si="244"/>
        <v>37</v>
      </c>
      <c r="G398" s="3">
        <v>39</v>
      </c>
      <c r="H398" s="3">
        <f t="shared" si="245"/>
        <v>40</v>
      </c>
      <c r="I398" s="3">
        <f t="shared" si="245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46"/>
        <v>115</v>
      </c>
      <c r="S398" s="3">
        <v>115</v>
      </c>
      <c r="T398" s="101">
        <f t="shared" si="247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147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4"/>
        <v>1</v>
      </c>
      <c r="AO398" s="3" t="str">
        <f>IF(ISERROR(MATCH(A398,'SegEnds_Xtal_Prot#'!B:B, 0)), "NoXtal", "Xtal")</f>
        <v>NoXtal</v>
      </c>
      <c r="AP398" s="3">
        <f t="shared" si="249"/>
        <v>1</v>
      </c>
      <c r="AQ398" s="3">
        <f t="shared" si="250"/>
        <v>1</v>
      </c>
      <c r="AR398" s="3" t="str">
        <f t="shared" si="251"/>
        <v>-</v>
      </c>
      <c r="AS398" s="3" t="str">
        <f t="shared" si="252"/>
        <v>-</v>
      </c>
      <c r="AT398" s="3">
        <f t="shared" si="253"/>
        <v>3</v>
      </c>
      <c r="AU398" s="3">
        <f t="shared" si="254"/>
        <v>1</v>
      </c>
      <c r="AV398" s="3" t="str">
        <f t="shared" si="255"/>
        <v>-</v>
      </c>
      <c r="AW398" s="3" t="str">
        <f t="shared" si="256"/>
        <v>-</v>
      </c>
      <c r="AX398" s="3">
        <f t="shared" si="257"/>
        <v>10</v>
      </c>
      <c r="AY398" s="3">
        <f t="shared" si="258"/>
        <v>6</v>
      </c>
      <c r="AZ398" s="3">
        <f t="shared" si="259"/>
        <v>1</v>
      </c>
      <c r="BA398" s="3">
        <f>IF(ISERROR(LEN(VLOOKUP(A398,Seqs!A:E,2,FALSE))-AL398),"-",LEN(VLOOKUP(A398,Seqs!A:E,2,FALSE))-AL398)</f>
        <v>13</v>
      </c>
      <c r="BB398" s="16">
        <f t="shared" si="260"/>
        <v>31</v>
      </c>
      <c r="BC398" s="9">
        <f t="shared" si="261"/>
        <v>20</v>
      </c>
      <c r="BD398" s="3">
        <f t="shared" si="262"/>
        <v>31</v>
      </c>
      <c r="BE398" s="3">
        <f t="shared" si="263"/>
        <v>53</v>
      </c>
      <c r="BF398" s="3">
        <f t="shared" si="248"/>
        <v>36</v>
      </c>
    </row>
    <row r="399" spans="1:58" s="3" customFormat="1" x14ac:dyDescent="0.2">
      <c r="A399" s="3" t="s">
        <v>930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43"/>
        <v>36</v>
      </c>
      <c r="F399" s="3">
        <f t="shared" si="244"/>
        <v>37</v>
      </c>
      <c r="G399" s="3">
        <v>39</v>
      </c>
      <c r="H399" s="3">
        <f t="shared" si="245"/>
        <v>40</v>
      </c>
      <c r="I399" s="3">
        <f t="shared" si="245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46"/>
        <v>115</v>
      </c>
      <c r="S399" s="3">
        <v>115</v>
      </c>
      <c r="T399" s="101">
        <f t="shared" si="247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222</v>
      </c>
      <c r="AE399" s="3">
        <v>243</v>
      </c>
      <c r="AF399" s="3">
        <f>IF(ISERROR((VLOOKUP($A399,'SegEnds_NonXtal_BW#'!$A:$Z,22,FALSE)+VLOOKUP($A399,A:AL,31,FALSE)-50)),"-",(VLOOKUP($A399,'SegEnds_NonXtal_BW#'!$A:$Z,22,FALSE)+VLOOKUP($A399,A:AL,31,FALSE)-50))</f>
        <v>254</v>
      </c>
      <c r="AG399" s="3">
        <f>IF(ISERROR(VLOOKUP($A399,'SegEnds_NonXtal_BW#'!$A:$Z,23,FALSE)+VLOOKUP($A399,A:AL,34,FALSE)-50),"-",(VLOOKUP($A399,'SegEnds_NonXtal_BW#'!$A:$Z,23,FALSE)+VLOOKUP($A399,A:AL,34,FALSE)-50))</f>
        <v>259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4"/>
        <v>1</v>
      </c>
      <c r="AO399" s="3" t="str">
        <f>IF(ISERROR(MATCH(A399,'SegEnds_Xtal_Prot#'!B:B, 0)), "NoXtal", "Xtal")</f>
        <v>NoXtal</v>
      </c>
      <c r="AP399" s="3">
        <f t="shared" si="249"/>
        <v>1</v>
      </c>
      <c r="AQ399" s="3">
        <f t="shared" si="250"/>
        <v>1</v>
      </c>
      <c r="AR399" s="3" t="str">
        <f t="shared" si="251"/>
        <v>-</v>
      </c>
      <c r="AS399" s="3" t="str">
        <f t="shared" si="252"/>
        <v>-</v>
      </c>
      <c r="AT399" s="3">
        <f t="shared" si="253"/>
        <v>3</v>
      </c>
      <c r="AU399" s="3">
        <f t="shared" si="254"/>
        <v>1</v>
      </c>
      <c r="AV399" s="3" t="str">
        <f t="shared" si="255"/>
        <v>-</v>
      </c>
      <c r="AW399" s="3" t="str">
        <f t="shared" si="256"/>
        <v>-</v>
      </c>
      <c r="AX399" s="3">
        <f t="shared" si="257"/>
        <v>13</v>
      </c>
      <c r="AY399" s="3">
        <f t="shared" si="258"/>
        <v>5</v>
      </c>
      <c r="AZ399" s="3">
        <f t="shared" si="259"/>
        <v>1</v>
      </c>
      <c r="BA399" s="3">
        <f>IF(ISERROR(LEN(VLOOKUP(A399,Seqs!A:E,2,FALSE))-AL399),"-",LEN(VLOOKUP(A399,Seqs!A:E,2,FALSE))-AL399)</f>
        <v>3</v>
      </c>
      <c r="BB399" s="16">
        <f t="shared" si="260"/>
        <v>31</v>
      </c>
      <c r="BC399" s="9">
        <f t="shared" si="261"/>
        <v>20</v>
      </c>
      <c r="BD399" s="3">
        <f t="shared" si="262"/>
        <v>31</v>
      </c>
      <c r="BE399" s="3">
        <f t="shared" si="263"/>
        <v>56</v>
      </c>
      <c r="BF399" s="3">
        <f t="shared" si="248"/>
        <v>33</v>
      </c>
    </row>
    <row r="400" spans="1:58" s="3" customFormat="1" x14ac:dyDescent="0.2">
      <c r="A400" s="3" t="s">
        <v>470</v>
      </c>
      <c r="B400" s="3" t="str">
        <f>LOWER(VLOOKUP(A400,Xtal_Templ!A:B,2,FALSE))</f>
        <v>5ht2c_human</v>
      </c>
      <c r="C400" s="3">
        <f>VLOOKUP($A400,'SegEnds_NonXtal_BW#'!$A:$Z,3,FALSE)+D400-50</f>
        <v>6</v>
      </c>
      <c r="D400" s="3">
        <v>24</v>
      </c>
      <c r="E400" s="3">
        <f t="shared" si="243"/>
        <v>36</v>
      </c>
      <c r="F400" s="3">
        <f t="shared" si="244"/>
        <v>37</v>
      </c>
      <c r="G400" s="3">
        <v>39</v>
      </c>
      <c r="H400" s="3">
        <f t="shared" si="245"/>
        <v>40</v>
      </c>
      <c r="I400" s="3">
        <f t="shared" si="24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46"/>
        <v>115</v>
      </c>
      <c r="S400" s="3">
        <v>115</v>
      </c>
      <c r="T400" s="101">
        <f t="shared" si="24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152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64"/>
        <v>1</v>
      </c>
      <c r="AO400" s="3" t="str">
        <f>IF(ISERROR(MATCH(A400,'SegEnds_Xtal_Prot#'!B:B, 0)), "NoXtal", "Xtal")</f>
        <v>NoXtal</v>
      </c>
      <c r="AP400" s="3">
        <f t="shared" si="249"/>
        <v>1</v>
      </c>
      <c r="AQ400" s="3">
        <f t="shared" si="250"/>
        <v>1</v>
      </c>
      <c r="AR400" s="3" t="str">
        <f t="shared" si="251"/>
        <v>-</v>
      </c>
      <c r="AS400" s="3" t="str">
        <f t="shared" si="252"/>
        <v>-</v>
      </c>
      <c r="AT400" s="3">
        <f t="shared" si="253"/>
        <v>3</v>
      </c>
      <c r="AU400" s="3">
        <f t="shared" si="254"/>
        <v>1</v>
      </c>
      <c r="AV400" s="3" t="str">
        <f t="shared" si="255"/>
        <v>-</v>
      </c>
      <c r="AW400" s="3" t="str">
        <f t="shared" si="256"/>
        <v>-</v>
      </c>
      <c r="AX400" s="3">
        <f t="shared" si="257"/>
        <v>10</v>
      </c>
      <c r="AY400" s="3">
        <f t="shared" si="258"/>
        <v>6</v>
      </c>
      <c r="AZ400" s="3">
        <f t="shared" si="259"/>
        <v>1</v>
      </c>
      <c r="BA400" s="3">
        <f>IF(ISERROR(LEN(VLOOKUP(A400,Seqs!A:E,2,FALSE))-AL400),"-",LEN(VLOOKUP(A400,Seqs!A:E,2,FALSE))-AL400)</f>
        <v>13</v>
      </c>
      <c r="BB400" s="16">
        <f t="shared" si="260"/>
        <v>31</v>
      </c>
      <c r="BC400" s="9">
        <f t="shared" si="261"/>
        <v>20</v>
      </c>
      <c r="BD400" s="3">
        <f t="shared" si="262"/>
        <v>31</v>
      </c>
      <c r="BE400" s="3">
        <f t="shared" si="263"/>
        <v>53</v>
      </c>
      <c r="BF400" s="3">
        <f t="shared" si="248"/>
        <v>36</v>
      </c>
    </row>
    <row r="401" spans="1:58" s="3" customFormat="1" x14ac:dyDescent="0.2">
      <c r="A401" s="3" t="s">
        <v>471</v>
      </c>
      <c r="B401" s="3" t="str">
        <f>LOWER(VLOOKUP(A401,Xtal_Templ!A:B,2,FALSE))</f>
        <v>drd2_human</v>
      </c>
      <c r="C401" s="3">
        <f>VLOOKUP($A401,'SegEnds_NonXtal_BW#'!$A:$Z,3,FALSE)+D401-50</f>
        <v>6</v>
      </c>
      <c r="D401" s="3">
        <v>24</v>
      </c>
      <c r="E401" s="3">
        <f t="shared" si="243"/>
        <v>36</v>
      </c>
      <c r="F401" s="3">
        <f t="shared" si="244"/>
        <v>37</v>
      </c>
      <c r="G401" s="3">
        <v>39</v>
      </c>
      <c r="H401" s="3">
        <f t="shared" si="245"/>
        <v>40</v>
      </c>
      <c r="I401" s="3">
        <f t="shared" si="24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46"/>
        <v>115</v>
      </c>
      <c r="S401" s="3">
        <v>115</v>
      </c>
      <c r="T401" s="101">
        <f t="shared" si="24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147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219</v>
      </c>
      <c r="AE401" s="3">
        <v>240</v>
      </c>
      <c r="AF401" s="3">
        <f>IF(ISERROR((VLOOKUP($A401,'SegEnds_NonXtal_BW#'!$A:$Z,22,FALSE)+VLOOKUP($A401,A:AL,31,FALSE)-50)),"-",(VLOOKUP($A401,'SegEnds_NonXtal_BW#'!$A:$Z,22,FALSE)+VLOOKUP($A401,A:AL,31,FALSE)-50))</f>
        <v>251</v>
      </c>
      <c r="AG401" s="3">
        <f>IF(ISERROR(VLOOKUP($A401,'SegEnds_NonXtal_BW#'!$A:$Z,23,FALSE)+VLOOKUP($A401,A:AL,34,FALSE)-50),"-",(VLOOKUP($A401,'SegEnds_NonXtal_BW#'!$A:$Z,23,FALSE)+VLOOKUP($A401,A:AL,34,FALSE)-50))</f>
        <v>257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64"/>
        <v>1</v>
      </c>
      <c r="AO401" s="3" t="str">
        <f>IF(ISERROR(MATCH(A401,'SegEnds_Xtal_Prot#'!B:B, 0)), "NoXtal", "Xtal")</f>
        <v>NoXtal</v>
      </c>
      <c r="AP401" s="3">
        <f t="shared" si="249"/>
        <v>1</v>
      </c>
      <c r="AQ401" s="3">
        <f t="shared" si="250"/>
        <v>1</v>
      </c>
      <c r="AR401" s="3" t="str">
        <f t="shared" si="251"/>
        <v>-</v>
      </c>
      <c r="AS401" s="3" t="str">
        <f t="shared" si="252"/>
        <v>-</v>
      </c>
      <c r="AT401" s="3">
        <f t="shared" si="253"/>
        <v>3</v>
      </c>
      <c r="AU401" s="3">
        <f t="shared" si="254"/>
        <v>1</v>
      </c>
      <c r="AV401" s="3" t="str">
        <f t="shared" si="255"/>
        <v>-</v>
      </c>
      <c r="AW401" s="3" t="str">
        <f t="shared" si="256"/>
        <v>-</v>
      </c>
      <c r="AX401" s="3">
        <f t="shared" si="257"/>
        <v>10</v>
      </c>
      <c r="AY401" s="3">
        <f t="shared" si="258"/>
        <v>6</v>
      </c>
      <c r="AZ401" s="3">
        <f t="shared" si="259"/>
        <v>1</v>
      </c>
      <c r="BA401" s="3">
        <f>IF(ISERROR(LEN(VLOOKUP(A401,Seqs!A:E,2,FALSE))-AL401),"-",LEN(VLOOKUP(A401,Seqs!A:E,2,FALSE))-AL401)</f>
        <v>3</v>
      </c>
      <c r="BB401" s="16">
        <f t="shared" si="260"/>
        <v>31</v>
      </c>
      <c r="BC401" s="9">
        <f t="shared" si="261"/>
        <v>20</v>
      </c>
      <c r="BD401" s="3">
        <f t="shared" si="262"/>
        <v>31</v>
      </c>
      <c r="BE401" s="3">
        <f t="shared" si="263"/>
        <v>53</v>
      </c>
      <c r="BF401" s="3">
        <f t="shared" si="248"/>
        <v>36</v>
      </c>
    </row>
    <row r="402" spans="1:58" s="3" customFormat="1" x14ac:dyDescent="0.2">
      <c r="A402" s="3" t="s">
        <v>472</v>
      </c>
      <c r="B402" s="3" t="str">
        <f>LOWER(VLOOKUP(A402,Xtal_Templ!A:B,2,FALSE))</f>
        <v>oprk_human</v>
      </c>
      <c r="C402" s="3">
        <f>VLOOKUP($A402,'SegEnds_NonXtal_BW#'!$A:$Z,3,FALSE)+D402-50</f>
        <v>17</v>
      </c>
      <c r="D402" s="3">
        <v>35</v>
      </c>
      <c r="E402" s="3">
        <f t="shared" si="243"/>
        <v>47</v>
      </c>
      <c r="F402" s="3">
        <f t="shared" si="244"/>
        <v>48</v>
      </c>
      <c r="G402" s="3">
        <v>50</v>
      </c>
      <c r="H402" s="3">
        <f t="shared" si="245"/>
        <v>51</v>
      </c>
      <c r="I402" s="3">
        <f t="shared" si="245"/>
        <v>52</v>
      </c>
      <c r="J402" s="3">
        <v>66</v>
      </c>
      <c r="K402" s="3">
        <f>VLOOKUP($A402,'SegEnds_NonXtal_BW#'!$A:$Z,8,FALSE)+VLOOKUP($A402,A:AL,10,FALSE)-50</f>
        <v>82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86</v>
      </c>
      <c r="P402" s="3">
        <v>118</v>
      </c>
      <c r="Q402" s="3">
        <f>VLOOKUP($A402,'SegEnds_NonXtal_BW#'!$A:$Z,12,FALSE)+VLOOKUP($A402,A:AL,16,FALSE)-50</f>
        <v>124</v>
      </c>
      <c r="R402" s="3">
        <f t="shared" si="246"/>
        <v>127</v>
      </c>
      <c r="S402" s="3">
        <v>127</v>
      </c>
      <c r="T402" s="101">
        <f t="shared" si="247"/>
        <v>134</v>
      </c>
      <c r="U402" s="9">
        <f>IF(ISERROR(VLOOKUP($A402,'SegEnds_NonXtal_BW#'!$A:$Z,15,FALSE)+VLOOKUP($A402,A:AL,22,FALSE)-50),"-",VLOOKUP($A402,'SegEnds_NonXtal_BW#'!$A:$Z,15,FALSE)+VLOOKUP($A402,A:AL,22,FALSE)-50)</f>
        <v>135</v>
      </c>
      <c r="V402" s="3">
        <v>147</v>
      </c>
      <c r="W402" s="3">
        <f>IF(ISERROR(VLOOKUP($A402,'SegEnds_NonXtal_BW#'!$A:$Z,16,FALSE)+VLOOKUP($A402,A:AL,22,FALSE)-50),"-",(VLOOKUP($A402,'SegEnds_NonXtal_BW#'!$A:$Z,16,FALSE)+VLOOKUP($A402,A:AL,22,FALSE)-50))</f>
        <v>161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4"/>
        <v>1</v>
      </c>
      <c r="AO402" s="3" t="str">
        <f>IF(ISERROR(MATCH(A402,'SegEnds_Xtal_Prot#'!B:B, 0)), "NoXtal", "Xtal")</f>
        <v>NoXtal</v>
      </c>
      <c r="AP402" s="3">
        <f t="shared" si="249"/>
        <v>1</v>
      </c>
      <c r="AQ402" s="3">
        <f t="shared" si="250"/>
        <v>1</v>
      </c>
      <c r="AR402" s="3" t="str">
        <f t="shared" si="251"/>
        <v>-</v>
      </c>
      <c r="AS402" s="3" t="str">
        <f t="shared" si="252"/>
        <v>-</v>
      </c>
      <c r="AT402" s="3">
        <f t="shared" si="253"/>
        <v>3</v>
      </c>
      <c r="AU402" s="3">
        <f t="shared" si="254"/>
        <v>1</v>
      </c>
      <c r="AV402" s="3" t="str">
        <f t="shared" si="255"/>
        <v>-</v>
      </c>
      <c r="AW402" s="3" t="str">
        <f t="shared" si="256"/>
        <v>-</v>
      </c>
      <c r="AX402" s="3">
        <f t="shared" si="257"/>
        <v>10</v>
      </c>
      <c r="AY402" s="3">
        <f t="shared" si="258"/>
        <v>5</v>
      </c>
      <c r="AZ402" s="3">
        <f t="shared" si="259"/>
        <v>1</v>
      </c>
      <c r="BA402" s="3">
        <f>IF(ISERROR(LEN(VLOOKUP(A402,Seqs!A:E,2,FALSE))-AL402),"-",LEN(VLOOKUP(A402,Seqs!A:E,2,FALSE))-AL402)</f>
        <v>5</v>
      </c>
      <c r="BB402" s="16">
        <f t="shared" si="260"/>
        <v>31</v>
      </c>
      <c r="BC402" s="9">
        <f t="shared" si="261"/>
        <v>20</v>
      </c>
      <c r="BD402" s="3">
        <f t="shared" si="262"/>
        <v>31</v>
      </c>
      <c r="BE402" s="3">
        <f t="shared" si="263"/>
        <v>53</v>
      </c>
      <c r="BF402" s="3">
        <f t="shared" si="248"/>
        <v>35</v>
      </c>
    </row>
    <row r="403" spans="1:58" s="3" customFormat="1" x14ac:dyDescent="0.2">
      <c r="A403" s="3" t="s">
        <v>474</v>
      </c>
      <c r="B403" s="3" t="str">
        <f>LOWER(VLOOKUP(A403,Xtal_Templ!A:B,2,FALSE))</f>
        <v>cxcr4_human</v>
      </c>
      <c r="C403" s="3">
        <f>VLOOKUP($A403,'SegEnds_NonXtal_BW#'!$A:$Z,3,FALSE)+D403-50</f>
        <v>6</v>
      </c>
      <c r="D403" s="3">
        <v>24</v>
      </c>
      <c r="E403" s="3">
        <f t="shared" si="243"/>
        <v>36</v>
      </c>
      <c r="F403" s="3">
        <f t="shared" si="244"/>
        <v>37</v>
      </c>
      <c r="G403" s="3">
        <v>39</v>
      </c>
      <c r="H403" s="3">
        <f t="shared" si="245"/>
        <v>40</v>
      </c>
      <c r="I403" s="3">
        <f t="shared" si="24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103</v>
      </c>
      <c r="Q403" s="3">
        <f>VLOOKUP($A403,'SegEnds_NonXtal_BW#'!$A:$Z,12,FALSE)+VLOOKUP($A403,A:AL,16,FALSE)-50</f>
        <v>109</v>
      </c>
      <c r="R403" s="3">
        <f t="shared" si="246"/>
        <v>112</v>
      </c>
      <c r="S403" s="3">
        <v>112</v>
      </c>
      <c r="T403" s="101">
        <f t="shared" si="247"/>
        <v>119</v>
      </c>
      <c r="U403" s="9">
        <f>IF(ISERROR(VLOOKUP($A403,'SegEnds_NonXtal_BW#'!$A:$Z,15,FALSE)+VLOOKUP($A403,A:AL,22,FALSE)-50),"-",VLOOKUP($A403,'SegEnds_NonXtal_BW#'!$A:$Z,15,FALSE)+VLOOKUP($A403,A:AL,22,FALSE)-50)</f>
        <v>120</v>
      </c>
      <c r="V403" s="3">
        <v>132</v>
      </c>
      <c r="W403" s="3">
        <f>IF(ISERROR(VLOOKUP($A403,'SegEnds_NonXtal_BW#'!$A:$Z,16,FALSE)+VLOOKUP($A403,A:AL,22,FALSE)-50),"-",(VLOOKUP($A403,'SegEnds_NonXtal_BW#'!$A:$Z,16,FALSE)+VLOOKUP($A403,A:AL,22,FALSE)-50))</f>
        <v>146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168</v>
      </c>
      <c r="AB403" s="3">
        <v>186</v>
      </c>
      <c r="AC403" s="3">
        <f>IF(ISERROR((VLOOKUP($A403,'SegEnds_NonXtal_BW#'!$A:$Z,20,FALSE)+VLOOKUP($A403,A:AL,28,FALSE)-50)),"-",(VLOOKUP($A403,'SegEnds_NonXtal_BW#'!$A:$Z,20,FALSE)+VLOOKUP($A403,A:AL,28,FALSE)-50))</f>
        <v>208</v>
      </c>
      <c r="AD403" s="3">
        <f>IF(ISERROR(VLOOKUP($A403,'SegEnds_NonXtal_BW#'!$A:$Z,21,FALSE)+VLOOKUP($A403,A:AL,31,FALSE)-50),"-",(VLOOKUP($A403,'SegEnds_NonXtal_BW#'!$A:$Z,21,FALSE)+VLOOKUP($A403,A:AL,31,FALSE)-50))</f>
        <v>218</v>
      </c>
      <c r="AE403" s="3">
        <v>239</v>
      </c>
      <c r="AF403" s="3">
        <f>IF(ISERROR((VLOOKUP($A403,'SegEnds_NonXtal_BW#'!$A:$Z,22,FALSE)+VLOOKUP($A403,A:AL,31,FALSE)-50)),"-",(VLOOKUP($A403,'SegEnds_NonXtal_BW#'!$A:$Z,22,FALSE)+VLOOKUP($A403,A:AL,31,FALSE)-50))</f>
        <v>250</v>
      </c>
      <c r="AG403" s="3">
        <f>IF(ISERROR(VLOOKUP($A403,'SegEnds_NonXtal_BW#'!$A:$Z,23,FALSE)+VLOOKUP($A403,A:AL,34,FALSE)-50),"-",(VLOOKUP($A403,'SegEnds_NonXtal_BW#'!$A:$Z,23,FALSE)+VLOOKUP($A403,A:AL,34,FALSE)-50))</f>
        <v>255</v>
      </c>
      <c r="AH403" s="3">
        <v>274</v>
      </c>
      <c r="AI403" s="3">
        <f>IF(ISERROR((VLOOKUP($A403,'SegEnds_NonXtal_BW#'!$A:$Z,24,FALSE)+VLOOKUP($A403,A:AL,34,FALSE)-50)),"-",(VLOOKUP($A403,'SegEnds_NonXtal_BW#'!$A:$Z,24,FALSE)+VLOOKUP($A403,A:AL,34,FALSE)-50))</f>
        <v>280</v>
      </c>
      <c r="AJ403" s="3">
        <f>IF(ISERROR(VLOOKUP($A403,'SegEnds_NonXtal_BW#'!$A:$Z,25,FALSE)+VLOOKUP($A403,A:AL,37,FALSE)-50),"-",(VLOOKUP($A403,'SegEnds_NonXtal_BW#'!$A:$Z,25,FALSE)+VLOOKUP($A403,A:AL,37,FALSE)-50))</f>
        <v>281</v>
      </c>
      <c r="AK403" s="3">
        <v>284</v>
      </c>
      <c r="AL403" s="3">
        <f>IF(ISERROR((VLOOKUP($A403,'SegEnds_NonXtal_BW#'!$A:$Z,26,FALSE)+VLOOKUP($A403,A:AL,37,FALSE)-50)),"-",(VLOOKUP($A403,'SegEnds_NonXtal_BW#'!$A:$Z,26,FALSE)+VLOOKUP($A403,A:AL,37,FALSE)-50))</f>
        <v>294</v>
      </c>
      <c r="AM403" s="28" t="str">
        <f>VLOOKUP(A403,Classification!A:B,2,FALSE)</f>
        <v>T</v>
      </c>
      <c r="AN403" s="28" t="b">
        <f t="shared" si="264"/>
        <v>1</v>
      </c>
      <c r="AO403" s="3" t="str">
        <f>IF(ISERROR(MATCH(A403,'SegEnds_Xtal_Prot#'!B:B, 0)), "NoXtal", "Xtal")</f>
        <v>NoXtal</v>
      </c>
      <c r="AP403" s="3">
        <f t="shared" si="249"/>
        <v>1</v>
      </c>
      <c r="AQ403" s="3">
        <f t="shared" si="250"/>
        <v>1</v>
      </c>
      <c r="AR403" s="3" t="str">
        <f t="shared" si="251"/>
        <v>-</v>
      </c>
      <c r="AS403" s="3" t="str">
        <f t="shared" si="252"/>
        <v>-</v>
      </c>
      <c r="AT403" s="3">
        <f t="shared" si="253"/>
        <v>3</v>
      </c>
      <c r="AU403" s="3">
        <f t="shared" si="254"/>
        <v>1</v>
      </c>
      <c r="AV403" s="3" t="str">
        <f t="shared" si="255"/>
        <v>-</v>
      </c>
      <c r="AW403" s="3" t="str">
        <f t="shared" si="256"/>
        <v>-</v>
      </c>
      <c r="AX403" s="3">
        <f t="shared" si="257"/>
        <v>10</v>
      </c>
      <c r="AY403" s="3">
        <f t="shared" si="258"/>
        <v>5</v>
      </c>
      <c r="AZ403" s="3">
        <f t="shared" si="259"/>
        <v>1</v>
      </c>
      <c r="BA403" s="3">
        <f>IF(ISERROR(LEN(VLOOKUP(A403,Seqs!A:E,2,FALSE))-AL403),"-",LEN(VLOOKUP(A403,Seqs!A:E,2,FALSE))-AL403)</f>
        <v>5</v>
      </c>
      <c r="BB403" s="16">
        <f t="shared" si="260"/>
        <v>31</v>
      </c>
      <c r="BC403" s="9">
        <f t="shared" si="261"/>
        <v>20</v>
      </c>
      <c r="BD403" s="3">
        <f t="shared" si="262"/>
        <v>31</v>
      </c>
      <c r="BE403" s="3">
        <f t="shared" si="263"/>
        <v>53</v>
      </c>
      <c r="BF403" s="3">
        <f t="shared" si="248"/>
        <v>35</v>
      </c>
    </row>
    <row r="404" spans="1:58" s="3" customFormat="1" x14ac:dyDescent="0.2">
      <c r="A404" s="3" t="s">
        <v>475</v>
      </c>
      <c r="B404" s="3" t="str">
        <f>LOWER(VLOOKUP(A404,Xtal_Templ!A:B,2,FALSE))</f>
        <v>agtr1_human</v>
      </c>
      <c r="C404" s="3">
        <f>VLOOKUP($A404,'SegEnds_NonXtal_BW#'!$A:$Z,3,FALSE)+D404-50</f>
        <v>6</v>
      </c>
      <c r="D404" s="3">
        <v>24</v>
      </c>
      <c r="E404" s="3">
        <f t="shared" si="243"/>
        <v>36</v>
      </c>
      <c r="F404" s="3">
        <f t="shared" si="244"/>
        <v>37</v>
      </c>
      <c r="G404" s="3">
        <v>39</v>
      </c>
      <c r="H404" s="3">
        <f t="shared" si="245"/>
        <v>40</v>
      </c>
      <c r="I404" s="3">
        <f t="shared" si="245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46"/>
        <v>116</v>
      </c>
      <c r="S404" s="3">
        <v>116</v>
      </c>
      <c r="T404" s="101">
        <f t="shared" si="247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150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4"/>
        <v>1</v>
      </c>
      <c r="AO404" s="3" t="str">
        <f>IF(ISERROR(MATCH(A404,'SegEnds_Xtal_Prot#'!B:B, 0)), "NoXtal", "Xtal")</f>
        <v>NoXtal</v>
      </c>
      <c r="AP404" s="3">
        <f t="shared" si="249"/>
        <v>1</v>
      </c>
      <c r="AQ404" s="3">
        <f t="shared" si="250"/>
        <v>1</v>
      </c>
      <c r="AR404" s="3" t="str">
        <f t="shared" si="251"/>
        <v>-</v>
      </c>
      <c r="AS404" s="3" t="str">
        <f t="shared" si="252"/>
        <v>-</v>
      </c>
      <c r="AT404" s="3">
        <f t="shared" si="253"/>
        <v>3</v>
      </c>
      <c r="AU404" s="3">
        <f t="shared" si="254"/>
        <v>1</v>
      </c>
      <c r="AV404" s="3" t="str">
        <f t="shared" si="255"/>
        <v>-</v>
      </c>
      <c r="AW404" s="3" t="str">
        <f t="shared" si="256"/>
        <v>-</v>
      </c>
      <c r="AX404" s="3">
        <f t="shared" si="257"/>
        <v>10</v>
      </c>
      <c r="AY404" s="3">
        <f t="shared" si="258"/>
        <v>6</v>
      </c>
      <c r="AZ404" s="3">
        <f t="shared" si="259"/>
        <v>1</v>
      </c>
      <c r="BA404" s="3">
        <f>IF(ISERROR(LEN(VLOOKUP(A404,Seqs!A:E,2,FALSE))-AL404),"-",LEN(VLOOKUP(A404,Seqs!A:E,2,FALSE))-AL404)</f>
        <v>15</v>
      </c>
      <c r="BB404" s="16">
        <f t="shared" si="260"/>
        <v>31</v>
      </c>
      <c r="BC404" s="9">
        <f t="shared" si="261"/>
        <v>20</v>
      </c>
      <c r="BD404" s="3">
        <f t="shared" si="262"/>
        <v>31</v>
      </c>
      <c r="BE404" s="3">
        <f t="shared" si="263"/>
        <v>53</v>
      </c>
      <c r="BF404" s="3">
        <f t="shared" si="248"/>
        <v>36</v>
      </c>
    </row>
    <row r="405" spans="1:58" s="3" customFormat="1" x14ac:dyDescent="0.2">
      <c r="A405" s="3" t="s">
        <v>476</v>
      </c>
      <c r="B405" s="3" t="str">
        <f>LOWER(VLOOKUP(A405,Xtal_Templ!A:B,2,FALSE))</f>
        <v>5ht1b_human</v>
      </c>
      <c r="C405" s="3">
        <f>VLOOKUP($A405,'SegEnds_NonXtal_BW#'!$A:$Z,3,FALSE)+D405-50</f>
        <v>6</v>
      </c>
      <c r="D405" s="3">
        <v>24</v>
      </c>
      <c r="E405" s="3">
        <f t="shared" si="243"/>
        <v>36</v>
      </c>
      <c r="F405" s="3">
        <f t="shared" si="244"/>
        <v>37</v>
      </c>
      <c r="G405" s="3">
        <v>39</v>
      </c>
      <c r="H405" s="3">
        <f t="shared" si="245"/>
        <v>40</v>
      </c>
      <c r="I405" s="3">
        <f t="shared" si="24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6"/>
        <v>115</v>
      </c>
      <c r="S405" s="3">
        <v>115</v>
      </c>
      <c r="T405" s="101">
        <f t="shared" si="247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170</v>
      </c>
      <c r="AB405" s="3">
        <v>188</v>
      </c>
      <c r="AC405" s="3">
        <f>IF(ISERROR((VLOOKUP($A405,'SegEnds_NonXtal_BW#'!$A:$Z,20,FALSE)+VLOOKUP($A405,A:AL,28,FALSE)-50)),"-",(VLOOKUP($A405,'SegEnds_NonXtal_BW#'!$A:$Z,20,FALSE)+VLOOKUP($A405,A:AL,28,FALSE)-50))</f>
        <v>210</v>
      </c>
      <c r="AD405" s="3">
        <f>IF(ISERROR(VLOOKUP($A405,'SegEnds_NonXtal_BW#'!$A:$Z,21,FALSE)+VLOOKUP($A405,A:AL,31,FALSE)-50),"-",(VLOOKUP($A405,'SegEnds_NonXtal_BW#'!$A:$Z,21,FALSE)+VLOOKUP($A405,A:AL,31,FALSE)-50))</f>
        <v>220</v>
      </c>
      <c r="AE405" s="3">
        <v>241</v>
      </c>
      <c r="AF405" s="3">
        <f>IF(ISERROR((VLOOKUP($A405,'SegEnds_NonXtal_BW#'!$A:$Z,22,FALSE)+VLOOKUP($A405,A:AL,31,FALSE)-50)),"-",(VLOOKUP($A405,'SegEnds_NonXtal_BW#'!$A:$Z,22,FALSE)+VLOOKUP($A405,A:AL,31,FALSE)-50))</f>
        <v>252</v>
      </c>
      <c r="AG405" s="3">
        <f>IF(ISERROR(VLOOKUP($A405,'SegEnds_NonXtal_BW#'!$A:$Z,23,FALSE)+VLOOKUP($A405,A:AL,34,FALSE)-50),"-",(VLOOKUP($A405,'SegEnds_NonXtal_BW#'!$A:$Z,23,FALSE)+VLOOKUP($A405,A:AL,34,FALSE)-50))</f>
        <v>258</v>
      </c>
      <c r="AH405" s="3">
        <v>277</v>
      </c>
      <c r="AI405" s="3">
        <f>IF(ISERROR((VLOOKUP($A405,'SegEnds_NonXtal_BW#'!$A:$Z,24,FALSE)+VLOOKUP($A405,A:AL,34,FALSE)-50)),"-",(VLOOKUP($A405,'SegEnds_NonXtal_BW#'!$A:$Z,24,FALSE)+VLOOKUP($A405,A:AL,34,FALSE)-50))</f>
        <v>283</v>
      </c>
      <c r="AJ405" s="3">
        <f>IF(ISERROR(VLOOKUP($A405,'SegEnds_NonXtal_BW#'!$A:$Z,25,FALSE)+VLOOKUP($A405,A:AL,37,FALSE)-50),"-",(VLOOKUP($A405,'SegEnds_NonXtal_BW#'!$A:$Z,25,FALSE)+VLOOKUP($A405,A:AL,37,FALSE)-50))</f>
        <v>284</v>
      </c>
      <c r="AK405" s="3">
        <v>287</v>
      </c>
      <c r="AL405" s="3">
        <f>IF(ISERROR((VLOOKUP($A405,'SegEnds_NonXtal_BW#'!$A:$Z,26,FALSE)+VLOOKUP($A405,A:AL,37,FALSE)-50)),"-",(VLOOKUP($A405,'SegEnds_NonXtal_BW#'!$A:$Z,26,FALSE)+VLOOKUP($A405,A:AL,37,FALSE)-50))</f>
        <v>297</v>
      </c>
      <c r="AM405" s="28" t="str">
        <f>VLOOKUP(A405,Classification!A:B,2,FALSE)</f>
        <v>T</v>
      </c>
      <c r="AN405" s="28" t="b">
        <f t="shared" si="264"/>
        <v>1</v>
      </c>
      <c r="AO405" s="3" t="str">
        <f>IF(ISERROR(MATCH(A405,'SegEnds_Xtal_Prot#'!B:B, 0)), "NoXtal", "Xtal")</f>
        <v>NoXtal</v>
      </c>
      <c r="AP405" s="3">
        <f t="shared" si="249"/>
        <v>1</v>
      </c>
      <c r="AQ405" s="3">
        <f t="shared" si="250"/>
        <v>1</v>
      </c>
      <c r="AR405" s="3" t="str">
        <f t="shared" si="251"/>
        <v>-</v>
      </c>
      <c r="AS405" s="3" t="str">
        <f t="shared" si="252"/>
        <v>-</v>
      </c>
      <c r="AT405" s="3">
        <f t="shared" si="253"/>
        <v>3</v>
      </c>
      <c r="AU405" s="3">
        <f t="shared" si="254"/>
        <v>1</v>
      </c>
      <c r="AV405" s="3" t="str">
        <f t="shared" si="255"/>
        <v>-</v>
      </c>
      <c r="AW405" s="3" t="str">
        <f t="shared" si="256"/>
        <v>-</v>
      </c>
      <c r="AX405" s="3">
        <f t="shared" si="257"/>
        <v>10</v>
      </c>
      <c r="AY405" s="3">
        <f t="shared" si="258"/>
        <v>6</v>
      </c>
      <c r="AZ405" s="3">
        <f t="shared" si="259"/>
        <v>1</v>
      </c>
      <c r="BA405" s="3">
        <f>IF(ISERROR(LEN(VLOOKUP(A405,Seqs!A:E,2,FALSE))-AL405),"-",LEN(VLOOKUP(A405,Seqs!A:E,2,FALSE))-AL405)</f>
        <v>2</v>
      </c>
      <c r="BB405" s="16">
        <f t="shared" si="260"/>
        <v>31</v>
      </c>
      <c r="BC405" s="9">
        <f t="shared" si="261"/>
        <v>20</v>
      </c>
      <c r="BD405" s="3">
        <f t="shared" si="262"/>
        <v>31</v>
      </c>
      <c r="BE405" s="3">
        <f t="shared" si="263"/>
        <v>53</v>
      </c>
      <c r="BF405" s="3">
        <f t="shared" si="248"/>
        <v>36</v>
      </c>
    </row>
    <row r="406" spans="1:58" s="3" customFormat="1" x14ac:dyDescent="0.2">
      <c r="A406" s="3" t="s">
        <v>477</v>
      </c>
      <c r="B406" s="3" t="str">
        <f>LOWER(VLOOKUP(A406,Xtal_Templ!A:B,2,FALSE))</f>
        <v>hrh1_human</v>
      </c>
      <c r="C406" s="3">
        <f>VLOOKUP($A406,'SegEnds_NonXtal_BW#'!$A:$Z,3,FALSE)+D406-50</f>
        <v>6</v>
      </c>
      <c r="D406" s="3">
        <v>24</v>
      </c>
      <c r="E406" s="3">
        <f t="shared" si="243"/>
        <v>36</v>
      </c>
      <c r="F406" s="3">
        <f t="shared" si="244"/>
        <v>37</v>
      </c>
      <c r="G406" s="3">
        <v>39</v>
      </c>
      <c r="H406" s="3">
        <f t="shared" si="245"/>
        <v>40</v>
      </c>
      <c r="I406" s="3">
        <f t="shared" si="245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103</v>
      </c>
      <c r="Q406" s="3">
        <f>VLOOKUP($A406,'SegEnds_NonXtal_BW#'!$A:$Z,12,FALSE)+VLOOKUP($A406,A:AL,16,FALSE)-50</f>
        <v>109</v>
      </c>
      <c r="R406" s="3">
        <f t="shared" si="246"/>
        <v>112</v>
      </c>
      <c r="S406" s="3">
        <v>112</v>
      </c>
      <c r="T406" s="101">
        <f t="shared" si="247"/>
        <v>119</v>
      </c>
      <c r="U406" s="9">
        <f>IF(ISERROR(VLOOKUP($A406,'SegEnds_NonXtal_BW#'!$A:$Z,15,FALSE)+VLOOKUP($A406,A:AL,22,FALSE)-50),"-",VLOOKUP($A406,'SegEnds_NonXtal_BW#'!$A:$Z,15,FALSE)+VLOOKUP($A406,A:AL,22,FALSE)-50)</f>
        <v>120</v>
      </c>
      <c r="V406" s="3">
        <v>132</v>
      </c>
      <c r="W406" s="3">
        <f>IF(ISERROR(VLOOKUP($A406,'SegEnds_NonXtal_BW#'!$A:$Z,16,FALSE)+VLOOKUP($A406,A:AL,22,FALSE)-50),"-",(VLOOKUP($A406,'SegEnds_NonXtal_BW#'!$A:$Z,16,FALSE)+VLOOKUP($A406,A:AL,22,FALSE)-50))</f>
        <v>144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162</v>
      </c>
      <c r="AB406" s="3">
        <v>180</v>
      </c>
      <c r="AC406" s="3">
        <f>IF(ISERROR((VLOOKUP($A406,'SegEnds_NonXtal_BW#'!$A:$Z,20,FALSE)+VLOOKUP($A406,A:AL,28,FALSE)-50)),"-",(VLOOKUP($A406,'SegEnds_NonXtal_BW#'!$A:$Z,20,FALSE)+VLOOKUP($A406,A:AL,28,FALSE)-50))</f>
        <v>202</v>
      </c>
      <c r="AD406" s="3">
        <f>IF(ISERROR(VLOOKUP($A406,'SegEnds_NonXtal_BW#'!$A:$Z,21,FALSE)+VLOOKUP($A406,A:AL,31,FALSE)-50),"-",(VLOOKUP($A406,'SegEnds_NonXtal_BW#'!$A:$Z,21,FALSE)+VLOOKUP($A406,A:AL,31,FALSE)-50))</f>
        <v>212</v>
      </c>
      <c r="AE406" s="3">
        <v>233</v>
      </c>
      <c r="AF406" s="3">
        <f>IF(ISERROR((VLOOKUP($A406,'SegEnds_NonXtal_BW#'!$A:$Z,22,FALSE)+VLOOKUP($A406,A:AL,31,FALSE)-50)),"-",(VLOOKUP($A406,'SegEnds_NonXtal_BW#'!$A:$Z,22,FALSE)+VLOOKUP($A406,A:AL,31,FALSE)-50))</f>
        <v>244</v>
      </c>
      <c r="AG406" s="3">
        <f>IF(ISERROR(VLOOKUP($A406,'SegEnds_NonXtal_BW#'!$A:$Z,23,FALSE)+VLOOKUP($A406,A:AL,34,FALSE)-50),"-",(VLOOKUP($A406,'SegEnds_NonXtal_BW#'!$A:$Z,23,FALSE)+VLOOKUP($A406,A:AL,34,FALSE)-50))</f>
        <v>250</v>
      </c>
      <c r="AH406" s="3">
        <v>269</v>
      </c>
      <c r="AI406" s="3">
        <f>IF(ISERROR((VLOOKUP($A406,'SegEnds_NonXtal_BW#'!$A:$Z,24,FALSE)+VLOOKUP($A406,A:AL,34,FALSE)-50)),"-",(VLOOKUP($A406,'SegEnds_NonXtal_BW#'!$A:$Z,24,FALSE)+VLOOKUP($A406,A:AL,34,FALSE)-50))</f>
        <v>275</v>
      </c>
      <c r="AJ406" s="3">
        <f>IF(ISERROR(VLOOKUP($A406,'SegEnds_NonXtal_BW#'!$A:$Z,25,FALSE)+VLOOKUP($A406,A:AL,37,FALSE)-50),"-",(VLOOKUP($A406,'SegEnds_NonXtal_BW#'!$A:$Z,25,FALSE)+VLOOKUP($A406,A:AL,37,FALSE)-50))</f>
        <v>276</v>
      </c>
      <c r="AK406" s="3">
        <v>279</v>
      </c>
      <c r="AL406" s="3">
        <f>IF(ISERROR((VLOOKUP($A406,'SegEnds_NonXtal_BW#'!$A:$Z,26,FALSE)+VLOOKUP($A406,A:AL,37,FALSE)-50)),"-",(VLOOKUP($A406,'SegEnds_NonXtal_BW#'!$A:$Z,26,FALSE)+VLOOKUP($A406,A:AL,37,FALSE)-50))</f>
        <v>289</v>
      </c>
      <c r="AM406" s="28" t="str">
        <f>VLOOKUP(A406,Classification!A:B,2,FALSE)</f>
        <v>T</v>
      </c>
      <c r="AN406" s="28" t="b">
        <f t="shared" si="264"/>
        <v>1</v>
      </c>
      <c r="AO406" s="3" t="str">
        <f>IF(ISERROR(MATCH(A406,'SegEnds_Xtal_Prot#'!B:B, 0)), "NoXtal", "Xtal")</f>
        <v>NoXtal</v>
      </c>
      <c r="AP406" s="3">
        <f t="shared" si="249"/>
        <v>1</v>
      </c>
      <c r="AQ406" s="3">
        <f t="shared" si="250"/>
        <v>1</v>
      </c>
      <c r="AR406" s="3" t="str">
        <f t="shared" si="251"/>
        <v>-</v>
      </c>
      <c r="AS406" s="3" t="str">
        <f t="shared" si="252"/>
        <v>-</v>
      </c>
      <c r="AT406" s="3">
        <f t="shared" si="253"/>
        <v>3</v>
      </c>
      <c r="AU406" s="3">
        <f t="shared" si="254"/>
        <v>1</v>
      </c>
      <c r="AV406" s="3" t="str">
        <f t="shared" si="255"/>
        <v>-</v>
      </c>
      <c r="AW406" s="3" t="str">
        <f t="shared" si="256"/>
        <v>-</v>
      </c>
      <c r="AX406" s="3">
        <f t="shared" si="257"/>
        <v>10</v>
      </c>
      <c r="AY406" s="3">
        <f t="shared" si="258"/>
        <v>6</v>
      </c>
      <c r="AZ406" s="3">
        <f t="shared" si="259"/>
        <v>1</v>
      </c>
      <c r="BA406" s="3">
        <f>IF(ISERROR(LEN(VLOOKUP(A406,Seqs!A:E,2,FALSE))-AL406),"-",LEN(VLOOKUP(A406,Seqs!A:E,2,FALSE))-AL406)</f>
        <v>10</v>
      </c>
      <c r="BB406" s="16">
        <f t="shared" si="260"/>
        <v>31</v>
      </c>
      <c r="BC406" s="9">
        <f t="shared" si="261"/>
        <v>20</v>
      </c>
      <c r="BD406" s="3">
        <f t="shared" si="262"/>
        <v>31</v>
      </c>
      <c r="BE406" s="3">
        <f t="shared" si="263"/>
        <v>53</v>
      </c>
      <c r="BF406" s="3">
        <f t="shared" si="248"/>
        <v>36</v>
      </c>
    </row>
    <row r="407" spans="1:58" s="3" customFormat="1" x14ac:dyDescent="0.2">
      <c r="A407" s="3" t="s">
        <v>478</v>
      </c>
      <c r="B407" s="3" t="str">
        <f>LOWER(VLOOKUP(A407,Xtal_Templ!A:B,2,FALSE))</f>
        <v>drd2_human</v>
      </c>
      <c r="C407" s="3">
        <f>VLOOKUP($A407,'SegEnds_NonXtal_BW#'!$A:$Z,3,FALSE)+D407-50</f>
        <v>6</v>
      </c>
      <c r="D407" s="3">
        <v>24</v>
      </c>
      <c r="E407" s="3">
        <f t="shared" si="243"/>
        <v>36</v>
      </c>
      <c r="F407" s="3">
        <f t="shared" si="244"/>
        <v>37</v>
      </c>
      <c r="G407" s="3">
        <v>39</v>
      </c>
      <c r="H407" s="3">
        <f t="shared" si="245"/>
        <v>40</v>
      </c>
      <c r="I407" s="3">
        <f t="shared" si="245"/>
        <v>41</v>
      </c>
      <c r="J407" s="3">
        <v>55</v>
      </c>
      <c r="K407" s="3">
        <f>VLOOKUP($A407,'SegEnds_NonXtal_BW#'!$A:$Z,8,FALSE)+VLOOKUP($A407,A:AL,10,FALSE)-50</f>
        <v>72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78</v>
      </c>
      <c r="P407" s="3">
        <v>107</v>
      </c>
      <c r="Q407" s="3">
        <f>VLOOKUP($A407,'SegEnds_NonXtal_BW#'!$A:$Z,12,FALSE)+VLOOKUP($A407,A:AL,16,FALSE)-50</f>
        <v>113</v>
      </c>
      <c r="R407" s="3">
        <f t="shared" si="246"/>
        <v>116</v>
      </c>
      <c r="S407" s="3">
        <v>116</v>
      </c>
      <c r="T407" s="101">
        <f t="shared" si="247"/>
        <v>123</v>
      </c>
      <c r="U407" s="9">
        <f>IF(ISERROR(VLOOKUP($A407,'SegEnds_NonXtal_BW#'!$A:$Z,15,FALSE)+VLOOKUP($A407,A:AL,22,FALSE)-50),"-",VLOOKUP($A407,'SegEnds_NonXtal_BW#'!$A:$Z,15,FALSE)+VLOOKUP($A407,A:AL,22,FALSE)-50)</f>
        <v>124</v>
      </c>
      <c r="V407" s="3">
        <v>136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175</v>
      </c>
      <c r="AB407" s="3">
        <v>193</v>
      </c>
      <c r="AC407" s="3">
        <f>IF(ISERROR((VLOOKUP($A407,'SegEnds_NonXtal_BW#'!$A:$Z,20,FALSE)+VLOOKUP($A407,A:AL,28,FALSE)-50)),"-",(VLOOKUP($A407,'SegEnds_NonXtal_BW#'!$A:$Z,20,FALSE)+VLOOKUP($A407,A:AL,28,FALSE)-50))</f>
        <v>215</v>
      </c>
      <c r="AD407" s="3">
        <f>IF(ISERROR(VLOOKUP($A407,'SegEnds_NonXtal_BW#'!$A:$Z,21,FALSE)+VLOOKUP($A407,A:AL,31,FALSE)-50),"-",(VLOOKUP($A407,'SegEnds_NonXtal_BW#'!$A:$Z,21,FALSE)+VLOOKUP($A407,A:AL,31,FALSE)-50))</f>
        <v>225</v>
      </c>
      <c r="AE407" s="3">
        <v>246</v>
      </c>
      <c r="AF407" s="3">
        <f>IF(ISERROR((VLOOKUP($A407,'SegEnds_NonXtal_BW#'!$A:$Z,22,FALSE)+VLOOKUP($A407,A:AL,31,FALSE)-50)),"-",(VLOOKUP($A407,'SegEnds_NonXtal_BW#'!$A:$Z,22,FALSE)+VLOOKUP($A407,A:AL,31,FALSE)-50))</f>
        <v>257</v>
      </c>
      <c r="AG407" s="3">
        <f>IF(ISERROR(VLOOKUP($A407,'SegEnds_NonXtal_BW#'!$A:$Z,23,FALSE)+VLOOKUP($A407,A:AL,34,FALSE)-50),"-",(VLOOKUP($A407,'SegEnds_NonXtal_BW#'!$A:$Z,23,FALSE)+VLOOKUP($A407,A:AL,34,FALSE)-50))</f>
        <v>263</v>
      </c>
      <c r="AH407" s="3">
        <v>282</v>
      </c>
      <c r="AI407" s="3">
        <f>IF(ISERROR((VLOOKUP($A407,'SegEnds_NonXtal_BW#'!$A:$Z,24,FALSE)+VLOOKUP($A407,A:AL,34,FALSE)-50)),"-",(VLOOKUP($A407,'SegEnds_NonXtal_BW#'!$A:$Z,24,FALSE)+VLOOKUP($A407,A:AL,34,FALSE)-50))</f>
        <v>288</v>
      </c>
      <c r="AJ407" s="3">
        <f>IF(ISERROR(VLOOKUP($A407,'SegEnds_NonXtal_BW#'!$A:$Z,25,FALSE)+VLOOKUP($A407,A:AL,37,FALSE)-50),"-",(VLOOKUP($A407,'SegEnds_NonXtal_BW#'!$A:$Z,25,FALSE)+VLOOKUP($A407,A:AL,37,FALSE)-50))</f>
        <v>289</v>
      </c>
      <c r="AK407" s="3">
        <v>292</v>
      </c>
      <c r="AL407" s="3">
        <f>IF(ISERROR((VLOOKUP($A407,'SegEnds_NonXtal_BW#'!$A:$Z,26,FALSE)+VLOOKUP($A407,A:AL,37,FALSE)-50)),"-",(VLOOKUP($A407,'SegEnds_NonXtal_BW#'!$A:$Z,26,FALSE)+VLOOKUP($A407,A:AL,37,FALSE)-50))</f>
        <v>302</v>
      </c>
      <c r="AM407" s="28" t="str">
        <f>VLOOKUP(A407,Classification!A:B,2,FALSE)</f>
        <v>T</v>
      </c>
      <c r="AN407" s="28" t="b">
        <f t="shared" si="264"/>
        <v>1</v>
      </c>
      <c r="AO407" s="3" t="str">
        <f>IF(ISERROR(MATCH(A407,'SegEnds_Xtal_Prot#'!B:B, 0)), "NoXtal", "Xtal")</f>
        <v>NoXtal</v>
      </c>
      <c r="AP407" s="3">
        <f t="shared" si="249"/>
        <v>1</v>
      </c>
      <c r="AQ407" s="3">
        <f t="shared" si="250"/>
        <v>1</v>
      </c>
      <c r="AR407" s="3" t="str">
        <f t="shared" si="251"/>
        <v>-</v>
      </c>
      <c r="AS407" s="3" t="str">
        <f t="shared" si="252"/>
        <v>-</v>
      </c>
      <c r="AT407" s="3">
        <f t="shared" si="253"/>
        <v>3</v>
      </c>
      <c r="AU407" s="3">
        <f t="shared" si="254"/>
        <v>1</v>
      </c>
      <c r="AV407" s="3" t="str">
        <f t="shared" si="255"/>
        <v>-</v>
      </c>
      <c r="AW407" s="3" t="str">
        <f t="shared" si="256"/>
        <v>-</v>
      </c>
      <c r="AX407" s="3">
        <f t="shared" si="257"/>
        <v>10</v>
      </c>
      <c r="AY407" s="3">
        <f t="shared" si="258"/>
        <v>6</v>
      </c>
      <c r="AZ407" s="3">
        <f t="shared" si="259"/>
        <v>1</v>
      </c>
      <c r="BA407" s="3">
        <f>IF(ISERROR(LEN(VLOOKUP(A407,Seqs!A:E,2,FALSE))-AL407),"-",LEN(VLOOKUP(A407,Seqs!A:E,2,FALSE))-AL407)</f>
        <v>16</v>
      </c>
      <c r="BB407" s="16">
        <f t="shared" si="260"/>
        <v>31</v>
      </c>
      <c r="BC407" s="9">
        <f t="shared" si="261"/>
        <v>20</v>
      </c>
      <c r="BD407" s="3">
        <f t="shared" si="262"/>
        <v>31</v>
      </c>
      <c r="BE407" s="3">
        <f t="shared" si="263"/>
        <v>53</v>
      </c>
      <c r="BF407" s="3">
        <f t="shared" si="248"/>
        <v>36</v>
      </c>
    </row>
    <row r="408" spans="1:58" s="3" customFormat="1" x14ac:dyDescent="0.2">
      <c r="A408" s="3" t="s">
        <v>479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3"/>
        <v>36</v>
      </c>
      <c r="F408" s="3">
        <f t="shared" si="244"/>
        <v>37</v>
      </c>
      <c r="G408" s="3">
        <v>39</v>
      </c>
      <c r="H408" s="3">
        <f t="shared" si="245"/>
        <v>40</v>
      </c>
      <c r="I408" s="3">
        <f t="shared" si="24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75</v>
      </c>
      <c r="P408" s="3">
        <v>107</v>
      </c>
      <c r="Q408" s="3">
        <f>VLOOKUP($A408,'SegEnds_NonXtal_BW#'!$A:$Z,12,FALSE)+VLOOKUP($A408,A:AL,16,FALSE)-50</f>
        <v>113</v>
      </c>
      <c r="R408" s="3">
        <f t="shared" si="246"/>
        <v>116</v>
      </c>
      <c r="S408" s="3">
        <v>116</v>
      </c>
      <c r="T408" s="101">
        <f t="shared" si="247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148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175</v>
      </c>
      <c r="AB408" s="3">
        <v>193</v>
      </c>
      <c r="AC408" s="3">
        <f>IF(ISERROR((VLOOKUP($A408,'SegEnds_NonXtal_BW#'!$A:$Z,20,FALSE)+VLOOKUP($A408,A:AL,28,FALSE)-50)),"-",(VLOOKUP($A408,'SegEnds_NonXtal_BW#'!$A:$Z,20,FALSE)+VLOOKUP($A408,A:AL,28,FALSE)-50))</f>
        <v>215</v>
      </c>
      <c r="AD408" s="3">
        <f>IF(ISERROR(VLOOKUP($A408,'SegEnds_NonXtal_BW#'!$A:$Z,21,FALSE)+VLOOKUP($A408,A:AL,31,FALSE)-50),"-",(VLOOKUP($A408,'SegEnds_NonXtal_BW#'!$A:$Z,21,FALSE)+VLOOKUP($A408,A:AL,31,FALSE)-50))</f>
        <v>225</v>
      </c>
      <c r="AE408" s="3">
        <v>246</v>
      </c>
      <c r="AF408" s="3">
        <f>IF(ISERROR((VLOOKUP($A408,'SegEnds_NonXtal_BW#'!$A:$Z,22,FALSE)+VLOOKUP($A408,A:AL,31,FALSE)-50)),"-",(VLOOKUP($A408,'SegEnds_NonXtal_BW#'!$A:$Z,22,FALSE)+VLOOKUP($A408,A:AL,31,FALSE)-50))</f>
        <v>257</v>
      </c>
      <c r="AG408" s="3">
        <f>IF(ISERROR(VLOOKUP($A408,'SegEnds_NonXtal_BW#'!$A:$Z,23,FALSE)+VLOOKUP($A408,A:AL,34,FALSE)-50),"-",(VLOOKUP($A408,'SegEnds_NonXtal_BW#'!$A:$Z,23,FALSE)+VLOOKUP($A408,A:AL,34,FALSE)-50))</f>
        <v>263</v>
      </c>
      <c r="AH408" s="3">
        <v>282</v>
      </c>
      <c r="AI408" s="3">
        <f>IF(ISERROR((VLOOKUP($A408,'SegEnds_NonXtal_BW#'!$A:$Z,24,FALSE)+VLOOKUP($A408,A:AL,34,FALSE)-50)),"-",(VLOOKUP($A408,'SegEnds_NonXtal_BW#'!$A:$Z,24,FALSE)+VLOOKUP($A408,A:AL,34,FALSE)-50))</f>
        <v>288</v>
      </c>
      <c r="AJ408" s="3">
        <f>IF(ISERROR(VLOOKUP($A408,'SegEnds_NonXtal_BW#'!$A:$Z,25,FALSE)+VLOOKUP($A408,A:AL,37,FALSE)-50),"-",(VLOOKUP($A408,'SegEnds_NonXtal_BW#'!$A:$Z,25,FALSE)+VLOOKUP($A408,A:AL,37,FALSE)-50))</f>
        <v>289</v>
      </c>
      <c r="AK408" s="3">
        <v>292</v>
      </c>
      <c r="AL408" s="3">
        <f>IF(ISERROR((VLOOKUP($A408,'SegEnds_NonXtal_BW#'!$A:$Z,26,FALSE)+VLOOKUP($A408,A:AL,37,FALSE)-50)),"-",(VLOOKUP($A408,'SegEnds_NonXtal_BW#'!$A:$Z,26,FALSE)+VLOOKUP($A408,A:AL,37,FALSE)-50))</f>
        <v>302</v>
      </c>
      <c r="AM408" s="28" t="str">
        <f>VLOOKUP(A408,Classification!A:B,2,FALSE)</f>
        <v>T</v>
      </c>
      <c r="AN408" s="28" t="b">
        <f t="shared" si="264"/>
        <v>1</v>
      </c>
      <c r="AO408" s="3" t="str">
        <f>IF(ISERROR(MATCH(A408,'SegEnds_Xtal_Prot#'!B:B, 0)), "NoXtal", "Xtal")</f>
        <v>NoXtal</v>
      </c>
      <c r="AP408" s="3">
        <f t="shared" si="249"/>
        <v>1</v>
      </c>
      <c r="AQ408" s="3">
        <f t="shared" si="250"/>
        <v>1</v>
      </c>
      <c r="AR408" s="3" t="str">
        <f t="shared" si="251"/>
        <v>-</v>
      </c>
      <c r="AS408" s="3" t="str">
        <f t="shared" si="252"/>
        <v>-</v>
      </c>
      <c r="AT408" s="3">
        <f t="shared" si="253"/>
        <v>3</v>
      </c>
      <c r="AU408" s="3">
        <f t="shared" si="254"/>
        <v>1</v>
      </c>
      <c r="AV408" s="3" t="str">
        <f t="shared" si="255"/>
        <v>-</v>
      </c>
      <c r="AW408" s="3" t="str">
        <f t="shared" si="256"/>
        <v>-</v>
      </c>
      <c r="AX408" s="3">
        <f t="shared" si="257"/>
        <v>10</v>
      </c>
      <c r="AY408" s="3">
        <f t="shared" si="258"/>
        <v>6</v>
      </c>
      <c r="AZ408" s="3">
        <f t="shared" si="259"/>
        <v>1</v>
      </c>
      <c r="BA408" s="3">
        <f>IF(ISERROR(LEN(VLOOKUP(A408,Seqs!A:E,2,FALSE))-AL408),"-",LEN(VLOOKUP(A408,Seqs!A:E,2,FALSE))-AL408)</f>
        <v>7</v>
      </c>
      <c r="BB408" s="16">
        <f t="shared" si="260"/>
        <v>31</v>
      </c>
      <c r="BC408" s="9">
        <f t="shared" si="261"/>
        <v>20</v>
      </c>
      <c r="BD408" s="3">
        <f t="shared" si="262"/>
        <v>31</v>
      </c>
      <c r="BE408" s="3">
        <f t="shared" si="263"/>
        <v>53</v>
      </c>
      <c r="BF408" s="3">
        <f t="shared" si="248"/>
        <v>36</v>
      </c>
    </row>
    <row r="409" spans="1:58" s="3" customFormat="1" x14ac:dyDescent="0.2">
      <c r="A409" s="3" t="s">
        <v>480</v>
      </c>
      <c r="B409" s="3" t="str">
        <f>LOWER(VLOOKUP(A409,Xtal_Templ!A:B,2,FALSE))</f>
        <v>agtr1_human</v>
      </c>
      <c r="C409" s="3">
        <f>VLOOKUP($A409,'SegEnds_NonXtal_BW#'!$A:$Z,3,FALSE)+D409-50</f>
        <v>6</v>
      </c>
      <c r="D409" s="3">
        <v>24</v>
      </c>
      <c r="E409" s="3">
        <f t="shared" si="243"/>
        <v>36</v>
      </c>
      <c r="F409" s="3">
        <f t="shared" si="244"/>
        <v>37</v>
      </c>
      <c r="G409" s="3">
        <v>39</v>
      </c>
      <c r="H409" s="3">
        <f t="shared" si="245"/>
        <v>40</v>
      </c>
      <c r="I409" s="3">
        <f t="shared" si="245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75</v>
      </c>
      <c r="P409" s="3">
        <v>107</v>
      </c>
      <c r="Q409" s="3">
        <f>VLOOKUP($A409,'SegEnds_NonXtal_BW#'!$A:$Z,12,FALSE)+VLOOKUP($A409,A:AL,16,FALSE)-50</f>
        <v>113</v>
      </c>
      <c r="R409" s="3">
        <f t="shared" si="246"/>
        <v>116</v>
      </c>
      <c r="S409" s="3">
        <v>116</v>
      </c>
      <c r="T409" s="101">
        <f t="shared" si="24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150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172</v>
      </c>
      <c r="AB409" s="3">
        <v>190</v>
      </c>
      <c r="AC409" s="3">
        <f>IF(ISERROR((VLOOKUP($A409,'SegEnds_NonXtal_BW#'!$A:$Z,20,FALSE)+VLOOKUP($A409,A:AL,28,FALSE)-50)),"-",(VLOOKUP($A409,'SegEnds_NonXtal_BW#'!$A:$Z,20,FALSE)+VLOOKUP($A409,A:AL,28,FALSE)-50))</f>
        <v>212</v>
      </c>
      <c r="AD409" s="3">
        <f>IF(ISERROR(VLOOKUP($A409,'SegEnds_NonXtal_BW#'!$A:$Z,21,FALSE)+VLOOKUP($A409,A:AL,31,FALSE)-50),"-",(VLOOKUP($A409,'SegEnds_NonXtal_BW#'!$A:$Z,21,FALSE)+VLOOKUP($A409,A:AL,31,FALSE)-50))</f>
        <v>222</v>
      </c>
      <c r="AE409" s="3">
        <v>243</v>
      </c>
      <c r="AF409" s="3">
        <f>IF(ISERROR((VLOOKUP($A409,'SegEnds_NonXtal_BW#'!$A:$Z,22,FALSE)+VLOOKUP($A409,A:AL,31,FALSE)-50)),"-",(VLOOKUP($A409,'SegEnds_NonXtal_BW#'!$A:$Z,22,FALSE)+VLOOKUP($A409,A:AL,31,FALSE)-50))</f>
        <v>254</v>
      </c>
      <c r="AG409" s="3">
        <f>IF(ISERROR(VLOOKUP($A409,'SegEnds_NonXtal_BW#'!$A:$Z,23,FALSE)+VLOOKUP($A409,A:AL,34,FALSE)-50),"-",(VLOOKUP($A409,'SegEnds_NonXtal_BW#'!$A:$Z,23,FALSE)+VLOOKUP($A409,A:AL,34,FALSE)-50))</f>
        <v>260</v>
      </c>
      <c r="AH409" s="3">
        <v>279</v>
      </c>
      <c r="AI409" s="3">
        <f>IF(ISERROR((VLOOKUP($A409,'SegEnds_NonXtal_BW#'!$A:$Z,24,FALSE)+VLOOKUP($A409,A:AL,34,FALSE)-50)),"-",(VLOOKUP($A409,'SegEnds_NonXtal_BW#'!$A:$Z,24,FALSE)+VLOOKUP($A409,A:AL,34,FALSE)-50))</f>
        <v>285</v>
      </c>
      <c r="AJ409" s="3">
        <f>IF(ISERROR(VLOOKUP($A409,'SegEnds_NonXtal_BW#'!$A:$Z,25,FALSE)+VLOOKUP($A409,A:AL,37,FALSE)-50),"-",(VLOOKUP($A409,'SegEnds_NonXtal_BW#'!$A:$Z,25,FALSE)+VLOOKUP($A409,A:AL,37,FALSE)-50))</f>
        <v>286</v>
      </c>
      <c r="AK409" s="3">
        <v>289</v>
      </c>
      <c r="AL409" s="3">
        <f>IF(ISERROR((VLOOKUP($A409,'SegEnds_NonXtal_BW#'!$A:$Z,26,FALSE)+VLOOKUP($A409,A:AL,37,FALSE)-50)),"-",(VLOOKUP($A409,'SegEnds_NonXtal_BW#'!$A:$Z,26,FALSE)+VLOOKUP($A409,A:AL,37,FALSE)-50))</f>
        <v>299</v>
      </c>
      <c r="AM409" s="28" t="str">
        <f>VLOOKUP(A409,Classification!A:B,2,FALSE)</f>
        <v>T</v>
      </c>
      <c r="AN409" s="28" t="b">
        <f t="shared" si="264"/>
        <v>1</v>
      </c>
      <c r="AO409" s="3" t="str">
        <f>IF(ISERROR(MATCH(A409,'SegEnds_Xtal_Prot#'!B:B, 0)), "NoXtal", "Xtal")</f>
        <v>NoXtal</v>
      </c>
      <c r="AP409" s="3">
        <f t="shared" si="249"/>
        <v>1</v>
      </c>
      <c r="AQ409" s="3">
        <f t="shared" si="250"/>
        <v>1</v>
      </c>
      <c r="AR409" s="3" t="str">
        <f t="shared" si="251"/>
        <v>-</v>
      </c>
      <c r="AS409" s="3" t="str">
        <f t="shared" si="252"/>
        <v>-</v>
      </c>
      <c r="AT409" s="3">
        <f t="shared" si="253"/>
        <v>3</v>
      </c>
      <c r="AU409" s="3">
        <f t="shared" si="254"/>
        <v>1</v>
      </c>
      <c r="AV409" s="3" t="str">
        <f t="shared" si="255"/>
        <v>-</v>
      </c>
      <c r="AW409" s="3" t="str">
        <f t="shared" si="256"/>
        <v>-</v>
      </c>
      <c r="AX409" s="3">
        <f t="shared" si="257"/>
        <v>10</v>
      </c>
      <c r="AY409" s="3">
        <f t="shared" si="258"/>
        <v>6</v>
      </c>
      <c r="AZ409" s="3">
        <f t="shared" si="259"/>
        <v>1</v>
      </c>
      <c r="BA409" s="3">
        <f>IF(ISERROR(LEN(VLOOKUP(A409,Seqs!A:E,2,FALSE))-AL409),"-",LEN(VLOOKUP(A409,Seqs!A:E,2,FALSE))-AL409)</f>
        <v>13</v>
      </c>
      <c r="BB409" s="16">
        <f t="shared" si="260"/>
        <v>31</v>
      </c>
      <c r="BC409" s="9">
        <f t="shared" si="261"/>
        <v>20</v>
      </c>
      <c r="BD409" s="3">
        <f t="shared" si="262"/>
        <v>31</v>
      </c>
      <c r="BE409" s="3">
        <f t="shared" si="263"/>
        <v>53</v>
      </c>
      <c r="BF409" s="3">
        <f t="shared" si="248"/>
        <v>36</v>
      </c>
    </row>
    <row r="410" spans="1:58" s="3" customFormat="1" x14ac:dyDescent="0.2">
      <c r="T410" s="101"/>
      <c r="U410" s="9"/>
      <c r="AM410" s="28"/>
      <c r="AN410" s="16"/>
      <c r="BB410" s="16"/>
      <c r="BC410" s="9"/>
    </row>
    <row r="411" spans="1:58" s="3" customFormat="1" x14ac:dyDescent="0.2">
      <c r="T411" s="101"/>
      <c r="U411" s="9"/>
      <c r="AM411" s="28"/>
      <c r="AN411" s="16"/>
      <c r="BB411" s="16"/>
      <c r="BC411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9">
    <cfRule type="containsText" dxfId="29" priority="7" operator="containsText" text="FALSE">
      <formula>NOT(ISERROR(SEARCH("FALSE",AN2)))</formula>
    </cfRule>
  </conditionalFormatting>
  <conditionalFormatting sqref="AP1:BA1048576">
    <cfRule type="cellIs" dxfId="28" priority="5" operator="lessThan">
      <formula>1</formula>
    </cfRule>
  </conditionalFormatting>
  <conditionalFormatting sqref="E2:F409">
    <cfRule type="expression" dxfId="27" priority="25">
      <formula>NOT(OR(C2&lt;E2,C2="-",E2="-"))</formula>
    </cfRule>
  </conditionalFormatting>
  <conditionalFormatting sqref="K2:L2 K3 K4:L409">
    <cfRule type="expression" dxfId="26" priority="29">
      <formula>NOT(OR(G2&lt;K2,G2="-",K2="-"))</formula>
    </cfRule>
  </conditionalFormatting>
  <conditionalFormatting sqref="N2:O2 N4:N18 O3:O18 N19:O409">
    <cfRule type="expression" dxfId="25" priority="31">
      <formula>NOT(OR(I2&lt;N2,I2="-",N2="-"))</formula>
    </cfRule>
  </conditionalFormatting>
  <conditionalFormatting sqref="Q2:R409">
    <cfRule type="expression" dxfId="24" priority="33">
      <formula>NOT(OR(K2&lt;Q2,K2="-",Q2="-"))</formula>
    </cfRule>
  </conditionalFormatting>
  <conditionalFormatting sqref="T2:U409">
    <cfRule type="expression" dxfId="23" priority="35">
      <formula>NOT(OR(M2&lt;T2,M2="-",T2="-"))</formula>
    </cfRule>
  </conditionalFormatting>
  <conditionalFormatting sqref="W2:X409">
    <cfRule type="expression" dxfId="22" priority="37">
      <formula>NOT(OR(O2&lt;W2,O2="-",W2="-"))</formula>
    </cfRule>
  </conditionalFormatting>
  <conditionalFormatting sqref="Z2:AA409">
    <cfRule type="expression" dxfId="21" priority="39">
      <formula>NOT(OR(Q2&lt;Z2,Q2="-",Z2="-"))</formula>
    </cfRule>
  </conditionalFormatting>
  <conditionalFormatting sqref="AC2:AD409">
    <cfRule type="expression" dxfId="20" priority="41">
      <formula>NOT(OR(S2&lt;AC2,S2="-",AC2="-"))</formula>
    </cfRule>
  </conditionalFormatting>
  <conditionalFormatting sqref="AF2:AG409">
    <cfRule type="expression" dxfId="19" priority="43">
      <formula>NOT(OR(U2&lt;AF2,U2="-",AF2="-"))</formula>
    </cfRule>
  </conditionalFormatting>
  <conditionalFormatting sqref="AI2:AJ409">
    <cfRule type="expression" dxfId="18" priority="45">
      <formula>NOT(OR(W2&lt;AI2,W2="-",AI2="-"))</formula>
    </cfRule>
  </conditionalFormatting>
  <conditionalFormatting sqref="AL2:AL409">
    <cfRule type="expression" dxfId="17" priority="47">
      <formula>NOT(OR(Y2&lt;AL2,Y2="-",AL2="-"))</formula>
    </cfRule>
  </conditionalFormatting>
  <conditionalFormatting sqref="L3">
    <cfRule type="expression" dxfId="16" priority="3">
      <formula>NOT(OR(H3&lt;L3,H3="-",L3="-"))</formula>
    </cfRule>
  </conditionalFormatting>
  <conditionalFormatting sqref="N3">
    <cfRule type="expression" dxfId="15" priority="4">
      <formula>NOT(OR(I3&lt;N3,I3="-",N3="-"))</formula>
    </cfRule>
  </conditionalFormatting>
  <conditionalFormatting sqref="F2">
    <cfRule type="cellIs" dxfId="14" priority="2" operator="lessThan">
      <formula>$E$2</formula>
    </cfRule>
  </conditionalFormatting>
  <conditionalFormatting sqref="AN1:AN1048576">
    <cfRule type="cellIs" dxfId="13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2"/>
  <sheetViews>
    <sheetView zoomScale="120" zoomScaleNormal="120" zoomScalePageLayoutView="120" workbookViewId="0">
      <pane ySplit="1" topLeftCell="A51" activePane="bottomLeft" state="frozenSplit"/>
      <selection pane="bottomLeft" activeCell="H1" sqref="H1:H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4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apj_human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drd2_human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7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7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c5ar1_human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c5ar1_human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3"/>
      <c r="G140" s="123"/>
      <c r="H140" s="123"/>
      <c r="I140" s="123"/>
      <c r="J140" s="123"/>
      <c r="K140" s="123"/>
      <c r="L140" s="123"/>
      <c r="M140" s="123"/>
      <c r="N140" s="124" t="s">
        <v>14</v>
      </c>
      <c r="O140" s="123"/>
      <c r="P140" s="123"/>
      <c r="Q140" s="123"/>
      <c r="R140" s="123" t="s">
        <v>9</v>
      </c>
      <c r="S140" s="123"/>
      <c r="T140" s="123" t="s">
        <v>12</v>
      </c>
      <c r="U140" s="123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c5ar1_human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7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ox1r_human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ox2r_human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ntr1_rat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par2_human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agtr1_human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par1_human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p2y12_human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5ht2c_human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401</v>
      </c>
      <c r="B298" s="2" t="str">
        <f>LOWER(VLOOKUP(A298,Xtal_Templ!A:B,2,FALSE))</f>
        <v>calcr_human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H298" s="4"/>
      <c r="J298" s="107" t="s">
        <v>25</v>
      </c>
      <c r="P298" s="2" t="s">
        <v>1329</v>
      </c>
      <c r="T298" s="4" t="s">
        <v>12</v>
      </c>
      <c r="V298" s="28" t="str">
        <f>MID(VLOOKUP($A298,Seqs!$A:$B,2,FALSE),VLOOKUP($A298,'SegEnds_NonXtal_Prot#'!A:AL,10,FALSE),1)</f>
        <v>Y</v>
      </c>
      <c r="W298" s="49" t="str">
        <f>MID(VLOOKUP($A298,Seqs!$A:$B,2,FALSE),VLOOKUP($A298,'SegEnds_NonXtal_Prot#'!A:AL,10,FALSE)+6,1)</f>
        <v>I</v>
      </c>
      <c r="X298" s="49" t="str">
        <f>MID(VLOOKUP($A298,Seqs!$A:$B,2,FALSE),VLOOKUP($A298,'SegEnds_NonXtal_Prot#'!A:AL,10,FALSE)+7,1)</f>
        <v>I</v>
      </c>
      <c r="Y298" s="49" t="str">
        <f>MID(VLOOKUP($A298,Seqs!$A:$B,2,FALSE),VLOOKUP($A298,'SegEnds_NonXtal_Prot#'!A:AL,10,FALSE)+8,1)</f>
        <v>I</v>
      </c>
      <c r="Z298" s="49" t="str">
        <f>MID(VLOOKUP($A298,Seqs!$A:$B,2,FALSE),VLOOKUP($A298,'SegEnds_NonXtal_Prot#'!A:AL,10,FALSE)+9,1)</f>
        <v>I</v>
      </c>
      <c r="AA298" s="49" t="str">
        <f>MID(VLOOKUP($A298,Seqs!$A:$B,2,FALSE),VLOOKUP($A298,'SegEnds_NonXtal_Prot#'!A:AL,10,FALSE)+10,1)</f>
        <v>H</v>
      </c>
      <c r="AB298" s="28" t="str">
        <f>MID(VLOOKUP($A298,Seqs!$A:$B,2,FALSE),VLOOKUP($A298,'SegEnds_NonXtal_Prot#'!$A:$AL,22,FALSE)+6,1)</f>
        <v>P</v>
      </c>
      <c r="AC298" s="49" t="str">
        <f>MID(VLOOKUP($A298,Seqs!$A:$B,2,FALSE),VLOOKUP($A298,'SegEnds_NonXtal_Prot#'!$A:$AL,22,FALSE)+7,1)</f>
        <v>T</v>
      </c>
      <c r="AD298" s="49" t="str">
        <f>MID(VLOOKUP($A298,Seqs!$A:$B,2,FALSE),VLOOKUP($A298,'SegEnds_NonXtal_Prot#'!$A:$AL,22,FALSE)+8,1)</f>
        <v>T</v>
      </c>
      <c r="AE298" s="49" t="str">
        <f>MID(VLOOKUP($A298,Seqs!$A:$B,2,FALSE),VLOOKUP($A298,'SegEnds_NonXtal_Prot#'!$A:$AL,22,FALSE)+9,1)</f>
        <v>I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P</v>
      </c>
      <c r="AH298" s="49" t="str">
        <f>MID(VLOOKUP($A298,Seqs!$A:$B,2,FALSE),VLOOKUP($A298,'SegEnds_NonXtal_Prot#'!$A:$AL,28,FALSE),1)</f>
        <v>A</v>
      </c>
    </row>
    <row r="299" spans="1:34" s="2" customFormat="1" x14ac:dyDescent="0.2">
      <c r="A299" s="2" t="s">
        <v>402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H299" s="4"/>
      <c r="J299" s="107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F</v>
      </c>
      <c r="W299" s="49" t="str">
        <f>MID(VLOOKUP($A299,Seqs!$A:$B,2,FALSE),VLOOKUP($A299,'SegEnds_NonXtal_Prot#'!A:AL,10,FALSE)+6,1)</f>
        <v>V</v>
      </c>
      <c r="X299" s="49" t="str">
        <f>MID(VLOOKUP($A299,Seqs!$A:$B,2,FALSE),VLOOKUP($A299,'SegEnds_NonXtal_Prot#'!A:AL,10,FALSE)+7,1)</f>
        <v>T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C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38</v>
      </c>
      <c r="B300" s="2" t="str">
        <f>LOWER(VLOOKUP(A300,Xtal_Templ!A:B,2,FALSE))</f>
        <v>crfr1_human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F300" s="49"/>
      <c r="H300" s="4"/>
      <c r="J300" s="52" t="s">
        <v>25</v>
      </c>
      <c r="K300" s="108"/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W</v>
      </c>
      <c r="Y300" s="49" t="str">
        <f>MID(VLOOKUP($A300,Seqs!$A:$B,2,FALSE),VLOOKUP($A300,'SegEnds_NonXtal_Prot#'!A:AL,10,FALSE)+8,1)</f>
        <v>F</v>
      </c>
      <c r="Z300" s="49" t="str">
        <f>MID(VLOOKUP($A300,Seqs!$A:$B,2,FALSE),VLOOKUP($A300,'SegEnds_NonXtal_Prot#'!A:AL,10,FALSE)+9,1)</f>
        <v>V</v>
      </c>
      <c r="AA300" s="49" t="str">
        <f>MID(VLOOKUP($A300,Seqs!$A:$B,2,FALSE),VLOOKUP($A300,'SegEnds_NonXtal_Prot#'!A:AL,10,FALSE)+10,1)</f>
        <v>V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I</v>
      </c>
      <c r="AD300" s="49" t="str">
        <f>MID(VLOOKUP($A300,Seqs!$A:$B,2,FALSE),VLOOKUP($A300,'SegEnds_NonXtal_Prot#'!$A:$AL,22,FALSE)+8,1)</f>
        <v>V</v>
      </c>
      <c r="AE300" s="49" t="str">
        <f>MID(VLOOKUP($A300,Seqs!$A:$B,2,FALSE),VLOOKUP($A300,'SegEnds_NonXtal_Prot#'!$A:$AL,22,FALSE)+9,1)</f>
        <v>A</v>
      </c>
      <c r="AF300" s="49" t="str">
        <f>MID(VLOOKUP($A300,Seqs!$A:$B,2,FALSE),VLOOKUP($A300,'SegEnds_NonXtal_Prot#'!$A:$AL,22,FALSE)+10,1)</f>
        <v>W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V</v>
      </c>
    </row>
    <row r="301" spans="1:34" s="2" customFormat="1" x14ac:dyDescent="0.2">
      <c r="A301" s="2" t="s">
        <v>403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F301" s="49"/>
      <c r="H301" s="4"/>
      <c r="J301" s="107" t="s">
        <v>25</v>
      </c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M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L</v>
      </c>
      <c r="AA301" s="49" t="str">
        <f>MID(VLOOKUP($A301,Seqs!$A:$B,2,FALSE),VLOOKUP($A301,'SegEnds_NonXtal_Prot#'!A:AL,10,FALSE)+10,1)</f>
        <v>L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404</v>
      </c>
      <c r="B302" s="2" t="str">
        <f>LOWER(VLOOKUP(A302,Xtal_Templ!A:B,2,FALSE))</f>
        <v>glr_human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H302" s="4"/>
      <c r="J302" s="107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A</v>
      </c>
      <c r="X302" s="49" t="str">
        <f>MID(VLOOKUP($A302,Seqs!$A:$B,2,FALSE),VLOOKUP($A302,'SegEnds_NonXtal_Prot#'!A:AL,10,FALSE)+7,1)</f>
        <v>V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F</v>
      </c>
      <c r="AC302" s="49" t="str">
        <f>MID(VLOOKUP($A302,Seqs!$A:$B,2,FALSE),VLOOKUP($A302,'SegEnds_NonXtal_Prot#'!$A:$AL,22,FALSE)+7,1)</f>
        <v>T</v>
      </c>
      <c r="AD302" s="49" t="str">
        <f>MID(VLOOKUP($A302,Seqs!$A:$B,2,FALSE),VLOOKUP($A302,'SegEnds_NonXtal_Prot#'!$A:$AL,22,FALSE)+8,1)</f>
        <v>G</v>
      </c>
      <c r="AE302" s="49" t="str">
        <f>MID(VLOOKUP($A302,Seqs!$A:$B,2,FALSE),VLOOKUP($A302,'SegEnds_NonXtal_Prot#'!$A:$AL,22,FALSE)+9,1)</f>
        <v>T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S</v>
      </c>
    </row>
    <row r="303" spans="1:34" s="2" customFormat="1" x14ac:dyDescent="0.2">
      <c r="A303" s="2" t="s">
        <v>405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7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L</v>
      </c>
      <c r="Z303" s="49" t="str">
        <f>MID(VLOOKUP($A303,Seqs!$A:$B,2,FALSE),VLOOKUP($A303,'SegEnds_NonXtal_Prot#'!A:AL,10,FALSE)+9,1)</f>
        <v>S</v>
      </c>
      <c r="AA303" s="49" t="str">
        <f>MID(VLOOKUP($A303,Seqs!$A:$B,2,FALSE),VLOOKUP($A303,'SegEnds_NonXtal_Prot#'!A:AL,10,FALSE)+10,1)</f>
        <v>R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V</v>
      </c>
      <c r="AD303" s="49" t="str">
        <f>MID(VLOOKUP($A303,Seqs!$A:$B,2,FALSE),VLOOKUP($A303,'SegEnds_NonXtal_Prot#'!$A:$AL,22,FALSE)+8,1)</f>
        <v>I</v>
      </c>
      <c r="AE303" s="49" t="str">
        <f>MID(VLOOKUP($A303,Seqs!$A:$B,2,FALSE),VLOOKUP($A303,'SegEnds_NonXtal_Prot#'!$A:$AL,22,FALSE)+9,1)</f>
        <v>P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T</v>
      </c>
    </row>
    <row r="304" spans="1:34" s="2" customFormat="1" x14ac:dyDescent="0.2">
      <c r="A304" s="2" t="s">
        <v>406</v>
      </c>
      <c r="B304" s="2" t="str">
        <f>LOWER(VLOOKUP(A304,Xtal_Templ!A:B,2,FALSE))</f>
        <v>glp1r_human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7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S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V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407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7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C</v>
      </c>
    </row>
    <row r="306" spans="1:34" s="2" customFormat="1" x14ac:dyDescent="0.2">
      <c r="A306" s="2" t="s">
        <v>32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7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I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408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7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I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C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T</v>
      </c>
      <c r="AE307" s="49" t="str">
        <f>MID(VLOOKUP($A307,Seqs!$A:$B,2,FALSE),VLOOKUP($A307,'SegEnds_NonXtal_Prot#'!$A:$AL,22,FALSE)+9,1)</f>
        <v>V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409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7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A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410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7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A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411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7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N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L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412</v>
      </c>
      <c r="B311" s="2" t="str">
        <f>LOWER(VLOOKUP(A311,Xtal_Templ!A:B,2,FALSE))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7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T</v>
      </c>
      <c r="AD311" s="49" t="str">
        <f>MID(VLOOKUP($A311,Seqs!$A:$B,2,FALSE),VLOOKUP($A311,'SegEnds_NonXtal_Prot#'!$A:$AL,22,FALSE)+8,1)</f>
        <v>M</v>
      </c>
      <c r="AE311" s="49" t="str">
        <f>MID(VLOOKUP($A311,Seqs!$A:$B,2,FALSE),VLOOKUP($A311,'SegEnds_NonXtal_Prot#'!$A:$AL,22,FALSE)+9,1)</f>
        <v>V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413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7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I</v>
      </c>
      <c r="AD312" s="49" t="str">
        <f>MID(VLOOKUP($A312,Seqs!$A:$B,2,FALSE),VLOOKUP($A312,'SegEnds_NonXtal_Prot#'!$A:$AL,22,FALSE)+8,1)</f>
        <v>G</v>
      </c>
      <c r="AE312" s="49" t="str">
        <f>MID(VLOOKUP($A312,Seqs!$A:$B,2,FALSE),VLOOKUP($A312,'SegEnds_NonXtal_Prot#'!$A:$AL,22,FALSE)+9,1)</f>
        <v>A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1430</v>
      </c>
      <c r="B313" s="2" t="str">
        <f>LOWER(VLOOKUP(A313,Xtal_Templ!A:B,2,FALSE))</f>
        <v>g1sgd4_rabit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7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I</v>
      </c>
      <c r="AE313" s="49" t="str">
        <f>MID(VLOOKUP($A313,Seqs!$A:$B,2,FALSE),VLOOKUP($A313,'SegEnds_NonXtal_Prot#'!$A:$AL,22,FALSE)+9,1)</f>
        <v>P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A</v>
      </c>
    </row>
    <row r="314" spans="1:34" s="2" customFormat="1" x14ac:dyDescent="0.2">
      <c r="A314" s="2" t="s">
        <v>1177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H314" s="4"/>
      <c r="J314" s="107" t="s">
        <v>25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F</v>
      </c>
      <c r="X314" s="49" t="str">
        <f>MID(VLOOKUP($A314,Seqs!$A:$B,2,FALSE),VLOOKUP($A314,'SegEnds_NonXtal_Prot#'!A:AL,10,FALSE)+7,1)</f>
        <v>T</v>
      </c>
      <c r="Y314" s="49" t="str">
        <f>MID(VLOOKUP($A314,Seqs!$A:$B,2,FALSE),VLOOKUP($A314,'SegEnds_NonXtal_Prot#'!A:AL,10,FALSE)+8,1)</f>
        <v>V</v>
      </c>
      <c r="Z314" s="49" t="str">
        <f>MID(VLOOKUP($A314,Seqs!$A:$B,2,FALSE),VLOOKUP($A314,'SegEnds_NonXtal_Prot#'!A:AL,10,FALSE)+9,1)</f>
        <v>F</v>
      </c>
      <c r="AA314" s="49" t="str">
        <f>MID(VLOOKUP($A314,Seqs!$A:$B,2,FALSE),VLOOKUP($A314,'SegEnds_NonXtal_Prot#'!A:AL,10,FALSE)+10,1)</f>
        <v>A</v>
      </c>
      <c r="AB314" s="28" t="str">
        <f>MID(VLOOKUP($A314,Seqs!$A:$B,2,FALSE),VLOOKUP($A314,'SegEnds_NonXtal_Prot#'!$A:$AL,22,FALSE)+6,1)</f>
        <v>I</v>
      </c>
      <c r="AC314" s="49" t="str">
        <f>MID(VLOOKUP($A314,Seqs!$A:$B,2,FALSE),VLOOKUP($A314,'SegEnds_NonXtal_Prot#'!$A:$AL,22,FALSE)+7,1)</f>
        <v>C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T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I</v>
      </c>
    </row>
    <row r="315" spans="1:34" s="2" customFormat="1" x14ac:dyDescent="0.2">
      <c r="A315" s="2" t="s">
        <v>1178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7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A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I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1179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7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C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V</v>
      </c>
      <c r="AB316" s="28" t="str">
        <f>MID(VLOOKUP($A316,Seqs!$A:$B,2,FALSE),VLOOKUP($A316,'SegEnds_NonXtal_Prot#'!$A:$AL,22,FALSE)+6,1)</f>
        <v>V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1180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7" t="s">
        <v>25</v>
      </c>
      <c r="T317" s="4" t="s">
        <v>12</v>
      </c>
      <c r="V317" s="28" t="str">
        <f>MID(VLOOKUP($A317,Seqs!$A:$B,2,FALSE),VLOOKUP($A317,'SegEnds_NonXtal_Prot#'!A:AL,10,FALSE),1)</f>
        <v>I</v>
      </c>
      <c r="W317" s="49" t="str">
        <f>MID(VLOOKUP($A317,Seqs!$A:$B,2,FALSE),VLOOKUP($A317,'SegEnds_NonXtal_Prot#'!A:AL,10,FALSE)+6,1)</f>
        <v>L</v>
      </c>
      <c r="X317" s="49" t="str">
        <f>MID(VLOOKUP($A317,Seqs!$A:$B,2,FALSE),VLOOKUP($A317,'SegEnds_NonXtal_Prot#'!A:AL,10,FALSE)+7,1)</f>
        <v>I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G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V</v>
      </c>
      <c r="AD317" s="49" t="str">
        <f>MID(VLOOKUP($A317,Seqs!$A:$B,2,FALSE),VLOOKUP($A317,'SegEnds_NonXtal_Prot#'!$A:$AL,22,FALSE)+8,1)</f>
        <v>A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S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1181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7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T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V</v>
      </c>
    </row>
    <row r="319" spans="1:34" s="2" customFormat="1" x14ac:dyDescent="0.2">
      <c r="A319" s="2" t="s">
        <v>1182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7" t="s">
        <v>25</v>
      </c>
      <c r="T319" s="4" t="s">
        <v>12</v>
      </c>
      <c r="V319" s="28" t="str">
        <f>MID(VLOOKUP($A319,Seqs!$A:$B,2,FALSE),VLOOKUP($A319,'SegEnds_NonXtal_Prot#'!A:AL,10,FALSE),1)</f>
        <v>V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L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S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I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1183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7" t="s">
        <v>25</v>
      </c>
      <c r="T320" s="4" t="s">
        <v>12</v>
      </c>
      <c r="V320" s="28" t="str">
        <f>MID(VLOOKUP($A320,Seqs!$A:$B,2,FALSE),VLOOKUP($A320,'SegEnds_NonXtal_Prot#'!A:AL,10,FALSE),1)</f>
        <v>L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M</v>
      </c>
      <c r="Z320" s="49" t="str">
        <f>MID(VLOOKUP($A320,Seqs!$A:$B,2,FALSE),VLOOKUP($A320,'SegEnds_NonXtal_Prot#'!A:AL,10,FALSE)+9,1)</f>
        <v>T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1184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7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F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A</v>
      </c>
      <c r="AA321" s="49" t="str">
        <f>MID(VLOOKUP($A321,Seqs!$A:$B,2,FALSE),VLOOKUP($A321,'SegEnds_NonXtal_Prot#'!A:AL,10,FALSE)+10,1)</f>
        <v>G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V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1185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7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A</v>
      </c>
      <c r="AB322" s="28" t="str">
        <f>MID(VLOOKUP($A322,Seqs!$A:$B,2,FALSE),VLOOKUP($A322,'SegEnds_NonXtal_Prot#'!$A:$AL,22,FALSE)+6,1)</f>
        <v>T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1186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7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1187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7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T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I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V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1188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7" t="s">
        <v>25</v>
      </c>
      <c r="T325" s="4" t="s">
        <v>12</v>
      </c>
      <c r="V325" s="28" t="str">
        <f>MID(VLOOKUP($A325,Seqs!$A:$B,2,FALSE),VLOOKUP($A325,'SegEnds_NonXtal_Prot#'!A:AL,10,FALSE),1)</f>
        <v>A</v>
      </c>
      <c r="W325" s="49" t="str">
        <f>MID(VLOOKUP($A325,Seqs!$A:$B,2,FALSE),VLOOKUP($A325,'SegEnds_NonXtal_Prot#'!A:AL,10,FALSE)+6,1)</f>
        <v>A</v>
      </c>
      <c r="X325" s="49" t="str">
        <f>MID(VLOOKUP($A325,Seqs!$A:$B,2,FALSE),VLOOKUP($A325,'SegEnds_NonXtal_Prot#'!A:AL,10,FALSE)+7,1)</f>
        <v>D</v>
      </c>
      <c r="Y325" s="49" t="str">
        <f>MID(VLOOKUP($A325,Seqs!$A:$B,2,FALSE),VLOOKUP($A325,'SegEnds_NonXtal_Prot#'!A:AL,10,FALSE)+8,1)</f>
        <v>V</v>
      </c>
      <c r="Z325" s="49" t="str">
        <f>MID(VLOOKUP($A325,Seqs!$A:$B,2,FALSE),VLOOKUP($A325,'SegEnds_NonXtal_Prot#'!A:AL,10,FALSE)+9,1)</f>
        <v>W</v>
      </c>
      <c r="AA325" s="49" t="str">
        <f>MID(VLOOKUP($A325,Seqs!$A:$B,2,FALSE),VLOOKUP($A325,'SegEnds_NonXtal_Prot#'!A:AL,10,FALSE)+10,1)</f>
        <v>F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S</v>
      </c>
      <c r="AD325" s="49" t="str">
        <f>MID(VLOOKUP($A325,Seqs!$A:$B,2,FALSE),VLOOKUP($A325,'SegEnds_NonXtal_Prot#'!$A:$AL,22,FALSE)+8,1)</f>
        <v>V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1189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7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A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1190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7" t="s">
        <v>25</v>
      </c>
      <c r="T327" s="4" t="s">
        <v>12</v>
      </c>
      <c r="V327" s="28" t="str">
        <f>MID(VLOOKUP($A327,Seqs!$A:$B,2,FALSE),VLOOKUP($A327,'SegEnds_NonXtal_Prot#'!A:AL,10,FALSE),1)</f>
        <v>V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T</v>
      </c>
      <c r="Z327" s="49" t="str">
        <f>MID(VLOOKUP($A327,Seqs!$A:$B,2,FALSE),VLOOKUP($A327,'SegEnds_NonXtal_Prot#'!A:AL,10,FALSE)+9,1)</f>
        <v>C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L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G</v>
      </c>
      <c r="AE327" s="49" t="str">
        <f>MID(VLOOKUP($A327,Seqs!$A:$B,2,FALSE),VLOOKUP($A327,'SegEnds_NonXtal_Prot#'!$A:$AL,22,FALSE)+9,1)</f>
        <v>V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1191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7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N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V</v>
      </c>
      <c r="AE328" s="49" t="str">
        <f>MID(VLOOKUP($A328,Seqs!$A:$B,2,FALSE),VLOOKUP($A328,'SegEnds_NonXtal_Prot#'!$A:$AL,22,FALSE)+9,1)</f>
        <v>T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1192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7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S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1193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7" t="s">
        <v>25</v>
      </c>
      <c r="T330" s="4" t="s">
        <v>12</v>
      </c>
      <c r="V330" s="28" t="str">
        <f>MID(VLOOKUP($A330,Seqs!$A:$B,2,FALSE),VLOOKUP($A330,'SegEnds_NonXtal_Prot#'!A:AL,10,FALSE),1)</f>
        <v>V</v>
      </c>
      <c r="W330" s="49" t="str">
        <f>MID(VLOOKUP($A330,Seqs!$A:$B,2,FALSE),VLOOKUP($A330,'SegEnds_NonXtal_Prot#'!A:AL,10,FALSE)+6,1)</f>
        <v>S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L</v>
      </c>
      <c r="AA330" s="49" t="str">
        <f>MID(VLOOKUP($A330,Seqs!$A:$B,2,FALSE),VLOOKUP($A330,'SegEnds_NonXtal_Prot#'!A:AL,10,FALSE)+10,1)</f>
        <v>S</v>
      </c>
      <c r="AB330" s="28" t="str">
        <f>MID(VLOOKUP($A330,Seqs!$A:$B,2,FALSE),VLOOKUP($A330,'SegEnds_NonXtal_Prot#'!$A:$AL,22,FALSE)+6,1)</f>
        <v>L</v>
      </c>
      <c r="AC330" s="49" t="str">
        <f>MID(VLOOKUP($A330,Seqs!$A:$B,2,FALSE),VLOOKUP($A330,'SegEnds_NonXtal_Prot#'!$A:$AL,22,FALSE)+7,1)</f>
        <v>V</v>
      </c>
      <c r="AD330" s="49" t="str">
        <f>MID(VLOOKUP($A330,Seqs!$A:$B,2,FALSE),VLOOKUP($A330,'SegEnds_NonXtal_Prot#'!$A:$AL,22,FALSE)+8,1)</f>
        <v>T</v>
      </c>
      <c r="AE330" s="49" t="str">
        <f>MID(VLOOKUP($A330,Seqs!$A:$B,2,FALSE),VLOOKUP($A330,'SegEnds_NonXtal_Prot#'!$A:$AL,22,FALSE)+9,1)</f>
        <v>L</v>
      </c>
      <c r="AF330" s="49" t="str">
        <f>MID(VLOOKUP($A330,Seqs!$A:$B,2,FALSE),VLOOKUP($A330,'SegEnds_NonXtal_Prot#'!$A:$AL,22,FALSE)+10,1)</f>
        <v>V</v>
      </c>
      <c r="AG330" s="28" t="str">
        <f>MID(VLOOKUP($A330,Seqs!$A:$B,2,FALSE),VLOOKUP($A330,'SegEnds_NonXtal_Prot#'!$A:$AL,28,FALSE)-4,1)</f>
        <v>L</v>
      </c>
      <c r="AH330" s="49" t="str">
        <f>MID(VLOOKUP($A330,Seqs!$A:$B,2,FALSE),VLOOKUP($A330,'SegEnds_NonXtal_Prot#'!$A:$AL,28,FALSE),1)</f>
        <v>V</v>
      </c>
    </row>
    <row r="331" spans="1:34" s="2" customFormat="1" x14ac:dyDescent="0.2">
      <c r="A331" s="2" t="s">
        <v>1194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7" t="s">
        <v>25</v>
      </c>
      <c r="T331" s="4" t="s">
        <v>12</v>
      </c>
      <c r="V331" s="28" t="str">
        <f>MID(VLOOKUP($A331,Seqs!$A:$B,2,FALSE),VLOOKUP($A331,'SegEnds_NonXtal_Prot#'!A:AL,10,FALSE),1)</f>
        <v>L</v>
      </c>
      <c r="W331" s="49" t="str">
        <f>MID(VLOOKUP($A331,Seqs!$A:$B,2,FALSE),VLOOKUP($A331,'SegEnds_NonXtal_Prot#'!A:AL,10,FALSE)+6,1)</f>
        <v>V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D</v>
      </c>
      <c r="AB331" s="28" t="str">
        <f>MID(VLOOKUP($A331,Seqs!$A:$B,2,FALSE),VLOOKUP($A331,'SegEnds_NonXtal_Prot#'!$A:$AL,22,FALSE)+6,1)</f>
        <v>V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I</v>
      </c>
      <c r="AG331" s="28" t="str">
        <f>MID(VLOOKUP($A331,Seqs!$A:$B,2,FALSE),VLOOKUP($A331,'SegEnds_NonXtal_Prot#'!$A:$AL,28,FALSE)-4,1)</f>
        <v>Y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1195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7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V</v>
      </c>
      <c r="AA332" s="49" t="str">
        <f>MID(VLOOKUP($A332,Seqs!$A:$B,2,FALSE),VLOOKUP($A332,'SegEnds_NonXtal_Prot#'!A:AL,10,FALSE)+10,1)</f>
        <v>N</v>
      </c>
      <c r="AB332" s="28" t="str">
        <f>MID(VLOOKUP($A332,Seqs!$A:$B,2,FALSE),VLOOKUP($A332,'SegEnds_NonXtal_Prot#'!$A:$AL,22,FALSE)+6,1)</f>
        <v>M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I</v>
      </c>
      <c r="AE332" s="49" t="str">
        <f>MID(VLOOKUP($A332,Seqs!$A:$B,2,FALSE),VLOOKUP($A332,'SegEnds_NonXtal_Prot#'!$A:$AL,22,FALSE)+9,1)</f>
        <v>G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T</v>
      </c>
      <c r="AH332" s="49" t="str">
        <f>MID(VLOOKUP($A332,Seqs!$A:$B,2,FALSE),VLOOKUP($A332,'SegEnds_NonXtal_Prot#'!$A:$AL,28,FALSE),1)</f>
        <v>Y</v>
      </c>
    </row>
    <row r="333" spans="1:34" s="2" customFormat="1" x14ac:dyDescent="0.2">
      <c r="A333" s="2" t="s">
        <v>1196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7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I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A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1197</v>
      </c>
      <c r="B334" s="2" t="str">
        <f>LOWER(VLOOKUP(A334,Xtal_Templ!A:B,2,FALSE))</f>
        <v>glr_human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7" t="s">
        <v>25</v>
      </c>
      <c r="T334" s="4" t="s">
        <v>12</v>
      </c>
      <c r="V334" s="28" t="str">
        <f>MID(VLOOKUP($A334,Seqs!$A:$B,2,FALSE),VLOOKUP($A334,'SegEnds_NonXtal_Prot#'!A:AL,10,FALSE),1)</f>
        <v>V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L</v>
      </c>
      <c r="AA334" s="49" t="str">
        <f>MID(VLOOKUP($A334,Seqs!$A:$B,2,FALSE),VLOOKUP($A334,'SegEnds_NonXtal_Prot#'!A:AL,10,FALSE)+10,1)</f>
        <v>S</v>
      </c>
      <c r="AB334" s="28" t="str">
        <f>MID(VLOOKUP($A334,Seqs!$A:$B,2,FALSE),VLOOKUP($A334,'SegEnds_NonXtal_Prot#'!$A:$AL,22,FALSE)+6,1)</f>
        <v>L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L</v>
      </c>
      <c r="AE334" s="49" t="str">
        <f>MID(VLOOKUP($A334,Seqs!$A:$B,2,FALSE),VLOOKUP($A334,'SegEnds_NonXtal_Prot#'!$A:$AL,22,FALSE)+9,1)</f>
        <v>L</v>
      </c>
      <c r="AF334" s="49" t="str">
        <f>MID(VLOOKUP($A334,Seqs!$A:$B,2,FALSE),VLOOKUP($A334,'SegEnds_NonXtal_Prot#'!$A:$AL,22,FALSE)+10,1)</f>
        <v>S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T</v>
      </c>
    </row>
    <row r="335" spans="1:34" s="2" customFormat="1" x14ac:dyDescent="0.2">
      <c r="A335" s="2" t="s">
        <v>1198</v>
      </c>
      <c r="B335" s="2" t="str">
        <f>LOWER(VLOOKUP(A335,Xtal_Templ!A:B,2,FALSE))</f>
        <v>glp1r_human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7" t="s">
        <v>25</v>
      </c>
      <c r="T335" s="4" t="s">
        <v>12</v>
      </c>
      <c r="V335" s="28" t="str">
        <f>MID(VLOOKUP($A335,Seqs!$A:$B,2,FALSE),VLOOKUP($A335,'SegEnds_NonXtal_Prot#'!A:AL,10,FALSE),1)</f>
        <v>M</v>
      </c>
      <c r="W335" s="49" t="str">
        <f>MID(VLOOKUP($A335,Seqs!$A:$B,2,FALSE),VLOOKUP($A335,'SegEnds_NonXtal_Prot#'!A:AL,10,FALSE)+6,1)</f>
        <v>L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V</v>
      </c>
      <c r="Z335" s="49" t="str">
        <f>MID(VLOOKUP($A335,Seqs!$A:$B,2,FALSE),VLOOKUP($A335,'SegEnds_NonXtal_Prot#'!A:AL,10,FALSE)+9,1)</f>
        <v>F</v>
      </c>
      <c r="AA335" s="49" t="str">
        <f>MID(VLOOKUP($A335,Seqs!$A:$B,2,FALSE),VLOOKUP($A335,'SegEnds_NonXtal_Prot#'!A:AL,10,FALSE)+10,1)</f>
        <v>G</v>
      </c>
      <c r="AB335" s="28" t="str">
        <f>MID(VLOOKUP($A335,Seqs!$A:$B,2,FALSE),VLOOKUP($A335,'SegEnds_NonXtal_Prot#'!$A:$AL,22,FALSE)+6,1)</f>
        <v>V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1199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7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V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G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A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1200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7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I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I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V</v>
      </c>
      <c r="AF337" s="49" t="str">
        <f>MID(VLOOKUP($A337,Seqs!$A:$B,2,FALSE),VLOOKUP($A337,'SegEnds_NonXtal_Prot#'!$A:$AL,22,FALSE)+10,1)</f>
        <v>S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1201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7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I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1202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7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V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F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414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7" t="s">
        <v>25</v>
      </c>
      <c r="T340" s="4" t="s">
        <v>12</v>
      </c>
      <c r="V340" s="28" t="str">
        <f>MID(VLOOKUP($A340,Seqs!$A:$B,2,FALSE),VLOOKUP($A340,'SegEnds_NonXtal_Prot#'!A:AL,10,FALSE),1)</f>
        <v>I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I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V</v>
      </c>
    </row>
    <row r="341" spans="1:34" s="2" customFormat="1" x14ac:dyDescent="0.2">
      <c r="A341" s="2" t="s">
        <v>418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7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T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L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7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L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I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A</v>
      </c>
    </row>
    <row r="343" spans="1:34" s="2" customFormat="1" x14ac:dyDescent="0.2">
      <c r="A343" s="2" t="s">
        <v>1423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7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D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S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V</v>
      </c>
      <c r="AG343" s="28" t="str">
        <f>MID(VLOOKUP($A343,Seqs!$A:$B,2,FALSE),VLOOKUP($A343,'SegEnds_NonXtal_Prot#'!$A:$AL,28,FALSE)-4,1)</f>
        <v>Y</v>
      </c>
      <c r="AH343" s="49" t="str">
        <f>MID(VLOOKUP($A343,Seqs!$A:$B,2,FALSE),VLOOKUP($A343,'SegEnds_NonXtal_Prot#'!$A:$AL,28,FALSE),1)</f>
        <v>M</v>
      </c>
    </row>
    <row r="344" spans="1:34" s="2" customFormat="1" x14ac:dyDescent="0.2">
      <c r="A344" s="2" t="s">
        <v>442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7" t="s">
        <v>25</v>
      </c>
      <c r="T344" s="4" t="s">
        <v>12</v>
      </c>
      <c r="V344" s="28" t="str">
        <f>MID(VLOOKUP($A344,Seqs!$A:$B,2,FALSE),VLOOKUP($A344,'SegEnds_NonXtal_Prot#'!A:AL,10,FALSE),1)</f>
        <v>S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A</v>
      </c>
      <c r="AA344" s="49" t="str">
        <f>MID(VLOOKUP($A344,Seqs!$A:$B,2,FALSE),VLOOKUP($A344,'SegEnds_NonXtal_Prot#'!A:AL,10,FALSE)+10,1)</f>
        <v>S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I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L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L</v>
      </c>
    </row>
    <row r="345" spans="1:34" s="2" customFormat="1" x14ac:dyDescent="0.2">
      <c r="A345" s="2" t="s">
        <v>417</v>
      </c>
      <c r="B345" s="2" t="str">
        <f>LOWER(VLOOKUP(A345,Xtal_Templ!A:B,2,FALSE))</f>
        <v>glp1r_human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7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I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I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420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7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L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L</v>
      </c>
      <c r="AC346" s="49" t="str">
        <f>MID(VLOOKUP($A346,Seqs!$A:$B,2,FALSE),VLOOKUP($A346,'SegEnds_NonXtal_Prot#'!$A:$AL,22,FALSE)+7,1)</f>
        <v>L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106</v>
      </c>
      <c r="B347" s="2" t="str">
        <f>LOWER(VLOOKUP(A347,Xtal_Templ!A:B,2,FALSE))</f>
        <v>grm5_human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H347" s="4"/>
      <c r="U347" s="2" t="s">
        <v>1330</v>
      </c>
      <c r="V347" s="28" t="str">
        <f>MID(VLOOKUP($A347,Seqs!$A:$B,2,FALSE),VLOOKUP($A347,'SegEnds_NonXtal_Prot#'!A:AL,10,FALSE),1)</f>
        <v>C</v>
      </c>
      <c r="W347" s="49" t="str">
        <f>MID(VLOOKUP($A347,Seqs!$A:$B,2,FALSE),VLOOKUP($A347,'SegEnds_NonXtal_Prot#'!A:AL,10,FALSE)+6,1)</f>
        <v>A</v>
      </c>
      <c r="X347" s="49" t="str">
        <f>MID(VLOOKUP($A347,Seqs!$A:$B,2,FALSE),VLOOKUP($A347,'SegEnds_NonXtal_Prot#'!A:AL,10,FALSE)+7,1)</f>
        <v>V</v>
      </c>
      <c r="Y347" s="49" t="str">
        <f>MID(VLOOKUP($A347,Seqs!$A:$B,2,FALSE),VLOOKUP($A347,'SegEnds_NonXtal_Prot#'!A:AL,10,FALSE)+8,1)</f>
        <v>F</v>
      </c>
      <c r="Z347" s="49" t="str">
        <f>MID(VLOOKUP($A347,Seqs!$A:$B,2,FALSE),VLOOKUP($A347,'SegEnds_NonXtal_Prot#'!A:AL,10,FALSE)+9,1)</f>
        <v>P</v>
      </c>
      <c r="AA347" s="49" t="str">
        <f>MID(VLOOKUP($A347,Seqs!$A:$B,2,FALSE),VLOOKUP($A347,'SegEnds_NonXtal_Prot#'!A:AL,10,FALSE)+10,1)</f>
        <v>L</v>
      </c>
      <c r="AB347" s="28" t="str">
        <f>MID(VLOOKUP($A347,Seqs!$A:$B,2,FALSE),VLOOKUP($A347,'SegEnds_NonXtal_Prot#'!$A:$AL,22,FALSE)+6,1)</f>
        <v>T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A</v>
      </c>
      <c r="AE347" s="49" t="str">
        <f>MID(VLOOKUP($A347,Seqs!$A:$B,2,FALSE),VLOOKUP($A347,'SegEnds_NonXtal_Prot#'!$A:$AL,22,FALSE)+9,1)</f>
        <v>I</v>
      </c>
      <c r="AF347" s="49" t="str">
        <f>MID(VLOOKUP($A347,Seqs!$A:$B,2,FALSE),VLOOKUP($A347,'SegEnds_NonXtal_Prot#'!$A:$AL,22,FALSE)+10,1)</f>
        <v>W</v>
      </c>
      <c r="AG347" s="28" t="str">
        <f>MID(VLOOKUP($A347,Seqs!$A:$B,2,FALSE),VLOOKUP($A347,'SegEnds_NonXtal_Prot#'!$A:$AL,28,FALSE)-4,1)</f>
        <v>Y</v>
      </c>
      <c r="AH347" s="49" t="str">
        <f>MID(VLOOKUP($A347,Seqs!$A:$B,2,FALSE),VLOOKUP($A347,'SegEnds_NonXtal_Prot#'!$A:$AL,28,FALSE),1)</f>
        <v>L</v>
      </c>
    </row>
    <row r="348" spans="1:34" s="2" customFormat="1" x14ac:dyDescent="0.2">
      <c r="A348" s="2" t="s">
        <v>108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S</v>
      </c>
      <c r="W348" s="49" t="str">
        <f>MID(VLOOKUP($A348,Seqs!$A:$B,2,FALSE),VLOOKUP($A348,'SegEnds_NonXtal_Prot#'!A:AL,10,FALSE)+6,1)</f>
        <v>S</v>
      </c>
      <c r="X348" s="49" t="str">
        <f>MID(VLOOKUP($A348,Seqs!$A:$B,2,FALSE),VLOOKUP($A348,'SegEnds_NonXtal_Prot#'!A:AL,10,FALSE)+7,1)</f>
        <v>A</v>
      </c>
      <c r="Y348" s="49" t="str">
        <f>MID(VLOOKUP($A348,Seqs!$A:$B,2,FALSE),VLOOKUP($A348,'SegEnds_NonXtal_Prot#'!A:AL,10,FALSE)+8,1)</f>
        <v>Y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F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M</v>
      </c>
      <c r="AE348" s="49" t="str">
        <f>MID(VLOOKUP($A348,Seqs!$A:$B,2,FALSE),VLOOKUP($A348,'SegEnds_NonXtal_Prot#'!$A:$AL,22,FALSE)+9,1)</f>
        <v>T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C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109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P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V</v>
      </c>
      <c r="Z349" s="49" t="str">
        <f>MID(VLOOKUP($A349,Seqs!$A:$B,2,FALSE),VLOOKUP($A349,'SegEnds_NonXtal_Prot#'!A:AL,10,FALSE)+9,1)</f>
        <v>I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A</v>
      </c>
      <c r="AD349" s="49" t="str">
        <f>MID(VLOOKUP($A349,Seqs!$A:$B,2,FALSE),VLOOKUP($A349,'SegEnds_NonXtal_Prot#'!$A:$AL,22,FALSE)+8,1)</f>
        <v>V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A</v>
      </c>
      <c r="AH349" s="49" t="str">
        <f>MID(VLOOKUP($A349,Seqs!$A:$B,2,FALSE),VLOOKUP($A349,'SegEnds_NonXtal_Prot#'!$A:$AL,28,FALSE),1)</f>
        <v>F</v>
      </c>
    </row>
    <row r="350" spans="1:34" s="2" customFormat="1" x14ac:dyDescent="0.2">
      <c r="A350" s="2" t="s">
        <v>110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F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F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G</v>
      </c>
      <c r="AD350" s="49" t="str">
        <f>MID(VLOOKUP($A350,Seqs!$A:$B,2,FALSE),VLOOKUP($A350,'SegEnds_NonXtal_Prot#'!$A:$AL,22,FALSE)+8,1)</f>
        <v>L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111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T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T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F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E</v>
      </c>
      <c r="AF351" s="49" t="str">
        <f>MID(VLOOKUP($A351,Seqs!$A:$B,2,FALSE),VLOOKUP($A351,'SegEnds_NonXtal_Prot#'!$A:$AL,22,FALSE)+10,1)</f>
        <v>W</v>
      </c>
      <c r="AG351" s="28" t="str">
        <f>MID(VLOOKUP($A351,Seqs!$A:$B,2,FALSE),VLOOKUP($A351,'SegEnds_NonXtal_Prot#'!$A:$AL,28,FALSE)-4,1)</f>
        <v>Y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112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C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N</v>
      </c>
      <c r="AD352" s="49" t="str">
        <f>MID(VLOOKUP($A352,Seqs!$A:$B,2,FALSE),VLOOKUP($A352,'SegEnds_NonXtal_Prot#'!$A:$AL,22,FALSE)+8,1)</f>
        <v>T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113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V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Y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114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H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T</v>
      </c>
      <c r="Y354" s="49" t="str">
        <f>MID(VLOOKUP($A354,Seqs!$A:$B,2,FALSE),VLOOKUP($A354,'SegEnds_NonXtal_Prot#'!A:AL,10,FALSE)+8,1)</f>
        <v>S</v>
      </c>
      <c r="Z354" s="49" t="str">
        <f>MID(VLOOKUP($A354,Seqs!$A:$B,2,FALSE),VLOOKUP($A354,'SegEnds_NonXtal_Prot#'!A:AL,10,FALSE)+9,1)</f>
        <v>F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C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L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40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Xtal</v>
      </c>
      <c r="H355" s="4"/>
      <c r="U355" s="2" t="s">
        <v>1330</v>
      </c>
      <c r="V355" s="28" t="str">
        <f>MID(VLOOKUP($A355,Seqs!$A:$B,2,FALSE),VLOOKUP($A355,'SegEnds_NonXtal_Prot#'!A:AL,10,FALSE),1)</f>
        <v>I</v>
      </c>
      <c r="W355" s="49" t="str">
        <f>MID(VLOOKUP($A355,Seqs!$A:$B,2,FALSE),VLOOKUP($A355,'SegEnds_NonXtal_Prot#'!A:AL,10,FALSE)+6,1)</f>
        <v>C</v>
      </c>
      <c r="X355" s="49" t="str">
        <f>MID(VLOOKUP($A355,Seqs!$A:$B,2,FALSE),VLOOKUP($A355,'SegEnds_NonXtal_Prot#'!A:AL,10,FALSE)+7,1)</f>
        <v>P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T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V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T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121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1330</v>
      </c>
      <c r="V356" s="28" t="str">
        <f>MID(VLOOKUP($A356,Seqs!$A:$B,2,FALSE),VLOOKUP($A356,'SegEnds_NonXtal_Prot#'!A:AL,10,FALSE),1)</f>
        <v>V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I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Y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L</v>
      </c>
      <c r="W357" s="49" t="str">
        <f>MID(VLOOKUP($A357,Seqs!$A:$B,2,FALSE),VLOOKUP($A357,'SegEnds_NonXtal_Prot#'!A:AL,10,FALSE)+6,1)</f>
        <v>S</v>
      </c>
      <c r="X357" s="49" t="str">
        <f>MID(VLOOKUP($A357,Seqs!$A:$B,2,FALSE),VLOOKUP($A357,'SegEnds_NonXtal_Prot#'!A:AL,10,FALSE)+7,1)</f>
        <v>L</v>
      </c>
      <c r="Y357" s="49" t="str">
        <f>MID(VLOOKUP($A357,Seqs!$A:$B,2,FALSE),VLOOKUP($A357,'SegEnds_NonXtal_Prot#'!A:AL,10,FALSE)+8,1)</f>
        <v>Y</v>
      </c>
      <c r="Z357" s="49" t="str">
        <f>MID(VLOOKUP($A357,Seqs!$A:$B,2,FALSE),VLOOKUP($A357,'SegEnds_NonXtal_Prot#'!A:AL,10,FALSE)+9,1)</f>
        <v>G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C</v>
      </c>
      <c r="AD357" s="49" t="str">
        <f>MID(VLOOKUP($A357,Seqs!$A:$B,2,FALSE),VLOOKUP($A357,'SegEnds_NonXtal_Prot#'!$A:$AL,22,FALSE)+8,1)</f>
        <v>L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V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P</v>
      </c>
      <c r="Z358" s="49" t="str">
        <f>MID(VLOOKUP($A358,Seqs!$A:$B,2,FALSE),VLOOKUP($A358,'SegEnds_NonXtal_Prot#'!A:AL,10,FALSE)+9,1)</f>
        <v>V</v>
      </c>
      <c r="AA358" s="49" t="str">
        <f>MID(VLOOKUP($A358,Seqs!$A:$B,2,FALSE),VLOOKUP($A358,'SegEnds_NonXtal_Prot#'!A:AL,10,FALSE)+10,1)</f>
        <v>Y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V</v>
      </c>
      <c r="AD358" s="49" t="str">
        <f>MID(VLOOKUP($A358,Seqs!$A:$B,2,FALSE),VLOOKUP($A358,'SegEnds_NonXtal_Prot#'!$A:$AL,22,FALSE)+8,1)</f>
        <v>V</v>
      </c>
      <c r="AE358" s="49" t="str">
        <f>MID(VLOOKUP($A358,Seqs!$A:$B,2,FALSE),VLOOKUP($A358,'SegEnds_NonXtal_Prot#'!$A:$AL,22,FALSE)+9,1)</f>
        <v>I</v>
      </c>
      <c r="AF358" s="49" t="str">
        <f>MID(VLOOKUP($A358,Seqs!$A:$B,2,FALSE),VLOOKUP($A358,'SegEnds_NonXtal_Prot#'!$A:$AL,22,FALSE)+10,1)</f>
        <v>G</v>
      </c>
      <c r="AG358" s="28" t="str">
        <f>MID(VLOOKUP($A358,Seqs!$A:$B,2,FALSE),VLOOKUP($A358,'SegEnds_NonXtal_Prot#'!$A:$AL,28,FALSE)-4,1)</f>
        <v>L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L</v>
      </c>
      <c r="Z359" s="49" t="str">
        <f>MID(VLOOKUP($A359,Seqs!$A:$B,2,FALSE),VLOOKUP($A359,'SegEnds_NonXtal_Prot#'!A:AL,10,FALSE)+9,1)</f>
        <v>L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L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W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T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105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S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G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I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L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C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115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M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I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V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A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116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F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M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S</v>
      </c>
      <c r="AE363" s="49" t="str">
        <f>MID(VLOOKUP($A363,Seqs!$A:$B,2,FALSE),VLOOKUP($A363,'SegEnds_NonXtal_Prot#'!$A:$AL,22,FALSE)+9,1)</f>
        <v>V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117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I</v>
      </c>
      <c r="W364" s="49" t="str">
        <f>MID(VLOOKUP($A364,Seqs!$A:$B,2,FALSE),VLOOKUP($A364,'SegEnds_NonXtal_Prot#'!A:AL,10,FALSE)+6,1)</f>
        <v>T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M</v>
      </c>
      <c r="AB364" s="28" t="str">
        <f>MID(VLOOKUP($A364,Seqs!$A:$B,2,FALSE),VLOOKUP($A364,'SegEnds_NonXtal_Prot#'!$A:$AL,22,FALSE)+6,1)</f>
        <v>G</v>
      </c>
      <c r="AC364" s="49" t="str">
        <f>MID(VLOOKUP($A364,Seqs!$A:$B,2,FALSE),VLOOKUP($A364,'SegEnds_NonXtal_Prot#'!$A:$AL,22,FALSE)+7,1)</f>
        <v>I</v>
      </c>
      <c r="AD364" s="49" t="str">
        <f>MID(VLOOKUP($A364,Seqs!$A:$B,2,FALSE),VLOOKUP($A364,'SegEnds_NonXtal_Prot#'!$A:$AL,22,FALSE)+8,1)</f>
        <v>C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41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C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C</v>
      </c>
      <c r="AA365" s="49" t="str">
        <f>MID(VLOOKUP($A365,Seqs!$A:$B,2,FALSE),VLOOKUP($A365,'SegEnds_NonXtal_Prot#'!A:AL,10,FALSE)+10,1)</f>
        <v>L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A</v>
      </c>
      <c r="AF365" s="49" t="str">
        <f>MID(VLOOKUP($A365,Seqs!$A:$B,2,FALSE),VLOOKUP($A365,'SegEnds_NonXtal_Prot#'!$A:$AL,22,FALSE)+10,1)</f>
        <v>L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118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I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M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ht="17" customHeight="1" x14ac:dyDescent="0.2">
      <c r="A367" s="2" t="s">
        <v>119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F</v>
      </c>
      <c r="AE367" s="49" t="str">
        <f>MID(VLOOKUP($A367,Seqs!$A:$B,2,FALSE),VLOOKUP($A367,'SegEnds_NonXtal_Prot#'!$A:$AL,22,FALSE)+9,1)</f>
        <v>I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120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446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H369" s="4"/>
      <c r="P369" s="2" t="s">
        <v>1329</v>
      </c>
      <c r="V369" s="28" t="str">
        <f>MID(VLOOKUP($A369,Seqs!$A:$B,2,FALSE),VLOOKUP($A369,'SegEnds_NonXtal_Prot#'!A:AL,10,FALSE),1)</f>
        <v>G</v>
      </c>
      <c r="W369" s="49" t="str">
        <f>MID(VLOOKUP($A369,Seqs!$A:$B,2,FALSE),VLOOKUP($A369,'SegEnds_NonXtal_Prot#'!A:AL,10,FALSE)+6,1)</f>
        <v>A</v>
      </c>
      <c r="X369" s="49" t="str">
        <f>MID(VLOOKUP($A369,Seqs!$A:$B,2,FALSE),VLOOKUP($A369,'SegEnds_NonXtal_Prot#'!A:AL,10,FALSE)+7,1)</f>
        <v>V</v>
      </c>
      <c r="Y369" s="49" t="str">
        <f>MID(VLOOKUP($A369,Seqs!$A:$B,2,FALSE),VLOOKUP($A369,'SegEnds_NonXtal_Prot#'!A:AL,10,FALSE)+8,1)</f>
        <v>A</v>
      </c>
      <c r="Z369" s="49" t="str">
        <f>MID(VLOOKUP($A369,Seqs!$A:$B,2,FALSE),VLOOKUP($A369,'SegEnds_NonXtal_Prot#'!A:AL,10,FALSE)+9,1)</f>
        <v>Y</v>
      </c>
      <c r="AA369" s="49" t="str">
        <f>MID(VLOOKUP($A369,Seqs!$A:$B,2,FALSE),VLOOKUP($A369,'SegEnds_NonXtal_Prot#'!A:AL,10,FALSE)+10,1)</f>
        <v>I</v>
      </c>
      <c r="AB369" s="28" t="str">
        <f>MID(VLOOKUP($A369,Seqs!$A:$B,2,FALSE),VLOOKUP($A369,'SegEnds_NonXtal_Prot#'!$A:$AL,22,FALSE)+6,1)</f>
        <v>K</v>
      </c>
      <c r="AC369" s="49" t="str">
        <f>MID(VLOOKUP($A369,Seqs!$A:$B,2,FALSE),VLOOKUP($A369,'SegEnds_NonXtal_Prot#'!$A:$AL,22,FALSE)+7,1)</f>
        <v>T</v>
      </c>
      <c r="AD369" s="49" t="str">
        <f>MID(VLOOKUP($A369,Seqs!$A:$B,2,FALSE),VLOOKUP($A369,'SegEnds_NonXtal_Prot#'!$A:$AL,22,FALSE)+8,1)</f>
        <v>I</v>
      </c>
      <c r="AE369" s="49" t="str">
        <f>MID(VLOOKUP($A369,Seqs!$A:$B,2,FALSE),VLOOKUP($A369,'SegEnds_NonXtal_Prot#'!$A:$AL,22,FALSE)+9,1)</f>
        <v>T</v>
      </c>
      <c r="AF369" s="49" t="str">
        <f>MID(VLOOKUP($A369,Seqs!$A:$B,2,FALSE),VLOOKUP($A369,'SegEnds_NonXtal_Prot#'!$A:$AL,22,FALSE)+10,1)</f>
        <v>I</v>
      </c>
      <c r="AG369" s="28" t="str">
        <f>MID(VLOOKUP($A369,Seqs!$A:$B,2,FALSE),VLOOKUP($A369,'SegEnds_NonXtal_Prot#'!$A:$AL,28,FALSE)-4,1)</f>
        <v>P</v>
      </c>
      <c r="AH369" s="49" t="str">
        <f>MID(VLOOKUP($A369,Seqs!$A:$B,2,FALSE),VLOOKUP($A369,'SegEnds_NonXtal_Prot#'!$A:$AL,28,FALSE),1)</f>
        <v>Y</v>
      </c>
    </row>
    <row r="370" spans="1:34" s="2" customFormat="1" x14ac:dyDescent="0.2">
      <c r="A370" s="2" t="s">
        <v>447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M</v>
      </c>
      <c r="W370" s="49" t="str">
        <f>MID(VLOOKUP($A370,Seqs!$A:$B,2,FALSE),VLOOKUP($A370,'SegEnds_NonXtal_Prot#'!A:AL,10,FALSE)+6,1)</f>
        <v>S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G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L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448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449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V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L</v>
      </c>
      <c r="Y372" s="49" t="str">
        <f>MID(VLOOKUP($A372,Seqs!$A:$B,2,FALSE),VLOOKUP($A372,'SegEnds_NonXtal_Prot#'!A:AL,10,FALSE)+8,1)</f>
        <v>I</v>
      </c>
      <c r="Z372" s="49" t="str">
        <f>MID(VLOOKUP($A372,Seqs!$A:$B,2,FALSE),VLOOKUP($A372,'SegEnds_NonXtal_Prot#'!A:AL,10,FALSE)+9,1)</f>
        <v>F</v>
      </c>
      <c r="AA372" s="49" t="str">
        <f>MID(VLOOKUP($A372,Seqs!$A:$B,2,FALSE),VLOOKUP($A372,'SegEnds_NonXtal_Prot#'!A:AL,10,FALSE)+10,1)</f>
        <v>F</v>
      </c>
      <c r="AB372" s="28" t="str">
        <f>MID(VLOOKUP($A372,Seqs!$A:$B,2,FALSE),VLOOKUP($A372,'SegEnds_NonXtal_Prot#'!$A:$AL,22,FALSE)+6,1)</f>
        <v>L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L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450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M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I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451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A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G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L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S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A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452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V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M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F</v>
      </c>
      <c r="AB375" s="28" t="str">
        <f>MID(VLOOKUP($A375,Seqs!$A:$B,2,FALSE),VLOOKUP($A375,'SegEnds_NonXtal_Prot#'!$A:$AL,22,FALSE)+6,1)</f>
        <v>L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V</v>
      </c>
      <c r="AE375" s="49" t="str">
        <f>MID(VLOOKUP($A375,Seqs!$A:$B,2,FALSE),VLOOKUP($A375,'SegEnds_NonXtal_Prot#'!$A:$AL,22,FALSE)+9,1)</f>
        <v>M</v>
      </c>
      <c r="AF375" s="49" t="str">
        <f>MID(VLOOKUP($A375,Seqs!$A:$B,2,FALSE),VLOOKUP($A375,'SegEnds_NonXtal_Prot#'!$A:$AL,22,FALSE)+10,1)</f>
        <v>L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C</v>
      </c>
    </row>
    <row r="376" spans="1:34" s="2" customFormat="1" x14ac:dyDescent="0.2">
      <c r="A376" s="2" t="s">
        <v>453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A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H</v>
      </c>
      <c r="AA376" s="49" t="str">
        <f>MID(VLOOKUP($A376,Seqs!$A:$B,2,FALSE),VLOOKUP($A376,'SegEnds_NonXtal_Prot#'!A:AL,10,FALSE)+10,1)</f>
        <v>V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454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A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G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L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S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A</v>
      </c>
      <c r="AF377" s="49" t="str">
        <f>MID(VLOOKUP($A377,Seqs!$A:$B,2,FALSE),VLOOKUP($A377,'SegEnds_NonXtal_Prot#'!$A:$AL,22,FALSE)+10,1)</f>
        <v>V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455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33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1329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W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L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V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V</v>
      </c>
    </row>
    <row r="380" spans="1:34" s="2" customFormat="1" x14ac:dyDescent="0.2">
      <c r="A380" s="2" t="s">
        <v>485</v>
      </c>
      <c r="B380" s="2" t="str">
        <f>LOWER(VLOOKUP(A380,Xtal_Templ!A:B,2,FALSE))</f>
        <v>aa2ar_human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H380" s="4"/>
      <c r="V380" s="28" t="str">
        <f>MID(VLOOKUP($A380,Seqs!$A:$B,2,FALSE),VLOOKUP($A380,'SegEnds_NonXtal_Prot#'!A:AL,10,FALSE),1)</f>
        <v>D</v>
      </c>
      <c r="W380" s="49" t="str">
        <f>MID(VLOOKUP($A380,Seqs!$A:$B,2,FALSE),VLOOKUP($A380,'SegEnds_NonXtal_Prot#'!A:AL,10,FALSE)+6,1)</f>
        <v>G</v>
      </c>
      <c r="X380" s="49" t="str">
        <f>MID(VLOOKUP($A380,Seqs!$A:$B,2,FALSE),VLOOKUP($A380,'SegEnds_NonXtal_Prot#'!A:AL,10,FALSE)+7,1)</f>
        <v>M</v>
      </c>
      <c r="Y380" s="49" t="str">
        <f>MID(VLOOKUP($A380,Seqs!$A:$B,2,FALSE),VLOOKUP($A380,'SegEnds_NonXtal_Prot#'!A:AL,10,FALSE)+8,1)</f>
        <v>V</v>
      </c>
      <c r="Z380" s="49" t="str">
        <f>MID(VLOOKUP($A380,Seqs!$A:$B,2,FALSE),VLOOKUP($A380,'SegEnds_NonXtal_Prot#'!A:AL,10,FALSE)+9,1)</f>
        <v>I</v>
      </c>
      <c r="AA380" s="49" t="str">
        <f>MID(VLOOKUP($A380,Seqs!$A:$B,2,FALSE),VLOOKUP($A380,'SegEnds_NonXtal_Prot#'!A:AL,10,FALSE)+10,1)</f>
        <v>R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C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E</v>
      </c>
      <c r="AF380" s="49" t="str">
        <f>MID(VLOOKUP($A380,Seqs!$A:$B,2,FALSE),VLOOKUP($A380,'SegEnds_NonXtal_Prot#'!$A:$AL,22,FALSE)+10,1)</f>
        <v>G</v>
      </c>
      <c r="AG380" s="28" t="str">
        <f>MID(VLOOKUP($A380,Seqs!$A:$B,2,FALSE),VLOOKUP($A380,'SegEnds_NonXtal_Prot#'!$A:$AL,28,FALSE)-4,1)</f>
        <v>T</v>
      </c>
      <c r="AH380" s="49" t="str">
        <f>MID(VLOOKUP($A380,Seqs!$A:$B,2,FALSE),VLOOKUP($A380,'SegEnds_NonXtal_Prot#'!$A:$AL,28,FALSE),1)</f>
        <v>P</v>
      </c>
    </row>
    <row r="381" spans="1:34" s="2" customFormat="1" x14ac:dyDescent="0.2">
      <c r="A381" s="2" t="s">
        <v>481</v>
      </c>
      <c r="B381" s="2" t="str">
        <f>LOWER(VLOOKUP(A381,Xtal_Templ!A:B,2,FALSE))</f>
        <v>agtr1_human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H381" s="4"/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F</v>
      </c>
      <c r="X381" s="49" t="str">
        <f>MID(VLOOKUP($A381,Seqs!$A:$B,2,FALSE),VLOOKUP($A381,'SegEnds_NonXtal_Prot#'!A:AL,10,FALSE)+7,1)</f>
        <v>S</v>
      </c>
      <c r="Y381" s="49" t="str">
        <f>MID(VLOOKUP($A381,Seqs!$A:$B,2,FALSE),VLOOKUP($A381,'SegEnds_NonXtal_Prot#'!A:AL,10,FALSE)+8,1)</f>
        <v>F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A</v>
      </c>
      <c r="AC381" s="49" t="str">
        <f>MID(VLOOKUP($A381,Seqs!$A:$B,2,FALSE),VLOOKUP($A381,'SegEnds_NonXtal_Prot#'!$A:$AL,22,FALSE)+7,1)</f>
        <v>A</v>
      </c>
      <c r="AD381" s="49" t="str">
        <f>MID(VLOOKUP($A381,Seqs!$A:$B,2,FALSE),VLOOKUP($A381,'SegEnds_NonXtal_Prot#'!$A:$AL,22,FALSE)+8,1)</f>
        <v>C</v>
      </c>
      <c r="AE381" s="49" t="str">
        <f>MID(VLOOKUP($A381,Seqs!$A:$B,2,FALSE),VLOOKUP($A381,'SegEnds_NonXtal_Prot#'!$A:$AL,22,FALSE)+9,1)</f>
        <v>L</v>
      </c>
      <c r="AF381" s="49" t="str">
        <f>MID(VLOOKUP($A381,Seqs!$A:$B,2,FALSE),VLOOKUP($A381,'SegEnds_NonXtal_Prot#'!$A:$AL,22,FALSE)+10,1)</f>
        <v>C</v>
      </c>
      <c r="AG381" s="28" t="str">
        <f>MID(VLOOKUP($A381,Seqs!$A:$B,2,FALSE),VLOOKUP($A381,'SegEnds_NonXtal_Prot#'!$A:$AL,28,FALSE)-4,1)</f>
        <v>L</v>
      </c>
      <c r="AH381" s="49" t="str">
        <f>MID(VLOOKUP($A381,Seqs!$A:$B,2,FALSE),VLOOKUP($A381,'SegEnds_NonXtal_Prot#'!$A:$AL,28,FALSE),1)</f>
        <v>L</v>
      </c>
    </row>
    <row r="382" spans="1:34" s="2" customFormat="1" x14ac:dyDescent="0.2">
      <c r="A382" s="2" t="s">
        <v>484</v>
      </c>
      <c r="B382" s="2" t="str">
        <f>LOWER(VLOOKUP(A382,Xtal_Templ!A:B,2,FALSE))</f>
        <v>oprk_human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M</v>
      </c>
      <c r="X382" s="49" t="str">
        <f>MID(VLOOKUP($A382,Seqs!$A:$B,2,FALSE),VLOOKUP($A382,'SegEnds_NonXtal_Prot#'!A:AL,10,FALSE)+7,1)</f>
        <v>T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S</v>
      </c>
      <c r="AA382" s="49" t="str">
        <f>MID(VLOOKUP($A382,Seqs!$A:$B,2,FALSE),VLOOKUP($A382,'SegEnds_NonXtal_Prot#'!A:AL,10,FALSE)+10,1)</f>
        <v>T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A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D</v>
      </c>
      <c r="AG382" s="28" t="str">
        <f>MID(VLOOKUP($A382,Seqs!$A:$B,2,FALSE),VLOOKUP($A382,'SegEnds_NonXtal_Prot#'!$A:$AL,28,FALSE)-4,1)</f>
        <v>F</v>
      </c>
      <c r="AH382" s="49" t="str">
        <f>MID(VLOOKUP($A382,Seqs!$A:$B,2,FALSE),VLOOKUP($A382,'SegEnds_NonXtal_Prot#'!$A:$AL,28,FALSE),1)</f>
        <v>S</v>
      </c>
    </row>
    <row r="383" spans="1:34" s="2" customFormat="1" x14ac:dyDescent="0.2">
      <c r="A383" s="2" t="s">
        <v>486</v>
      </c>
      <c r="B383" s="2" t="str">
        <f>LOWER(VLOOKUP(A383,Xtal_Templ!A:B,2,FALSE))</f>
        <v>5ht2c_human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D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Y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G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L</v>
      </c>
      <c r="AD383" s="49" t="str">
        <f>MID(VLOOKUP($A383,Seqs!$A:$B,2,FALSE),VLOOKUP($A383,'SegEnds_NonXtal_Prot#'!$A:$AL,22,FALSE)+8,1)</f>
        <v>K</v>
      </c>
      <c r="AE383" s="49" t="str">
        <f>MID(VLOOKUP($A383,Seqs!$A:$B,2,FALSE),VLOOKUP($A383,'SegEnds_NonXtal_Prot#'!$A:$AL,22,FALSE)+9,1)</f>
        <v>K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D</v>
      </c>
      <c r="AH383" s="49" t="str">
        <f>MID(VLOOKUP($A383,Seqs!$A:$B,2,FALSE),VLOOKUP($A383,'SegEnds_NonXtal_Prot#'!$A:$AL,28,FALSE),1)</f>
        <v>K</v>
      </c>
    </row>
    <row r="384" spans="1:34" s="2" customFormat="1" x14ac:dyDescent="0.2">
      <c r="A384" s="2" t="s">
        <v>482</v>
      </c>
      <c r="B384" s="2" t="str">
        <f>LOWER(VLOOKUP(A384,Xtal_Templ!A:B,2,FALSE))</f>
        <v>ccr9_human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W</v>
      </c>
      <c r="W384" s="49" t="str">
        <f>MID(VLOOKUP($A384,Seqs!$A:$B,2,FALSE),VLOOKUP($A384,'SegEnds_NonXtal_Prot#'!A:AL,10,FALSE)+6,1)</f>
        <v>K</v>
      </c>
      <c r="X384" s="49" t="str">
        <f>MID(VLOOKUP($A384,Seqs!$A:$B,2,FALSE),VLOOKUP($A384,'SegEnds_NonXtal_Prot#'!A:AL,10,FALSE)+7,1)</f>
        <v>R</v>
      </c>
      <c r="Y384" s="49" t="str">
        <f>MID(VLOOKUP($A384,Seqs!$A:$B,2,FALSE),VLOOKUP($A384,'SegEnds_NonXtal_Prot#'!A:AL,10,FALSE)+8,1)</f>
        <v>R</v>
      </c>
      <c r="Z384" s="49" t="str">
        <f>MID(VLOOKUP($A384,Seqs!$A:$B,2,FALSE),VLOOKUP($A384,'SegEnds_NonXtal_Prot#'!A:AL,10,FALSE)+9,1)</f>
        <v>N</v>
      </c>
      <c r="AA384" s="49" t="str">
        <f>MID(VLOOKUP($A384,Seqs!$A:$B,2,FALSE),VLOOKUP($A384,'SegEnds_NonXtal_Prot#'!A:AL,10,FALSE)+10,1)</f>
        <v>D</v>
      </c>
      <c r="AB384" s="28" t="str">
        <f>MID(VLOOKUP($A384,Seqs!$A:$B,2,FALSE),VLOOKUP($A384,'SegEnds_NonXtal_Prot#'!$A:$AL,22,FALSE)+6,1)</f>
        <v>Y</v>
      </c>
      <c r="AC384" s="49" t="str">
        <f>MID(VLOOKUP($A384,Seqs!$A:$B,2,FALSE),VLOOKUP($A384,'SegEnds_NonXtal_Prot#'!$A:$AL,22,FALSE)+7,1)</f>
        <v>G</v>
      </c>
      <c r="AD384" s="49" t="str">
        <f>MID(VLOOKUP($A384,Seqs!$A:$B,2,FALSE),VLOOKUP($A384,'SegEnds_NonXtal_Prot#'!$A:$AL,22,FALSE)+8,1)</f>
        <v>L</v>
      </c>
      <c r="AE384" s="49" t="str">
        <f>MID(VLOOKUP($A384,Seqs!$A:$B,2,FALSE),VLOOKUP($A384,'SegEnds_NonXtal_Prot#'!$A:$AL,22,FALSE)+9,1)</f>
        <v>W</v>
      </c>
      <c r="AF384" s="49" t="str">
        <f>MID(VLOOKUP($A384,Seqs!$A:$B,2,FALSE),VLOOKUP($A384,'SegEnds_NonXtal_Prot#'!$A:$AL,22,FALSE)+10,1)</f>
        <v>K</v>
      </c>
      <c r="AG384" s="28" t="str">
        <f>MID(VLOOKUP($A384,Seqs!$A:$B,2,FALSE),VLOOKUP($A384,'SegEnds_NonXtal_Prot#'!$A:$AL,28,FALSE)-4,1)</f>
        <v>A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472</v>
      </c>
      <c r="B385" s="2" t="str">
        <f>LOWER(VLOOKUP(A385,Xtal_Templ!A:B,2,FALSE))</f>
        <v>oprk_human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R</v>
      </c>
      <c r="W385" s="49" t="str">
        <f>MID(VLOOKUP($A385,Seqs!$A:$B,2,FALSE),VLOOKUP($A385,'SegEnds_NonXtal_Prot#'!A:AL,10,FALSE)+6,1)</f>
        <v>V</v>
      </c>
      <c r="X385" s="49" t="str">
        <f>MID(VLOOKUP($A385,Seqs!$A:$B,2,FALSE),VLOOKUP($A385,'SegEnds_NonXtal_Prot#'!A:AL,10,FALSE)+7,1)</f>
        <v>V</v>
      </c>
      <c r="Y385" s="49" t="str">
        <f>MID(VLOOKUP($A385,Seqs!$A:$B,2,FALSE),VLOOKUP($A385,'SegEnds_NonXtal_Prot#'!A:AL,10,FALSE)+8,1)</f>
        <v>M</v>
      </c>
      <c r="Z385" s="49" t="str">
        <f>MID(VLOOKUP($A385,Seqs!$A:$B,2,FALSE),VLOOKUP($A385,'SegEnds_NonXtal_Prot#'!A:AL,10,FALSE)+9,1)</f>
        <v>G</v>
      </c>
      <c r="AA385" s="49" t="str">
        <f>MID(VLOOKUP($A385,Seqs!$A:$B,2,FALSE),VLOOKUP($A385,'SegEnds_NonXtal_Prot#'!A:AL,10,FALSE)+10,1)</f>
        <v>K</v>
      </c>
      <c r="AB385" s="28" t="str">
        <f>MID(VLOOKUP($A385,Seqs!$A:$B,2,FALSE),VLOOKUP($A385,'SegEnds_NonXtal_Prot#'!$A:$AL,22,FALSE)+6,1)</f>
        <v>S</v>
      </c>
      <c r="AC385" s="49" t="str">
        <f>MID(VLOOKUP($A385,Seqs!$A:$B,2,FALSE),VLOOKUP($A385,'SegEnds_NonXtal_Prot#'!$A:$AL,22,FALSE)+7,1)</f>
        <v>F</v>
      </c>
      <c r="AD385" s="49" t="str">
        <f>MID(VLOOKUP($A385,Seqs!$A:$B,2,FALSE),VLOOKUP($A385,'SegEnds_NonXtal_Prot#'!$A:$AL,22,FALSE)+8,1)</f>
        <v>T</v>
      </c>
      <c r="AE385" s="49" t="str">
        <f>MID(VLOOKUP($A385,Seqs!$A:$B,2,FALSE),VLOOKUP($A385,'SegEnds_NonXtal_Prot#'!$A:$AL,22,FALSE)+9,1)</f>
        <v>T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T</v>
      </c>
      <c r="AH385" s="49" t="str">
        <f>MID(VLOOKUP($A385,Seqs!$A:$B,2,FALSE),VLOOKUP($A385,'SegEnds_NonXtal_Prot#'!$A:$AL,28,FALSE),1)</f>
        <v>P</v>
      </c>
    </row>
    <row r="386" spans="1:34" s="2" customFormat="1" x14ac:dyDescent="0.2">
      <c r="A386" s="2" t="s">
        <v>457</v>
      </c>
      <c r="B386" s="2" t="str">
        <f>LOWER(VLOOKUP(A386,Xtal_Templ!A:B,2,FALSE))</f>
        <v>apj_human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R</v>
      </c>
      <c r="W386" s="49" t="str">
        <f>MID(VLOOKUP($A386,Seqs!$A:$B,2,FALSE),VLOOKUP($A386,'SegEnds_NonXtal_Prot#'!A:AL,10,FALSE)+6,1)</f>
        <v>E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L</v>
      </c>
      <c r="Z386" s="49" t="str">
        <f>MID(VLOOKUP($A386,Seqs!$A:$B,2,FALSE),VLOOKUP($A386,'SegEnds_NonXtal_Prot#'!A:AL,10,FALSE)+9,1)</f>
        <v>V</v>
      </c>
      <c r="AA386" s="49" t="str">
        <f>MID(VLOOKUP($A386,Seqs!$A:$B,2,FALSE),VLOOKUP($A386,'SegEnds_NonXtal_Prot#'!A:AL,10,FALSE)+10,1)</f>
        <v>S</v>
      </c>
      <c r="AB386" s="28" t="str">
        <f>MID(VLOOKUP($A386,Seqs!$A:$B,2,FALSE),VLOOKUP($A386,'SegEnds_NonXtal_Prot#'!$A:$AL,22,FALSE)+6,1)</f>
        <v>F</v>
      </c>
      <c r="AC386" s="49" t="str">
        <f>MID(VLOOKUP($A386,Seqs!$A:$B,2,FALSE),VLOOKUP($A386,'SegEnds_NonXtal_Prot#'!$A:$AL,22,FALSE)+7,1)</f>
        <v>L</v>
      </c>
      <c r="AD386" s="49" t="str">
        <f>MID(VLOOKUP($A386,Seqs!$A:$B,2,FALSE),VLOOKUP($A386,'SegEnds_NonXtal_Prot#'!$A:$AL,22,FALSE)+8,1)</f>
        <v>N</v>
      </c>
      <c r="AE386" s="49" t="str">
        <f>MID(VLOOKUP($A386,Seqs!$A:$B,2,FALSE),VLOOKUP($A386,'SegEnds_NonXtal_Prot#'!$A:$AL,22,FALSE)+9,1)</f>
        <v>L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476</v>
      </c>
      <c r="B387" s="2" t="str">
        <f>LOWER(VLOOKUP(A387,Xtal_Templ!A:B,2,FALSE))</f>
        <v>5ht1b_human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L</v>
      </c>
      <c r="X387" s="49" t="str">
        <f>MID(VLOOKUP($A387,Seqs!$A:$B,2,FALSE),VLOOKUP($A387,'SegEnds_NonXtal_Prot#'!A:AL,10,FALSE)+7,1)</f>
        <v>F</v>
      </c>
      <c r="Y387" s="49" t="str">
        <f>MID(VLOOKUP($A387,Seqs!$A:$B,2,FALSE),VLOOKUP($A387,'SegEnds_NonXtal_Prot#'!A:AL,10,FALSE)+8,1)</f>
        <v>L</v>
      </c>
      <c r="Z387" s="49" t="str">
        <f>MID(VLOOKUP($A387,Seqs!$A:$B,2,FALSE),VLOOKUP($A387,'SegEnds_NonXtal_Prot#'!A:AL,10,FALSE)+9,1)</f>
        <v>V</v>
      </c>
      <c r="AA387" s="49" t="str">
        <f>MID(VLOOKUP($A387,Seqs!$A:$B,2,FALSE),VLOOKUP($A387,'SegEnds_NonXtal_Prot#'!A:AL,10,FALSE)+10,1)</f>
        <v>N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C</v>
      </c>
      <c r="AG387" s="28" t="str">
        <f>MID(VLOOKUP($A387,Seqs!$A:$B,2,FALSE),VLOOKUP($A387,'SegEnds_NonXtal_Prot#'!$A:$AL,28,FALSE)-4,1)</f>
        <v>S</v>
      </c>
      <c r="AH387" s="49" t="str">
        <f>MID(VLOOKUP($A387,Seqs!$A:$B,2,FALSE),VLOOKUP($A387,'SegEnds_NonXtal_Prot#'!$A:$AL,28,FALSE),1)</f>
        <v>Q</v>
      </c>
    </row>
    <row r="388" spans="1:34" s="2" customFormat="1" x14ac:dyDescent="0.2">
      <c r="A388" s="2" t="s">
        <v>465</v>
      </c>
      <c r="B388" s="2" t="str">
        <f>LOWER(VLOOKUP(A388,Xtal_Templ!A:B,2,FALSE))</f>
        <v>agtr1_human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L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M</v>
      </c>
      <c r="Z388" s="49" t="str">
        <f>MID(VLOOKUP($A388,Seqs!$A:$B,2,FALSE),VLOOKUP($A388,'SegEnds_NonXtal_Prot#'!A:AL,10,FALSE)+9,1)</f>
        <v>L</v>
      </c>
      <c r="AA388" s="49" t="str">
        <f>MID(VLOOKUP($A388,Seqs!$A:$B,2,FALSE),VLOOKUP($A388,'SegEnds_NonXtal_Prot#'!A:AL,10,FALSE)+10,1)</f>
        <v>E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S</v>
      </c>
      <c r="AD388" s="49" t="str">
        <f>MID(VLOOKUP($A388,Seqs!$A:$B,2,FALSE),VLOOKUP($A388,'SegEnds_NonXtal_Prot#'!$A:$AL,22,FALSE)+8,1)</f>
        <v>H</v>
      </c>
      <c r="AE388" s="49" t="str">
        <f>MID(VLOOKUP($A388,Seqs!$A:$B,2,FALSE),VLOOKUP($A388,'SegEnds_NonXtal_Prot#'!$A:$AL,22,FALSE)+9,1)</f>
        <v>S</v>
      </c>
      <c r="AF388" s="49" t="str">
        <f>MID(VLOOKUP($A388,Seqs!$A:$B,2,FALSE),VLOOKUP($A388,'SegEnds_NonXtal_Prot#'!$A:$AL,22,FALSE)+10,1)</f>
        <v>M</v>
      </c>
      <c r="AG388" s="28" t="str">
        <f>MID(VLOOKUP($A388,Seqs!$A:$B,2,FALSE),VLOOKUP($A388,'SegEnds_NonXtal_Prot#'!$A:$AL,28,FALSE)-4,1)</f>
        <v>G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460</v>
      </c>
      <c r="B389" s="2" t="str">
        <f>LOWER(VLOOKUP(A389,Xtal_Templ!A:B,2,FALSE))</f>
        <v>5ht2c_human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M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F</v>
      </c>
      <c r="AA389" s="49" t="str">
        <f>MID(VLOOKUP($A389,Seqs!$A:$B,2,FALSE),VLOOKUP($A389,'SegEnds_NonXtal_Prot#'!A:AL,10,FALSE)+10,1)</f>
        <v>L</v>
      </c>
      <c r="AB389" s="28" t="str">
        <f>MID(VLOOKUP($A389,Seqs!$A:$B,2,FALSE),VLOOKUP($A389,'SegEnds_NonXtal_Prot#'!$A:$AL,22,FALSE)+6,1)</f>
        <v>I</v>
      </c>
      <c r="AC389" s="49" t="str">
        <f>MID(VLOOKUP($A389,Seqs!$A:$B,2,FALSE),VLOOKUP($A389,'SegEnds_NonXtal_Prot#'!$A:$AL,22,FALSE)+7,1)</f>
        <v>C</v>
      </c>
      <c r="AD389" s="49" t="str">
        <f>MID(VLOOKUP($A389,Seqs!$A:$B,2,FALSE),VLOOKUP($A389,'SegEnds_NonXtal_Prot#'!$A:$AL,22,FALSE)+8,1)</f>
        <v>N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A</v>
      </c>
      <c r="AG389" s="28" t="str">
        <f>MID(VLOOKUP($A389,Seqs!$A:$B,2,FALSE),VLOOKUP($A389,'SegEnds_NonXtal_Prot#'!$A:$AL,28,FALSE)-4,1)</f>
        <v>A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461</v>
      </c>
      <c r="B390" s="2" t="str">
        <f>LOWER(VLOOKUP(A390,Xtal_Templ!A:B,2,FALSE))</f>
        <v>5ht2c_human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V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H</v>
      </c>
      <c r="AB390" s="28" t="str">
        <f>MID(VLOOKUP($A390,Seqs!$A:$B,2,FALSE),VLOOKUP($A390,'SegEnds_NonXtal_Prot#'!$A:$AL,22,FALSE)+6,1)</f>
        <v>V</v>
      </c>
      <c r="AC390" s="49" t="str">
        <f>MID(VLOOKUP($A390,Seqs!$A:$B,2,FALSE),VLOOKUP($A390,'SegEnds_NonXtal_Prot#'!$A:$AL,22,FALSE)+7,1)</f>
        <v>C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V</v>
      </c>
      <c r="AG390" s="28" t="str">
        <f>MID(VLOOKUP($A390,Seqs!$A:$B,2,FALSE),VLOOKUP($A390,'SegEnds_NonXtal_Prot#'!$A:$AL,28,FALSE)-4,1)</f>
        <v>A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462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L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L</v>
      </c>
      <c r="AA391" s="49" t="str">
        <f>MID(VLOOKUP($A391,Seqs!$A:$B,2,FALSE),VLOOKUP($A391,'SegEnds_NonXtal_Prot#'!A:AL,10,FALSE)+10,1)</f>
        <v>H</v>
      </c>
      <c r="AB391" s="28" t="str">
        <f>MID(VLOOKUP($A391,Seqs!$A:$B,2,FALSE),VLOOKUP($A391,'SegEnds_NonXtal_Prot#'!$A:$AL,22,FALSE)+6,1)</f>
        <v>V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H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F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463</v>
      </c>
      <c r="B392" s="2" t="str">
        <f>LOWER(VLOOKUP(A392,Xtal_Templ!A:B,2,FALSE))</f>
        <v>drd2_human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L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N</v>
      </c>
      <c r="AB392" s="28" t="str">
        <f>MID(VLOOKUP($A392,Seqs!$A:$B,2,FALSE),VLOOKUP($A392,'SegEnds_NonXtal_Prot#'!$A:$AL,22,FALSE)+6,1)</f>
        <v>A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Q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F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464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L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F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C</v>
      </c>
      <c r="AC393" s="49" t="str">
        <f>MID(VLOOKUP($A393,Seqs!$A:$B,2,FALSE),VLOOKUP($A393,'SegEnds_NonXtal_Prot#'!$A:$AL,22,FALSE)+7,1)</f>
        <v>I</v>
      </c>
      <c r="AD393" s="49" t="str">
        <f>MID(VLOOKUP($A393,Seqs!$A:$B,2,FALSE),VLOOKUP($A393,'SegEnds_NonXtal_Prot#'!$A:$AL,22,FALSE)+8,1)</f>
        <v>C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V</v>
      </c>
      <c r="AG393" s="28" t="str">
        <f>MID(VLOOKUP($A393,Seqs!$A:$B,2,FALSE),VLOOKUP($A393,'SegEnds_NonXtal_Prot#'!$A:$AL,28,FALSE)-4,1)</f>
        <v>W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467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G</v>
      </c>
      <c r="Y394" s="49" t="str">
        <f>MID(VLOOKUP($A394,Seqs!$A:$B,2,FALSE),VLOOKUP($A394,'SegEnds_NonXtal_Prot#'!A:AL,10,FALSE)+8,1)</f>
        <v>T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I</v>
      </c>
      <c r="AD394" s="49" t="str">
        <f>MID(VLOOKUP($A394,Seqs!$A:$B,2,FALSE),VLOOKUP($A394,'SegEnds_NonXtal_Prot#'!$A:$AL,22,FALSE)+8,1)</f>
        <v>I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L</v>
      </c>
      <c r="AG394" s="28" t="str">
        <f>MID(VLOOKUP($A394,Seqs!$A:$B,2,FALSE),VLOOKUP($A394,'SegEnds_NonXtal_Prot#'!$A:$AL,28,FALSE)-4,1)</f>
        <v>I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468</v>
      </c>
      <c r="B395" s="2" t="str">
        <f>LOWER(VLOOKUP(A395,Xtal_Templ!A:B,2,FALSE))</f>
        <v>hrh1_human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T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I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F</v>
      </c>
      <c r="AA395" s="49" t="str">
        <f>MID(VLOOKUP($A395,Seqs!$A:$B,2,FALSE),VLOOKUP($A395,'SegEnds_NonXtal_Prot#'!A:AL,10,FALSE)+10,1)</f>
        <v>D</v>
      </c>
      <c r="AB395" s="28" t="str">
        <f>MID(VLOOKUP($A395,Seqs!$A:$B,2,FALSE),VLOOKUP($A395,'SegEnds_NonXtal_Prot#'!$A:$AL,22,FALSE)+6,1)</f>
        <v>I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D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L</v>
      </c>
      <c r="AG395" s="28" t="str">
        <f>MID(VLOOKUP($A395,Seqs!$A:$B,2,FALSE),VLOOKUP($A395,'SegEnds_NonXtal_Prot#'!$A:$AL,28,FALSE)-4,1)</f>
        <v>T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469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930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N</v>
      </c>
      <c r="AB397" s="28" t="str">
        <f>MID(VLOOKUP($A397,Seqs!$A:$B,2,FALSE),VLOOKUP($A397,'SegEnds_NonXtal_Prot#'!$A:$AL,22,FALSE)+6,1)</f>
        <v>A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F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470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V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471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A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W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475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I</v>
      </c>
      <c r="X400" s="49" t="str">
        <f>MID(VLOOKUP($A400,Seqs!$A:$B,2,FALSE),VLOOKUP($A400,'SegEnds_NonXtal_Prot#'!A:AL,10,FALSE)+7,1)</f>
        <v>I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T</v>
      </c>
      <c r="AA400" s="49" t="str">
        <f>MID(VLOOKUP($A400,Seqs!$A:$B,2,FALSE),VLOOKUP($A400,'SegEnds_NonXtal_Prot#'!A:AL,10,FALSE)+10,1)</f>
        <v>D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G</v>
      </c>
      <c r="AD400" s="49" t="str">
        <f>MID(VLOOKUP($A400,Seqs!$A:$B,2,FALSE),VLOOKUP($A400,'SegEnds_NonXtal_Prot#'!$A:$AL,22,FALSE)+8,1)</f>
        <v>S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A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478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I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D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F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S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479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M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L</v>
      </c>
      <c r="AC402" s="49" t="str">
        <f>MID(VLOOKUP($A402,Seqs!$A:$B,2,FALSE),VLOOKUP($A402,'SegEnds_NonXtal_Prot#'!$A:$AL,22,FALSE)+7,1)</f>
        <v>L</v>
      </c>
      <c r="AD402" s="49" t="str">
        <f>MID(VLOOKUP($A402,Seqs!$A:$B,2,FALSE),VLOOKUP($A402,'SegEnds_NonXtal_Prot#'!$A:$AL,22,FALSE)+8,1)</f>
        <v>V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F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480</v>
      </c>
      <c r="B403" s="2" t="str">
        <f>LOWER(VLOOKUP(A403,Xtal_Templ!A:B,2,FALSE))</f>
        <v>agtr1_human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S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L</v>
      </c>
      <c r="AC403" s="49" t="str">
        <f>MID(VLOOKUP($A403,Seqs!$A:$B,2,FALSE),VLOOKUP($A403,'SegEnds_NonXtal_Prot#'!$A:$AL,22,FALSE)+7,1)</f>
        <v>I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V</v>
      </c>
      <c r="AG403" s="28" t="str">
        <f>MID(VLOOKUP($A403,Seqs!$A:$B,2,FALSE),VLOOKUP($A403,'SegEnds_NonXtal_Prot#'!$A:$AL,28,FALSE)-4,1)</f>
        <v>G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466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W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M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E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S</v>
      </c>
      <c r="AD404" s="49" t="str">
        <f>MID(VLOOKUP($A404,Seqs!$A:$B,2,FALSE),VLOOKUP($A404,'SegEnds_NonXtal_Prot#'!$A:$AL,22,FALSE)+8,1)</f>
        <v>F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G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474</v>
      </c>
      <c r="B405" s="2" t="str">
        <f>LOWER(VLOOKUP(A405,Xtal_Templ!A:B,2,FALSE))</f>
        <v>cxcr4_human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F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F</v>
      </c>
      <c r="Z405" s="49" t="str">
        <f>MID(VLOOKUP($A405,Seqs!$A:$B,2,FALSE),VLOOKUP($A405,'SegEnds_NonXtal_Prot#'!A:AL,10,FALSE)+9,1)</f>
        <v>Y</v>
      </c>
      <c r="AA405" s="49" t="str">
        <f>MID(VLOOKUP($A405,Seqs!$A:$B,2,FALSE),VLOOKUP($A405,'SegEnds_NonXtal_Prot#'!A:AL,10,FALSE)+10,1)</f>
        <v>V</v>
      </c>
      <c r="AB405" s="28" t="str">
        <f>MID(VLOOKUP($A405,Seqs!$A:$B,2,FALSE),VLOOKUP($A405,'SegEnds_NonXtal_Prot#'!$A:$AL,22,FALSE)+6,1)</f>
        <v>S</v>
      </c>
      <c r="AC405" s="49" t="str">
        <f>MID(VLOOKUP($A405,Seqs!$A:$B,2,FALSE),VLOOKUP($A405,'SegEnds_NonXtal_Prot#'!$A:$AL,22,FALSE)+7,1)</f>
        <v>M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C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E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459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S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C</v>
      </c>
      <c r="AC406" s="49" t="str">
        <f>MID(VLOOKUP($A406,Seqs!$A:$B,2,FALSE),VLOOKUP($A406,'SegEnds_NonXtal_Prot#'!$A:$AL,22,FALSE)+7,1)</f>
        <v>V</v>
      </c>
      <c r="AD406" s="49" t="str">
        <f>MID(VLOOKUP($A406,Seqs!$A:$B,2,FALSE),VLOOKUP($A406,'SegEnds_NonXtal_Prot#'!$A:$AL,22,FALSE)+8,1)</f>
        <v>T</v>
      </c>
      <c r="AE406" s="49" t="str">
        <f>MID(VLOOKUP($A406,Seqs!$A:$B,2,FALSE),VLOOKUP($A406,'SegEnds_NonXtal_Prot#'!$A:$AL,22,FALSE)+9,1)</f>
        <v>I</v>
      </c>
      <c r="AF406" s="49" t="str">
        <f>MID(VLOOKUP($A406,Seqs!$A:$B,2,FALSE),VLOOKUP($A406,'SegEnds_NonXtal_Prot#'!$A:$AL,22,FALSE)+10,1)</f>
        <v>I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458</v>
      </c>
      <c r="B407" s="2" t="str">
        <f>LOWER(VLOOKUP(A407,Xtal_Templ!A:B,2,FALSE))</f>
        <v>5ht2c_human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L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G</v>
      </c>
      <c r="AA407" s="49" t="str">
        <f>MID(VLOOKUP($A407,Seqs!$A:$B,2,FALSE),VLOOKUP($A407,'SegEnds_NonXtal_Prot#'!A:AL,10,FALSE)+10,1)</f>
        <v>S</v>
      </c>
      <c r="AB407" s="28" t="str">
        <f>MID(VLOOKUP($A407,Seqs!$A:$B,2,FALSE),VLOOKUP($A407,'SegEnds_NonXtal_Prot#'!$A:$AL,22,FALSE)+6,1)</f>
        <v>F</v>
      </c>
      <c r="AC407" s="49" t="str">
        <f>MID(VLOOKUP($A407,Seqs!$A:$B,2,FALSE),VLOOKUP($A407,'SegEnds_NonXtal_Prot#'!$A:$AL,22,FALSE)+7,1)</f>
        <v>L</v>
      </c>
      <c r="AD407" s="49" t="str">
        <f>MID(VLOOKUP($A407,Seqs!$A:$B,2,FALSE),VLOOKUP($A407,'SegEnds_NonXtal_Prot#'!$A:$AL,22,FALSE)+8,1)</f>
        <v>N</v>
      </c>
      <c r="AE407" s="49" t="str">
        <f>MID(VLOOKUP($A407,Seqs!$A:$B,2,FALSE),VLOOKUP($A407,'SegEnds_NonXtal_Prot#'!$A:$AL,22,FALSE)+9,1)</f>
        <v>I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F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456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I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L</v>
      </c>
      <c r="AD408" s="49" t="str">
        <f>MID(VLOOKUP($A408,Seqs!$A:$B,2,FALSE),VLOOKUP($A408,'SegEnds_NonXtal_Prot#'!$A:$AL,22,FALSE)+8,1)</f>
        <v>N</v>
      </c>
      <c r="AE408" s="49" t="str">
        <f>MID(VLOOKUP($A408,Seqs!$A:$B,2,FALSE),VLOOKUP($A408,'SegEnds_NonXtal_Prot#'!$A:$AL,22,FALSE)+9,1)</f>
        <v>F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F</v>
      </c>
    </row>
    <row r="409" spans="1:34" s="2" customFormat="1" x14ac:dyDescent="0.2">
      <c r="A409" s="2" t="s">
        <v>477</v>
      </c>
      <c r="B409" s="2" t="str">
        <f>LOWER(VLOOKUP(A409,Xtal_Templ!A:B,2,FALSE))</f>
        <v>hrh1_human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I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L</v>
      </c>
      <c r="AE409" s="49" t="str">
        <f>MID(VLOOKUP($A409,Seqs!$A:$B,2,FALSE),VLOOKUP($A409,'SegEnds_NonXtal_Prot#'!$A:$AL,22,FALSE)+9,1)</f>
        <v>T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G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H410" s="4"/>
      <c r="V410" s="28"/>
      <c r="W410" s="49"/>
      <c r="X410" s="49"/>
      <c r="Y410" s="49"/>
      <c r="Z410" s="49"/>
      <c r="AA410" s="49"/>
      <c r="AB410" s="28"/>
      <c r="AC410" s="49"/>
      <c r="AD410" s="49"/>
      <c r="AE410" s="49"/>
      <c r="AG410" s="16"/>
    </row>
    <row r="411" spans="1:34" s="2" customFormat="1" x14ac:dyDescent="0.2">
      <c r="H411" s="4"/>
      <c r="V411" s="28"/>
      <c r="W411" s="49"/>
      <c r="X411" s="49"/>
      <c r="Y411" s="49"/>
      <c r="Z411" s="49"/>
      <c r="AA411" s="49"/>
      <c r="AB411" s="28"/>
      <c r="AC411" s="49"/>
      <c r="AD411" s="49"/>
      <c r="AE411" s="49"/>
      <c r="AG411" s="16"/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2" priority="4" operator="equal">
      <formula>"P"</formula>
    </cfRule>
  </conditionalFormatting>
  <conditionalFormatting sqref="AC1:AC1048576">
    <cfRule type="cellIs" dxfId="11" priority="2" operator="equal">
      <formula>"W"</formula>
    </cfRule>
    <cfRule type="cellIs" dxfId="10" priority="3" operator="equal">
      <formula>"G"</formula>
    </cfRule>
  </conditionalFormatting>
  <conditionalFormatting sqref="AG2:AH409">
    <cfRule type="cellIs" dxfId="9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1"/>
  <sheetViews>
    <sheetView workbookViewId="0">
      <pane ySplit="1" topLeftCell="A131" activePane="bottomLeft" state="frozenSplit"/>
      <selection pane="bottomLeft" activeCell="B154" sqref="B15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2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13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13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13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ht="17" x14ac:dyDescent="0.25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  <c r="M118" s="122"/>
    </row>
    <row r="119" spans="1:13" ht="17" x14ac:dyDescent="0.25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2"/>
    </row>
    <row r="120" spans="1:13" ht="17" x14ac:dyDescent="0.25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  <c r="M120" s="122"/>
    </row>
    <row r="121" spans="1:13" ht="17" x14ac:dyDescent="0.25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  <c r="M121" s="122"/>
    </row>
    <row r="122" spans="1:13" ht="17" x14ac:dyDescent="0.25">
      <c r="A122" t="s">
        <v>1451</v>
      </c>
      <c r="B122" t="s">
        <v>1452</v>
      </c>
      <c r="C122" t="str">
        <f>IF(ISERROR(MATCH(A122,'SegEnds_Xtal_Prot#'!B:B, 0)), "NoXtal", "Xtal")</f>
        <v>Xtal</v>
      </c>
      <c r="D122" t="str">
        <f t="shared" si="1"/>
        <v>danre</v>
      </c>
      <c r="E122" t="str">
        <f>VLOOKUP(A122,Classification!A:B,2,FALSE)</f>
        <v>A</v>
      </c>
      <c r="M122" s="122"/>
    </row>
    <row r="123" spans="1:13" ht="17" x14ac:dyDescent="0.25">
      <c r="A123" t="s">
        <v>1463</v>
      </c>
      <c r="B123" t="s">
        <v>1465</v>
      </c>
      <c r="C123" t="str">
        <f>IF(ISERROR(MATCH(A123,'SegEnds_Xtal_Prot#'!B:B, 0)), "NoXtal", "Xtal")</f>
        <v>Xtal</v>
      </c>
      <c r="D123" t="str">
        <f t="shared" ref="D123" si="3">MID(A123,FIND("_",A123)+1,LEN(A123)-FIND("_",A123))</f>
        <v>cavpo</v>
      </c>
      <c r="E123" t="str">
        <f>VLOOKUP(A123,Classification!A:B,2,FALSE)</f>
        <v>A</v>
      </c>
      <c r="M123" s="122"/>
    </row>
    <row r="124" spans="1:13" x14ac:dyDescent="0.2">
      <c r="A124" t="s">
        <v>924</v>
      </c>
      <c r="B124" t="s">
        <v>925</v>
      </c>
      <c r="C124" t="str">
        <f>IF(ISERROR(MATCH(A124,'SegEnds_Xtal_Prot#'!B:B, 0)), "NoXtal", "Xtal")</f>
        <v>Xtal</v>
      </c>
      <c r="D124" t="str">
        <f t="shared" si="1"/>
        <v>hcmva</v>
      </c>
      <c r="E124" t="str">
        <f>VLOOKUP(A124,Classification!A:B,2,FALSE)</f>
        <v>A</v>
      </c>
    </row>
    <row r="125" spans="1:13" x14ac:dyDescent="0.2">
      <c r="A125" t="s">
        <v>34</v>
      </c>
      <c r="B125" t="s">
        <v>488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13" x14ac:dyDescent="0.2">
      <c r="A126" t="s">
        <v>35</v>
      </c>
      <c r="B126" t="s">
        <v>493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13" x14ac:dyDescent="0.2">
      <c r="A127" t="s">
        <v>146</v>
      </c>
      <c r="B127" t="s">
        <v>499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147</v>
      </c>
      <c r="B128" t="s">
        <v>500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149</v>
      </c>
      <c r="B129" t="s">
        <v>503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126</v>
      </c>
      <c r="B130" t="s">
        <v>512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192</v>
      </c>
      <c r="B131" t="s">
        <v>515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278</v>
      </c>
      <c r="B132" t="s">
        <v>518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158</v>
      </c>
      <c r="B133" t="s">
        <v>523</v>
      </c>
      <c r="C133" t="str">
        <f>IF(ISERROR(MATCH(A133,'SegEnds_Xtal_Prot#'!B:B, 0)), "NoXtal", "Xtal")</f>
        <v>Xtal</v>
      </c>
      <c r="D133" t="str">
        <f t="shared" ref="D133:D196" si="4">MID(A133,FIND("_",A133)+1,LEN(A133)-FIND("_",A133))</f>
        <v>human</v>
      </c>
      <c r="E133" t="str">
        <f>VLOOKUP(A133,Classification!A:B,2,FALSE)</f>
        <v>A</v>
      </c>
    </row>
    <row r="134" spans="1:5" x14ac:dyDescent="0.2">
      <c r="A134" t="s">
        <v>335</v>
      </c>
      <c r="B134" t="s">
        <v>571</v>
      </c>
      <c r="C134" t="str">
        <f>IF(ISERROR(MATCH(A134,'SegEnds_Xtal_Prot#'!B:B, 0)), "NoXtal", "Xtal")</f>
        <v>Xtal</v>
      </c>
      <c r="D134" t="str">
        <f t="shared" si="4"/>
        <v>human</v>
      </c>
      <c r="E134" t="str">
        <f>VLOOKUP(A134,Classification!A:B,2,FALSE)</f>
        <v>A</v>
      </c>
    </row>
    <row r="135" spans="1:5" x14ac:dyDescent="0.2">
      <c r="A135" t="s">
        <v>336</v>
      </c>
      <c r="B135" t="s">
        <v>572</v>
      </c>
      <c r="C135" t="str">
        <f>IF(ISERROR(MATCH(A135,'SegEnds_Xtal_Prot#'!B:B, 0)), "NoXtal", "Xtal")</f>
        <v>Xtal</v>
      </c>
      <c r="D135" t="str">
        <f t="shared" si="4"/>
        <v>human</v>
      </c>
      <c r="E135" t="str">
        <f>VLOOKUP(A135,Classification!A:B,2,FALSE)</f>
        <v>A</v>
      </c>
    </row>
    <row r="136" spans="1:5" x14ac:dyDescent="0.2">
      <c r="A136" t="s">
        <v>1174</v>
      </c>
      <c r="B136" t="s">
        <v>574</v>
      </c>
      <c r="C136" t="str">
        <f>IF(ISERROR(MATCH(A136,'SegEnds_Xtal_Prot#'!B:B, 0)), "NoXtal", "Xtal")</f>
        <v>Xtal</v>
      </c>
      <c r="D136" t="str">
        <f t="shared" si="4"/>
        <v>human</v>
      </c>
      <c r="E136" t="str">
        <f>VLOOKUP(A136,Classification!A:B,2,FALSE)</f>
        <v>A</v>
      </c>
    </row>
    <row r="137" spans="1:5" x14ac:dyDescent="0.2">
      <c r="A137" t="s">
        <v>1175</v>
      </c>
      <c r="B137" t="s">
        <v>575</v>
      </c>
      <c r="C137" t="str">
        <f>IF(ISERROR(MATCH(A137,'SegEnds_Xtal_Prot#'!B:B, 0)), "NoXtal", "Xtal")</f>
        <v>Xtal</v>
      </c>
      <c r="D137" t="str">
        <f t="shared" si="4"/>
        <v>human</v>
      </c>
      <c r="E137" t="str">
        <f>VLOOKUP(A137,Classification!A:B,2,FALSE)</f>
        <v>A</v>
      </c>
    </row>
    <row r="138" spans="1:5" x14ac:dyDescent="0.2">
      <c r="A138" t="s">
        <v>1176</v>
      </c>
      <c r="B138" t="s">
        <v>576</v>
      </c>
      <c r="C138" t="str">
        <f>IF(ISERROR(MATCH(A138,'SegEnds_Xtal_Prot#'!B:B, 0)), "NoXtal", "Xtal")</f>
        <v>Xtal</v>
      </c>
      <c r="D138" t="str">
        <f t="shared" si="4"/>
        <v>human</v>
      </c>
      <c r="E138" t="str">
        <f>VLOOKUP(A138,Classification!A:B,2,FALSE)</f>
        <v>A</v>
      </c>
    </row>
    <row r="139" spans="1:5" x14ac:dyDescent="0.2">
      <c r="A139" t="s">
        <v>355</v>
      </c>
      <c r="B139" t="s">
        <v>579</v>
      </c>
      <c r="C139" t="str">
        <f>IF(ISERROR(MATCH(A139,'SegEnds_Xtal_Prot#'!B:B, 0)), "NoXtal", "Xtal")</f>
        <v>Xtal</v>
      </c>
      <c r="D139" t="str">
        <f t="shared" si="4"/>
        <v>human</v>
      </c>
      <c r="E139" t="str">
        <f>VLOOKUP(A139,Classification!A:B,2,FALSE)</f>
        <v>A</v>
      </c>
    </row>
    <row r="140" spans="1:5" x14ac:dyDescent="0.2">
      <c r="A140" t="s">
        <v>173</v>
      </c>
      <c r="B140" t="s">
        <v>607</v>
      </c>
      <c r="C140" t="str">
        <f>IF(ISERROR(MATCH(A140,'SegEnds_Xtal_Prot#'!B:B, 0)), "NoXtal", "Xtal")</f>
        <v>Xtal</v>
      </c>
      <c r="D140" t="str">
        <f t="shared" si="4"/>
        <v>human</v>
      </c>
      <c r="E140" t="str">
        <f>VLOOKUP(A140,Classification!A:B,2,FALSE)</f>
        <v>A</v>
      </c>
    </row>
    <row r="141" spans="1:5" x14ac:dyDescent="0.2">
      <c r="A141" t="s">
        <v>1172</v>
      </c>
      <c r="B141" t="s">
        <v>617</v>
      </c>
      <c r="C141" t="str">
        <f>IF(ISERROR(MATCH(A141,'SegEnds_Xtal_Prot#'!B:B, 0)), "NoXtal", "Xtal")</f>
        <v>Xtal</v>
      </c>
      <c r="D141" t="str">
        <f t="shared" si="4"/>
        <v>human</v>
      </c>
      <c r="E141" t="str">
        <f>VLOOKUP(A141,Classification!A:B,2,FALSE)</f>
        <v>A</v>
      </c>
    </row>
    <row r="142" spans="1:5" x14ac:dyDescent="0.2">
      <c r="A142" t="s">
        <v>1173</v>
      </c>
      <c r="B142" t="s">
        <v>633</v>
      </c>
      <c r="C142" t="str">
        <f>IF(ISERROR(MATCH(A142,'SegEnds_Xtal_Prot#'!B:B, 0)), "NoXtal", "Xtal")</f>
        <v>Xtal</v>
      </c>
      <c r="D142" t="str">
        <f t="shared" si="4"/>
        <v>human</v>
      </c>
      <c r="E142" t="str">
        <f>VLOOKUP(A142,Classification!A:B,2,FALSE)</f>
        <v>A</v>
      </c>
    </row>
    <row r="143" spans="1:5" x14ac:dyDescent="0.2">
      <c r="A143" t="s">
        <v>103</v>
      </c>
      <c r="B143" t="s">
        <v>643</v>
      </c>
      <c r="C143" t="str">
        <f>IF(ISERROR(MATCH(A143,'SegEnds_Xtal_Prot#'!B:B, 0)), "NoXtal", "Xtal")</f>
        <v>Xtal</v>
      </c>
      <c r="D143" t="str">
        <f t="shared" si="4"/>
        <v>human</v>
      </c>
      <c r="E143" t="str">
        <f>VLOOKUP(A143,Classification!A:B,2,FALSE)</f>
        <v>A</v>
      </c>
    </row>
    <row r="144" spans="1:5" x14ac:dyDescent="0.2">
      <c r="A144" t="s">
        <v>104</v>
      </c>
      <c r="B144" t="s">
        <v>649</v>
      </c>
      <c r="C144" t="str">
        <f>IF(ISERROR(MATCH(A144,'SegEnds_Xtal_Prot#'!B:B, 0)), "NoXtal", "Xtal")</f>
        <v>Xtal</v>
      </c>
      <c r="D144" t="str">
        <f t="shared" si="4"/>
        <v>human</v>
      </c>
      <c r="E144" t="str">
        <f>VLOOKUP(A144,Classification!A:B,2,FALSE)</f>
        <v>A</v>
      </c>
    </row>
    <row r="145" spans="1:5" x14ac:dyDescent="0.2">
      <c r="A145" t="s">
        <v>139</v>
      </c>
      <c r="B145" t="s">
        <v>672</v>
      </c>
      <c r="C145" t="str">
        <f>IF(ISERROR(MATCH(A145,'SegEnds_Xtal_Prot#'!B:B, 0)), "NoXtal", "Xtal")</f>
        <v>Xtal</v>
      </c>
      <c r="D145" t="str">
        <f t="shared" si="4"/>
        <v>human</v>
      </c>
      <c r="E145" t="str">
        <f>VLOOKUP(A145,Classification!A:B,2,FALSE)</f>
        <v>A</v>
      </c>
    </row>
    <row r="146" spans="1:5" x14ac:dyDescent="0.2">
      <c r="A146" t="s">
        <v>345</v>
      </c>
      <c r="B146" t="s">
        <v>675</v>
      </c>
      <c r="C146" t="str">
        <f>IF(ISERROR(MATCH(A146,'SegEnds_Xtal_Prot#'!B:B, 0)), "NoXtal", "Xtal")</f>
        <v>Xtal</v>
      </c>
      <c r="D146" t="str">
        <f t="shared" si="4"/>
        <v>human</v>
      </c>
      <c r="E146" t="str">
        <f>VLOOKUP(A146,Classification!A:B,2,FALSE)</f>
        <v>A</v>
      </c>
    </row>
    <row r="147" spans="1:5" x14ac:dyDescent="0.2">
      <c r="A147" t="s">
        <v>352</v>
      </c>
      <c r="B147" t="s">
        <v>680</v>
      </c>
      <c r="C147" t="str">
        <f>IF(ISERROR(MATCH(A147,'SegEnds_Xtal_Prot#'!B:B, 0)), "NoXtal", "Xtal")</f>
        <v>Xtal</v>
      </c>
      <c r="D147" t="str">
        <f t="shared" si="4"/>
        <v>human</v>
      </c>
      <c r="E147" t="str">
        <f>VLOOKUP(A147,Classification!A:B,2,FALSE)</f>
        <v>A</v>
      </c>
    </row>
    <row r="148" spans="1:5" x14ac:dyDescent="0.2">
      <c r="A148" t="s">
        <v>339</v>
      </c>
      <c r="B148" t="s">
        <v>690</v>
      </c>
      <c r="C148" t="str">
        <f>IF(ISERROR(MATCH(A148,'SegEnds_Xtal_Prot#'!B:B, 0)), "NoXtal", "Xtal")</f>
        <v>Xtal</v>
      </c>
      <c r="D148" t="str">
        <f t="shared" si="4"/>
        <v>human</v>
      </c>
      <c r="E148" t="str">
        <f>VLOOKUP(A148,Classification!A:B,2,FALSE)</f>
        <v>A</v>
      </c>
    </row>
    <row r="149" spans="1:5" x14ac:dyDescent="0.2">
      <c r="A149" t="s">
        <v>128</v>
      </c>
      <c r="B149" t="s">
        <v>487</v>
      </c>
      <c r="C149" t="str">
        <f>IF(ISERROR(MATCH(A149,'SegEnds_Xtal_Prot#'!B:B, 0)), "NoXtal", "Xtal")</f>
        <v>NoXtal</v>
      </c>
      <c r="D149" t="str">
        <f t="shared" si="4"/>
        <v>human</v>
      </c>
      <c r="E149" t="str">
        <f>VLOOKUP(A149,Classification!A:B,2,FALSE)</f>
        <v>A</v>
      </c>
    </row>
    <row r="150" spans="1:5" x14ac:dyDescent="0.2">
      <c r="A150" t="s">
        <v>129</v>
      </c>
      <c r="B150" t="s">
        <v>489</v>
      </c>
      <c r="C150" t="str">
        <f>IF(ISERROR(MATCH(A150,'SegEnds_Xtal_Prot#'!B:B, 0)), "NoXtal", "Xtal")</f>
        <v>NoXtal</v>
      </c>
      <c r="D150" t="str">
        <f t="shared" si="4"/>
        <v>human</v>
      </c>
      <c r="E150" t="str">
        <f>VLOOKUP(A150,Classification!A:B,2,FALSE)</f>
        <v>A</v>
      </c>
    </row>
    <row r="151" spans="1:5" x14ac:dyDescent="0.2">
      <c r="A151" t="s">
        <v>130</v>
      </c>
      <c r="B151" t="s">
        <v>490</v>
      </c>
      <c r="C151" t="str">
        <f>IF(ISERROR(MATCH(A151,'SegEnds_Xtal_Prot#'!B:B, 0)), "NoXtal", "Xtal")</f>
        <v>NoXtal</v>
      </c>
      <c r="D151" t="str">
        <f t="shared" si="4"/>
        <v>human</v>
      </c>
      <c r="E151" t="str">
        <f>VLOOKUP(A151,Classification!A:B,2,FALSE)</f>
        <v>A</v>
      </c>
    </row>
    <row r="152" spans="1:5" x14ac:dyDescent="0.2">
      <c r="A152" t="s">
        <v>131</v>
      </c>
      <c r="B152" t="s">
        <v>491</v>
      </c>
      <c r="C152" t="str">
        <f>IF(ISERROR(MATCH(A152,'SegEnds_Xtal_Prot#'!B:B, 0)), "NoXtal", "Xtal")</f>
        <v>NoXtal</v>
      </c>
      <c r="D152" t="str">
        <f t="shared" si="4"/>
        <v>human</v>
      </c>
      <c r="E152" t="str">
        <f>VLOOKUP(A152,Classification!A:B,2,FALSE)</f>
        <v>A</v>
      </c>
    </row>
    <row r="153" spans="1:5" x14ac:dyDescent="0.2">
      <c r="A153" t="s">
        <v>132</v>
      </c>
      <c r="B153" t="s">
        <v>492</v>
      </c>
      <c r="C153" t="str">
        <f>IF(ISERROR(MATCH(A153,'SegEnds_Xtal_Prot#'!B:B, 0)), "NoXtal", "Xtal")</f>
        <v>NoXtal</v>
      </c>
      <c r="D153" t="str">
        <f t="shared" si="4"/>
        <v>human</v>
      </c>
      <c r="E153" t="str">
        <f>VLOOKUP(A153,Classification!A:B,2,FALSE)</f>
        <v>A</v>
      </c>
    </row>
    <row r="154" spans="1:5" x14ac:dyDescent="0.2">
      <c r="A154" t="s">
        <v>133</v>
      </c>
      <c r="B154" t="s">
        <v>494</v>
      </c>
      <c r="C154" t="str">
        <f>IF(ISERROR(MATCH(A154,'SegEnds_Xtal_Prot#'!B:B, 0)), "NoXtal", "Xtal")</f>
        <v>Xtal</v>
      </c>
      <c r="D154" t="str">
        <f t="shared" si="4"/>
        <v>human</v>
      </c>
      <c r="E154" t="str">
        <f>VLOOKUP(A154,Classification!A:B,2,FALSE)</f>
        <v>A</v>
      </c>
    </row>
    <row r="155" spans="1:5" x14ac:dyDescent="0.2">
      <c r="A155" t="s">
        <v>134</v>
      </c>
      <c r="B155" t="s">
        <v>495</v>
      </c>
      <c r="C155" t="str">
        <f>IF(ISERROR(MATCH(A155,'SegEnds_Xtal_Prot#'!B:B, 0)), "NoXtal", "Xtal")</f>
        <v>NoXtal</v>
      </c>
      <c r="D155" t="str">
        <f t="shared" si="4"/>
        <v>human</v>
      </c>
      <c r="E155" t="str">
        <f>VLOOKUP(A155,Classification!A:B,2,FALSE)</f>
        <v>A</v>
      </c>
    </row>
    <row r="156" spans="1:5" x14ac:dyDescent="0.2">
      <c r="A156" t="s">
        <v>135</v>
      </c>
      <c r="B156" t="s">
        <v>496</v>
      </c>
      <c r="C156" t="str">
        <f>IF(ISERROR(MATCH(A156,'SegEnds_Xtal_Prot#'!B:B, 0)), "NoXtal", "Xtal")</f>
        <v>NoXtal</v>
      </c>
      <c r="D156" t="str">
        <f t="shared" si="4"/>
        <v>human</v>
      </c>
      <c r="E156" t="str">
        <f>VLOOKUP(A156,Classification!A:B,2,FALSE)</f>
        <v>A</v>
      </c>
    </row>
    <row r="157" spans="1:5" x14ac:dyDescent="0.2">
      <c r="A157" t="s">
        <v>136</v>
      </c>
      <c r="B157" t="s">
        <v>497</v>
      </c>
      <c r="C157" t="str">
        <f>IF(ISERROR(MATCH(A157,'SegEnds_Xtal_Prot#'!B:B, 0)), "NoXtal", "Xtal")</f>
        <v>NoXtal</v>
      </c>
      <c r="D157" t="str">
        <f t="shared" si="4"/>
        <v>human</v>
      </c>
      <c r="E157" t="str">
        <f>VLOOKUP(A157,Classification!A:B,2,FALSE)</f>
        <v>A</v>
      </c>
    </row>
    <row r="158" spans="1:5" x14ac:dyDescent="0.2">
      <c r="A158" t="s">
        <v>137</v>
      </c>
      <c r="B158" t="s">
        <v>498</v>
      </c>
      <c r="C158" t="str">
        <f>IF(ISERROR(MATCH(A158,'SegEnds_Xtal_Prot#'!B:B, 0)), "NoXtal", "Xtal")</f>
        <v>NoXtal</v>
      </c>
      <c r="D158" t="str">
        <f t="shared" si="4"/>
        <v>human</v>
      </c>
      <c r="E158" t="str">
        <f>VLOOKUP(A158,Classification!A:B,2,FALSE)</f>
        <v>A</v>
      </c>
    </row>
    <row r="159" spans="1:5" x14ac:dyDescent="0.2">
      <c r="A159" t="s">
        <v>191</v>
      </c>
      <c r="B159" t="s">
        <v>501</v>
      </c>
      <c r="C159" t="str">
        <f>IF(ISERROR(MATCH(A159,'SegEnds_Xtal_Prot#'!B:B, 0)), "NoXtal", "Xtal")</f>
        <v>Xtal</v>
      </c>
      <c r="D159" t="str">
        <f t="shared" si="4"/>
        <v>human</v>
      </c>
      <c r="E159" t="str">
        <f>VLOOKUP(A159,Classification!A:B,2,FALSE)</f>
        <v>A</v>
      </c>
    </row>
    <row r="160" spans="1:5" x14ac:dyDescent="0.2">
      <c r="A160" t="s">
        <v>148</v>
      </c>
      <c r="B160" t="s">
        <v>502</v>
      </c>
      <c r="C160" t="str">
        <f>IF(ISERROR(MATCH(A160,'SegEnds_Xtal_Prot#'!B:B, 0)), "NoXtal", "Xtal")</f>
        <v>NoXtal</v>
      </c>
      <c r="D160" t="str">
        <f t="shared" si="4"/>
        <v>human</v>
      </c>
      <c r="E160" t="str">
        <f>VLOOKUP(A160,Classification!A:B,2,FALSE)</f>
        <v>A</v>
      </c>
    </row>
    <row r="161" spans="1:5" x14ac:dyDescent="0.2">
      <c r="A161" t="s">
        <v>150</v>
      </c>
      <c r="B161" t="s">
        <v>504</v>
      </c>
      <c r="C161" t="str">
        <f>IF(ISERROR(MATCH(A161,'SegEnds_Xtal_Prot#'!B:B, 0)), "NoXtal", "Xtal")</f>
        <v>NoXtal</v>
      </c>
      <c r="D161" t="str">
        <f t="shared" si="4"/>
        <v>human</v>
      </c>
      <c r="E161" t="str">
        <f>VLOOKUP(A161,Classification!A:B,2,FALSE)</f>
        <v>A</v>
      </c>
    </row>
    <row r="162" spans="1:5" x14ac:dyDescent="0.2">
      <c r="A162" t="s">
        <v>152</v>
      </c>
      <c r="B162" t="s">
        <v>505</v>
      </c>
      <c r="C162" t="str">
        <f>IF(ISERROR(MATCH(A162,'SegEnds_Xtal_Prot#'!B:B, 0)), "NoXtal", "Xtal")</f>
        <v>NoXtal</v>
      </c>
      <c r="D162" t="str">
        <f t="shared" si="4"/>
        <v>human</v>
      </c>
      <c r="E162" t="str">
        <f>VLOOKUP(A162,Classification!A:B,2,FALSE)</f>
        <v>A</v>
      </c>
    </row>
    <row r="163" spans="1:5" x14ac:dyDescent="0.2">
      <c r="A163" t="s">
        <v>153</v>
      </c>
      <c r="B163" t="s">
        <v>506</v>
      </c>
      <c r="C163" t="str">
        <f>IF(ISERROR(MATCH(A163,'SegEnds_Xtal_Prot#'!B:B, 0)), "NoXtal", "Xtal")</f>
        <v>NoXtal</v>
      </c>
      <c r="D163" t="str">
        <f t="shared" si="4"/>
        <v>human</v>
      </c>
      <c r="E163" t="str">
        <f>VLOOKUP(A163,Classification!A:B,2,FALSE)</f>
        <v>A</v>
      </c>
    </row>
    <row r="164" spans="1:5" x14ac:dyDescent="0.2">
      <c r="A164" t="s">
        <v>154</v>
      </c>
      <c r="B164" t="s">
        <v>507</v>
      </c>
      <c r="C164" t="str">
        <f>IF(ISERROR(MATCH(A164,'SegEnds_Xtal_Prot#'!B:B, 0)), "NoXtal", "Xtal")</f>
        <v>NoXtal</v>
      </c>
      <c r="D164" t="str">
        <f t="shared" si="4"/>
        <v>human</v>
      </c>
      <c r="E164" t="str">
        <f>VLOOKUP(A164,Classification!A:B,2,FALSE)</f>
        <v>A</v>
      </c>
    </row>
    <row r="165" spans="1:5" x14ac:dyDescent="0.2">
      <c r="A165" t="s">
        <v>155</v>
      </c>
      <c r="B165" t="s">
        <v>508</v>
      </c>
      <c r="C165" t="str">
        <f>IF(ISERROR(MATCH(A165,'SegEnds_Xtal_Prot#'!B:B, 0)), "NoXtal", "Xtal")</f>
        <v>NoXtal</v>
      </c>
      <c r="D165" t="str">
        <f t="shared" si="4"/>
        <v>human</v>
      </c>
      <c r="E165" t="str">
        <f>VLOOKUP(A165,Classification!A:B,2,FALSE)</f>
        <v>A</v>
      </c>
    </row>
    <row r="166" spans="1:5" x14ac:dyDescent="0.2">
      <c r="A166" t="s">
        <v>156</v>
      </c>
      <c r="B166" t="s">
        <v>509</v>
      </c>
      <c r="C166" t="str">
        <f>IF(ISERROR(MATCH(A166,'SegEnds_Xtal_Prot#'!B:B, 0)), "NoXtal", "Xtal")</f>
        <v>NoXtal</v>
      </c>
      <c r="D166" t="str">
        <f t="shared" si="4"/>
        <v>human</v>
      </c>
      <c r="E166" t="str">
        <f>VLOOKUP(A166,Classification!A:B,2,FALSE)</f>
        <v>A</v>
      </c>
    </row>
    <row r="167" spans="1:5" x14ac:dyDescent="0.2">
      <c r="A167" t="s">
        <v>157</v>
      </c>
      <c r="B167" t="s">
        <v>510</v>
      </c>
      <c r="C167" t="str">
        <f>IF(ISERROR(MATCH(A167,'SegEnds_Xtal_Prot#'!B:B, 0)), "NoXtal", "Xtal")</f>
        <v>NoXtal</v>
      </c>
      <c r="D167" t="str">
        <f t="shared" si="4"/>
        <v>human</v>
      </c>
      <c r="E167" t="str">
        <f>VLOOKUP(A167,Classification!A:B,2,FALSE)</f>
        <v>A</v>
      </c>
    </row>
    <row r="168" spans="1:5" x14ac:dyDescent="0.2">
      <c r="A168" t="s">
        <v>125</v>
      </c>
      <c r="B168" t="s">
        <v>511</v>
      </c>
      <c r="C168" t="str">
        <f>IF(ISERROR(MATCH(A168,'SegEnds_Xtal_Prot#'!B:B, 0)), "NoXtal", "Xtal")</f>
        <v>NoXtal</v>
      </c>
      <c r="D168" t="str">
        <f t="shared" si="4"/>
        <v>human</v>
      </c>
      <c r="E168" t="str">
        <f>VLOOKUP(A168,Classification!A:B,2,FALSE)</f>
        <v>A</v>
      </c>
    </row>
    <row r="169" spans="1:5" x14ac:dyDescent="0.2">
      <c r="A169" t="s">
        <v>102</v>
      </c>
      <c r="B169" t="s">
        <v>513</v>
      </c>
      <c r="C169" t="str">
        <f>IF(ISERROR(MATCH(A169,'SegEnds_Xtal_Prot#'!B:B, 0)), "NoXtal", "Xtal")</f>
        <v>NoXtal</v>
      </c>
      <c r="D169" t="str">
        <f t="shared" si="4"/>
        <v>human</v>
      </c>
      <c r="E169" t="str">
        <f>VLOOKUP(A169,Classification!A:B,2,FALSE)</f>
        <v>A</v>
      </c>
    </row>
    <row r="170" spans="1:5" x14ac:dyDescent="0.2">
      <c r="A170" t="s">
        <v>190</v>
      </c>
      <c r="B170" t="s">
        <v>514</v>
      </c>
      <c r="C170" t="str">
        <f>IF(ISERROR(MATCH(A170,'SegEnds_Xtal_Prot#'!B:B, 0)), "NoXtal", "Xtal")</f>
        <v>NoXtal</v>
      </c>
      <c r="D170" t="str">
        <f t="shared" si="4"/>
        <v>human</v>
      </c>
      <c r="E170" t="str">
        <f>VLOOKUP(A170,Classification!A:B,2,FALSE)</f>
        <v>A</v>
      </c>
    </row>
    <row r="171" spans="1:5" x14ac:dyDescent="0.2">
      <c r="A171" t="s">
        <v>193</v>
      </c>
      <c r="B171" t="s">
        <v>516</v>
      </c>
      <c r="C171" t="str">
        <f>IF(ISERROR(MATCH(A171,'SegEnds_Xtal_Prot#'!B:B, 0)), "NoXtal", "Xtal")</f>
        <v>Xtal</v>
      </c>
      <c r="D171" t="str">
        <f t="shared" si="4"/>
        <v>human</v>
      </c>
      <c r="E171" t="str">
        <f>VLOOKUP(A171,Classification!A:B,2,FALSE)</f>
        <v>A</v>
      </c>
    </row>
    <row r="172" spans="1:5" x14ac:dyDescent="0.2">
      <c r="A172" t="s">
        <v>194</v>
      </c>
      <c r="B172" t="s">
        <v>517</v>
      </c>
      <c r="C172" t="str">
        <f>IF(ISERROR(MATCH(A172,'SegEnds_Xtal_Prot#'!B:B, 0)), "NoXtal", "Xtal")</f>
        <v>NoXtal</v>
      </c>
      <c r="D172" t="str">
        <f t="shared" si="4"/>
        <v>human</v>
      </c>
      <c r="E172" t="str">
        <f>VLOOKUP(A172,Classification!A:B,2,FALSE)</f>
        <v>A</v>
      </c>
    </row>
    <row r="173" spans="1:5" x14ac:dyDescent="0.2">
      <c r="A173" t="s">
        <v>279</v>
      </c>
      <c r="B173" t="s">
        <v>519</v>
      </c>
      <c r="C173" t="str">
        <f>IF(ISERROR(MATCH(A173,'SegEnds_Xtal_Prot#'!B:B, 0)), "NoXtal", "Xtal")</f>
        <v>NoXtal</v>
      </c>
      <c r="D173" t="str">
        <f t="shared" si="4"/>
        <v>human</v>
      </c>
      <c r="E173" t="str">
        <f>VLOOKUP(A173,Classification!A:B,2,FALSE)</f>
        <v>A</v>
      </c>
    </row>
    <row r="174" spans="1:5" x14ac:dyDescent="0.2">
      <c r="A174" t="s">
        <v>280</v>
      </c>
      <c r="B174" t="s">
        <v>520</v>
      </c>
      <c r="C174" t="str">
        <f>IF(ISERROR(MATCH(A174,'SegEnds_Xtal_Prot#'!B:B, 0)), "NoXtal", "Xtal")</f>
        <v>NoXtal</v>
      </c>
      <c r="D174" t="str">
        <f t="shared" si="4"/>
        <v>human</v>
      </c>
      <c r="E174" t="str">
        <f>VLOOKUP(A174,Classification!A:B,2,FALSE)</f>
        <v>A</v>
      </c>
    </row>
    <row r="175" spans="1:5" x14ac:dyDescent="0.2">
      <c r="A175" t="s">
        <v>281</v>
      </c>
      <c r="B175" t="s">
        <v>521</v>
      </c>
      <c r="C175" t="str">
        <f>IF(ISERROR(MATCH(A175,'SegEnds_Xtal_Prot#'!B:B, 0)), "NoXtal", "Xtal")</f>
        <v>NoXtal</v>
      </c>
      <c r="D175" t="str">
        <f t="shared" si="4"/>
        <v>human</v>
      </c>
      <c r="E175" t="str">
        <f>VLOOKUP(A175,Classification!A:B,2,FALSE)</f>
        <v>A</v>
      </c>
    </row>
    <row r="176" spans="1:5" x14ac:dyDescent="0.2">
      <c r="A176" t="s">
        <v>387</v>
      </c>
      <c r="B176" t="s">
        <v>522</v>
      </c>
      <c r="C176" t="str">
        <f>IF(ISERROR(MATCH(A176,'SegEnds_Xtal_Prot#'!B:B, 0)), "NoXtal", "Xtal")</f>
        <v>NoXtal</v>
      </c>
      <c r="D176" t="str">
        <f t="shared" si="4"/>
        <v>human</v>
      </c>
      <c r="E176" t="str">
        <f>VLOOKUP(A176,Classification!A:B,2,FALSE)</f>
        <v>A</v>
      </c>
    </row>
    <row r="177" spans="1:5" x14ac:dyDescent="0.2">
      <c r="A177" t="s">
        <v>159</v>
      </c>
      <c r="B177" t="s">
        <v>524</v>
      </c>
      <c r="C177" t="str">
        <f>IF(ISERROR(MATCH(A177,'SegEnds_Xtal_Prot#'!B:B, 0)), "NoXtal", "Xtal")</f>
        <v>Xtal</v>
      </c>
      <c r="D177" t="str">
        <f t="shared" si="4"/>
        <v>human</v>
      </c>
      <c r="E177" t="str">
        <f>VLOOKUP(A177,Classification!A:B,2,FALSE)</f>
        <v>A</v>
      </c>
    </row>
    <row r="178" spans="1:5" x14ac:dyDescent="0.2">
      <c r="A178" t="s">
        <v>160</v>
      </c>
      <c r="B178" t="s">
        <v>525</v>
      </c>
      <c r="C178" t="str">
        <f>IF(ISERROR(MATCH(A178,'SegEnds_Xtal_Prot#'!B:B, 0)), "NoXtal", "Xtal")</f>
        <v>Xtal</v>
      </c>
      <c r="D178" t="str">
        <f t="shared" si="4"/>
        <v>human</v>
      </c>
      <c r="E178" t="str">
        <f>VLOOKUP(A178,Classification!A:B,2,FALSE)</f>
        <v>A</v>
      </c>
    </row>
    <row r="179" spans="1:5" x14ac:dyDescent="0.2">
      <c r="A179" t="s">
        <v>317</v>
      </c>
      <c r="B179" t="s">
        <v>526</v>
      </c>
      <c r="C179" t="str">
        <f>IF(ISERROR(MATCH(A179,'SegEnds_Xtal_Prot#'!B:B, 0)), "NoXtal", "Xtal")</f>
        <v>NoXtal</v>
      </c>
      <c r="D179" t="str">
        <f t="shared" si="4"/>
        <v>human</v>
      </c>
      <c r="E179" t="str">
        <f>VLOOKUP(A179,Classification!A:B,2,FALSE)</f>
        <v>A</v>
      </c>
    </row>
    <row r="180" spans="1:5" x14ac:dyDescent="0.2">
      <c r="A180" t="s">
        <v>274</v>
      </c>
      <c r="B180" t="s">
        <v>527</v>
      </c>
      <c r="C180" t="str">
        <f>IF(ISERROR(MATCH(A180,'SegEnds_Xtal_Prot#'!B:B, 0)), "NoXtal", "Xtal")</f>
        <v>NoXtal</v>
      </c>
      <c r="D180" t="str">
        <f t="shared" si="4"/>
        <v>human</v>
      </c>
      <c r="E180" t="str">
        <f>VLOOKUP(A180,Classification!A:B,2,FALSE)</f>
        <v>A</v>
      </c>
    </row>
    <row r="181" spans="1:5" x14ac:dyDescent="0.2">
      <c r="A181" t="s">
        <v>163</v>
      </c>
      <c r="B181" t="s">
        <v>528</v>
      </c>
      <c r="C181" t="str">
        <f>IF(ISERROR(MATCH(A181,'SegEnds_Xtal_Prot#'!B:B, 0)), "NoXtal", "Xtal")</f>
        <v>NoXtal</v>
      </c>
      <c r="D181" t="str">
        <f t="shared" si="4"/>
        <v>human</v>
      </c>
      <c r="E181" t="str">
        <f>VLOOKUP(A181,Classification!A:B,2,FALSE)</f>
        <v>A</v>
      </c>
    </row>
    <row r="182" spans="1:5" x14ac:dyDescent="0.2">
      <c r="A182" t="s">
        <v>161</v>
      </c>
      <c r="B182" t="s">
        <v>529</v>
      </c>
      <c r="C182" t="str">
        <f>IF(ISERROR(MATCH(A182,'SegEnds_Xtal_Prot#'!B:B, 0)), "NoXtal", "Xtal")</f>
        <v>NoXtal</v>
      </c>
      <c r="D182" t="str">
        <f t="shared" si="4"/>
        <v>human</v>
      </c>
      <c r="E182" t="str">
        <f>VLOOKUP(A182,Classification!A:B,2,FALSE)</f>
        <v>A</v>
      </c>
    </row>
    <row r="183" spans="1:5" x14ac:dyDescent="0.2">
      <c r="A183" t="s">
        <v>162</v>
      </c>
      <c r="B183" t="s">
        <v>530</v>
      </c>
      <c r="C183" t="str">
        <f>IF(ISERROR(MATCH(A183,'SegEnds_Xtal_Prot#'!B:B, 0)), "NoXtal", "Xtal")</f>
        <v>NoXtal</v>
      </c>
      <c r="D183" t="str">
        <f t="shared" si="4"/>
        <v>human</v>
      </c>
      <c r="E183" t="str">
        <f>VLOOKUP(A183,Classification!A:B,2,FALSE)</f>
        <v>A</v>
      </c>
    </row>
    <row r="184" spans="1:5" x14ac:dyDescent="0.2">
      <c r="A184" t="s">
        <v>167</v>
      </c>
      <c r="B184" t="s">
        <v>531</v>
      </c>
      <c r="C184" t="str">
        <f>IF(ISERROR(MATCH(A184,'SegEnds_Xtal_Prot#'!B:B, 0)), "NoXtal", "Xtal")</f>
        <v>NoXtal</v>
      </c>
      <c r="D184" t="str">
        <f t="shared" si="4"/>
        <v>human</v>
      </c>
      <c r="E184" t="str">
        <f>VLOOKUP(A184,Classification!A:B,2,FALSE)</f>
        <v>A</v>
      </c>
    </row>
    <row r="185" spans="1:5" x14ac:dyDescent="0.2">
      <c r="A185" t="s">
        <v>208</v>
      </c>
      <c r="B185" t="s">
        <v>532</v>
      </c>
      <c r="C185" t="str">
        <f>IF(ISERROR(MATCH(A185,'SegEnds_Xtal_Prot#'!B:B, 0)), "NoXtal", "Xtal")</f>
        <v>NoXtal</v>
      </c>
      <c r="D185" t="str">
        <f t="shared" si="4"/>
        <v>human</v>
      </c>
      <c r="E185" t="str">
        <f>VLOOKUP(A185,Classification!A:B,2,FALSE)</f>
        <v>A</v>
      </c>
    </row>
    <row r="186" spans="1:5" x14ac:dyDescent="0.2">
      <c r="A186" t="s">
        <v>164</v>
      </c>
      <c r="B186" t="s">
        <v>533</v>
      </c>
      <c r="C186" t="str">
        <f>IF(ISERROR(MATCH(A186,'SegEnds_Xtal_Prot#'!B:B, 0)), "NoXtal", "Xtal")</f>
        <v>NoXtal</v>
      </c>
      <c r="D186" t="str">
        <f t="shared" si="4"/>
        <v>human</v>
      </c>
      <c r="E186" t="str">
        <f>VLOOKUP(A186,Classification!A:B,2,FALSE)</f>
        <v>A</v>
      </c>
    </row>
    <row r="187" spans="1:5" x14ac:dyDescent="0.2">
      <c r="A187" t="s">
        <v>165</v>
      </c>
      <c r="B187" t="s">
        <v>534</v>
      </c>
      <c r="C187" t="str">
        <f>IF(ISERROR(MATCH(A187,'SegEnds_Xtal_Prot#'!B:B, 0)), "NoXtal", "Xtal")</f>
        <v>Xtal</v>
      </c>
      <c r="D187" t="str">
        <f t="shared" si="4"/>
        <v>human</v>
      </c>
      <c r="E187" t="str">
        <f>VLOOKUP(A187,Classification!A:B,2,FALSE)</f>
        <v>A</v>
      </c>
    </row>
    <row r="188" spans="1:5" x14ac:dyDescent="0.2">
      <c r="A188" t="s">
        <v>166</v>
      </c>
      <c r="B188" t="s">
        <v>535</v>
      </c>
      <c r="C188" t="str">
        <f>IF(ISERROR(MATCH(A188,'SegEnds_Xtal_Prot#'!B:B, 0)), "NoXtal", "Xtal")</f>
        <v>NoXtal</v>
      </c>
      <c r="D188" t="str">
        <f t="shared" si="4"/>
        <v>human</v>
      </c>
      <c r="E188" t="str">
        <f>VLOOKUP(A188,Classification!A:B,2,FALSE)</f>
        <v>A</v>
      </c>
    </row>
    <row r="189" spans="1:5" x14ac:dyDescent="0.2">
      <c r="A189" t="s">
        <v>195</v>
      </c>
      <c r="B189" t="s">
        <v>536</v>
      </c>
      <c r="C189" t="str">
        <f>IF(ISERROR(MATCH(A189,'SegEnds_Xtal_Prot#'!B:B, 0)), "NoXtal", "Xtal")</f>
        <v>NoXtal</v>
      </c>
      <c r="D189" t="str">
        <f t="shared" si="4"/>
        <v>human</v>
      </c>
      <c r="E189" t="str">
        <f>VLOOKUP(A189,Classification!A:B,2,FALSE)</f>
        <v>A</v>
      </c>
    </row>
    <row r="190" spans="1:5" x14ac:dyDescent="0.2">
      <c r="A190" t="s">
        <v>196</v>
      </c>
      <c r="B190" t="s">
        <v>537</v>
      </c>
      <c r="C190" t="str">
        <f>IF(ISERROR(MATCH(A190,'SegEnds_Xtal_Prot#'!B:B, 0)), "NoXtal", "Xtal")</f>
        <v>Xtal</v>
      </c>
      <c r="D190" t="str">
        <f t="shared" si="4"/>
        <v>human</v>
      </c>
      <c r="E190" t="str">
        <f>VLOOKUP(A190,Classification!A:B,2,FALSE)</f>
        <v>A</v>
      </c>
    </row>
    <row r="191" spans="1:5" x14ac:dyDescent="0.2">
      <c r="A191" t="s">
        <v>201</v>
      </c>
      <c r="B191" t="s">
        <v>538</v>
      </c>
      <c r="C191" t="str">
        <f>IF(ISERROR(MATCH(A191,'SegEnds_Xtal_Prot#'!B:B, 0)), "NoXtal", "Xtal")</f>
        <v>NoXtal</v>
      </c>
      <c r="D191" t="str">
        <f t="shared" si="4"/>
        <v>human</v>
      </c>
      <c r="E191" t="str">
        <f>VLOOKUP(A191,Classification!A:B,2,FALSE)</f>
        <v>A</v>
      </c>
    </row>
    <row r="192" spans="1:5" x14ac:dyDescent="0.2">
      <c r="A192" t="s">
        <v>202</v>
      </c>
      <c r="B192" t="s">
        <v>539</v>
      </c>
      <c r="C192" t="str">
        <f>IF(ISERROR(MATCH(A192,'SegEnds_Xtal_Prot#'!B:B, 0)), "NoXtal", "Xtal")</f>
        <v>NoXtal</v>
      </c>
      <c r="D192" t="str">
        <f t="shared" si="4"/>
        <v>human</v>
      </c>
      <c r="E192" t="str">
        <f>VLOOKUP(A192,Classification!A:B,2,FALSE)</f>
        <v>A</v>
      </c>
    </row>
    <row r="193" spans="1:5" x14ac:dyDescent="0.2">
      <c r="A193" t="s">
        <v>203</v>
      </c>
      <c r="B193" t="s">
        <v>540</v>
      </c>
      <c r="C193" t="str">
        <f>IF(ISERROR(MATCH(A193,'SegEnds_Xtal_Prot#'!B:B, 0)), "NoXtal", "Xtal")</f>
        <v>NoXtal</v>
      </c>
      <c r="D193" t="str">
        <f t="shared" si="4"/>
        <v>human</v>
      </c>
      <c r="E193" t="str">
        <f>VLOOKUP(A193,Classification!A:B,2,FALSE)</f>
        <v>A</v>
      </c>
    </row>
    <row r="194" spans="1:5" x14ac:dyDescent="0.2">
      <c r="A194" t="s">
        <v>205</v>
      </c>
      <c r="B194" t="s">
        <v>541</v>
      </c>
      <c r="C194" t="str">
        <f>IF(ISERROR(MATCH(A194,'SegEnds_Xtal_Prot#'!B:B, 0)), "NoXtal", "Xtal")</f>
        <v>NoXtal</v>
      </c>
      <c r="D194" t="str">
        <f t="shared" si="4"/>
        <v>human</v>
      </c>
      <c r="E194" t="str">
        <f>VLOOKUP(A194,Classification!A:B,2,FALSE)</f>
        <v>A</v>
      </c>
    </row>
    <row r="195" spans="1:5" x14ac:dyDescent="0.2">
      <c r="A195" t="s">
        <v>206</v>
      </c>
      <c r="B195" t="s">
        <v>542</v>
      </c>
      <c r="C195" t="str">
        <f>IF(ISERROR(MATCH(A195,'SegEnds_Xtal_Prot#'!B:B, 0)), "NoXtal", "Xtal")</f>
        <v>NoXtal</v>
      </c>
      <c r="D195" t="str">
        <f t="shared" si="4"/>
        <v>human</v>
      </c>
      <c r="E195" t="str">
        <f>VLOOKUP(A195,Classification!A:B,2,FALSE)</f>
        <v>A</v>
      </c>
    </row>
    <row r="196" spans="1:5" x14ac:dyDescent="0.2">
      <c r="A196" t="s">
        <v>207</v>
      </c>
      <c r="B196" t="s">
        <v>543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209</v>
      </c>
      <c r="B197" t="s">
        <v>544</v>
      </c>
      <c r="C197" t="str">
        <f>IF(ISERROR(MATCH(A197,'SegEnds_Xtal_Prot#'!B:B, 0)), "NoXtal", "Xtal")</f>
        <v>NoXtal</v>
      </c>
      <c r="D197" t="str">
        <f t="shared" ref="D197:D260" si="5">MID(A197,FIND("_",A197)+1,LEN(A197)-FIND("_",A197))</f>
        <v>human</v>
      </c>
      <c r="E197" t="str">
        <f>VLOOKUP(A197,Classification!A:B,2,FALSE)</f>
        <v>A</v>
      </c>
    </row>
    <row r="198" spans="1:5" x14ac:dyDescent="0.2">
      <c r="A198" t="s">
        <v>210</v>
      </c>
      <c r="B198" t="s">
        <v>545</v>
      </c>
      <c r="C198" t="str">
        <f>IF(ISERROR(MATCH(A198,'SegEnds_Xtal_Prot#'!B:B, 0)), "NoXtal", "Xtal")</f>
        <v>NoXtal</v>
      </c>
      <c r="D198" t="str">
        <f t="shared" si="5"/>
        <v>human</v>
      </c>
      <c r="E198" t="str">
        <f>VLOOKUP(A198,Classification!A:B,2,FALSE)</f>
        <v>A</v>
      </c>
    </row>
    <row r="199" spans="1:5" x14ac:dyDescent="0.2">
      <c r="A199" t="s">
        <v>211</v>
      </c>
      <c r="B199" t="s">
        <v>546</v>
      </c>
      <c r="C199" t="str">
        <f>IF(ISERROR(MATCH(A199,'SegEnds_Xtal_Prot#'!B:B, 0)), "NoXtal", "Xtal")</f>
        <v>NoXtal</v>
      </c>
      <c r="D199" t="str">
        <f t="shared" si="5"/>
        <v>human</v>
      </c>
      <c r="E199" t="str">
        <f>VLOOKUP(A199,Classification!A:B,2,FALSE)</f>
        <v>A</v>
      </c>
    </row>
    <row r="200" spans="1:5" x14ac:dyDescent="0.2">
      <c r="A200" t="s">
        <v>282</v>
      </c>
      <c r="B200" t="s">
        <v>547</v>
      </c>
      <c r="C200" t="str">
        <f>IF(ISERROR(MATCH(A200,'SegEnds_Xtal_Prot#'!B:B, 0)), "NoXtal", "Xtal")</f>
        <v>NoXtal</v>
      </c>
      <c r="D200" t="str">
        <f t="shared" si="5"/>
        <v>human</v>
      </c>
      <c r="E200" t="str">
        <f>VLOOKUP(A200,Classification!A:B,2,FALSE)</f>
        <v>A</v>
      </c>
    </row>
    <row r="201" spans="1:5" x14ac:dyDescent="0.2">
      <c r="A201" t="s">
        <v>299</v>
      </c>
      <c r="B201" t="s">
        <v>548</v>
      </c>
      <c r="C201" t="str">
        <f>IF(ISERROR(MATCH(A201,'SegEnds_Xtal_Prot#'!B:B, 0)), "NoXtal", "Xtal")</f>
        <v>NoXtal</v>
      </c>
      <c r="D201" t="str">
        <f t="shared" si="5"/>
        <v>human</v>
      </c>
      <c r="E201" t="str">
        <f>VLOOKUP(A201,Classification!A:B,2,FALSE)</f>
        <v>A</v>
      </c>
    </row>
    <row r="202" spans="1:5" x14ac:dyDescent="0.2">
      <c r="A202" t="s">
        <v>300</v>
      </c>
      <c r="B202" t="s">
        <v>549</v>
      </c>
      <c r="C202" t="str">
        <f>IF(ISERROR(MATCH(A202,'SegEnds_Xtal_Prot#'!B:B, 0)), "NoXtal", "Xtal")</f>
        <v>NoXtal</v>
      </c>
      <c r="D202" t="str">
        <f t="shared" si="5"/>
        <v>human</v>
      </c>
      <c r="E202" t="str">
        <f>VLOOKUP(A202,Classification!A:B,2,FALSE)</f>
        <v>A</v>
      </c>
    </row>
    <row r="203" spans="1:5" x14ac:dyDescent="0.2">
      <c r="A203" t="s">
        <v>309</v>
      </c>
      <c r="B203" t="s">
        <v>550</v>
      </c>
      <c r="C203" t="str">
        <f>IF(ISERROR(MATCH(A203,'SegEnds_Xtal_Prot#'!B:B, 0)), "NoXtal", "Xtal")</f>
        <v>NoXtal</v>
      </c>
      <c r="D203" t="str">
        <f t="shared" si="5"/>
        <v>human</v>
      </c>
      <c r="E203" t="str">
        <f>VLOOKUP(A203,Classification!A:B,2,FALSE)</f>
        <v>A</v>
      </c>
    </row>
    <row r="204" spans="1:5" x14ac:dyDescent="0.2">
      <c r="A204" t="s">
        <v>151</v>
      </c>
      <c r="B204" t="s">
        <v>551</v>
      </c>
      <c r="C204" t="str">
        <f>IF(ISERROR(MATCH(A204,'SegEnds_Xtal_Prot#'!B:B, 0)), "NoXtal", "Xtal")</f>
        <v>NoXtal</v>
      </c>
      <c r="D204" t="str">
        <f t="shared" si="5"/>
        <v>human</v>
      </c>
      <c r="E204" t="str">
        <f>VLOOKUP(A204,Classification!A:B,2,FALSE)</f>
        <v>A</v>
      </c>
    </row>
    <row r="205" spans="1:5" x14ac:dyDescent="0.2">
      <c r="A205" t="s">
        <v>296</v>
      </c>
      <c r="B205" t="s">
        <v>552</v>
      </c>
      <c r="C205" t="str">
        <f>IF(ISERROR(MATCH(A205,'SegEnds_Xtal_Prot#'!B:B, 0)), "NoXtal", "Xtal")</f>
        <v>NoXtal</v>
      </c>
      <c r="D205" t="str">
        <f t="shared" si="5"/>
        <v>human</v>
      </c>
      <c r="E205" t="str">
        <f>VLOOKUP(A205,Classification!A:B,2,FALSE)</f>
        <v>A</v>
      </c>
    </row>
    <row r="206" spans="1:5" x14ac:dyDescent="0.2">
      <c r="A206" t="s">
        <v>297</v>
      </c>
      <c r="B206" t="s">
        <v>553</v>
      </c>
      <c r="C206" t="str">
        <f>IF(ISERROR(MATCH(A206,'SegEnds_Xtal_Prot#'!B:B, 0)), "NoXtal", "Xtal")</f>
        <v>NoXtal</v>
      </c>
      <c r="D206" t="str">
        <f t="shared" si="5"/>
        <v>human</v>
      </c>
      <c r="E206" t="str">
        <f>VLOOKUP(A206,Classification!A:B,2,FALSE)</f>
        <v>A</v>
      </c>
    </row>
    <row r="207" spans="1:5" x14ac:dyDescent="0.2">
      <c r="A207" t="s">
        <v>298</v>
      </c>
      <c r="B207" t="s">
        <v>554</v>
      </c>
      <c r="C207" t="str">
        <f>IF(ISERROR(MATCH(A207,'SegEnds_Xtal_Prot#'!B:B, 0)), "NoXtal", "Xtal")</f>
        <v>NoXtal</v>
      </c>
      <c r="D207" t="str">
        <f t="shared" si="5"/>
        <v>human</v>
      </c>
      <c r="E207" t="str">
        <f>VLOOKUP(A207,Classification!A:B,2,FALSE)</f>
        <v>A</v>
      </c>
    </row>
    <row r="208" spans="1:5" x14ac:dyDescent="0.2">
      <c r="A208" t="s">
        <v>310</v>
      </c>
      <c r="B208" t="s">
        <v>555</v>
      </c>
      <c r="C208" t="str">
        <f>IF(ISERROR(MATCH(A208,'SegEnds_Xtal_Prot#'!B:B, 0)), "NoXtal", "Xtal")</f>
        <v>NoXtal</v>
      </c>
      <c r="D208" t="str">
        <f t="shared" si="5"/>
        <v>human</v>
      </c>
      <c r="E208" t="str">
        <f>VLOOKUP(A208,Classification!A:B,2,FALSE)</f>
        <v>A</v>
      </c>
    </row>
    <row r="209" spans="1:5" x14ac:dyDescent="0.2">
      <c r="A209" t="s">
        <v>318</v>
      </c>
      <c r="B209" t="s">
        <v>556</v>
      </c>
      <c r="C209" t="str">
        <f>IF(ISERROR(MATCH(A209,'SegEnds_Xtal_Prot#'!B:B, 0)), "NoXtal", "Xtal")</f>
        <v>NoXtal</v>
      </c>
      <c r="D209" t="str">
        <f t="shared" si="5"/>
        <v>human</v>
      </c>
      <c r="E209" t="str">
        <f>VLOOKUP(A209,Classification!A:B,2,FALSE)</f>
        <v>A</v>
      </c>
    </row>
    <row r="210" spans="1:5" x14ac:dyDescent="0.2">
      <c r="A210" t="s">
        <v>319</v>
      </c>
      <c r="B210" t="s">
        <v>557</v>
      </c>
      <c r="C210" t="str">
        <f>IF(ISERROR(MATCH(A210,'SegEnds_Xtal_Prot#'!B:B, 0)), "NoXtal", "Xtal")</f>
        <v>NoXtal</v>
      </c>
      <c r="D210" t="str">
        <f t="shared" si="5"/>
        <v>human</v>
      </c>
      <c r="E210" t="str">
        <f>VLOOKUP(A210,Classification!A:B,2,FALSE)</f>
        <v>A</v>
      </c>
    </row>
    <row r="211" spans="1:5" x14ac:dyDescent="0.2">
      <c r="A211" t="s">
        <v>322</v>
      </c>
      <c r="B211" t="s">
        <v>558</v>
      </c>
      <c r="C211" t="str">
        <f>IF(ISERROR(MATCH(A211,'SegEnds_Xtal_Prot#'!B:B, 0)), "NoXtal", "Xtal")</f>
        <v>NoXtal</v>
      </c>
      <c r="D211" t="str">
        <f t="shared" si="5"/>
        <v>human</v>
      </c>
      <c r="E211" t="str">
        <f>VLOOKUP(A211,Classification!A:B,2,FALSE)</f>
        <v>A</v>
      </c>
    </row>
    <row r="212" spans="1:5" x14ac:dyDescent="0.2">
      <c r="A212" t="s">
        <v>323</v>
      </c>
      <c r="B212" t="s">
        <v>559</v>
      </c>
      <c r="C212" t="str">
        <f>IF(ISERROR(MATCH(A212,'SegEnds_Xtal_Prot#'!B:B, 0)), "NoXtal", "Xtal")</f>
        <v>NoXtal</v>
      </c>
      <c r="D212" t="str">
        <f t="shared" si="5"/>
        <v>human</v>
      </c>
      <c r="E212" t="str">
        <f>VLOOKUP(A212,Classification!A:B,2,FALSE)</f>
        <v>A</v>
      </c>
    </row>
    <row r="213" spans="1:5" x14ac:dyDescent="0.2">
      <c r="A213" t="s">
        <v>324</v>
      </c>
      <c r="B213" t="s">
        <v>560</v>
      </c>
      <c r="C213" t="str">
        <f>IF(ISERROR(MATCH(A213,'SegEnds_Xtal_Prot#'!B:B, 0)), "NoXtal", "Xtal")</f>
        <v>NoXtal</v>
      </c>
      <c r="D213" t="str">
        <f t="shared" si="5"/>
        <v>human</v>
      </c>
      <c r="E213" t="str">
        <f>VLOOKUP(A213,Classification!A:B,2,FALSE)</f>
        <v>A</v>
      </c>
    </row>
    <row r="214" spans="1:5" x14ac:dyDescent="0.2">
      <c r="A214" t="s">
        <v>320</v>
      </c>
      <c r="B214" t="s">
        <v>561</v>
      </c>
      <c r="C214" t="str">
        <f>IF(ISERROR(MATCH(A214,'SegEnds_Xtal_Prot#'!B:B, 0)), "NoXtal", "Xtal")</f>
        <v>NoXtal</v>
      </c>
      <c r="D214" t="str">
        <f t="shared" si="5"/>
        <v>human</v>
      </c>
      <c r="E214" t="str">
        <f>VLOOKUP(A214,Classification!A:B,2,FALSE)</f>
        <v>A</v>
      </c>
    </row>
    <row r="215" spans="1:5" x14ac:dyDescent="0.2">
      <c r="A215" t="s">
        <v>321</v>
      </c>
      <c r="B215" t="s">
        <v>562</v>
      </c>
      <c r="C215" t="str">
        <f>IF(ISERROR(MATCH(A215,'SegEnds_Xtal_Prot#'!B:B, 0)), "NoXtal", "Xtal")</f>
        <v>NoXtal</v>
      </c>
      <c r="D215" t="str">
        <f t="shared" si="5"/>
        <v>human</v>
      </c>
      <c r="E215" t="str">
        <f>VLOOKUP(A215,Classification!A:B,2,FALSE)</f>
        <v>A</v>
      </c>
    </row>
    <row r="216" spans="1:5" x14ac:dyDescent="0.2">
      <c r="A216" t="s">
        <v>325</v>
      </c>
      <c r="B216" t="s">
        <v>564</v>
      </c>
      <c r="C216" t="str">
        <f>IF(ISERROR(MATCH(A216,'SegEnds_Xtal_Prot#'!B:B, 0)), "NoXtal", "Xtal")</f>
        <v>NoXtal</v>
      </c>
      <c r="D216" t="str">
        <f t="shared" si="5"/>
        <v>human</v>
      </c>
      <c r="E216" t="str">
        <f>VLOOKUP(A216,Classification!A:B,2,FALSE)</f>
        <v>A</v>
      </c>
    </row>
    <row r="217" spans="1:5" x14ac:dyDescent="0.2">
      <c r="A217" t="s">
        <v>326</v>
      </c>
      <c r="B217" t="s">
        <v>565</v>
      </c>
      <c r="C217" t="str">
        <f>IF(ISERROR(MATCH(A217,'SegEnds_Xtal_Prot#'!B:B, 0)), "NoXtal", "Xtal")</f>
        <v>NoXtal</v>
      </c>
      <c r="D217" t="str">
        <f t="shared" si="5"/>
        <v>human</v>
      </c>
      <c r="E217" t="str">
        <f>VLOOKUP(A217,Classification!A:B,2,FALSE)</f>
        <v>A</v>
      </c>
    </row>
    <row r="218" spans="1:5" x14ac:dyDescent="0.2">
      <c r="A218" t="s">
        <v>327</v>
      </c>
      <c r="B218" t="s">
        <v>566</v>
      </c>
      <c r="C218" t="str">
        <f>IF(ISERROR(MATCH(A218,'SegEnds_Xtal_Prot#'!B:B, 0)), "NoXtal", "Xtal")</f>
        <v>NoXtal</v>
      </c>
      <c r="D218" t="str">
        <f t="shared" si="5"/>
        <v>human</v>
      </c>
      <c r="E218" t="str">
        <f>VLOOKUP(A218,Classification!A:B,2,FALSE)</f>
        <v>A</v>
      </c>
    </row>
    <row r="219" spans="1:5" x14ac:dyDescent="0.2">
      <c r="A219" t="s">
        <v>328</v>
      </c>
      <c r="B219" t="s">
        <v>567</v>
      </c>
      <c r="C219" t="str">
        <f>IF(ISERROR(MATCH(A219,'SegEnds_Xtal_Prot#'!B:B, 0)), "NoXtal", "Xtal")</f>
        <v>NoXtal</v>
      </c>
      <c r="D219" t="str">
        <f t="shared" si="5"/>
        <v>human</v>
      </c>
      <c r="E219" t="str">
        <f>VLOOKUP(A219,Classification!A:B,2,FALSE)</f>
        <v>A</v>
      </c>
    </row>
    <row r="220" spans="1:5" x14ac:dyDescent="0.2">
      <c r="A220" t="s">
        <v>329</v>
      </c>
      <c r="B220" t="s">
        <v>568</v>
      </c>
      <c r="C220" t="str">
        <f>IF(ISERROR(MATCH(A220,'SegEnds_Xtal_Prot#'!B:B, 0)), "NoXtal", "Xtal")</f>
        <v>NoXtal</v>
      </c>
      <c r="D220" t="str">
        <f t="shared" si="5"/>
        <v>human</v>
      </c>
      <c r="E220" t="str">
        <f>VLOOKUP(A220,Classification!A:B,2,FALSE)</f>
        <v>A</v>
      </c>
    </row>
    <row r="221" spans="1:5" x14ac:dyDescent="0.2">
      <c r="A221" t="s">
        <v>127</v>
      </c>
      <c r="B221" t="s">
        <v>569</v>
      </c>
      <c r="C221" t="str">
        <f>IF(ISERROR(MATCH(A221,'SegEnds_Xtal_Prot#'!B:B, 0)), "NoXtal", "Xtal")</f>
        <v>NoXtal</v>
      </c>
      <c r="D221" t="str">
        <f t="shared" si="5"/>
        <v>human</v>
      </c>
      <c r="E221" t="str">
        <f>VLOOKUP(A221,Classification!A:B,2,FALSE)</f>
        <v>A</v>
      </c>
    </row>
    <row r="222" spans="1:5" x14ac:dyDescent="0.2">
      <c r="A222" t="s">
        <v>330</v>
      </c>
      <c r="B222" t="s">
        <v>570</v>
      </c>
      <c r="C222" t="str">
        <f>IF(ISERROR(MATCH(A222,'SegEnds_Xtal_Prot#'!B:B, 0)), "NoXtal", "Xtal")</f>
        <v>NoXtal</v>
      </c>
      <c r="D222" t="str">
        <f t="shared" si="5"/>
        <v>human</v>
      </c>
      <c r="E222" t="str">
        <f>VLOOKUP(A222,Classification!A:B,2,FALSE)</f>
        <v>A</v>
      </c>
    </row>
    <row r="223" spans="1:5" x14ac:dyDescent="0.2">
      <c r="A223" t="s">
        <v>337</v>
      </c>
      <c r="B223" t="s">
        <v>573</v>
      </c>
      <c r="C223" t="str">
        <f>IF(ISERROR(MATCH(A223,'SegEnds_Xtal_Prot#'!B:B, 0)), "NoXtal", "Xtal")</f>
        <v>NoXtal</v>
      </c>
      <c r="D223" t="str">
        <f t="shared" si="5"/>
        <v>human</v>
      </c>
      <c r="E223" t="str">
        <f>VLOOKUP(A223,Classification!A:B,2,FALSE)</f>
        <v>A</v>
      </c>
    </row>
    <row r="224" spans="1:5" x14ac:dyDescent="0.2">
      <c r="A224" t="s">
        <v>372</v>
      </c>
      <c r="B224" t="s">
        <v>577</v>
      </c>
      <c r="C224" t="str">
        <f>IF(ISERROR(MATCH(A224,'SegEnds_Xtal_Prot#'!B:B, 0)), "NoXtal", "Xtal")</f>
        <v>NoXtal</v>
      </c>
      <c r="D224" t="str">
        <f t="shared" si="5"/>
        <v>human</v>
      </c>
      <c r="E224" t="str">
        <f>VLOOKUP(A224,Classification!A:B,2,FALSE)</f>
        <v>A</v>
      </c>
    </row>
    <row r="225" spans="1:5" x14ac:dyDescent="0.2">
      <c r="A225" t="s">
        <v>369</v>
      </c>
      <c r="B225" t="s">
        <v>578</v>
      </c>
      <c r="C225" t="str">
        <f>IF(ISERROR(MATCH(A225,'SegEnds_Xtal_Prot#'!B:B, 0)), "NoXtal", "Xtal")</f>
        <v>NoXtal</v>
      </c>
      <c r="D225" t="str">
        <f t="shared" si="5"/>
        <v>human</v>
      </c>
      <c r="E225" t="str">
        <f>VLOOKUP(A225,Classification!A:B,2,FALSE)</f>
        <v>A</v>
      </c>
    </row>
    <row r="226" spans="1:5" x14ac:dyDescent="0.2">
      <c r="A226" t="s">
        <v>356</v>
      </c>
      <c r="B226" t="s">
        <v>580</v>
      </c>
      <c r="C226" t="str">
        <f>IF(ISERROR(MATCH(A226,'SegEnds_Xtal_Prot#'!B:B, 0)), "NoXtal", "Xtal")</f>
        <v>Xtal</v>
      </c>
      <c r="D226" t="str">
        <f t="shared" si="5"/>
        <v>human</v>
      </c>
      <c r="E226" t="str">
        <f>VLOOKUP(A226,Classification!A:B,2,FALSE)</f>
        <v>A</v>
      </c>
    </row>
    <row r="227" spans="1:5" x14ac:dyDescent="0.2">
      <c r="A227" t="s">
        <v>357</v>
      </c>
      <c r="B227" t="s">
        <v>581</v>
      </c>
      <c r="C227" t="str">
        <f>IF(ISERROR(MATCH(A227,'SegEnds_Xtal_Prot#'!B:B, 0)), "NoXtal", "Xtal")</f>
        <v>NoXtal</v>
      </c>
      <c r="D227" t="str">
        <f t="shared" si="5"/>
        <v>human</v>
      </c>
      <c r="E227" t="str">
        <f>VLOOKUP(A227,Classification!A:B,2,FALSE)</f>
        <v>A</v>
      </c>
    </row>
    <row r="228" spans="1:5" x14ac:dyDescent="0.2">
      <c r="A228" t="s">
        <v>358</v>
      </c>
      <c r="B228" t="s">
        <v>582</v>
      </c>
      <c r="C228" t="str">
        <f>IF(ISERROR(MATCH(A228,'SegEnds_Xtal_Prot#'!B:B, 0)), "NoXtal", "Xtal")</f>
        <v>NoXtal</v>
      </c>
      <c r="D228" t="str">
        <f t="shared" si="5"/>
        <v>human</v>
      </c>
      <c r="E228" t="str">
        <f>VLOOKUP(A228,Classification!A:B,2,FALSE)</f>
        <v>A</v>
      </c>
    </row>
    <row r="229" spans="1:5" x14ac:dyDescent="0.2">
      <c r="A229" t="s">
        <v>375</v>
      </c>
      <c r="B229" t="s">
        <v>583</v>
      </c>
      <c r="C229" t="str">
        <f>IF(ISERROR(MATCH(A229,'SegEnds_Xtal_Prot#'!B:B, 0)), "NoXtal", "Xtal")</f>
        <v>NoXtal</v>
      </c>
      <c r="D229" t="str">
        <f t="shared" si="5"/>
        <v>human</v>
      </c>
      <c r="E229" t="str">
        <f>VLOOKUP(A229,Classification!A:B,2,FALSE)</f>
        <v>A</v>
      </c>
    </row>
    <row r="230" spans="1:5" x14ac:dyDescent="0.2">
      <c r="A230" t="s">
        <v>376</v>
      </c>
      <c r="B230" t="s">
        <v>584</v>
      </c>
      <c r="C230" t="str">
        <f>IF(ISERROR(MATCH(A230,'SegEnds_Xtal_Prot#'!B:B, 0)), "NoXtal", "Xtal")</f>
        <v>NoXtal</v>
      </c>
      <c r="D230" t="str">
        <f t="shared" si="5"/>
        <v>human</v>
      </c>
      <c r="E230" t="str">
        <f>VLOOKUP(A230,Classification!A:B,2,FALSE)</f>
        <v>A</v>
      </c>
    </row>
    <row r="231" spans="1:5" x14ac:dyDescent="0.2">
      <c r="A231" t="s">
        <v>373</v>
      </c>
      <c r="B231" t="s">
        <v>585</v>
      </c>
      <c r="C231" t="str">
        <f>IF(ISERROR(MATCH(A231,'SegEnds_Xtal_Prot#'!B:B, 0)), "NoXtal", "Xtal")</f>
        <v>NoXtal</v>
      </c>
      <c r="D231" t="str">
        <f t="shared" si="5"/>
        <v>human</v>
      </c>
      <c r="E231" t="str">
        <f>VLOOKUP(A231,Classification!A:B,2,FALSE)</f>
        <v>A</v>
      </c>
    </row>
    <row r="232" spans="1:5" x14ac:dyDescent="0.2">
      <c r="A232" t="s">
        <v>374</v>
      </c>
      <c r="B232" t="s">
        <v>586</v>
      </c>
      <c r="C232" t="str">
        <f>IF(ISERROR(MATCH(A232,'SegEnds_Xtal_Prot#'!B:B, 0)), "NoXtal", "Xtal")</f>
        <v>NoXtal</v>
      </c>
      <c r="D232" t="str">
        <f t="shared" si="5"/>
        <v>human</v>
      </c>
      <c r="E232" t="str">
        <f>VLOOKUP(A232,Classification!A:B,2,FALSE)</f>
        <v>A</v>
      </c>
    </row>
    <row r="233" spans="1:5" x14ac:dyDescent="0.2">
      <c r="A233" t="s">
        <v>381</v>
      </c>
      <c r="B233" t="s">
        <v>587</v>
      </c>
      <c r="C233" t="str">
        <f>IF(ISERROR(MATCH(A233,'SegEnds_Xtal_Prot#'!B:B, 0)), "NoXtal", "Xtal")</f>
        <v>NoXtal</v>
      </c>
      <c r="D233" t="str">
        <f t="shared" si="5"/>
        <v>human</v>
      </c>
      <c r="E233" t="str">
        <f>VLOOKUP(A233,Classification!A:B,2,FALSE)</f>
        <v>A</v>
      </c>
    </row>
    <row r="234" spans="1:5" x14ac:dyDescent="0.2">
      <c r="A234" t="s">
        <v>382</v>
      </c>
      <c r="B234" t="s">
        <v>588</v>
      </c>
      <c r="C234" t="str">
        <f>IF(ISERROR(MATCH(A234,'SegEnds_Xtal_Prot#'!B:B, 0)), "NoXtal", "Xtal")</f>
        <v>NoXtal</v>
      </c>
      <c r="D234" t="str">
        <f t="shared" si="5"/>
        <v>human</v>
      </c>
      <c r="E234" t="str">
        <f>VLOOKUP(A234,Classification!A:B,2,FALSE)</f>
        <v>A</v>
      </c>
    </row>
    <row r="235" spans="1:5" x14ac:dyDescent="0.2">
      <c r="A235" t="s">
        <v>383</v>
      </c>
      <c r="B235" t="s">
        <v>589</v>
      </c>
      <c r="C235" t="str">
        <f>IF(ISERROR(MATCH(A235,'SegEnds_Xtal_Prot#'!B:B, 0)), "NoXtal", "Xtal")</f>
        <v>NoXtal</v>
      </c>
      <c r="D235" t="str">
        <f t="shared" si="5"/>
        <v>human</v>
      </c>
      <c r="E235" t="str">
        <f>VLOOKUP(A235,Classification!A:B,2,FALSE)</f>
        <v>A</v>
      </c>
    </row>
    <row r="236" spans="1:5" x14ac:dyDescent="0.2">
      <c r="A236" t="s">
        <v>384</v>
      </c>
      <c r="B236" t="s">
        <v>590</v>
      </c>
      <c r="C236" t="str">
        <f>IF(ISERROR(MATCH(A236,'SegEnds_Xtal_Prot#'!B:B, 0)), "NoXtal", "Xtal")</f>
        <v>NoXtal</v>
      </c>
      <c r="D236" t="str">
        <f t="shared" si="5"/>
        <v>human</v>
      </c>
      <c r="E236" t="str">
        <f>VLOOKUP(A236,Classification!A:B,2,FALSE)</f>
        <v>A</v>
      </c>
    </row>
    <row r="237" spans="1:5" x14ac:dyDescent="0.2">
      <c r="A237" t="s">
        <v>385</v>
      </c>
      <c r="B237" t="s">
        <v>591</v>
      </c>
      <c r="C237" t="str">
        <f>IF(ISERROR(MATCH(A237,'SegEnds_Xtal_Prot#'!B:B, 0)), "NoXtal", "Xtal")</f>
        <v>NoXtal</v>
      </c>
      <c r="D237" t="str">
        <f t="shared" si="5"/>
        <v>human</v>
      </c>
      <c r="E237" t="str">
        <f>VLOOKUP(A237,Classification!A:B,2,FALSE)</f>
        <v>A</v>
      </c>
    </row>
    <row r="238" spans="1:5" x14ac:dyDescent="0.2">
      <c r="A238" t="s">
        <v>314</v>
      </c>
      <c r="B238" t="s">
        <v>592</v>
      </c>
      <c r="C238" t="str">
        <f>IF(ISERROR(MATCH(A238,'SegEnds_Xtal_Prot#'!B:B, 0)), "NoXtal", "Xtal")</f>
        <v>NoXtal</v>
      </c>
      <c r="D238" t="str">
        <f t="shared" si="5"/>
        <v>human</v>
      </c>
      <c r="E238" t="str">
        <f>VLOOKUP(A238,Classification!A:B,2,FALSE)</f>
        <v>A</v>
      </c>
    </row>
    <row r="239" spans="1:5" x14ac:dyDescent="0.2">
      <c r="A239" t="s">
        <v>315</v>
      </c>
      <c r="B239" t="s">
        <v>593</v>
      </c>
      <c r="C239" t="str">
        <f>IF(ISERROR(MATCH(A239,'SegEnds_Xtal_Prot#'!B:B, 0)), "NoXtal", "Xtal")</f>
        <v>NoXtal</v>
      </c>
      <c r="D239" t="str">
        <f t="shared" si="5"/>
        <v>human</v>
      </c>
      <c r="E239" t="str">
        <f>VLOOKUP(A239,Classification!A:B,2,FALSE)</f>
        <v>A</v>
      </c>
    </row>
    <row r="240" spans="1:5" x14ac:dyDescent="0.2">
      <c r="A240" t="s">
        <v>316</v>
      </c>
      <c r="B240" t="s">
        <v>595</v>
      </c>
      <c r="C240" t="str">
        <f>IF(ISERROR(MATCH(A240,'SegEnds_Xtal_Prot#'!B:B, 0)), "NoXtal", "Xtal")</f>
        <v>NoXtal</v>
      </c>
      <c r="D240" t="str">
        <f t="shared" si="5"/>
        <v>human</v>
      </c>
      <c r="E240" t="str">
        <f>VLOOKUP(A240,Classification!A:B,2,FALSE)</f>
        <v>A</v>
      </c>
    </row>
    <row r="241" spans="1:5" x14ac:dyDescent="0.2">
      <c r="A241" t="s">
        <v>394</v>
      </c>
      <c r="B241" t="s">
        <v>596</v>
      </c>
      <c r="C241" t="str">
        <f>IF(ISERROR(MATCH(A241,'SegEnds_Xtal_Prot#'!B:B, 0)), "NoXtal", "Xtal")</f>
        <v>NoXtal</v>
      </c>
      <c r="D241" t="str">
        <f t="shared" si="5"/>
        <v>human</v>
      </c>
      <c r="E241" t="str">
        <f>VLOOKUP(A241,Classification!A:B,2,FALSE)</f>
        <v>A</v>
      </c>
    </row>
    <row r="242" spans="1:5" x14ac:dyDescent="0.2">
      <c r="A242" t="s">
        <v>396</v>
      </c>
      <c r="B242" t="s">
        <v>597</v>
      </c>
      <c r="C242" t="str">
        <f>IF(ISERROR(MATCH(A242,'SegEnds_Xtal_Prot#'!B:B, 0)), "NoXtal", "Xtal")</f>
        <v>NoXtal</v>
      </c>
      <c r="D242" t="str">
        <f t="shared" si="5"/>
        <v>human</v>
      </c>
      <c r="E242" t="str">
        <f>VLOOKUP(A242,Classification!A:B,2,FALSE)</f>
        <v>A</v>
      </c>
    </row>
    <row r="243" spans="1:5" x14ac:dyDescent="0.2">
      <c r="A243" t="s">
        <v>397</v>
      </c>
      <c r="B243" t="s">
        <v>598</v>
      </c>
      <c r="C243" t="str">
        <f>IF(ISERROR(MATCH(A243,'SegEnds_Xtal_Prot#'!B:B, 0)), "NoXtal", "Xtal")</f>
        <v>NoXtal</v>
      </c>
      <c r="D243" t="str">
        <f t="shared" si="5"/>
        <v>human</v>
      </c>
      <c r="E243" t="str">
        <f>VLOOKUP(A243,Classification!A:B,2,FALSE)</f>
        <v>A</v>
      </c>
    </row>
    <row r="244" spans="1:5" x14ac:dyDescent="0.2">
      <c r="A244" t="s">
        <v>398</v>
      </c>
      <c r="B244" t="s">
        <v>599</v>
      </c>
      <c r="C244" t="str">
        <f>IF(ISERROR(MATCH(A244,'SegEnds_Xtal_Prot#'!B:B, 0)), "NoXtal", "Xtal")</f>
        <v>NoXtal</v>
      </c>
      <c r="D244" t="str">
        <f t="shared" si="5"/>
        <v>human</v>
      </c>
      <c r="E244" t="str">
        <f>VLOOKUP(A244,Classification!A:B,2,FALSE)</f>
        <v>A</v>
      </c>
    </row>
    <row r="245" spans="1:5" x14ac:dyDescent="0.2">
      <c r="A245" t="s">
        <v>399</v>
      </c>
      <c r="B245" t="s">
        <v>600</v>
      </c>
      <c r="C245" t="str">
        <f>IF(ISERROR(MATCH(A245,'SegEnds_Xtal_Prot#'!B:B, 0)), "NoXtal", "Xtal")</f>
        <v>NoXtal</v>
      </c>
      <c r="D245" t="str">
        <f t="shared" si="5"/>
        <v>human</v>
      </c>
      <c r="E245" t="str">
        <f>VLOOKUP(A245,Classification!A:B,2,FALSE)</f>
        <v>A</v>
      </c>
    </row>
    <row r="246" spans="1:5" x14ac:dyDescent="0.2">
      <c r="A246" t="s">
        <v>344</v>
      </c>
      <c r="B246" t="s">
        <v>601</v>
      </c>
      <c r="C246" t="str">
        <f>IF(ISERROR(MATCH(A246,'SegEnds_Xtal_Prot#'!B:B, 0)), "NoXtal", "Xtal")</f>
        <v>NoXtal</v>
      </c>
      <c r="D246" t="str">
        <f t="shared" si="5"/>
        <v>human</v>
      </c>
      <c r="E246" t="str">
        <f>VLOOKUP(A246,Classification!A:B,2,FALSE)</f>
        <v>A</v>
      </c>
    </row>
    <row r="247" spans="1:5" x14ac:dyDescent="0.2">
      <c r="A247" t="s">
        <v>181</v>
      </c>
      <c r="B247" t="s">
        <v>602</v>
      </c>
      <c r="C247" t="str">
        <f>IF(ISERROR(MATCH(A247,'SegEnds_Xtal_Prot#'!B:B, 0)), "NoXtal", "Xtal")</f>
        <v>NoXtal</v>
      </c>
      <c r="D247" t="str">
        <f t="shared" si="5"/>
        <v>human</v>
      </c>
      <c r="E247" t="str">
        <f>VLOOKUP(A247,Classification!A:B,2,FALSE)</f>
        <v>A</v>
      </c>
    </row>
    <row r="248" spans="1:5" x14ac:dyDescent="0.2">
      <c r="A248" t="s">
        <v>168</v>
      </c>
      <c r="B248" t="s">
        <v>603</v>
      </c>
      <c r="C248" t="str">
        <f>IF(ISERROR(MATCH(A248,'SegEnds_Xtal_Prot#'!B:B, 0)), "NoXtal", "Xtal")</f>
        <v>NoXtal</v>
      </c>
      <c r="D248" t="str">
        <f t="shared" si="5"/>
        <v>human</v>
      </c>
      <c r="E248" t="str">
        <f>VLOOKUP(A248,Classification!A:B,2,FALSE)</f>
        <v>A</v>
      </c>
    </row>
    <row r="249" spans="1:5" x14ac:dyDescent="0.2">
      <c r="A249" t="s">
        <v>170</v>
      </c>
      <c r="B249" t="s">
        <v>604</v>
      </c>
      <c r="C249" t="str">
        <f>IF(ISERROR(MATCH(A249,'SegEnds_Xtal_Prot#'!B:B, 0)), "NoXtal", "Xtal")</f>
        <v>Xtal</v>
      </c>
      <c r="D249" t="str">
        <f t="shared" si="5"/>
        <v>human</v>
      </c>
      <c r="E249" t="str">
        <f>VLOOKUP(A249,Classification!A:B,2,FALSE)</f>
        <v>A</v>
      </c>
    </row>
    <row r="250" spans="1:5" x14ac:dyDescent="0.2">
      <c r="A250" t="s">
        <v>171</v>
      </c>
      <c r="B250" t="s">
        <v>605</v>
      </c>
      <c r="C250" t="str">
        <f>IF(ISERROR(MATCH(A250,'SegEnds_Xtal_Prot#'!B:B, 0)), "NoXtal", "Xtal")</f>
        <v>NoXtal</v>
      </c>
      <c r="D250" t="str">
        <f t="shared" si="5"/>
        <v>human</v>
      </c>
      <c r="E250" t="str">
        <f>VLOOKUP(A250,Classification!A:B,2,FALSE)</f>
        <v>A</v>
      </c>
    </row>
    <row r="251" spans="1:5" x14ac:dyDescent="0.2">
      <c r="A251" t="s">
        <v>172</v>
      </c>
      <c r="B251" t="s">
        <v>606</v>
      </c>
      <c r="C251" t="str">
        <f>IF(ISERROR(MATCH(A251,'SegEnds_Xtal_Prot#'!B:B, 0)), "NoXtal", "Xtal")</f>
        <v>NoXtal</v>
      </c>
      <c r="D251" t="str">
        <f t="shared" si="5"/>
        <v>human</v>
      </c>
      <c r="E251" t="str">
        <f>VLOOKUP(A251,Classification!A:B,2,FALSE)</f>
        <v>A</v>
      </c>
    </row>
    <row r="252" spans="1:5" x14ac:dyDescent="0.2">
      <c r="A252" t="s">
        <v>174</v>
      </c>
      <c r="B252" t="s">
        <v>608</v>
      </c>
      <c r="C252" t="str">
        <f>IF(ISERROR(MATCH(A252,'SegEnds_Xtal_Prot#'!B:B, 0)), "NoXtal", "Xtal")</f>
        <v>NoXtal</v>
      </c>
      <c r="D252" t="str">
        <f t="shared" si="5"/>
        <v>human</v>
      </c>
      <c r="E252" t="str">
        <f>VLOOKUP(A252,Classification!A:B,2,FALSE)</f>
        <v>A</v>
      </c>
    </row>
    <row r="253" spans="1:5" x14ac:dyDescent="0.2">
      <c r="A253" t="s">
        <v>175</v>
      </c>
      <c r="B253" t="s">
        <v>609</v>
      </c>
      <c r="C253" t="str">
        <f>IF(ISERROR(MATCH(A253,'SegEnds_Xtal_Prot#'!B:B, 0)), "NoXtal", "Xtal")</f>
        <v>NoXtal</v>
      </c>
      <c r="D253" t="str">
        <f t="shared" si="5"/>
        <v>human</v>
      </c>
      <c r="E253" t="str">
        <f>VLOOKUP(A253,Classification!A:B,2,FALSE)</f>
        <v>A</v>
      </c>
    </row>
    <row r="254" spans="1:5" x14ac:dyDescent="0.2">
      <c r="A254" t="s">
        <v>176</v>
      </c>
      <c r="B254" t="s">
        <v>610</v>
      </c>
      <c r="C254" t="str">
        <f>IF(ISERROR(MATCH(A254,'SegEnds_Xtal_Prot#'!B:B, 0)), "NoXtal", "Xtal")</f>
        <v>NoXtal</v>
      </c>
      <c r="D254" t="str">
        <f t="shared" si="5"/>
        <v>human</v>
      </c>
      <c r="E254" t="str">
        <f>VLOOKUP(A254,Classification!A:B,2,FALSE)</f>
        <v>A</v>
      </c>
    </row>
    <row r="255" spans="1:5" x14ac:dyDescent="0.2">
      <c r="A255" t="s">
        <v>177</v>
      </c>
      <c r="B255" t="s">
        <v>612</v>
      </c>
      <c r="C255" t="str">
        <f>IF(ISERROR(MATCH(A255,'SegEnds_Xtal_Prot#'!B:B, 0)), "NoXtal", "Xtal")</f>
        <v>Xtal</v>
      </c>
      <c r="D255" t="str">
        <f t="shared" si="5"/>
        <v>human</v>
      </c>
      <c r="E255" t="str">
        <f>VLOOKUP(A255,Classification!A:B,2,FALSE)</f>
        <v>A</v>
      </c>
    </row>
    <row r="256" spans="1:5" x14ac:dyDescent="0.2">
      <c r="A256" t="s">
        <v>169</v>
      </c>
      <c r="B256" t="s">
        <v>613</v>
      </c>
      <c r="C256" t="str">
        <f>IF(ISERROR(MATCH(A256,'SegEnds_Xtal_Prot#'!B:B, 0)), "NoXtal", "Xtal")</f>
        <v>NoXtal</v>
      </c>
      <c r="D256" t="str">
        <f t="shared" si="5"/>
        <v>human</v>
      </c>
      <c r="E256" t="str">
        <f>VLOOKUP(A256,Classification!A:B,2,FALSE)</f>
        <v>A</v>
      </c>
    </row>
    <row r="257" spans="1:5" x14ac:dyDescent="0.2">
      <c r="A257" t="s">
        <v>185</v>
      </c>
      <c r="B257" t="s">
        <v>614</v>
      </c>
      <c r="C257" t="str">
        <f>IF(ISERROR(MATCH(A257,'SegEnds_Xtal_Prot#'!B:B, 0)), "NoXtal", "Xtal")</f>
        <v>NoXtal</v>
      </c>
      <c r="D257" t="str">
        <f t="shared" si="5"/>
        <v>human</v>
      </c>
      <c r="E257" t="str">
        <f>VLOOKUP(A257,Classification!A:B,2,FALSE)</f>
        <v>A</v>
      </c>
    </row>
    <row r="258" spans="1:5" x14ac:dyDescent="0.2">
      <c r="A258" t="s">
        <v>186</v>
      </c>
      <c r="B258" t="s">
        <v>615</v>
      </c>
      <c r="C258" t="str">
        <f>IF(ISERROR(MATCH(A258,'SegEnds_Xtal_Prot#'!B:B, 0)), "NoXtal", "Xtal")</f>
        <v>NoXtal</v>
      </c>
      <c r="D258" t="str">
        <f t="shared" si="5"/>
        <v>human</v>
      </c>
      <c r="E258" t="str">
        <f>VLOOKUP(A258,Classification!A:B,2,FALSE)</f>
        <v>A</v>
      </c>
    </row>
    <row r="259" spans="1:5" x14ac:dyDescent="0.2">
      <c r="A259" t="s">
        <v>187</v>
      </c>
      <c r="B259" t="s">
        <v>616</v>
      </c>
      <c r="C259" t="str">
        <f>IF(ISERROR(MATCH(A259,'SegEnds_Xtal_Prot#'!B:B, 0)), "NoXtal", "Xtal")</f>
        <v>NoXtal</v>
      </c>
      <c r="D259" t="str">
        <f t="shared" si="5"/>
        <v>human</v>
      </c>
      <c r="E259" t="str">
        <f>VLOOKUP(A259,Classification!A:B,2,FALSE)</f>
        <v>A</v>
      </c>
    </row>
    <row r="260" spans="1:5" x14ac:dyDescent="0.2">
      <c r="A260" t="s">
        <v>188</v>
      </c>
      <c r="B260" t="s">
        <v>618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189</v>
      </c>
      <c r="B261" t="s">
        <v>619</v>
      </c>
      <c r="C261" t="str">
        <f>IF(ISERROR(MATCH(A261,'SegEnds_Xtal_Prot#'!B:B, 0)), "NoXtal", "Xtal")</f>
        <v>NoXtal</v>
      </c>
      <c r="D261" t="str">
        <f t="shared" ref="D261:D324" si="6">MID(A261,FIND("_",A261)+1,LEN(A261)-FIND("_",A261))</f>
        <v>human</v>
      </c>
      <c r="E261" t="str">
        <f>VLOOKUP(A261,Classification!A:B,2,FALSE)</f>
        <v>A</v>
      </c>
    </row>
    <row r="262" spans="1:5" x14ac:dyDescent="0.2">
      <c r="A262" t="s">
        <v>184</v>
      </c>
      <c r="B262" t="s">
        <v>620</v>
      </c>
      <c r="C262" t="str">
        <f>IF(ISERROR(MATCH(A262,'SegEnds_Xtal_Prot#'!B:B, 0)), "NoXtal", "Xtal")</f>
        <v>NoXtal</v>
      </c>
      <c r="D262" t="str">
        <f t="shared" si="6"/>
        <v>human</v>
      </c>
      <c r="E262" t="str">
        <f>VLOOKUP(A262,Classification!A:B,2,FALSE)</f>
        <v>A</v>
      </c>
    </row>
    <row r="263" spans="1:5" x14ac:dyDescent="0.2">
      <c r="A263" t="s">
        <v>400</v>
      </c>
      <c r="B263" t="s">
        <v>621</v>
      </c>
      <c r="C263" t="str">
        <f>IF(ISERROR(MATCH(A263,'SegEnds_Xtal_Prot#'!B:B, 0)), "NoXtal", "Xtal")</f>
        <v>NoXtal</v>
      </c>
      <c r="D263" t="str">
        <f t="shared" si="6"/>
        <v>human</v>
      </c>
      <c r="E263" t="str">
        <f>VLOOKUP(A263,Classification!A:B,2,FALSE)</f>
        <v>A</v>
      </c>
    </row>
    <row r="264" spans="1:5" x14ac:dyDescent="0.2">
      <c r="A264" t="s">
        <v>142</v>
      </c>
      <c r="B264" t="s">
        <v>622</v>
      </c>
      <c r="C264" t="str">
        <f>IF(ISERROR(MATCH(A264,'SegEnds_Xtal_Prot#'!B:B, 0)), "NoXtal", "Xtal")</f>
        <v>NoXtal</v>
      </c>
      <c r="D264" t="str">
        <f t="shared" si="6"/>
        <v>human</v>
      </c>
      <c r="E264" t="str">
        <f>VLOOKUP(A264,Classification!A:B,2,FALSE)</f>
        <v>A</v>
      </c>
    </row>
    <row r="265" spans="1:5" x14ac:dyDescent="0.2">
      <c r="A265" t="s">
        <v>143</v>
      </c>
      <c r="B265" t="s">
        <v>623</v>
      </c>
      <c r="C265" t="str">
        <f>IF(ISERROR(MATCH(A265,'SegEnds_Xtal_Prot#'!B:B, 0)), "NoXtal", "Xtal")</f>
        <v>NoXtal</v>
      </c>
      <c r="D265" t="str">
        <f t="shared" si="6"/>
        <v>human</v>
      </c>
      <c r="E265" t="str">
        <f>VLOOKUP(A265,Classification!A:B,2,FALSE)</f>
        <v>A</v>
      </c>
    </row>
    <row r="266" spans="1:5" x14ac:dyDescent="0.2">
      <c r="A266" t="s">
        <v>144</v>
      </c>
      <c r="B266" t="s">
        <v>624</v>
      </c>
      <c r="C266" t="str">
        <f>IF(ISERROR(MATCH(A266,'SegEnds_Xtal_Prot#'!B:B, 0)), "NoXtal", "Xtal")</f>
        <v>NoXtal</v>
      </c>
      <c r="D266" t="str">
        <f t="shared" si="6"/>
        <v>human</v>
      </c>
      <c r="E266" t="str">
        <f>VLOOKUP(A266,Classification!A:B,2,FALSE)</f>
        <v>A</v>
      </c>
    </row>
    <row r="267" spans="1:5" x14ac:dyDescent="0.2">
      <c r="A267" t="s">
        <v>145</v>
      </c>
      <c r="B267" t="s">
        <v>625</v>
      </c>
      <c r="C267" t="str">
        <f>IF(ISERROR(MATCH(A267,'SegEnds_Xtal_Prot#'!B:B, 0)), "NoXtal", "Xtal")</f>
        <v>NoXtal</v>
      </c>
      <c r="D267" t="str">
        <f t="shared" si="6"/>
        <v>human</v>
      </c>
      <c r="E267" t="str">
        <f>VLOOKUP(A267,Classification!A:B,2,FALSE)</f>
        <v>A</v>
      </c>
    </row>
    <row r="268" spans="1:5" x14ac:dyDescent="0.2">
      <c r="A268" t="s">
        <v>178</v>
      </c>
      <c r="B268" t="s">
        <v>626</v>
      </c>
      <c r="C268" t="str">
        <f>IF(ISERROR(MATCH(A268,'SegEnds_Xtal_Prot#'!B:B, 0)), "NoXtal", "Xtal")</f>
        <v>NoXtal</v>
      </c>
      <c r="D268" t="str">
        <f t="shared" si="6"/>
        <v>human</v>
      </c>
      <c r="E268" t="str">
        <f>VLOOKUP(A268,Classification!A:B,2,FALSE)</f>
        <v>A</v>
      </c>
    </row>
    <row r="269" spans="1:5" x14ac:dyDescent="0.2">
      <c r="A269" t="s">
        <v>204</v>
      </c>
      <c r="B269" t="s">
        <v>627</v>
      </c>
      <c r="C269" t="str">
        <f>IF(ISERROR(MATCH(A269,'SegEnds_Xtal_Prot#'!B:B, 0)), "NoXtal", "Xtal")</f>
        <v>NoXtal</v>
      </c>
      <c r="D269" t="str">
        <f t="shared" si="6"/>
        <v>human</v>
      </c>
      <c r="E269" t="str">
        <f>VLOOKUP(A269,Classification!A:B,2,FALSE)</f>
        <v>A</v>
      </c>
    </row>
    <row r="270" spans="1:5" x14ac:dyDescent="0.2">
      <c r="A270" t="s">
        <v>286</v>
      </c>
      <c r="B270" t="s">
        <v>628</v>
      </c>
      <c r="C270" t="str">
        <f>IF(ISERROR(MATCH(A270,'SegEnds_Xtal_Prot#'!B:B, 0)), "NoXtal", "Xtal")</f>
        <v>NoXtal</v>
      </c>
      <c r="D270" t="str">
        <f t="shared" si="6"/>
        <v>human</v>
      </c>
      <c r="E270" t="str">
        <f>VLOOKUP(A270,Classification!A:B,2,FALSE)</f>
        <v>A</v>
      </c>
    </row>
    <row r="271" spans="1:5" x14ac:dyDescent="0.2">
      <c r="A271" t="s">
        <v>291</v>
      </c>
      <c r="B271" t="s">
        <v>629</v>
      </c>
      <c r="C271" t="str">
        <f>IF(ISERROR(MATCH(A271,'SegEnds_Xtal_Prot#'!B:B, 0)), "NoXtal", "Xtal")</f>
        <v>NoXtal</v>
      </c>
      <c r="D271" t="str">
        <f t="shared" si="6"/>
        <v>human</v>
      </c>
      <c r="E271" t="str">
        <f>VLOOKUP(A271,Classification!A:B,2,FALSE)</f>
        <v>A</v>
      </c>
    </row>
    <row r="272" spans="1:5" x14ac:dyDescent="0.2">
      <c r="A272" t="s">
        <v>395</v>
      </c>
      <c r="B272" t="s">
        <v>630</v>
      </c>
      <c r="C272" t="str">
        <f>IF(ISERROR(MATCH(A272,'SegEnds_Xtal_Prot#'!B:B, 0)), "NoXtal", "Xtal")</f>
        <v>NoXtal</v>
      </c>
      <c r="D272" t="str">
        <f t="shared" si="6"/>
        <v>human</v>
      </c>
      <c r="E272" t="str">
        <f>VLOOKUP(A272,Classification!A:B,2,FALSE)</f>
        <v>A</v>
      </c>
    </row>
    <row r="273" spans="1:5" x14ac:dyDescent="0.2">
      <c r="A273" t="s">
        <v>367</v>
      </c>
      <c r="B273" t="s">
        <v>631</v>
      </c>
      <c r="C273" t="str">
        <f>IF(ISERROR(MATCH(A273,'SegEnds_Xtal_Prot#'!B:B, 0)), "NoXtal", "Xtal")</f>
        <v>NoXtal</v>
      </c>
      <c r="D273" t="str">
        <f t="shared" si="6"/>
        <v>human</v>
      </c>
      <c r="E273" t="str">
        <f>VLOOKUP(A273,Classification!A:B,2,FALSE)</f>
        <v>A</v>
      </c>
    </row>
    <row r="274" spans="1:5" x14ac:dyDescent="0.2">
      <c r="A274" t="s">
        <v>368</v>
      </c>
      <c r="B274" t="s">
        <v>632</v>
      </c>
      <c r="C274" t="str">
        <f>IF(ISERROR(MATCH(A274,'SegEnds_Xtal_Prot#'!B:B, 0)), "NoXtal", "Xtal")</f>
        <v>NoXtal</v>
      </c>
      <c r="D274" t="str">
        <f t="shared" si="6"/>
        <v>human</v>
      </c>
      <c r="E274" t="str">
        <f>VLOOKUP(A274,Classification!A:B,2,FALSE)</f>
        <v>A</v>
      </c>
    </row>
    <row r="275" spans="1:5" x14ac:dyDescent="0.2">
      <c r="A275" t="s">
        <v>198</v>
      </c>
      <c r="B275" t="s">
        <v>634</v>
      </c>
      <c r="C275" t="str">
        <f>IF(ISERROR(MATCH(A275,'SegEnds_Xtal_Prot#'!B:B, 0)), "NoXtal", "Xtal")</f>
        <v>NoXtal</v>
      </c>
      <c r="D275" t="str">
        <f t="shared" si="6"/>
        <v>human</v>
      </c>
      <c r="E275" t="str">
        <f>VLOOKUP(A275,Classification!A:B,2,FALSE)</f>
        <v>A</v>
      </c>
    </row>
    <row r="276" spans="1:5" x14ac:dyDescent="0.2">
      <c r="A276" t="s">
        <v>199</v>
      </c>
      <c r="B276" t="s">
        <v>635</v>
      </c>
      <c r="C276" t="str">
        <f>IF(ISERROR(MATCH(A276,'SegEnds_Xtal_Prot#'!B:B, 0)), "NoXtal", "Xtal")</f>
        <v>NoXtal</v>
      </c>
      <c r="D276" t="str">
        <f t="shared" si="6"/>
        <v>human</v>
      </c>
      <c r="E276" t="str">
        <f>VLOOKUP(A276,Classification!A:B,2,FALSE)</f>
        <v>A</v>
      </c>
    </row>
    <row r="277" spans="1:5" x14ac:dyDescent="0.2">
      <c r="A277" t="s">
        <v>200</v>
      </c>
      <c r="B277" t="s">
        <v>636</v>
      </c>
      <c r="C277" t="str">
        <f>IF(ISERROR(MATCH(A277,'SegEnds_Xtal_Prot#'!B:B, 0)), "NoXtal", "Xtal")</f>
        <v>NoXtal</v>
      </c>
      <c r="D277" t="str">
        <f t="shared" si="6"/>
        <v>human</v>
      </c>
      <c r="E277" t="str">
        <f>VLOOKUP(A277,Classification!A:B,2,FALSE)</f>
        <v>A</v>
      </c>
    </row>
    <row r="278" spans="1:5" x14ac:dyDescent="0.2">
      <c r="A278" t="s">
        <v>258</v>
      </c>
      <c r="B278" t="s">
        <v>637</v>
      </c>
      <c r="C278" t="str">
        <f>IF(ISERROR(MATCH(A278,'SegEnds_Xtal_Prot#'!B:B, 0)), "NoXtal", "Xtal")</f>
        <v>NoXtal</v>
      </c>
      <c r="D278" t="str">
        <f t="shared" si="6"/>
        <v>human</v>
      </c>
      <c r="E278" t="str">
        <f>VLOOKUP(A278,Classification!A:B,2,FALSE)</f>
        <v>A</v>
      </c>
    </row>
    <row r="279" spans="1:5" x14ac:dyDescent="0.2">
      <c r="A279" t="s">
        <v>292</v>
      </c>
      <c r="B279" t="s">
        <v>638</v>
      </c>
      <c r="C279" t="str">
        <f>IF(ISERROR(MATCH(A279,'SegEnds_Xtal_Prot#'!B:B, 0)), "NoXtal", "Xtal")</f>
        <v>NoXtal</v>
      </c>
      <c r="D279" t="str">
        <f t="shared" si="6"/>
        <v>human</v>
      </c>
      <c r="E279" t="str">
        <f>VLOOKUP(A279,Classification!A:B,2,FALSE)</f>
        <v>A</v>
      </c>
    </row>
    <row r="280" spans="1:5" x14ac:dyDescent="0.2">
      <c r="A280" t="s">
        <v>293</v>
      </c>
      <c r="B280" t="s">
        <v>639</v>
      </c>
      <c r="C280" t="str">
        <f>IF(ISERROR(MATCH(A280,'SegEnds_Xtal_Prot#'!B:B, 0)), "NoXtal", "Xtal")</f>
        <v>NoXtal</v>
      </c>
      <c r="D280" t="str">
        <f t="shared" si="6"/>
        <v>human</v>
      </c>
      <c r="E280" t="str">
        <f>VLOOKUP(A280,Classification!A:B,2,FALSE)</f>
        <v>A</v>
      </c>
    </row>
    <row r="281" spans="1:5" x14ac:dyDescent="0.2">
      <c r="A281" t="s">
        <v>179</v>
      </c>
      <c r="B281" t="s">
        <v>640</v>
      </c>
      <c r="C281" t="str">
        <f>IF(ISERROR(MATCH(A281,'SegEnds_Xtal_Prot#'!B:B, 0)), "NoXtal", "Xtal")</f>
        <v>NoXtal</v>
      </c>
      <c r="D281" t="str">
        <f t="shared" si="6"/>
        <v>human</v>
      </c>
      <c r="E281" t="str">
        <f>VLOOKUP(A281,Classification!A:B,2,FALSE)</f>
        <v>A</v>
      </c>
    </row>
    <row r="282" spans="1:5" x14ac:dyDescent="0.2">
      <c r="A282" t="s">
        <v>180</v>
      </c>
      <c r="B282" t="s">
        <v>641</v>
      </c>
      <c r="C282" t="str">
        <f>IF(ISERROR(MATCH(A282,'SegEnds_Xtal_Prot#'!B:B, 0)), "NoXtal", "Xtal")</f>
        <v>NoXtal</v>
      </c>
      <c r="D282" t="str">
        <f t="shared" si="6"/>
        <v>human</v>
      </c>
      <c r="E282" t="str">
        <f>VLOOKUP(A282,Classification!A:B,2,FALSE)</f>
        <v>A</v>
      </c>
    </row>
    <row r="283" spans="1:5" x14ac:dyDescent="0.2">
      <c r="A283" t="s">
        <v>342</v>
      </c>
      <c r="B283" t="s">
        <v>642</v>
      </c>
      <c r="C283" t="str">
        <f>IF(ISERROR(MATCH(A283,'SegEnds_Xtal_Prot#'!B:B, 0)), "NoXtal", "Xtal")</f>
        <v>NoXtal</v>
      </c>
      <c r="D283" t="str">
        <f t="shared" si="6"/>
        <v>human</v>
      </c>
      <c r="E283" t="str">
        <f>VLOOKUP(A283,Classification!A:B,2,FALSE)</f>
        <v>A</v>
      </c>
    </row>
    <row r="284" spans="1:5" x14ac:dyDescent="0.2">
      <c r="A284" t="s">
        <v>287</v>
      </c>
      <c r="B284" t="s">
        <v>645</v>
      </c>
      <c r="C284" t="str">
        <f>IF(ISERROR(MATCH(A284,'SegEnds_Xtal_Prot#'!B:B, 0)), "NoXtal", "Xtal")</f>
        <v>NoXtal</v>
      </c>
      <c r="D284" t="str">
        <f t="shared" si="6"/>
        <v>human</v>
      </c>
      <c r="E284" t="str">
        <f>VLOOKUP(A284,Classification!A:B,2,FALSE)</f>
        <v>A</v>
      </c>
    </row>
    <row r="285" spans="1:5" x14ac:dyDescent="0.2">
      <c r="A285" t="s">
        <v>288</v>
      </c>
      <c r="B285" t="s">
        <v>646</v>
      </c>
      <c r="C285" t="str">
        <f>IF(ISERROR(MATCH(A285,'SegEnds_Xtal_Prot#'!B:B, 0)), "NoXtal", "Xtal")</f>
        <v>NoXtal</v>
      </c>
      <c r="D285" t="str">
        <f t="shared" si="6"/>
        <v>human</v>
      </c>
      <c r="E285" t="str">
        <f>VLOOKUP(A285,Classification!A:B,2,FALSE)</f>
        <v>A</v>
      </c>
    </row>
    <row r="286" spans="1:5" x14ac:dyDescent="0.2">
      <c r="A286" t="s">
        <v>289</v>
      </c>
      <c r="B286" t="s">
        <v>647</v>
      </c>
      <c r="C286" t="str">
        <f>IF(ISERROR(MATCH(A286,'SegEnds_Xtal_Prot#'!B:B, 0)), "NoXtal", "Xtal")</f>
        <v>NoXtal</v>
      </c>
      <c r="D286" t="str">
        <f t="shared" si="6"/>
        <v>human</v>
      </c>
      <c r="E286" t="str">
        <f>VLOOKUP(A286,Classification!A:B,2,FALSE)</f>
        <v>A</v>
      </c>
    </row>
    <row r="287" spans="1:5" x14ac:dyDescent="0.2">
      <c r="A287" t="s">
        <v>290</v>
      </c>
      <c r="B287" t="s">
        <v>648</v>
      </c>
      <c r="C287" t="str">
        <f>IF(ISERROR(MATCH(A287,'SegEnds_Xtal_Prot#'!B:B, 0)), "NoXtal", "Xtal")</f>
        <v>NoXtal</v>
      </c>
      <c r="D287" t="str">
        <f t="shared" si="6"/>
        <v>human</v>
      </c>
      <c r="E287" t="str">
        <f>VLOOKUP(A287,Classification!A:B,2,FALSE)</f>
        <v>A</v>
      </c>
    </row>
    <row r="288" spans="1:5" x14ac:dyDescent="0.2">
      <c r="A288" t="s">
        <v>377</v>
      </c>
      <c r="B288" t="s">
        <v>650</v>
      </c>
      <c r="C288" t="str">
        <f>IF(ISERROR(MATCH(A288,'SegEnds_Xtal_Prot#'!B:B, 0)), "NoXtal", "Xtal")</f>
        <v>NoXtal</v>
      </c>
      <c r="D288" t="str">
        <f t="shared" si="6"/>
        <v>human</v>
      </c>
      <c r="E288" t="str">
        <f>VLOOKUP(A288,Classification!A:B,2,FALSE)</f>
        <v>A</v>
      </c>
    </row>
    <row r="289" spans="1:5" x14ac:dyDescent="0.2">
      <c r="A289" t="s">
        <v>378</v>
      </c>
      <c r="B289" t="s">
        <v>651</v>
      </c>
      <c r="C289" t="str">
        <f>IF(ISERROR(MATCH(A289,'SegEnds_Xtal_Prot#'!B:B, 0)), "NoXtal", "Xtal")</f>
        <v>NoXtal</v>
      </c>
      <c r="D289" t="str">
        <f t="shared" si="6"/>
        <v>human</v>
      </c>
      <c r="E289" t="str">
        <f>VLOOKUP(A289,Classification!A:B,2,FALSE)</f>
        <v>A</v>
      </c>
    </row>
    <row r="290" spans="1:5" x14ac:dyDescent="0.2">
      <c r="A290" t="s">
        <v>379</v>
      </c>
      <c r="B290" t="s">
        <v>652</v>
      </c>
      <c r="C290" t="str">
        <f>IF(ISERROR(MATCH(A290,'SegEnds_Xtal_Prot#'!B:B, 0)), "NoXtal", "Xtal")</f>
        <v>NoXtal</v>
      </c>
      <c r="D290" t="str">
        <f t="shared" si="6"/>
        <v>human</v>
      </c>
      <c r="E290" t="str">
        <f>VLOOKUP(A290,Classification!A:B,2,FALSE)</f>
        <v>A</v>
      </c>
    </row>
    <row r="291" spans="1:5" x14ac:dyDescent="0.2">
      <c r="A291" t="s">
        <v>380</v>
      </c>
      <c r="B291" t="s">
        <v>653</v>
      </c>
      <c r="C291" t="str">
        <f>IF(ISERROR(MATCH(A291,'SegEnds_Xtal_Prot#'!B:B, 0)), "NoXtal", "Xtal")</f>
        <v>NoXtal</v>
      </c>
      <c r="D291" t="str">
        <f t="shared" si="6"/>
        <v>human</v>
      </c>
      <c r="E291" t="str">
        <f>VLOOKUP(A291,Classification!A:B,2,FALSE)</f>
        <v>A</v>
      </c>
    </row>
    <row r="292" spans="1:5" x14ac:dyDescent="0.2">
      <c r="A292" t="s">
        <v>182</v>
      </c>
      <c r="B292" t="s">
        <v>654</v>
      </c>
      <c r="C292" t="str">
        <f>IF(ISERROR(MATCH(A292,'SegEnds_Xtal_Prot#'!B:B, 0)), "NoXtal", "Xtal")</f>
        <v>Xtal</v>
      </c>
      <c r="D292" t="str">
        <f t="shared" si="6"/>
        <v>human</v>
      </c>
      <c r="E292" t="str">
        <f>VLOOKUP(A292,Classification!A:B,2,FALSE)</f>
        <v>A</v>
      </c>
    </row>
    <row r="293" spans="1:5" x14ac:dyDescent="0.2">
      <c r="A293" t="s">
        <v>183</v>
      </c>
      <c r="B293" t="s">
        <v>655</v>
      </c>
      <c r="C293" t="str">
        <f>IF(ISERROR(MATCH(A293,'SegEnds_Xtal_Prot#'!B:B, 0)), "NoXtal", "Xtal")</f>
        <v>NoXtal</v>
      </c>
      <c r="D293" t="str">
        <f t="shared" si="6"/>
        <v>human</v>
      </c>
      <c r="E293" t="str">
        <f>VLOOKUP(A293,Classification!A:B,2,FALSE)</f>
        <v>A</v>
      </c>
    </row>
    <row r="294" spans="1:5" x14ac:dyDescent="0.2">
      <c r="A294" t="s">
        <v>241</v>
      </c>
      <c r="B294" t="s">
        <v>656</v>
      </c>
      <c r="C294" t="str">
        <f>IF(ISERROR(MATCH(A294,'SegEnds_Xtal_Prot#'!B:B, 0)), "NoXtal", "Xtal")</f>
        <v>NoXtal</v>
      </c>
      <c r="D294" t="str">
        <f t="shared" si="6"/>
        <v>human</v>
      </c>
      <c r="E294" t="str">
        <f>VLOOKUP(A294,Classification!A:B,2,FALSE)</f>
        <v>A</v>
      </c>
    </row>
    <row r="295" spans="1:5" x14ac:dyDescent="0.2">
      <c r="A295" t="s">
        <v>261</v>
      </c>
      <c r="B295" t="s">
        <v>657</v>
      </c>
      <c r="C295" t="str">
        <f>IF(ISERROR(MATCH(A295,'SegEnds_Xtal_Prot#'!B:B, 0)), "NoXtal", "Xtal")</f>
        <v>NoXtal</v>
      </c>
      <c r="D295" t="str">
        <f t="shared" si="6"/>
        <v>human</v>
      </c>
      <c r="E295" t="str">
        <f>VLOOKUP(A295,Classification!A:B,2,FALSE)</f>
        <v>A</v>
      </c>
    </row>
    <row r="296" spans="1:5" x14ac:dyDescent="0.2">
      <c r="A296" t="s">
        <v>213</v>
      </c>
      <c r="B296" t="s">
        <v>658</v>
      </c>
      <c r="C296" t="str">
        <f>IF(ISERROR(MATCH(A296,'SegEnds_Xtal_Prot#'!B:B, 0)), "NoXtal", "Xtal")</f>
        <v>NoXtal</v>
      </c>
      <c r="D296" t="str">
        <f t="shared" si="6"/>
        <v>human</v>
      </c>
      <c r="E296" t="str">
        <f>VLOOKUP(A296,Classification!A:B,2,FALSE)</f>
        <v>A</v>
      </c>
    </row>
    <row r="297" spans="1:5" x14ac:dyDescent="0.2">
      <c r="A297" t="s">
        <v>371</v>
      </c>
      <c r="B297" t="s">
        <v>659</v>
      </c>
      <c r="C297" t="str">
        <f>IF(ISERROR(MATCH(A297,'SegEnds_Xtal_Prot#'!B:B, 0)), "NoXtal", "Xtal")</f>
        <v>NoXtal</v>
      </c>
      <c r="D297" t="str">
        <f t="shared" si="6"/>
        <v>human</v>
      </c>
      <c r="E297" t="str">
        <f>VLOOKUP(A297,Classification!A:B,2,FALSE)</f>
        <v>A</v>
      </c>
    </row>
    <row r="298" spans="1:5" x14ac:dyDescent="0.2">
      <c r="A298" t="s">
        <v>359</v>
      </c>
      <c r="B298" t="s">
        <v>660</v>
      </c>
      <c r="C298" t="str">
        <f>IF(ISERROR(MATCH(A298,'SegEnds_Xtal_Prot#'!B:B, 0)), "NoXtal", "Xtal")</f>
        <v>NoXtal</v>
      </c>
      <c r="D298" t="str">
        <f t="shared" si="6"/>
        <v>human</v>
      </c>
      <c r="E298" t="str">
        <f>VLOOKUP(A298,Classification!A:B,2,FALSE)</f>
        <v>A</v>
      </c>
    </row>
    <row r="299" spans="1:5" x14ac:dyDescent="0.2">
      <c r="A299" t="s">
        <v>360</v>
      </c>
      <c r="B299" t="s">
        <v>661</v>
      </c>
      <c r="C299" t="str">
        <f>IF(ISERROR(MATCH(A299,'SegEnds_Xtal_Prot#'!B:B, 0)), "NoXtal", "Xtal")</f>
        <v>NoXtal</v>
      </c>
      <c r="D299" t="str">
        <f t="shared" si="6"/>
        <v>human</v>
      </c>
      <c r="E299" t="str">
        <f>VLOOKUP(A299,Classification!A:B,2,FALSE)</f>
        <v>A</v>
      </c>
    </row>
    <row r="300" spans="1:5" x14ac:dyDescent="0.2">
      <c r="A300" t="s">
        <v>361</v>
      </c>
      <c r="B300" t="s">
        <v>662</v>
      </c>
      <c r="C300" t="str">
        <f>IF(ISERROR(MATCH(A300,'SegEnds_Xtal_Prot#'!B:B, 0)), "NoXtal", "Xtal")</f>
        <v>NoXtal</v>
      </c>
      <c r="D300" t="str">
        <f t="shared" si="6"/>
        <v>human</v>
      </c>
      <c r="E300" t="str">
        <f>VLOOKUP(A300,Classification!A:B,2,FALSE)</f>
        <v>A</v>
      </c>
    </row>
    <row r="301" spans="1:5" x14ac:dyDescent="0.2">
      <c r="A301" t="s">
        <v>362</v>
      </c>
      <c r="B301" t="s">
        <v>663</v>
      </c>
      <c r="C301" t="str">
        <f>IF(ISERROR(MATCH(A301,'SegEnds_Xtal_Prot#'!B:B, 0)), "NoXtal", "Xtal")</f>
        <v>NoXtal</v>
      </c>
      <c r="D301" t="str">
        <f t="shared" si="6"/>
        <v>human</v>
      </c>
      <c r="E301" t="str">
        <f>VLOOKUP(A301,Classification!A:B,2,FALSE)</f>
        <v>A</v>
      </c>
    </row>
    <row r="302" spans="1:5" x14ac:dyDescent="0.2">
      <c r="A302" t="s">
        <v>363</v>
      </c>
      <c r="B302" t="s">
        <v>664</v>
      </c>
      <c r="C302" t="str">
        <f>IF(ISERROR(MATCH(A302,'SegEnds_Xtal_Prot#'!B:B, 0)), "NoXtal", "Xtal")</f>
        <v>NoXtal</v>
      </c>
      <c r="D302" t="str">
        <f t="shared" si="6"/>
        <v>human</v>
      </c>
      <c r="E302" t="str">
        <f>VLOOKUP(A302,Classification!A:B,2,FALSE)</f>
        <v>A</v>
      </c>
    </row>
    <row r="303" spans="1:5" x14ac:dyDescent="0.2">
      <c r="A303" t="s">
        <v>364</v>
      </c>
      <c r="B303" t="s">
        <v>665</v>
      </c>
      <c r="C303" t="str">
        <f>IF(ISERROR(MATCH(A303,'SegEnds_Xtal_Prot#'!B:B, 0)), "NoXtal", "Xtal")</f>
        <v>NoXtal</v>
      </c>
      <c r="D303" t="str">
        <f t="shared" si="6"/>
        <v>human</v>
      </c>
      <c r="E303" t="str">
        <f>VLOOKUP(A303,Classification!A:B,2,FALSE)</f>
        <v>A</v>
      </c>
    </row>
    <row r="304" spans="1:5" x14ac:dyDescent="0.2">
      <c r="A304" t="s">
        <v>365</v>
      </c>
      <c r="B304" t="s">
        <v>666</v>
      </c>
      <c r="C304" t="str">
        <f>IF(ISERROR(MATCH(A304,'SegEnds_Xtal_Prot#'!B:B, 0)), "NoXtal", "Xtal")</f>
        <v>NoXtal</v>
      </c>
      <c r="D304" t="str">
        <f t="shared" si="6"/>
        <v>human</v>
      </c>
      <c r="E304" t="str">
        <f>VLOOKUP(A304,Classification!A:B,2,FALSE)</f>
        <v>A</v>
      </c>
    </row>
    <row r="305" spans="1:5" x14ac:dyDescent="0.2">
      <c r="A305" t="s">
        <v>366</v>
      </c>
      <c r="B305" t="s">
        <v>667</v>
      </c>
      <c r="C305" t="str">
        <f>IF(ISERROR(MATCH(A305,'SegEnds_Xtal_Prot#'!B:B, 0)), "NoXtal", "Xtal")</f>
        <v>NoXtal</v>
      </c>
      <c r="D305" t="str">
        <f t="shared" si="6"/>
        <v>human</v>
      </c>
      <c r="E305" t="str">
        <f>VLOOKUP(A305,Classification!A:B,2,FALSE)</f>
        <v>A</v>
      </c>
    </row>
    <row r="306" spans="1:5" x14ac:dyDescent="0.2">
      <c r="A306" t="s">
        <v>473</v>
      </c>
      <c r="B306" t="s">
        <v>668</v>
      </c>
      <c r="C306" t="str">
        <f>IF(ISERROR(MATCH(A306,'SegEnds_Xtal_Prot#'!B:B, 0)), "NoXtal", "Xtal")</f>
        <v>NoXtal</v>
      </c>
      <c r="D306" t="str">
        <f t="shared" si="6"/>
        <v>human</v>
      </c>
      <c r="E306" t="str">
        <f>VLOOKUP(A306,Classification!A:B,2,FALSE)</f>
        <v>A</v>
      </c>
    </row>
    <row r="307" spans="1:5" x14ac:dyDescent="0.2">
      <c r="A307" t="s">
        <v>311</v>
      </c>
      <c r="B307" t="s">
        <v>669</v>
      </c>
      <c r="C307" t="str">
        <f>IF(ISERROR(MATCH(A307,'SegEnds_Xtal_Prot#'!B:B, 0)), "NoXtal", "Xtal")</f>
        <v>NoXtal</v>
      </c>
      <c r="D307" t="str">
        <f t="shared" si="6"/>
        <v>human</v>
      </c>
      <c r="E307" t="str">
        <f>VLOOKUP(A307,Classification!A:B,2,FALSE)</f>
        <v>A</v>
      </c>
    </row>
    <row r="308" spans="1:5" x14ac:dyDescent="0.2">
      <c r="A308" t="s">
        <v>312</v>
      </c>
      <c r="B308" t="s">
        <v>670</v>
      </c>
      <c r="C308" t="str">
        <f>IF(ISERROR(MATCH(A308,'SegEnds_Xtal_Prot#'!B:B, 0)), "NoXtal", "Xtal")</f>
        <v>NoXtal</v>
      </c>
      <c r="D308" t="str">
        <f t="shared" si="6"/>
        <v>human</v>
      </c>
      <c r="E308" t="str">
        <f>VLOOKUP(A308,Classification!A:B,2,FALSE)</f>
        <v>A</v>
      </c>
    </row>
    <row r="309" spans="1:5" x14ac:dyDescent="0.2">
      <c r="A309" t="s">
        <v>138</v>
      </c>
      <c r="B309" t="s">
        <v>671</v>
      </c>
      <c r="C309" t="str">
        <f>IF(ISERROR(MATCH(A309,'SegEnds_Xtal_Prot#'!B:B, 0)), "NoXtal", "Xtal")</f>
        <v>Xtal</v>
      </c>
      <c r="D309" t="str">
        <f t="shared" si="6"/>
        <v>human</v>
      </c>
      <c r="E309" t="str">
        <f>VLOOKUP(A309,Classification!A:B,2,FALSE)</f>
        <v>A</v>
      </c>
    </row>
    <row r="310" spans="1:5" x14ac:dyDescent="0.2">
      <c r="A310" t="s">
        <v>140</v>
      </c>
      <c r="B310" t="s">
        <v>673</v>
      </c>
      <c r="C310" t="str">
        <f>IF(ISERROR(MATCH(A310,'SegEnds_Xtal_Prot#'!B:B, 0)), "NoXtal", "Xtal")</f>
        <v>NoXtal</v>
      </c>
      <c r="D310" t="str">
        <f t="shared" si="6"/>
        <v>human</v>
      </c>
      <c r="E310" t="str">
        <f>VLOOKUP(A310,Classification!A:B,2,FALSE)</f>
        <v>A</v>
      </c>
    </row>
    <row r="311" spans="1:5" x14ac:dyDescent="0.2">
      <c r="A311" t="s">
        <v>141</v>
      </c>
      <c r="B311" t="s">
        <v>674</v>
      </c>
      <c r="C311" t="str">
        <f>IF(ISERROR(MATCH(A311,'SegEnds_Xtal_Prot#'!B:B, 0)), "NoXtal", "Xtal")</f>
        <v>NoXtal</v>
      </c>
      <c r="D311" t="str">
        <f t="shared" si="6"/>
        <v>human</v>
      </c>
      <c r="E311" t="str">
        <f>VLOOKUP(A311,Classification!A:B,2,FALSE)</f>
        <v>A</v>
      </c>
    </row>
    <row r="312" spans="1:5" x14ac:dyDescent="0.2">
      <c r="A312" t="s">
        <v>346</v>
      </c>
      <c r="B312" t="s">
        <v>676</v>
      </c>
      <c r="C312" t="str">
        <f>IF(ISERROR(MATCH(A312,'SegEnds_Xtal_Prot#'!B:B, 0)), "NoXtal", "Xtal")</f>
        <v>NoXtal</v>
      </c>
      <c r="D312" t="str">
        <f t="shared" si="6"/>
        <v>human</v>
      </c>
      <c r="E312" t="str">
        <f>VLOOKUP(A312,Classification!A:B,2,FALSE)</f>
        <v>A</v>
      </c>
    </row>
    <row r="313" spans="1:5" x14ac:dyDescent="0.2">
      <c r="A313" t="s">
        <v>347</v>
      </c>
      <c r="B313" t="s">
        <v>677</v>
      </c>
      <c r="C313" t="str">
        <f>IF(ISERROR(MATCH(A313,'SegEnds_Xtal_Prot#'!B:B, 0)), "NoXtal", "Xtal")</f>
        <v>NoXtal</v>
      </c>
      <c r="D313" t="str">
        <f t="shared" si="6"/>
        <v>human</v>
      </c>
      <c r="E313" t="str">
        <f>VLOOKUP(A313,Classification!A:B,2,FALSE)</f>
        <v>A</v>
      </c>
    </row>
    <row r="314" spans="1:5" x14ac:dyDescent="0.2">
      <c r="A314" t="s">
        <v>348</v>
      </c>
      <c r="B314" t="s">
        <v>678</v>
      </c>
      <c r="C314" t="str">
        <f>IF(ISERROR(MATCH(A314,'SegEnds_Xtal_Prot#'!B:B, 0)), "NoXtal", "Xtal")</f>
        <v>NoXtal</v>
      </c>
      <c r="D314" t="str">
        <f t="shared" si="6"/>
        <v>human</v>
      </c>
      <c r="E314" t="str">
        <f>VLOOKUP(A314,Classification!A:B,2,FALSE)</f>
        <v>A</v>
      </c>
    </row>
    <row r="315" spans="1:5" x14ac:dyDescent="0.2">
      <c r="A315" t="s">
        <v>351</v>
      </c>
      <c r="B315" t="s">
        <v>679</v>
      </c>
      <c r="C315" t="str">
        <f>IF(ISERROR(MATCH(A315,'SegEnds_Xtal_Prot#'!B:B, 0)), "NoXtal", "Xtal")</f>
        <v>NoXtal</v>
      </c>
      <c r="D315" t="str">
        <f t="shared" si="6"/>
        <v>human</v>
      </c>
      <c r="E315" t="str">
        <f>VLOOKUP(A315,Classification!A:B,2,FALSE)</f>
        <v>A</v>
      </c>
    </row>
    <row r="316" spans="1:5" x14ac:dyDescent="0.2">
      <c r="A316" t="s">
        <v>353</v>
      </c>
      <c r="B316" t="s">
        <v>681</v>
      </c>
      <c r="C316" t="str">
        <f>IF(ISERROR(MATCH(A316,'SegEnds_Xtal_Prot#'!B:B, 0)), "NoXtal", "Xtal")</f>
        <v>NoXtal</v>
      </c>
      <c r="D316" t="str">
        <f t="shared" si="6"/>
        <v>human</v>
      </c>
      <c r="E316" t="str">
        <f>VLOOKUP(A316,Classification!A:B,2,FALSE)</f>
        <v>A</v>
      </c>
    </row>
    <row r="317" spans="1:5" x14ac:dyDescent="0.2">
      <c r="A317" t="s">
        <v>354</v>
      </c>
      <c r="B317" t="s">
        <v>682</v>
      </c>
      <c r="C317" t="str">
        <f>IF(ISERROR(MATCH(A317,'SegEnds_Xtal_Prot#'!B:B, 0)), "NoXtal", "Xtal")</f>
        <v>NoXtal</v>
      </c>
      <c r="D317" t="str">
        <f t="shared" si="6"/>
        <v>human</v>
      </c>
      <c r="E317" t="str">
        <f>VLOOKUP(A317,Classification!A:B,2,FALSE)</f>
        <v>A</v>
      </c>
    </row>
    <row r="318" spans="1:5" x14ac:dyDescent="0.2">
      <c r="A318" t="s">
        <v>235</v>
      </c>
      <c r="B318" t="s">
        <v>683</v>
      </c>
      <c r="C318" t="str">
        <f>IF(ISERROR(MATCH(A318,'SegEnds_Xtal_Prot#'!B:B, 0)), "NoXtal", "Xtal")</f>
        <v>NoXtal</v>
      </c>
      <c r="D318" t="str">
        <f t="shared" si="6"/>
        <v>human</v>
      </c>
      <c r="E318" t="str">
        <f>VLOOKUP(A318,Classification!A:B,2,FALSE)</f>
        <v>A</v>
      </c>
    </row>
    <row r="319" spans="1:5" x14ac:dyDescent="0.2">
      <c r="A319" t="s">
        <v>236</v>
      </c>
      <c r="B319" t="s">
        <v>684</v>
      </c>
      <c r="C319" t="str">
        <f>IF(ISERROR(MATCH(A319,'SegEnds_Xtal_Prot#'!B:B, 0)), "NoXtal", "Xtal")</f>
        <v>NoXtal</v>
      </c>
      <c r="D319" t="str">
        <f t="shared" si="6"/>
        <v>human</v>
      </c>
      <c r="E319" t="str">
        <f>VLOOKUP(A319,Classification!A:B,2,FALSE)</f>
        <v>A</v>
      </c>
    </row>
    <row r="320" spans="1:5" x14ac:dyDescent="0.2">
      <c r="A320" t="s">
        <v>275</v>
      </c>
      <c r="B320" t="s">
        <v>685</v>
      </c>
      <c r="C320" t="str">
        <f>IF(ISERROR(MATCH(A320,'SegEnds_Xtal_Prot#'!B:B, 0)), "NoXtal", "Xtal")</f>
        <v>NoXtal</v>
      </c>
      <c r="D320" t="str">
        <f t="shared" si="6"/>
        <v>human</v>
      </c>
      <c r="E320" t="str">
        <f>VLOOKUP(A320,Classification!A:B,2,FALSE)</f>
        <v>A</v>
      </c>
    </row>
    <row r="321" spans="1:5" x14ac:dyDescent="0.2">
      <c r="A321" t="s">
        <v>276</v>
      </c>
      <c r="B321" t="s">
        <v>686</v>
      </c>
      <c r="C321" t="str">
        <f>IF(ISERROR(MATCH(A321,'SegEnds_Xtal_Prot#'!B:B, 0)), "NoXtal", "Xtal")</f>
        <v>NoXtal</v>
      </c>
      <c r="D321" t="str">
        <f t="shared" si="6"/>
        <v>human</v>
      </c>
      <c r="E321" t="str">
        <f>VLOOKUP(A321,Classification!A:B,2,FALSE)</f>
        <v>A</v>
      </c>
    </row>
    <row r="322" spans="1:5" x14ac:dyDescent="0.2">
      <c r="A322" t="s">
        <v>277</v>
      </c>
      <c r="B322" t="s">
        <v>687</v>
      </c>
      <c r="C322" t="str">
        <f>IF(ISERROR(MATCH(A322,'SegEnds_Xtal_Prot#'!B:B, 0)), "NoXtal", "Xtal")</f>
        <v>NoXtal</v>
      </c>
      <c r="D322" t="str">
        <f t="shared" si="6"/>
        <v>human</v>
      </c>
      <c r="E322" t="str">
        <f>VLOOKUP(A322,Classification!A:B,2,FALSE)</f>
        <v>A</v>
      </c>
    </row>
    <row r="323" spans="1:5" x14ac:dyDescent="0.2">
      <c r="A323" t="s">
        <v>343</v>
      </c>
      <c r="B323" t="s">
        <v>688</v>
      </c>
      <c r="C323" t="str">
        <f>IF(ISERROR(MATCH(A323,'SegEnds_Xtal_Prot#'!B:B, 0)), "NoXtal", "Xtal")</f>
        <v>NoXtal</v>
      </c>
      <c r="D323" t="str">
        <f t="shared" si="6"/>
        <v>human</v>
      </c>
      <c r="E323" t="str">
        <f>VLOOKUP(A323,Classification!A:B,2,FALSE)</f>
        <v>A</v>
      </c>
    </row>
    <row r="324" spans="1:5" x14ac:dyDescent="0.2">
      <c r="A324" t="s">
        <v>386</v>
      </c>
      <c r="B324" t="s">
        <v>689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333</v>
      </c>
      <c r="B325" t="s">
        <v>691</v>
      </c>
      <c r="C325" t="str">
        <f>IF(ISERROR(MATCH(A325,'SegEnds_Xtal_Prot#'!B:B, 0)), "NoXtal", "Xtal")</f>
        <v>NoXtal</v>
      </c>
      <c r="D325" t="str">
        <f t="shared" ref="D325:D388" si="7">MID(A325,FIND("_",A325)+1,LEN(A325)-FIND("_",A325))</f>
        <v>human</v>
      </c>
      <c r="E325" t="str">
        <f>VLOOKUP(A325,Classification!A:B,2,FALSE)</f>
        <v>A</v>
      </c>
    </row>
    <row r="326" spans="1:5" x14ac:dyDescent="0.2">
      <c r="A326" t="s">
        <v>332</v>
      </c>
      <c r="B326" t="s">
        <v>692</v>
      </c>
      <c r="C326" t="str">
        <f>IF(ISERROR(MATCH(A326,'SegEnds_Xtal_Prot#'!B:B, 0)), "NoXtal", "Xtal")</f>
        <v>NoXtal</v>
      </c>
      <c r="D326" t="str">
        <f t="shared" si="7"/>
        <v>human</v>
      </c>
      <c r="E326" t="str">
        <f>VLOOKUP(A326,Classification!A:B,2,FALSE)</f>
        <v>A</v>
      </c>
    </row>
    <row r="327" spans="1:5" x14ac:dyDescent="0.2">
      <c r="A327" t="s">
        <v>334</v>
      </c>
      <c r="B327" t="s">
        <v>693</v>
      </c>
      <c r="C327" t="str">
        <f>IF(ISERROR(MATCH(A327,'SegEnds_Xtal_Prot#'!B:B, 0)), "NoXtal", "Xtal")</f>
        <v>NoXtal</v>
      </c>
      <c r="D327" t="str">
        <f t="shared" si="7"/>
        <v>human</v>
      </c>
      <c r="E327" t="str">
        <f>VLOOKUP(A327,Classification!A:B,2,FALSE)</f>
        <v>A</v>
      </c>
    </row>
    <row r="328" spans="1:5" x14ac:dyDescent="0.2">
      <c r="A328" t="s">
        <v>338</v>
      </c>
      <c r="B328" t="s">
        <v>694</v>
      </c>
      <c r="C328" t="str">
        <f>IF(ISERROR(MATCH(A328,'SegEnds_Xtal_Prot#'!B:B, 0)), "NoXtal", "Xtal")</f>
        <v>NoXtal</v>
      </c>
      <c r="D328" t="str">
        <f t="shared" si="7"/>
        <v>human</v>
      </c>
      <c r="E328" t="str">
        <f>VLOOKUP(A328,Classification!A:B,2,FALSE)</f>
        <v>A</v>
      </c>
    </row>
    <row r="329" spans="1:5" x14ac:dyDescent="0.2">
      <c r="A329" t="s">
        <v>340</v>
      </c>
      <c r="B329" t="s">
        <v>695</v>
      </c>
      <c r="C329" t="str">
        <f>IF(ISERROR(MATCH(A329,'SegEnds_Xtal_Prot#'!B:B, 0)), "NoXtal", "Xtal")</f>
        <v>NoXtal</v>
      </c>
      <c r="D329" t="str">
        <f t="shared" si="7"/>
        <v>human</v>
      </c>
      <c r="E329" t="str">
        <f>VLOOKUP(A329,Classification!A:B,2,FALSE)</f>
        <v>A</v>
      </c>
    </row>
    <row r="330" spans="1:5" x14ac:dyDescent="0.2">
      <c r="A330" t="s">
        <v>341</v>
      </c>
      <c r="B330" t="s">
        <v>696</v>
      </c>
      <c r="C330" t="str">
        <f>IF(ISERROR(MATCH(A330,'SegEnds_Xtal_Prot#'!B:B, 0)), "NoXtal", "Xtal")</f>
        <v>NoXtal</v>
      </c>
      <c r="D330" t="str">
        <f t="shared" si="7"/>
        <v>human</v>
      </c>
      <c r="E330" t="str">
        <f>VLOOKUP(A330,Classification!A:B,2,FALSE)</f>
        <v>A</v>
      </c>
    </row>
    <row r="331" spans="1:5" x14ac:dyDescent="0.2">
      <c r="A331" t="s">
        <v>237</v>
      </c>
      <c r="B331" t="s">
        <v>718</v>
      </c>
      <c r="C331" t="str">
        <f>IF(ISERROR(MATCH(A331,'SegEnds_Xtal_Prot#'!B:B, 0)), "NoXtal", "Xtal")</f>
        <v>NoXtal</v>
      </c>
      <c r="D331" t="str">
        <f t="shared" si="7"/>
        <v>human</v>
      </c>
      <c r="E331" t="str">
        <f>VLOOKUP(A331,Classification!A:B,2,FALSE)</f>
        <v>A</v>
      </c>
    </row>
    <row r="332" spans="1:5" x14ac:dyDescent="0.2">
      <c r="A332" t="s">
        <v>249</v>
      </c>
      <c r="B332" t="s">
        <v>719</v>
      </c>
      <c r="C332" t="str">
        <f>IF(ISERROR(MATCH(A332,'SegEnds_Xtal_Prot#'!B:B, 0)), "NoXtal", "Xtal")</f>
        <v>NoXtal</v>
      </c>
      <c r="D332" t="str">
        <f t="shared" si="7"/>
        <v>human</v>
      </c>
      <c r="E332" t="str">
        <f>VLOOKUP(A332,Classification!A:B,2,FALSE)</f>
        <v>A</v>
      </c>
    </row>
    <row r="333" spans="1:5" x14ac:dyDescent="0.2">
      <c r="A333" t="s">
        <v>257</v>
      </c>
      <c r="B333" t="s">
        <v>720</v>
      </c>
      <c r="C333" t="str">
        <f>IF(ISERROR(MATCH(A333,'SegEnds_Xtal_Prot#'!B:B, 0)), "NoXtal", "Xtal")</f>
        <v>NoXtal</v>
      </c>
      <c r="D333" t="str">
        <f t="shared" si="7"/>
        <v>human</v>
      </c>
      <c r="E333" t="str">
        <f>VLOOKUP(A333,Classification!A:B,2,FALSE)</f>
        <v>A</v>
      </c>
    </row>
    <row r="334" spans="1:5" x14ac:dyDescent="0.2">
      <c r="A334" t="s">
        <v>262</v>
      </c>
      <c r="B334" t="s">
        <v>721</v>
      </c>
      <c r="C334" t="str">
        <f>IF(ISERROR(MATCH(A334,'SegEnds_Xtal_Prot#'!B:B, 0)), "NoXtal", "Xtal")</f>
        <v>NoXtal</v>
      </c>
      <c r="D334" t="str">
        <f t="shared" si="7"/>
        <v>human</v>
      </c>
      <c r="E334" t="str">
        <f>VLOOKUP(A334,Classification!A:B,2,FALSE)</f>
        <v>A</v>
      </c>
    </row>
    <row r="335" spans="1:5" x14ac:dyDescent="0.2">
      <c r="A335" t="s">
        <v>238</v>
      </c>
      <c r="B335" t="s">
        <v>722</v>
      </c>
      <c r="C335" t="str">
        <f>IF(ISERROR(MATCH(A335,'SegEnds_Xtal_Prot#'!B:B, 0)), "NoXtal", "Xtal")</f>
        <v>NoXtal</v>
      </c>
      <c r="D335" t="str">
        <f t="shared" si="7"/>
        <v>human</v>
      </c>
      <c r="E335" t="str">
        <f>VLOOKUP(A335,Classification!A:B,2,FALSE)</f>
        <v>A</v>
      </c>
    </row>
    <row r="336" spans="1:5" x14ac:dyDescent="0.2">
      <c r="A336" t="s">
        <v>239</v>
      </c>
      <c r="B336" t="s">
        <v>723</v>
      </c>
      <c r="C336" t="str">
        <f>IF(ISERROR(MATCH(A336,'SegEnds_Xtal_Prot#'!B:B, 0)), "NoXtal", "Xtal")</f>
        <v>NoXtal</v>
      </c>
      <c r="D336" t="str">
        <f t="shared" si="7"/>
        <v>human</v>
      </c>
      <c r="E336" t="str">
        <f>VLOOKUP(A336,Classification!A:B,2,FALSE)</f>
        <v>A</v>
      </c>
    </row>
    <row r="337" spans="1:5" x14ac:dyDescent="0.2">
      <c r="A337" t="s">
        <v>240</v>
      </c>
      <c r="B337" t="s">
        <v>724</v>
      </c>
      <c r="C337" t="str">
        <f>IF(ISERROR(MATCH(A337,'SegEnds_Xtal_Prot#'!B:B, 0)), "NoXtal", "Xtal")</f>
        <v>NoXtal</v>
      </c>
      <c r="D337" t="str">
        <f t="shared" si="7"/>
        <v>human</v>
      </c>
      <c r="E337" t="str">
        <f>VLOOKUP(A337,Classification!A:B,2,FALSE)</f>
        <v>A</v>
      </c>
    </row>
    <row r="338" spans="1:5" x14ac:dyDescent="0.2">
      <c r="A338" t="s">
        <v>242</v>
      </c>
      <c r="B338" t="s">
        <v>725</v>
      </c>
      <c r="C338" t="str">
        <f>IF(ISERROR(MATCH(A338,'SegEnds_Xtal_Prot#'!B:B, 0)), "NoXtal", "Xtal")</f>
        <v>NoXtal</v>
      </c>
      <c r="D338" t="str">
        <f t="shared" si="7"/>
        <v>human</v>
      </c>
      <c r="E338" t="str">
        <f>VLOOKUP(A338,Classification!A:B,2,FALSE)</f>
        <v>A</v>
      </c>
    </row>
    <row r="339" spans="1:5" x14ac:dyDescent="0.2">
      <c r="A339" t="s">
        <v>243</v>
      </c>
      <c r="B339" t="s">
        <v>726</v>
      </c>
      <c r="C339" t="str">
        <f>IF(ISERROR(MATCH(A339,'SegEnds_Xtal_Prot#'!B:B, 0)), "NoXtal", "Xtal")</f>
        <v>NoXtal</v>
      </c>
      <c r="D339" t="str">
        <f t="shared" si="7"/>
        <v>human</v>
      </c>
      <c r="E339" t="str">
        <f>VLOOKUP(A339,Classification!A:B,2,FALSE)</f>
        <v>A</v>
      </c>
    </row>
    <row r="340" spans="1:5" x14ac:dyDescent="0.2">
      <c r="A340" t="s">
        <v>244</v>
      </c>
      <c r="B340" t="s">
        <v>727</v>
      </c>
      <c r="C340" t="str">
        <f>IF(ISERROR(MATCH(A340,'SegEnds_Xtal_Prot#'!B:B, 0)), "NoXtal", "Xtal")</f>
        <v>NoXtal</v>
      </c>
      <c r="D340" t="str">
        <f t="shared" si="7"/>
        <v>human</v>
      </c>
      <c r="E340" t="str">
        <f>VLOOKUP(A340,Classification!A:B,2,FALSE)</f>
        <v>A</v>
      </c>
    </row>
    <row r="341" spans="1:5" x14ac:dyDescent="0.2">
      <c r="A341" t="s">
        <v>245</v>
      </c>
      <c r="B341" t="s">
        <v>728</v>
      </c>
      <c r="C341" t="str">
        <f>IF(ISERROR(MATCH(A341,'SegEnds_Xtal_Prot#'!B:B, 0)), "NoXtal", "Xtal")</f>
        <v>NoXtal</v>
      </c>
      <c r="D341" t="str">
        <f t="shared" si="7"/>
        <v>human</v>
      </c>
      <c r="E341" t="str">
        <f>VLOOKUP(A341,Classification!A:B,2,FALSE)</f>
        <v>A</v>
      </c>
    </row>
    <row r="342" spans="1:5" x14ac:dyDescent="0.2">
      <c r="A342" t="s">
        <v>246</v>
      </c>
      <c r="B342" t="s">
        <v>729</v>
      </c>
      <c r="C342" t="str">
        <f>IF(ISERROR(MATCH(A342,'SegEnds_Xtal_Prot#'!B:B, 0)), "NoXtal", "Xtal")</f>
        <v>NoXtal</v>
      </c>
      <c r="D342" t="str">
        <f t="shared" si="7"/>
        <v>human</v>
      </c>
      <c r="E342" t="str">
        <f>VLOOKUP(A342,Classification!A:B,2,FALSE)</f>
        <v>A</v>
      </c>
    </row>
    <row r="343" spans="1:5" x14ac:dyDescent="0.2">
      <c r="A343" t="s">
        <v>247</v>
      </c>
      <c r="B343" t="s">
        <v>730</v>
      </c>
      <c r="C343" t="str">
        <f>IF(ISERROR(MATCH(A343,'SegEnds_Xtal_Prot#'!B:B, 0)), "NoXtal", "Xtal")</f>
        <v>NoXtal</v>
      </c>
      <c r="D343" t="str">
        <f t="shared" si="7"/>
        <v>human</v>
      </c>
      <c r="E343" t="str">
        <f>VLOOKUP(A343,Classification!A:B,2,FALSE)</f>
        <v>A</v>
      </c>
    </row>
    <row r="344" spans="1:5" x14ac:dyDescent="0.2">
      <c r="A344" t="s">
        <v>248</v>
      </c>
      <c r="B344" t="s">
        <v>731</v>
      </c>
      <c r="C344" t="str">
        <f>IF(ISERROR(MATCH(A344,'SegEnds_Xtal_Prot#'!B:B, 0)), "NoXtal", "Xtal")</f>
        <v>NoXtal</v>
      </c>
      <c r="D344" t="str">
        <f t="shared" si="7"/>
        <v>human</v>
      </c>
      <c r="E344" t="str">
        <f>VLOOKUP(A344,Classification!A:B,2,FALSE)</f>
        <v>A</v>
      </c>
    </row>
    <row r="345" spans="1:5" x14ac:dyDescent="0.2">
      <c r="A345" t="s">
        <v>250</v>
      </c>
      <c r="B345" t="s">
        <v>732</v>
      </c>
      <c r="C345" t="str">
        <f>IF(ISERROR(MATCH(A345,'SegEnds_Xtal_Prot#'!B:B, 0)), "NoXtal", "Xtal")</f>
        <v>NoXtal</v>
      </c>
      <c r="D345" t="str">
        <f t="shared" si="7"/>
        <v>human</v>
      </c>
      <c r="E345" t="str">
        <f>VLOOKUP(A345,Classification!A:B,2,FALSE)</f>
        <v>A</v>
      </c>
    </row>
    <row r="346" spans="1:5" x14ac:dyDescent="0.2">
      <c r="A346" t="s">
        <v>251</v>
      </c>
      <c r="B346" t="s">
        <v>733</v>
      </c>
      <c r="C346" t="str">
        <f>IF(ISERROR(MATCH(A346,'SegEnds_Xtal_Prot#'!B:B, 0)), "NoXtal", "Xtal")</f>
        <v>NoXtal</v>
      </c>
      <c r="D346" t="str">
        <f t="shared" si="7"/>
        <v>human</v>
      </c>
      <c r="E346" t="str">
        <f>VLOOKUP(A346,Classification!A:B,2,FALSE)</f>
        <v>A</v>
      </c>
    </row>
    <row r="347" spans="1:5" x14ac:dyDescent="0.2">
      <c r="A347" t="s">
        <v>252</v>
      </c>
      <c r="B347" t="s">
        <v>734</v>
      </c>
      <c r="C347" t="str">
        <f>IF(ISERROR(MATCH(A347,'SegEnds_Xtal_Prot#'!B:B, 0)), "NoXtal", "Xtal")</f>
        <v>NoXtal</v>
      </c>
      <c r="D347" t="str">
        <f t="shared" si="7"/>
        <v>human</v>
      </c>
      <c r="E347" t="str">
        <f>VLOOKUP(A347,Classification!A:B,2,FALSE)</f>
        <v>A</v>
      </c>
    </row>
    <row r="348" spans="1:5" x14ac:dyDescent="0.2">
      <c r="A348" t="s">
        <v>253</v>
      </c>
      <c r="B348" t="s">
        <v>735</v>
      </c>
      <c r="C348" t="str">
        <f>IF(ISERROR(MATCH(A348,'SegEnds_Xtal_Prot#'!B:B, 0)), "NoXtal", "Xtal")</f>
        <v>NoXtal</v>
      </c>
      <c r="D348" t="str">
        <f t="shared" si="7"/>
        <v>human</v>
      </c>
      <c r="E348" t="str">
        <f>VLOOKUP(A348,Classification!A:B,2,FALSE)</f>
        <v>A</v>
      </c>
    </row>
    <row r="349" spans="1:5" x14ac:dyDescent="0.2">
      <c r="A349" t="s">
        <v>254</v>
      </c>
      <c r="B349" t="s">
        <v>736</v>
      </c>
      <c r="C349" t="str">
        <f>IF(ISERROR(MATCH(A349,'SegEnds_Xtal_Prot#'!B:B, 0)), "NoXtal", "Xtal")</f>
        <v>NoXtal</v>
      </c>
      <c r="D349" t="str">
        <f t="shared" si="7"/>
        <v>human</v>
      </c>
      <c r="E349" t="str">
        <f>VLOOKUP(A349,Classification!A:B,2,FALSE)</f>
        <v>A</v>
      </c>
    </row>
    <row r="350" spans="1:5" x14ac:dyDescent="0.2">
      <c r="A350" t="s">
        <v>255</v>
      </c>
      <c r="B350" t="s">
        <v>737</v>
      </c>
      <c r="C350" t="str">
        <f>IF(ISERROR(MATCH(A350,'SegEnds_Xtal_Prot#'!B:B, 0)), "NoXtal", "Xtal")</f>
        <v>NoXtal</v>
      </c>
      <c r="D350" t="str">
        <f t="shared" si="7"/>
        <v>human</v>
      </c>
      <c r="E350" t="str">
        <f>VLOOKUP(A350,Classification!A:B,2,FALSE)</f>
        <v>A</v>
      </c>
    </row>
    <row r="351" spans="1:5" x14ac:dyDescent="0.2">
      <c r="A351" t="s">
        <v>197</v>
      </c>
      <c r="B351" t="s">
        <v>738</v>
      </c>
      <c r="C351" t="str">
        <f>IF(ISERROR(MATCH(A351,'SegEnds_Xtal_Prot#'!B:B, 0)), "NoXtal", "Xtal")</f>
        <v>NoXtal</v>
      </c>
      <c r="D351" t="str">
        <f t="shared" si="7"/>
        <v>human</v>
      </c>
      <c r="E351" t="str">
        <f>VLOOKUP(A351,Classification!A:B,2,FALSE)</f>
        <v>A</v>
      </c>
    </row>
    <row r="352" spans="1:5" x14ac:dyDescent="0.2">
      <c r="A352" t="s">
        <v>256</v>
      </c>
      <c r="B352" t="s">
        <v>739</v>
      </c>
      <c r="C352" t="str">
        <f>IF(ISERROR(MATCH(A352,'SegEnds_Xtal_Prot#'!B:B, 0)), "NoXtal", "Xtal")</f>
        <v>NoXtal</v>
      </c>
      <c r="D352" t="str">
        <f t="shared" si="7"/>
        <v>human</v>
      </c>
      <c r="E352" t="str">
        <f>VLOOKUP(A352,Classification!A:B,2,FALSE)</f>
        <v>A</v>
      </c>
    </row>
    <row r="353" spans="1:5" x14ac:dyDescent="0.2">
      <c r="A353" t="s">
        <v>259</v>
      </c>
      <c r="B353" t="s">
        <v>740</v>
      </c>
      <c r="C353" t="str">
        <f>IF(ISERROR(MATCH(A353,'SegEnds_Xtal_Prot#'!B:B, 0)), "NoXtal", "Xtal")</f>
        <v>NoXtal</v>
      </c>
      <c r="D353" t="str">
        <f t="shared" si="7"/>
        <v>human</v>
      </c>
      <c r="E353" t="str">
        <f>VLOOKUP(A353,Classification!A:B,2,FALSE)</f>
        <v>A</v>
      </c>
    </row>
    <row r="354" spans="1:5" x14ac:dyDescent="0.2">
      <c r="A354" t="s">
        <v>313</v>
      </c>
      <c r="B354" t="s">
        <v>741</v>
      </c>
      <c r="C354" t="str">
        <f>IF(ISERROR(MATCH(A354,'SegEnds_Xtal_Prot#'!B:B, 0)), "NoXtal", "Xtal")</f>
        <v>NoXtal</v>
      </c>
      <c r="D354" t="str">
        <f t="shared" si="7"/>
        <v>human</v>
      </c>
      <c r="E354" t="str">
        <f>VLOOKUP(A354,Classification!A:B,2,FALSE)</f>
        <v>A</v>
      </c>
    </row>
    <row r="355" spans="1:5" x14ac:dyDescent="0.2">
      <c r="A355" t="s">
        <v>260</v>
      </c>
      <c r="B355" t="s">
        <v>742</v>
      </c>
      <c r="C355" t="str">
        <f>IF(ISERROR(MATCH(A355,'SegEnds_Xtal_Prot#'!B:B, 0)), "NoXtal", "Xtal")</f>
        <v>NoXtal</v>
      </c>
      <c r="D355" t="str">
        <f t="shared" si="7"/>
        <v>human</v>
      </c>
      <c r="E355" t="str">
        <f>VLOOKUP(A355,Classification!A:B,2,FALSE)</f>
        <v>A</v>
      </c>
    </row>
    <row r="356" spans="1:5" x14ac:dyDescent="0.2">
      <c r="A356" t="s">
        <v>263</v>
      </c>
      <c r="B356" t="s">
        <v>743</v>
      </c>
      <c r="C356" t="str">
        <f>IF(ISERROR(MATCH(A356,'SegEnds_Xtal_Prot#'!B:B, 0)), "NoXtal", "Xtal")</f>
        <v>NoXtal</v>
      </c>
      <c r="D356" t="str">
        <f t="shared" si="7"/>
        <v>human</v>
      </c>
      <c r="E356" t="str">
        <f>VLOOKUP(A356,Classification!A:B,2,FALSE)</f>
        <v>A</v>
      </c>
    </row>
    <row r="357" spans="1:5" x14ac:dyDescent="0.2">
      <c r="A357" t="s">
        <v>264</v>
      </c>
      <c r="B357" t="s">
        <v>744</v>
      </c>
      <c r="C357" t="str">
        <f>IF(ISERROR(MATCH(A357,'SegEnds_Xtal_Prot#'!B:B, 0)), "NoXtal", "Xtal")</f>
        <v>NoXtal</v>
      </c>
      <c r="D357" t="str">
        <f t="shared" si="7"/>
        <v>human</v>
      </c>
      <c r="E357" t="str">
        <f>VLOOKUP(A357,Classification!A:B,2,FALSE)</f>
        <v>A</v>
      </c>
    </row>
    <row r="358" spans="1:5" x14ac:dyDescent="0.2">
      <c r="A358" t="s">
        <v>265</v>
      </c>
      <c r="B358" t="s">
        <v>745</v>
      </c>
      <c r="C358" t="str">
        <f>IF(ISERROR(MATCH(A358,'SegEnds_Xtal_Prot#'!B:B, 0)), "NoXtal", "Xtal")</f>
        <v>NoXtal</v>
      </c>
      <c r="D358" t="str">
        <f t="shared" si="7"/>
        <v>human</v>
      </c>
      <c r="E358" t="str">
        <f>VLOOKUP(A358,Classification!A:B,2,FALSE)</f>
        <v>A</v>
      </c>
    </row>
    <row r="359" spans="1:5" x14ac:dyDescent="0.2">
      <c r="A359" t="s">
        <v>370</v>
      </c>
      <c r="B359" t="s">
        <v>746</v>
      </c>
      <c r="C359" t="str">
        <f>IF(ISERROR(MATCH(A359,'SegEnds_Xtal_Prot#'!B:B, 0)), "NoXtal", "Xtal")</f>
        <v>NoXtal</v>
      </c>
      <c r="D359" t="str">
        <f t="shared" si="7"/>
        <v>human</v>
      </c>
      <c r="E359" t="str">
        <f>VLOOKUP(A359,Classification!A:B,2,FALSE)</f>
        <v>A</v>
      </c>
    </row>
    <row r="360" spans="1:5" x14ac:dyDescent="0.2">
      <c r="A360" t="s">
        <v>331</v>
      </c>
      <c r="B360" t="s">
        <v>747</v>
      </c>
      <c r="C360" t="str">
        <f>IF(ISERROR(MATCH(A360,'SegEnds_Xtal_Prot#'!B:B, 0)), "NoXtal", "Xtal")</f>
        <v>NoXtal</v>
      </c>
      <c r="D360" t="str">
        <f t="shared" si="7"/>
        <v>human</v>
      </c>
      <c r="E360" t="str">
        <f>VLOOKUP(A360,Classification!A:B,2,FALSE)</f>
        <v>A</v>
      </c>
    </row>
    <row r="361" spans="1:5" x14ac:dyDescent="0.2">
      <c r="A361" t="s">
        <v>266</v>
      </c>
      <c r="B361" t="s">
        <v>748</v>
      </c>
      <c r="C361" t="str">
        <f>IF(ISERROR(MATCH(A361,'SegEnds_Xtal_Prot#'!B:B, 0)), "NoXtal", "Xtal")</f>
        <v>NoXtal</v>
      </c>
      <c r="D361" t="str">
        <f t="shared" si="7"/>
        <v>human</v>
      </c>
      <c r="E361" t="str">
        <f>VLOOKUP(A361,Classification!A:B,2,FALSE)</f>
        <v>A</v>
      </c>
    </row>
    <row r="362" spans="1:5" x14ac:dyDescent="0.2">
      <c r="A362" t="s">
        <v>267</v>
      </c>
      <c r="B362" t="s">
        <v>749</v>
      </c>
      <c r="C362" t="str">
        <f>IF(ISERROR(MATCH(A362,'SegEnds_Xtal_Prot#'!B:B, 0)), "NoXtal", "Xtal")</f>
        <v>NoXtal</v>
      </c>
      <c r="D362" t="str">
        <f t="shared" si="7"/>
        <v>human</v>
      </c>
      <c r="E362" t="str">
        <f>VLOOKUP(A362,Classification!A:B,2,FALSE)</f>
        <v>A</v>
      </c>
    </row>
    <row r="363" spans="1:5" x14ac:dyDescent="0.2">
      <c r="A363" t="s">
        <v>268</v>
      </c>
      <c r="B363" t="s">
        <v>750</v>
      </c>
      <c r="C363" t="str">
        <f>IF(ISERROR(MATCH(A363,'SegEnds_Xtal_Prot#'!B:B, 0)), "NoXtal", "Xtal")</f>
        <v>NoXtal</v>
      </c>
      <c r="D363" t="str">
        <f t="shared" si="7"/>
        <v>human</v>
      </c>
      <c r="E363" t="str">
        <f>VLOOKUP(A363,Classification!A:B,2,FALSE)</f>
        <v>A</v>
      </c>
    </row>
    <row r="364" spans="1:5" x14ac:dyDescent="0.2">
      <c r="A364" t="s">
        <v>269</v>
      </c>
      <c r="B364" t="s">
        <v>751</v>
      </c>
      <c r="C364" t="str">
        <f>IF(ISERROR(MATCH(A364,'SegEnds_Xtal_Prot#'!B:B, 0)), "NoXtal", "Xtal")</f>
        <v>NoXtal</v>
      </c>
      <c r="D364" t="str">
        <f t="shared" si="7"/>
        <v>human</v>
      </c>
      <c r="E364" t="str">
        <f>VLOOKUP(A364,Classification!A:B,2,FALSE)</f>
        <v>A</v>
      </c>
    </row>
    <row r="365" spans="1:5" x14ac:dyDescent="0.2">
      <c r="A365" t="s">
        <v>270</v>
      </c>
      <c r="B365" t="s">
        <v>752</v>
      </c>
      <c r="C365" t="str">
        <f>IF(ISERROR(MATCH(A365,'SegEnds_Xtal_Prot#'!B:B, 0)), "NoXtal", "Xtal")</f>
        <v>NoXtal</v>
      </c>
      <c r="D365" t="str">
        <f t="shared" si="7"/>
        <v>human</v>
      </c>
      <c r="E365" t="str">
        <f>VLOOKUP(A365,Classification!A:B,2,FALSE)</f>
        <v>A</v>
      </c>
    </row>
    <row r="366" spans="1:5" x14ac:dyDescent="0.2">
      <c r="A366" t="s">
        <v>271</v>
      </c>
      <c r="B366" t="s">
        <v>753</v>
      </c>
      <c r="C366" t="str">
        <f>IF(ISERROR(MATCH(A366,'SegEnds_Xtal_Prot#'!B:B, 0)), "NoXtal", "Xtal")</f>
        <v>NoXtal</v>
      </c>
      <c r="D366" t="str">
        <f t="shared" si="7"/>
        <v>human</v>
      </c>
      <c r="E366" t="str">
        <f>VLOOKUP(A366,Classification!A:B,2,FALSE)</f>
        <v>A</v>
      </c>
    </row>
    <row r="367" spans="1:5" x14ac:dyDescent="0.2">
      <c r="A367" t="s">
        <v>272</v>
      </c>
      <c r="B367" t="s">
        <v>754</v>
      </c>
      <c r="C367" t="str">
        <f>IF(ISERROR(MATCH(A367,'SegEnds_Xtal_Prot#'!B:B, 0)), "NoXtal", "Xtal")</f>
        <v>NoXtal</v>
      </c>
      <c r="D367" t="str">
        <f t="shared" si="7"/>
        <v>human</v>
      </c>
      <c r="E367" t="str">
        <f>VLOOKUP(A367,Classification!A:B,2,FALSE)</f>
        <v>A</v>
      </c>
    </row>
    <row r="368" spans="1:5" x14ac:dyDescent="0.2">
      <c r="A368" t="s">
        <v>273</v>
      </c>
      <c r="B368" t="s">
        <v>755</v>
      </c>
      <c r="C368" t="str">
        <f>IF(ISERROR(MATCH(A368,'SegEnds_Xtal_Prot#'!B:B, 0)), "NoXtal", "Xtal")</f>
        <v>NoXtal</v>
      </c>
      <c r="D368" t="str">
        <f t="shared" si="7"/>
        <v>human</v>
      </c>
      <c r="E368" t="str">
        <f>VLOOKUP(A368,Classification!A:B,2,FALSE)</f>
        <v>A</v>
      </c>
    </row>
    <row r="369" spans="1:5" x14ac:dyDescent="0.2">
      <c r="A369" t="s">
        <v>212</v>
      </c>
      <c r="B369" t="s">
        <v>756</v>
      </c>
      <c r="C369" t="str">
        <f>IF(ISERROR(MATCH(A369,'SegEnds_Xtal_Prot#'!B:B, 0)), "NoXtal", "Xtal")</f>
        <v>NoXtal</v>
      </c>
      <c r="D369" t="str">
        <f t="shared" si="7"/>
        <v>human</v>
      </c>
      <c r="E369" t="str">
        <f>VLOOKUP(A369,Classification!A:B,2,FALSE)</f>
        <v>A</v>
      </c>
    </row>
    <row r="370" spans="1:5" x14ac:dyDescent="0.2">
      <c r="A370" t="s">
        <v>214</v>
      </c>
      <c r="B370" t="s">
        <v>757</v>
      </c>
      <c r="C370" t="str">
        <f>IF(ISERROR(MATCH(A370,'SegEnds_Xtal_Prot#'!B:B, 0)), "NoXtal", "Xtal")</f>
        <v>NoXtal</v>
      </c>
      <c r="D370" t="str">
        <f t="shared" si="7"/>
        <v>human</v>
      </c>
      <c r="E370" t="str">
        <f>VLOOKUP(A370,Classification!A:B,2,FALSE)</f>
        <v>A</v>
      </c>
    </row>
    <row r="371" spans="1:5" x14ac:dyDescent="0.2">
      <c r="A371" t="s">
        <v>215</v>
      </c>
      <c r="B371" t="s">
        <v>758</v>
      </c>
      <c r="C371" t="str">
        <f>IF(ISERROR(MATCH(A371,'SegEnds_Xtal_Prot#'!B:B, 0)), "NoXtal", "Xtal")</f>
        <v>NoXtal</v>
      </c>
      <c r="D371" t="str">
        <f t="shared" si="7"/>
        <v>human</v>
      </c>
      <c r="E371" t="str">
        <f>VLOOKUP(A371,Classification!A:B,2,FALSE)</f>
        <v>A</v>
      </c>
    </row>
    <row r="372" spans="1:5" x14ac:dyDescent="0.2">
      <c r="A372" t="s">
        <v>216</v>
      </c>
      <c r="B372" t="s">
        <v>759</v>
      </c>
      <c r="C372" t="str">
        <f>IF(ISERROR(MATCH(A372,'SegEnds_Xtal_Prot#'!B:B, 0)), "NoXtal", "Xtal")</f>
        <v>NoXtal</v>
      </c>
      <c r="D372" t="str">
        <f t="shared" si="7"/>
        <v>human</v>
      </c>
      <c r="E372" t="str">
        <f>VLOOKUP(A372,Classification!A:B,2,FALSE)</f>
        <v>A</v>
      </c>
    </row>
    <row r="373" spans="1:5" x14ac:dyDescent="0.2">
      <c r="A373" t="s">
        <v>217</v>
      </c>
      <c r="B373" t="s">
        <v>760</v>
      </c>
      <c r="C373" t="str">
        <f>IF(ISERROR(MATCH(A373,'SegEnds_Xtal_Prot#'!B:B, 0)), "NoXtal", "Xtal")</f>
        <v>NoXtal</v>
      </c>
      <c r="D373" t="str">
        <f t="shared" si="7"/>
        <v>human</v>
      </c>
      <c r="E373" t="str">
        <f>VLOOKUP(A373,Classification!A:B,2,FALSE)</f>
        <v>A</v>
      </c>
    </row>
    <row r="374" spans="1:5" x14ac:dyDescent="0.2">
      <c r="A374" t="s">
        <v>218</v>
      </c>
      <c r="B374" t="s">
        <v>761</v>
      </c>
      <c r="C374" t="str">
        <f>IF(ISERROR(MATCH(A374,'SegEnds_Xtal_Prot#'!B:B, 0)), "NoXtal", "Xtal")</f>
        <v>NoXtal</v>
      </c>
      <c r="D374" t="str">
        <f t="shared" si="7"/>
        <v>human</v>
      </c>
      <c r="E374" t="str">
        <f>VLOOKUP(A374,Classification!A:B,2,FALSE)</f>
        <v>A</v>
      </c>
    </row>
    <row r="375" spans="1:5" x14ac:dyDescent="0.2">
      <c r="A375" t="s">
        <v>219</v>
      </c>
      <c r="B375" t="s">
        <v>762</v>
      </c>
      <c r="C375" t="str">
        <f>IF(ISERROR(MATCH(A375,'SegEnds_Xtal_Prot#'!B:B, 0)), "NoXtal", "Xtal")</f>
        <v>NoXtal</v>
      </c>
      <c r="D375" t="str">
        <f t="shared" si="7"/>
        <v>human</v>
      </c>
      <c r="E375" t="str">
        <f>VLOOKUP(A375,Classification!A:B,2,FALSE)</f>
        <v>A</v>
      </c>
    </row>
    <row r="376" spans="1:5" x14ac:dyDescent="0.2">
      <c r="A376" t="s">
        <v>220</v>
      </c>
      <c r="B376" t="s">
        <v>763</v>
      </c>
      <c r="C376" t="str">
        <f>IF(ISERROR(MATCH(A376,'SegEnds_Xtal_Prot#'!B:B, 0)), "NoXtal", "Xtal")</f>
        <v>NoXtal</v>
      </c>
      <c r="D376" t="str">
        <f t="shared" si="7"/>
        <v>human</v>
      </c>
      <c r="E376" t="str">
        <f>VLOOKUP(A376,Classification!A:B,2,FALSE)</f>
        <v>A</v>
      </c>
    </row>
    <row r="377" spans="1:5" x14ac:dyDescent="0.2">
      <c r="A377" t="s">
        <v>221</v>
      </c>
      <c r="B377" t="s">
        <v>764</v>
      </c>
      <c r="C377" t="str">
        <f>IF(ISERROR(MATCH(A377,'SegEnds_Xtal_Prot#'!B:B, 0)), "NoXtal", "Xtal")</f>
        <v>NoXtal</v>
      </c>
      <c r="D377" t="str">
        <f t="shared" si="7"/>
        <v>human</v>
      </c>
      <c r="E377" t="str">
        <f>VLOOKUP(A377,Classification!A:B,2,FALSE)</f>
        <v>A</v>
      </c>
    </row>
    <row r="378" spans="1:5" x14ac:dyDescent="0.2">
      <c r="A378" t="s">
        <v>222</v>
      </c>
      <c r="B378" t="s">
        <v>765</v>
      </c>
      <c r="C378" t="str">
        <f>IF(ISERROR(MATCH(A378,'SegEnds_Xtal_Prot#'!B:B, 0)), "NoXtal", "Xtal")</f>
        <v>NoXtal</v>
      </c>
      <c r="D378" t="str">
        <f t="shared" si="7"/>
        <v>human</v>
      </c>
      <c r="E378" t="str">
        <f>VLOOKUP(A378,Classification!A:B,2,FALSE)</f>
        <v>A</v>
      </c>
    </row>
    <row r="379" spans="1:5" x14ac:dyDescent="0.2">
      <c r="A379" t="s">
        <v>223</v>
      </c>
      <c r="B379" t="s">
        <v>766</v>
      </c>
      <c r="C379" t="str">
        <f>IF(ISERROR(MATCH(A379,'SegEnds_Xtal_Prot#'!B:B, 0)), "NoXtal", "Xtal")</f>
        <v>NoXtal</v>
      </c>
      <c r="D379" t="str">
        <f t="shared" si="7"/>
        <v>human</v>
      </c>
      <c r="E379" t="str">
        <f>VLOOKUP(A379,Classification!A:B,2,FALSE)</f>
        <v>A</v>
      </c>
    </row>
    <row r="380" spans="1:5" x14ac:dyDescent="0.2">
      <c r="A380" t="s">
        <v>224</v>
      </c>
      <c r="B380" t="s">
        <v>767</v>
      </c>
      <c r="C380" t="str">
        <f>IF(ISERROR(MATCH(A380,'SegEnds_Xtal_Prot#'!B:B, 0)), "NoXtal", "Xtal")</f>
        <v>NoXtal</v>
      </c>
      <c r="D380" t="str">
        <f t="shared" si="7"/>
        <v>human</v>
      </c>
      <c r="E380" t="str">
        <f>VLOOKUP(A380,Classification!A:B,2,FALSE)</f>
        <v>A</v>
      </c>
    </row>
    <row r="381" spans="1:5" x14ac:dyDescent="0.2">
      <c r="A381" t="s">
        <v>225</v>
      </c>
      <c r="B381" t="s">
        <v>768</v>
      </c>
      <c r="C381" t="str">
        <f>IF(ISERROR(MATCH(A381,'SegEnds_Xtal_Prot#'!B:B, 0)), "NoXtal", "Xtal")</f>
        <v>NoXtal</v>
      </c>
      <c r="D381" t="str">
        <f t="shared" si="7"/>
        <v>human</v>
      </c>
      <c r="E381" t="str">
        <f>VLOOKUP(A381,Classification!A:B,2,FALSE)</f>
        <v>A</v>
      </c>
    </row>
    <row r="382" spans="1:5" x14ac:dyDescent="0.2">
      <c r="A382" t="s">
        <v>226</v>
      </c>
      <c r="B382" t="s">
        <v>769</v>
      </c>
      <c r="C382" t="str">
        <f>IF(ISERROR(MATCH(A382,'SegEnds_Xtal_Prot#'!B:B, 0)), "NoXtal", "Xtal")</f>
        <v>NoXtal</v>
      </c>
      <c r="D382" t="str">
        <f t="shared" si="7"/>
        <v>human</v>
      </c>
      <c r="E382" t="str">
        <f>VLOOKUP(A382,Classification!A:B,2,FALSE)</f>
        <v>A</v>
      </c>
    </row>
    <row r="383" spans="1:5" x14ac:dyDescent="0.2">
      <c r="A383" t="s">
        <v>227</v>
      </c>
      <c r="B383" t="s">
        <v>770</v>
      </c>
      <c r="C383" t="str">
        <f>IF(ISERROR(MATCH(A383,'SegEnds_Xtal_Prot#'!B:B, 0)), "NoXtal", "Xtal")</f>
        <v>NoXtal</v>
      </c>
      <c r="D383" t="str">
        <f t="shared" si="7"/>
        <v>human</v>
      </c>
      <c r="E383" t="str">
        <f>VLOOKUP(A383,Classification!A:B,2,FALSE)</f>
        <v>A</v>
      </c>
    </row>
    <row r="384" spans="1:5" x14ac:dyDescent="0.2">
      <c r="A384" t="s">
        <v>228</v>
      </c>
      <c r="B384" t="s">
        <v>771</v>
      </c>
      <c r="C384" t="str">
        <f>IF(ISERROR(MATCH(A384,'SegEnds_Xtal_Prot#'!B:B, 0)), "NoXtal", "Xtal")</f>
        <v>NoXtal</v>
      </c>
      <c r="D384" t="str">
        <f t="shared" si="7"/>
        <v>human</v>
      </c>
      <c r="E384" t="str">
        <f>VLOOKUP(A384,Classification!A:B,2,FALSE)</f>
        <v>A</v>
      </c>
    </row>
    <row r="385" spans="1:5" x14ac:dyDescent="0.2">
      <c r="A385" t="s">
        <v>229</v>
      </c>
      <c r="B385" t="s">
        <v>772</v>
      </c>
      <c r="C385" t="str">
        <f>IF(ISERROR(MATCH(A385,'SegEnds_Xtal_Prot#'!B:B, 0)), "NoXtal", "Xtal")</f>
        <v>NoXtal</v>
      </c>
      <c r="D385" t="str">
        <f t="shared" si="7"/>
        <v>human</v>
      </c>
      <c r="E385" t="str">
        <f>VLOOKUP(A385,Classification!A:B,2,FALSE)</f>
        <v>A</v>
      </c>
    </row>
    <row r="386" spans="1:5" x14ac:dyDescent="0.2">
      <c r="A386" t="s">
        <v>230</v>
      </c>
      <c r="B386" t="s">
        <v>773</v>
      </c>
      <c r="C386" t="str">
        <f>IF(ISERROR(MATCH(A386,'SegEnds_Xtal_Prot#'!B:B, 0)), "NoXtal", "Xtal")</f>
        <v>NoXtal</v>
      </c>
      <c r="D386" t="str">
        <f t="shared" si="7"/>
        <v>human</v>
      </c>
      <c r="E386" t="str">
        <f>VLOOKUP(A386,Classification!A:B,2,FALSE)</f>
        <v>A</v>
      </c>
    </row>
    <row r="387" spans="1:5" x14ac:dyDescent="0.2">
      <c r="A387" t="s">
        <v>231</v>
      </c>
      <c r="B387" t="s">
        <v>774</v>
      </c>
      <c r="C387" t="str">
        <f>IF(ISERROR(MATCH(A387,'SegEnds_Xtal_Prot#'!B:B, 0)), "NoXtal", "Xtal")</f>
        <v>NoXtal</v>
      </c>
      <c r="D387" t="str">
        <f t="shared" si="7"/>
        <v>human</v>
      </c>
      <c r="E387" t="str">
        <f>VLOOKUP(A387,Classification!A:B,2,FALSE)</f>
        <v>A</v>
      </c>
    </row>
    <row r="388" spans="1:5" x14ac:dyDescent="0.2">
      <c r="A388" t="s">
        <v>232</v>
      </c>
      <c r="B388" t="s">
        <v>775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233</v>
      </c>
      <c r="B389" t="s">
        <v>776</v>
      </c>
      <c r="C389" t="str">
        <f>IF(ISERROR(MATCH(A389,'SegEnds_Xtal_Prot#'!B:B, 0)), "NoXtal", "Xtal")</f>
        <v>NoXtal</v>
      </c>
      <c r="D389" t="str">
        <f t="shared" ref="D389:D411" si="8">MID(A389,FIND("_",A389)+1,LEN(A389)-FIND("_",A389))</f>
        <v>human</v>
      </c>
      <c r="E389" t="str">
        <f>VLOOKUP(A389,Classification!A:B,2,FALSE)</f>
        <v>A</v>
      </c>
    </row>
    <row r="390" spans="1:5" x14ac:dyDescent="0.2">
      <c r="A390" t="s">
        <v>234</v>
      </c>
      <c r="B390" t="s">
        <v>777</v>
      </c>
      <c r="C390" t="str">
        <f>IF(ISERROR(MATCH(A390,'SegEnds_Xtal_Prot#'!B:B, 0)), "NoXtal", "Xtal")</f>
        <v>NoXtal</v>
      </c>
      <c r="D390" t="str">
        <f t="shared" si="8"/>
        <v>human</v>
      </c>
      <c r="E390" t="str">
        <f>VLOOKUP(A390,Classification!A:B,2,FALSE)</f>
        <v>A</v>
      </c>
    </row>
    <row r="391" spans="1:5" x14ac:dyDescent="0.2">
      <c r="A391" t="s">
        <v>283</v>
      </c>
      <c r="B391" t="s">
        <v>778</v>
      </c>
      <c r="C391" t="str">
        <f>IF(ISERROR(MATCH(A391,'SegEnds_Xtal_Prot#'!B:B, 0)), "NoXtal", "Xtal")</f>
        <v>NoXtal</v>
      </c>
      <c r="D391" t="str">
        <f t="shared" si="8"/>
        <v>human</v>
      </c>
      <c r="E391" t="str">
        <f>VLOOKUP(A391,Classification!A:B,2,FALSE)</f>
        <v>A</v>
      </c>
    </row>
    <row r="392" spans="1:5" x14ac:dyDescent="0.2">
      <c r="A392" t="s">
        <v>284</v>
      </c>
      <c r="B392" t="s">
        <v>779</v>
      </c>
      <c r="C392" t="str">
        <f>IF(ISERROR(MATCH(A392,'SegEnds_Xtal_Prot#'!B:B, 0)), "NoXtal", "Xtal")</f>
        <v>NoXtal</v>
      </c>
      <c r="D392" t="str">
        <f t="shared" si="8"/>
        <v>human</v>
      </c>
      <c r="E392" t="str">
        <f>VLOOKUP(A392,Classification!A:B,2,FALSE)</f>
        <v>A</v>
      </c>
    </row>
    <row r="393" spans="1:5" x14ac:dyDescent="0.2">
      <c r="A393" t="s">
        <v>285</v>
      </c>
      <c r="B393" t="s">
        <v>780</v>
      </c>
      <c r="C393" t="str">
        <f>IF(ISERROR(MATCH(A393,'SegEnds_Xtal_Prot#'!B:B, 0)), "NoXtal", "Xtal")</f>
        <v>NoXtal</v>
      </c>
      <c r="D393" t="str">
        <f t="shared" si="8"/>
        <v>human</v>
      </c>
      <c r="E393" t="str">
        <f>VLOOKUP(A393,Classification!A:B,2,FALSE)</f>
        <v>A</v>
      </c>
    </row>
    <row r="394" spans="1:5" x14ac:dyDescent="0.2">
      <c r="A394" t="s">
        <v>294</v>
      </c>
      <c r="B394" t="s">
        <v>781</v>
      </c>
      <c r="C394" t="str">
        <f>IF(ISERROR(MATCH(A394,'SegEnds_Xtal_Prot#'!B:B, 0)), "NoXtal", "Xtal")</f>
        <v>NoXtal</v>
      </c>
      <c r="D394" t="str">
        <f t="shared" si="8"/>
        <v>human</v>
      </c>
      <c r="E394" t="str">
        <f>VLOOKUP(A394,Classification!A:B,2,FALSE)</f>
        <v>A</v>
      </c>
    </row>
    <row r="395" spans="1:5" x14ac:dyDescent="0.2">
      <c r="A395" t="s">
        <v>295</v>
      </c>
      <c r="B395" t="s">
        <v>782</v>
      </c>
      <c r="C395" t="str">
        <f>IF(ISERROR(MATCH(A395,'SegEnds_Xtal_Prot#'!B:B, 0)), "NoXtal", "Xtal")</f>
        <v>NoXtal</v>
      </c>
      <c r="D395" t="str">
        <f t="shared" si="8"/>
        <v>human</v>
      </c>
      <c r="E395" t="str">
        <f>VLOOKUP(A395,Classification!A:B,2,FALSE)</f>
        <v>A</v>
      </c>
    </row>
    <row r="396" spans="1:5" x14ac:dyDescent="0.2">
      <c r="A396" t="s">
        <v>301</v>
      </c>
      <c r="B396" t="s">
        <v>783</v>
      </c>
      <c r="C396" t="str">
        <f>IF(ISERROR(MATCH(A396,'SegEnds_Xtal_Prot#'!B:B, 0)), "NoXtal", "Xtal")</f>
        <v>NoXtal</v>
      </c>
      <c r="D396" t="str">
        <f t="shared" si="8"/>
        <v>human</v>
      </c>
      <c r="E396" t="str">
        <f>VLOOKUP(A396,Classification!A:B,2,FALSE)</f>
        <v>A</v>
      </c>
    </row>
    <row r="397" spans="1:5" x14ac:dyDescent="0.2">
      <c r="A397" t="s">
        <v>302</v>
      </c>
      <c r="B397" t="s">
        <v>784</v>
      </c>
      <c r="C397" t="str">
        <f>IF(ISERROR(MATCH(A397,'SegEnds_Xtal_Prot#'!B:B, 0)), "NoXtal", "Xtal")</f>
        <v>NoXtal</v>
      </c>
      <c r="D397" t="str">
        <f t="shared" si="8"/>
        <v>human</v>
      </c>
      <c r="E397" t="str">
        <f>VLOOKUP(A397,Classification!A:B,2,FALSE)</f>
        <v>A</v>
      </c>
    </row>
    <row r="398" spans="1:5" x14ac:dyDescent="0.2">
      <c r="A398" t="s">
        <v>303</v>
      </c>
      <c r="B398" t="s">
        <v>785</v>
      </c>
      <c r="C398" t="str">
        <f>IF(ISERROR(MATCH(A398,'SegEnds_Xtal_Prot#'!B:B, 0)), "NoXtal", "Xtal")</f>
        <v>NoXtal</v>
      </c>
      <c r="D398" t="str">
        <f t="shared" si="8"/>
        <v>human</v>
      </c>
      <c r="E398" t="str">
        <f>VLOOKUP(A398,Classification!A:B,2,FALSE)</f>
        <v>A</v>
      </c>
    </row>
    <row r="399" spans="1:5" x14ac:dyDescent="0.2">
      <c r="A399" t="s">
        <v>304</v>
      </c>
      <c r="B399" t="s">
        <v>786</v>
      </c>
      <c r="C399" t="str">
        <f>IF(ISERROR(MATCH(A399,'SegEnds_Xtal_Prot#'!B:B, 0)), "NoXtal", "Xtal")</f>
        <v>NoXtal</v>
      </c>
      <c r="D399" t="str">
        <f t="shared" si="8"/>
        <v>human</v>
      </c>
      <c r="E399" t="str">
        <f>VLOOKUP(A399,Classification!A:B,2,FALSE)</f>
        <v>A</v>
      </c>
    </row>
    <row r="400" spans="1:5" x14ac:dyDescent="0.2">
      <c r="A400" t="s">
        <v>305</v>
      </c>
      <c r="B400" t="s">
        <v>787</v>
      </c>
      <c r="C400" t="str">
        <f>IF(ISERROR(MATCH(A400,'SegEnds_Xtal_Prot#'!B:B, 0)), "NoXtal", "Xtal")</f>
        <v>NoXtal</v>
      </c>
      <c r="D400" t="str">
        <f t="shared" si="8"/>
        <v>human</v>
      </c>
      <c r="E400" t="str">
        <f>VLOOKUP(A400,Classification!A:B,2,FALSE)</f>
        <v>A</v>
      </c>
    </row>
    <row r="401" spans="1:5" x14ac:dyDescent="0.2">
      <c r="A401" t="s">
        <v>306</v>
      </c>
      <c r="B401" t="s">
        <v>788</v>
      </c>
      <c r="C401" t="str">
        <f>IF(ISERROR(MATCH(A401,'SegEnds_Xtal_Prot#'!B:B, 0)), "NoXtal", "Xtal")</f>
        <v>NoXtal</v>
      </c>
      <c r="D401" t="str">
        <f t="shared" si="8"/>
        <v>human</v>
      </c>
      <c r="E401" t="str">
        <f>VLOOKUP(A401,Classification!A:B,2,FALSE)</f>
        <v>A</v>
      </c>
    </row>
    <row r="402" spans="1:5" x14ac:dyDescent="0.2">
      <c r="A402" t="s">
        <v>307</v>
      </c>
      <c r="B402" t="s">
        <v>789</v>
      </c>
      <c r="C402" t="str">
        <f>IF(ISERROR(MATCH(A402,'SegEnds_Xtal_Prot#'!B:B, 0)), "NoXtal", "Xtal")</f>
        <v>NoXtal</v>
      </c>
      <c r="D402" t="str">
        <f t="shared" si="8"/>
        <v>human</v>
      </c>
      <c r="E402" t="str">
        <f>VLOOKUP(A402,Classification!A:B,2,FALSE)</f>
        <v>A</v>
      </c>
    </row>
    <row r="403" spans="1:5" x14ac:dyDescent="0.2">
      <c r="A403" t="s">
        <v>308</v>
      </c>
      <c r="B403" t="s">
        <v>790</v>
      </c>
      <c r="C403" t="str">
        <f>IF(ISERROR(MATCH(A403,'SegEnds_Xtal_Prot#'!B:B, 0)), "NoXtal", "Xtal")</f>
        <v>NoXtal</v>
      </c>
      <c r="D403" t="str">
        <f t="shared" si="8"/>
        <v>human</v>
      </c>
      <c r="E403" t="str">
        <f>VLOOKUP(A403,Classification!A:B,2,FALSE)</f>
        <v>A</v>
      </c>
    </row>
    <row r="404" spans="1:5" x14ac:dyDescent="0.2">
      <c r="A404" t="s">
        <v>349</v>
      </c>
      <c r="B404" t="s">
        <v>791</v>
      </c>
      <c r="C404" t="str">
        <f>IF(ISERROR(MATCH(A404,'SegEnds_Xtal_Prot#'!B:B, 0)), "NoXtal", "Xtal")</f>
        <v>NoXtal</v>
      </c>
      <c r="D404" t="str">
        <f t="shared" si="8"/>
        <v>human</v>
      </c>
      <c r="E404" t="str">
        <f>VLOOKUP(A404,Classification!A:B,2,FALSE)</f>
        <v>A</v>
      </c>
    </row>
    <row r="405" spans="1:5" x14ac:dyDescent="0.2">
      <c r="A405" t="s">
        <v>350</v>
      </c>
      <c r="B405" t="s">
        <v>792</v>
      </c>
      <c r="C405" t="str">
        <f>IF(ISERROR(MATCH(A405,'SegEnds_Xtal_Prot#'!B:B, 0)), "NoXtal", "Xtal")</f>
        <v>NoXtal</v>
      </c>
      <c r="D405" t="str">
        <f t="shared" si="8"/>
        <v>human</v>
      </c>
      <c r="E405" t="str">
        <f>VLOOKUP(A405,Classification!A:B,2,FALSE)</f>
        <v>A</v>
      </c>
    </row>
    <row r="406" spans="1:5" x14ac:dyDescent="0.2">
      <c r="A406" t="s">
        <v>388</v>
      </c>
      <c r="B406" t="s">
        <v>793</v>
      </c>
      <c r="C406" t="str">
        <f>IF(ISERROR(MATCH(A406,'SegEnds_Xtal_Prot#'!B:B, 0)), "NoXtal", "Xtal")</f>
        <v>NoXtal</v>
      </c>
      <c r="D406" t="str">
        <f t="shared" si="8"/>
        <v>human</v>
      </c>
      <c r="E406" t="str">
        <f>VLOOKUP(A406,Classification!A:B,2,FALSE)</f>
        <v>A</v>
      </c>
    </row>
    <row r="407" spans="1:5" x14ac:dyDescent="0.2">
      <c r="A407" t="s">
        <v>389</v>
      </c>
      <c r="B407" t="s">
        <v>794</v>
      </c>
      <c r="C407" t="str">
        <f>IF(ISERROR(MATCH(A407,'SegEnds_Xtal_Prot#'!B:B, 0)), "NoXtal", "Xtal")</f>
        <v>NoXtal</v>
      </c>
      <c r="D407" t="str">
        <f t="shared" si="8"/>
        <v>human</v>
      </c>
      <c r="E407" t="str">
        <f>VLOOKUP(A407,Classification!A:B,2,FALSE)</f>
        <v>A</v>
      </c>
    </row>
    <row r="408" spans="1:5" x14ac:dyDescent="0.2">
      <c r="A408" t="s">
        <v>390</v>
      </c>
      <c r="B408" t="s">
        <v>795</v>
      </c>
      <c r="C408" t="str">
        <f>IF(ISERROR(MATCH(A408,'SegEnds_Xtal_Prot#'!B:B, 0)), "NoXtal", "Xtal")</f>
        <v>NoXtal</v>
      </c>
      <c r="D408" t="str">
        <f t="shared" si="8"/>
        <v>human</v>
      </c>
      <c r="E408" t="str">
        <f>VLOOKUP(A408,Classification!A:B,2,FALSE)</f>
        <v>A</v>
      </c>
    </row>
    <row r="409" spans="1:5" x14ac:dyDescent="0.2">
      <c r="A409" t="s">
        <v>391</v>
      </c>
      <c r="B409" t="s">
        <v>796</v>
      </c>
      <c r="C409" t="str">
        <f>IF(ISERROR(MATCH(A409,'SegEnds_Xtal_Prot#'!B:B, 0)), "NoXtal", "Xtal")</f>
        <v>NoXtal</v>
      </c>
      <c r="D409" t="str">
        <f t="shared" si="8"/>
        <v>human</v>
      </c>
      <c r="E409" t="str">
        <f>VLOOKUP(A409,Classification!A:B,2,FALSE)</f>
        <v>A</v>
      </c>
    </row>
    <row r="410" spans="1:5" x14ac:dyDescent="0.2">
      <c r="A410" t="s">
        <v>392</v>
      </c>
      <c r="B410" t="s">
        <v>797</v>
      </c>
      <c r="C410" t="str">
        <f>IF(ISERROR(MATCH(A410,'SegEnds_Xtal_Prot#'!B:B, 0)), "NoXtal", "Xtal")</f>
        <v>NoXtal</v>
      </c>
      <c r="D410" t="str">
        <f t="shared" si="8"/>
        <v>human</v>
      </c>
      <c r="E410" t="str">
        <f>VLOOKUP(A410,Classification!A:B,2,FALSE)</f>
        <v>A</v>
      </c>
    </row>
    <row r="411" spans="1:5" x14ac:dyDescent="0.2">
      <c r="A411" t="s">
        <v>393</v>
      </c>
      <c r="B411" t="s">
        <v>798</v>
      </c>
      <c r="C411" t="str">
        <f>IF(ISERROR(MATCH(A411,'SegEnds_Xtal_Prot#'!B:B, 0)), "NoXtal", "Xtal")</f>
        <v>NoXtal</v>
      </c>
      <c r="D411" t="str">
        <f t="shared" si="8"/>
        <v>human</v>
      </c>
      <c r="E411" t="str">
        <f>VLOOKUP(A411,Classification!A:B,2,FALSE)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KTSRATGTAFLLLAALLGLPGNGFVVWSLAGWGRPLAATLVLHLALADGAVLLLTPLFVAFLTRGQAGCKAVYYVCALSMYASVLLTGLLSLQRCLAVTRSPALARRLLLAVWLAALLLAVPAAVYRAAAHLSLETLTAFVLPFGLMLGCYSVTLARLRGSGRHGARVGRLVSAIVLAFGLLWAPYHAVNLLQAVAALALAKLGGAGQAARAGTTALAFFSSSVNPVLYVFTAGDLLPRAGP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KTSRATGTAFLLLAALLGLPGNGFVVWSLAGW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</v>
      </c>
      <c r="R14" s="5">
        <f>VLOOKUP($A14,'SegEnds_NonXtal_Prot#'!$A:$AL,3,FALSE)</f>
        <v>48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332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9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26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29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YVRGSVGPATSTLMFVAGVVGNGLALGILSARSAFAVLVTGLAATDLLGTSFLSPAVFVAYARARGGPALCDAFAFAMTFFGLASMLILFAMAVERCLALSHGPRCARLALPAIYAFCVLFCALPLLGLQPGGAAFSLAYAGLVALLVAAIFLCNGSVTLSLCRMYRQQKRPRTGEDEVDHLILLALMTVVMAVCSLPLTIRCFTQAVASEMGDLLAFRFYAFNPILDPWVFILFRKAVFQRLKL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YVRGSVGPATSTLMFVAGVVGNGLALGILSAR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QPGGAAFSLAYAGLVALLVAAIFLCNGSVTLSLCRMYRQQKR</v>
      </c>
      <c r="O24" s="4" t="str">
        <f t="shared" si="10"/>
        <v>PRTGEDEVDHLILLALMTVVMAVCSLPLTIRCFTQAVA</v>
      </c>
      <c r="P24" s="4" t="str">
        <f t="shared" si="11"/>
        <v>SEMGDLLAFRFYAFNPILDPWVFILF</v>
      </c>
      <c r="Q24" s="4" t="str">
        <f t="shared" si="12"/>
        <v>RKAVFQRLKL</v>
      </c>
      <c r="R24" s="5">
        <f>VLOOKUP($A24,'SegEnds_NonXtal_Prot#'!$A:$AL,3,FALSE)</f>
        <v>10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228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219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305</v>
      </c>
      <c r="AP24" s="5">
        <f t="shared" si="13"/>
        <v>31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41</v>
      </c>
      <c r="AY24" s="4">
        <f t="shared" si="22"/>
        <v>37</v>
      </c>
      <c r="AZ24" s="4">
        <f t="shared" si="23"/>
        <v>25</v>
      </c>
      <c r="BA24" s="4">
        <f t="shared" si="24"/>
        <v>9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KIVIGIALAGIMLVCGIGNFVFIAALTRYNLTNLLIANLAISDFLVAIICCPFEMDYYVVGHVLCASVNYLRTVSLYVSTNALLAIAIDRYLAIVHNYQTASFLIALVWMVSILIAIPSAYFAQLYYKSYFLFIFGVEFVGPVVTMTLCYARISRELWFKAVPGFQIRKRLRCRRKTVLVLMCILTAYVLCWAPFYGFTIVRDFFEKHYLTAFYVVECIAMSNSMINTVCFVTVNNTMKYFKKMML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KIVIGIALAGIMLVCGIGNFVFIAALTRY</v>
      </c>
      <c r="G29" s="4" t="str">
        <f t="shared" si="2"/>
        <v>KKLR</v>
      </c>
      <c r="H29" s="4" t="str">
        <f t="shared" si="3"/>
        <v>NLTNLLIANLAISDFLVAIICCPFEMDYYVV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53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217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116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41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'SegEnds_NonXtal_Prot#'!A320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'SegEnds_NonXtal_Prot#'!A326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'SegEnds_NonXtal_Prot#'!A346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'SegEnds_NonXtal_Prot#'!A357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'SegEnds_NonXtal_Prot#'!A365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'SegEnds_NonXtal_Prot#'!A369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'SegEnds_NonXtal_Prot#'!A385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'SegEnds_NonXtal_Prot#'!A394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'SegEnds_NonXtal_Prot#'!A400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FQYSLYATTYILIFIPGLLANSAALWVLCRF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KRRYDVGISAAIWIVVGTACLPFPILR</v>
      </c>
      <c r="M60" s="4" t="str">
        <f t="shared" si="8"/>
        <v>CFA</v>
      </c>
      <c r="N60" s="4" t="str">
        <f t="shared" si="9"/>
        <v>AVALVGMITVAELAGFVIPVIIIAWCTWKTTISLRQP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</v>
      </c>
      <c r="Q60" s="4" t="str">
        <f t="shared" si="12"/>
        <v>ASEFRDQLSRHGS</v>
      </c>
      <c r="R60" s="5">
        <f>VLOOKUP($A60,'SegEnds_NonXtal_Prot#'!$A:$AL,3,FALSE)</f>
        <v>32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192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309</v>
      </c>
      <c r="AD60" s="5">
        <f>VLOOKUP($A60,'SegEnds_NonXtal_Prot#'!$A:$AL,5,FALSE)</f>
        <v>62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171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308</v>
      </c>
      <c r="AO60" s="5">
        <f>VLOOKUP($A60,'SegEnds_NonXtal_Prot#'!$A:$AL,38,FALSE)</f>
        <v>321</v>
      </c>
      <c r="AP60" s="5">
        <f t="shared" si="13"/>
        <v>30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36</v>
      </c>
      <c r="AY60" s="4">
        <f t="shared" si="22"/>
        <v>40</v>
      </c>
      <c r="AZ60" s="4">
        <f t="shared" si="23"/>
        <v>32</v>
      </c>
      <c r="BA60" s="4">
        <f t="shared" si="24"/>
        <v>12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</v>
      </c>
      <c r="O79" s="4" t="str">
        <f t="shared" si="35"/>
        <v>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223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214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38</v>
      </c>
      <c r="AY79" s="4">
        <f t="shared" si="47"/>
        <v>37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</v>
      </c>
      <c r="O105" s="4" t="str">
        <f t="shared" si="35"/>
        <v>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260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251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44</v>
      </c>
      <c r="AY105" s="4">
        <f t="shared" si="47"/>
        <v>37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315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9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315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9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FSFGVILAVLASLIIATNTLVAVAVLLLGVSLCFTLNLAVADTLIGVAISGLLTDQLSRPTQKTLCSLRMAFVTSSAAASVLTVMLITFDRYLAIKQSGFVAGACIAGLWLVSYLIGFLPLGIPMFQFHPHFVLTLSCVGFFPAMLLFVFFYCDMLKIASMHSQQIRGYRSPRTPSDFKALRTVSVLIGSFALSWTPFLITGIVQVACYLVLERYLWLLGVGNSLLNPLIYAYWQKEVRLQLYHMALG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5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27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YWLFLPSSLLAAATLAVSPLLLVTILRNQEPHYLLPANILLSDLAYILLHMLISSSSLGGRMACGILTDAVFAACTSTILSFTAIVLHTYLAVIHSHGAAWKAVALIWLVACCFPTFLIWLSEQGASYILPPSMGTQPGCGLLVIVTYTSILCVLFLCTALIANGQGYSRARGTLLIHSVLITLYVSTGVVFSLDMVLTGTHTWLLAANSEVLMMLPRAMLTYLYLLRYRQLLGMV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SHGAAWKAVALIWLVACCFPTFLIWLS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</v>
      </c>
      <c r="R146" s="5">
        <f>VLOOKUP($A146,'SegEnds_NonXtal_Prot#'!$A:$AL,3,FALSE)</f>
        <v>50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187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331</v>
      </c>
      <c r="AP146" s="5">
        <f t="shared" si="63"/>
        <v>27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26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14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EASLRSNALSWLACGLLALLANAWIILSISAKKPLELLLCFLAGTHILMAAVPLTTFAVVQLRNESICKVFVSTYYTLALATCFTVASLSYHRMWMVRWAKKQALHAVMGIWMVSFILSTLPSIGLGFGVCFSLLLLGGIVMGLVCVAITFYQTLWARPRRARQESAKTSLQVTNLVSAIVFLYDSLTGVPILVVSFFSLKSPWMVLAVLWCSMAQTLLLPSFIWSCERYRADVRTVWE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CERYRADVRTVWE</v>
      </c>
      <c r="R150" s="5">
        <f>VLOOKUP($A150,'SegEnds_NonXtal_Prot#'!$A:$AL,3,FALSE)</f>
        <v>10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154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339</v>
      </c>
      <c r="AP150" s="5">
        <f t="shared" si="63"/>
        <v>31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24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12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</v>
      </c>
      <c r="O154" s="4" t="str">
        <f t="shared" si="60"/>
        <v>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240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231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36</v>
      </c>
      <c r="AY154" s="4">
        <f t="shared" si="72"/>
        <v>37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LPSPKAWDVVLCISGTLVSCENALVVAIIVGT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</v>
      </c>
      <c r="O162" s="4" t="str">
        <f t="shared" si="60"/>
        <v>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37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236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227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31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36</v>
      </c>
      <c r="AY162" s="4">
        <f t="shared" si="72"/>
        <v>37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KLLSTVLTTSYSVIFIVGLVGNIIALYVFLGI</v>
      </c>
      <c r="G166" s="4" t="str">
        <f t="shared" si="52"/>
        <v/>
      </c>
      <c r="H166" s="4" t="str">
        <f t="shared" si="53"/>
        <v>NSIQIYLLNVAIADLLLIFCLPFRIMYHIN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SSNIRKIMCQLLFRR</v>
      </c>
      <c r="R166" s="5">
        <f>VLOOKUP($A166,'SegEnds_NonXtal_Prot#'!$A:$AL,3,FALSE)</f>
        <v>51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116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345</v>
      </c>
      <c r="AP166" s="5">
        <f t="shared" si="63"/>
        <v>31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14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SRVDHLFPPSLYIFVIGVGLPTNCLALWAAYRQ</v>
      </c>
      <c r="G170" s="4" t="str">
        <f t="shared" si="52"/>
        <v/>
      </c>
      <c r="H170" s="4" t="str">
        <f t="shared" si="53"/>
        <v>NELGVYLMNLSIADLLYICTLPLWVDYFLH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</v>
      </c>
      <c r="M170" s="4" t="str">
        <f t="shared" si="58"/>
        <v>CFE</v>
      </c>
      <c r="N170" s="4" t="str">
        <f t="shared" si="59"/>
        <v>MEGWVAWMNLYRVFVGFLFPWALMLLSYRGILRAVRG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</v>
      </c>
      <c r="Q170" s="4" t="str">
        <f t="shared" si="62"/>
        <v>NEGARSDVAKALHNL</v>
      </c>
      <c r="R170" s="5">
        <f>VLOOKUP($A170,'SegEnds_NonXtal_Prot#'!$A:$AL,3,FALSE)</f>
        <v>13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174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290</v>
      </c>
      <c r="AD170" s="5">
        <f>VLOOKUP($A170,'SegEnds_NonXtal_Prot#'!$A:$AL,5,FALSE)</f>
        <v>45</v>
      </c>
      <c r="AE170" s="5" t="str">
        <f>VLOOKUP($A170,'SegEnds_NonXtal_Prot#'!$A:$AL,8,FALSE)</f>
        <v>-</v>
      </c>
      <c r="AF170" s="5">
        <f>VLOOKUP($A170,'SegEnds_NonXtal_Prot#'!$A:$AL,11,FALSE)</f>
        <v>79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154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289</v>
      </c>
      <c r="AO170" s="5">
        <f>VLOOKUP($A170,'SegEnds_NonXtal_Prot#'!$A:$AL,38,FALSE)</f>
        <v>304</v>
      </c>
      <c r="AP170" s="5">
        <f t="shared" si="63"/>
        <v>32</v>
      </c>
      <c r="AQ170" s="4" t="str">
        <f t="shared" si="64"/>
        <v>-</v>
      </c>
      <c r="AR170" s="4">
        <f t="shared" si="65"/>
        <v>29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24</v>
      </c>
      <c r="AW170" s="4">
        <f t="shared" si="70"/>
        <v>2</v>
      </c>
      <c r="AX170" s="4">
        <f t="shared" si="71"/>
        <v>36</v>
      </c>
      <c r="AY170" s="4">
        <f t="shared" si="72"/>
        <v>38</v>
      </c>
      <c r="AZ170" s="4">
        <f t="shared" si="73"/>
        <v>32</v>
      </c>
      <c r="BA170" s="4">
        <f t="shared" si="74"/>
        <v>14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</v>
      </c>
      <c r="O173" s="4" t="str">
        <f t="shared" si="60"/>
        <v>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268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259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36</v>
      </c>
      <c r="AY173" s="4">
        <f t="shared" si="72"/>
        <v>37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</v>
      </c>
      <c r="O181" s="4" t="str">
        <f t="shared" si="60"/>
        <v>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253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244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44</v>
      </c>
      <c r="AY181" s="4">
        <f t="shared" si="72"/>
        <v>37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TKRNAKIVCTGVWLTVIGGSAPAVFVQ</v>
      </c>
      <c r="M192" s="4" t="str">
        <f t="shared" si="58"/>
        <v>CFE</v>
      </c>
      <c r="N192" s="4" t="str">
        <f t="shared" si="59"/>
        <v>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SDTIQNSIKMKNWSV</v>
      </c>
      <c r="R192" s="5">
        <f>VLOOKUP($A192,'SegEnds_NonXtal_Prot#'!$A:$AL,3,FALSE)</f>
        <v>15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180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155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309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34</v>
      </c>
      <c r="AY192" s="4">
        <f t="shared" si="72"/>
        <v>40</v>
      </c>
      <c r="AZ192" s="4">
        <f t="shared" si="73"/>
        <v>32</v>
      </c>
      <c r="BA192" s="4">
        <f t="shared" si="74"/>
        <v>14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</v>
      </c>
      <c r="O201" s="4" t="str">
        <f t="shared" si="85"/>
        <v>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240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231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41</v>
      </c>
      <c r="AY201" s="4">
        <f t="shared" si="97"/>
        <v>37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</v>
      </c>
      <c r="O212" s="4" t="str">
        <f t="shared" si="85"/>
        <v>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255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246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44</v>
      </c>
      <c r="AY212" s="4">
        <f t="shared" si="97"/>
        <v>37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IHQTLAPVVYVTVLVVGFPANCLSLYFGYLQ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19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181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30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33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SVEKGNSAVMGGVLFSTGLLGNLLALGLLARS</v>
      </c>
      <c r="G234" s="4" t="str">
        <f t="shared" si="77"/>
        <v/>
      </c>
      <c r="H234" s="4" t="str">
        <f t="shared" si="78"/>
        <v>SVFYMLVCGLTVTDLLGKCLLSPVVLAAYAQN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TLRLGALVAPVVSAFSLAFCALPFMGF</v>
      </c>
      <c r="M234" s="4" t="str">
        <f t="shared" si="83"/>
        <v>CFI</v>
      </c>
      <c r="N234" s="4" t="str">
        <f t="shared" si="84"/>
        <v>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</v>
      </c>
      <c r="R234" s="5">
        <f>VLOOKUP($A234,'SegEnds_NonXtal_Prot#'!$A:$AL,3,FALSE)</f>
        <v>13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194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90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171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338</v>
      </c>
      <c r="AP234" s="5">
        <f t="shared" si="88"/>
        <v>31</v>
      </c>
      <c r="AQ234" s="4" t="str">
        <f t="shared" si="89"/>
        <v>-</v>
      </c>
      <c r="AR234" s="4">
        <f t="shared" si="90"/>
        <v>31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26</v>
      </c>
      <c r="AW234" s="4">
        <f t="shared" si="95"/>
        <v>2</v>
      </c>
      <c r="AX234" s="4">
        <f t="shared" si="96"/>
        <v>44</v>
      </c>
      <c r="AY234" s="4">
        <f t="shared" si="97"/>
        <v>37</v>
      </c>
      <c r="AZ234" s="4">
        <f t="shared" si="98"/>
        <v>28</v>
      </c>
      <c r="BA234" s="4">
        <f t="shared" si="99"/>
        <v>11</v>
      </c>
    </row>
    <row r="235" spans="1:53" x14ac:dyDescent="0.2">
      <c r="A235" s="1" t="str">
        <f>'SegEnds_NonXtal_Prot#'!A222</f>
        <v>pd2r2_human</v>
      </c>
      <c r="B235" s="1" t="str">
        <f t="shared" si="75"/>
        <v>RYIDHAAVLLHGLASLLGLVENGVILFVVGCRTVVTTWVLHLALSDLLASASLPFFTYFLAVGGTTFCKLHSSIFFLNMFASGFLLSAISLDRCLQVVRTVAAAHKVCLVLWALAVLNTVPYFVFRCNSRQVALAVSKFLLAFLVPLAIIASSHAAVSLRLQHRPGRFVRLVAAVVAAFALCWGPYHVFSLLEARARPLVWRGLPFVTSLAFFNSVANPVLYVLTCPDMLRKLRR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RYIDHAAVLLHGLASLLGLVENGVILFVVGCR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</v>
      </c>
      <c r="R235" s="5">
        <f>VLOOKUP($A235,'SegEnds_NonXtal_Prot#'!$A:$AL,3,FALSE)</f>
        <v>29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199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317</v>
      </c>
      <c r="AP235" s="5">
        <f t="shared" si="88"/>
        <v>31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37</v>
      </c>
      <c r="AY235" s="4">
        <f t="shared" si="97"/>
        <v>31</v>
      </c>
      <c r="AZ235" s="4">
        <f t="shared" si="98"/>
        <v>28</v>
      </c>
      <c r="BA235" s="4">
        <f t="shared" si="99"/>
        <v>9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EDCGSVSVAFPITMLLTGFVGNALAMLLVSRS</v>
      </c>
      <c r="G238" s="4" t="str">
        <f t="shared" si="77"/>
        <v/>
      </c>
      <c r="H238" s="4" t="str">
        <f t="shared" si="78"/>
        <v>KSFLLCIGWLALTDLVGQLLTTPVVIV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</v>
      </c>
      <c r="R238" s="5">
        <f>VLOOKUP($A238,'SegEnds_NonXtal_Prot#'!$A:$AL,3,FALSE)</f>
        <v>45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229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112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362</v>
      </c>
      <c r="AP238" s="5">
        <f t="shared" si="88"/>
        <v>31</v>
      </c>
      <c r="AQ238" s="4" t="str">
        <f t="shared" si="89"/>
        <v>-</v>
      </c>
      <c r="AR238" s="4">
        <f t="shared" si="90"/>
        <v>26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36</v>
      </c>
      <c r="AY238" s="4">
        <f t="shared" si="97"/>
        <v>40</v>
      </c>
      <c r="AZ238" s="4">
        <f t="shared" si="98"/>
        <v>32</v>
      </c>
      <c r="BA238" s="4">
        <f t="shared" si="99"/>
        <v>12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317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SEFRYTLFPIVYSIIFVLGVIANGYVLWVFARL</v>
      </c>
      <c r="G242" s="4" t="str">
        <f t="shared" si="77"/>
        <v/>
      </c>
      <c r="H242" s="4" t="str">
        <f t="shared" si="78"/>
        <v>NEIKIFMVNLTMADMLFLITLPLWIVYYQN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TRKRGISLSLVIWVAIVGAASYFLILD</v>
      </c>
      <c r="M242" s="4" t="str">
        <f t="shared" si="83"/>
        <v>CFE</v>
      </c>
      <c r="N242" s="4" t="str">
        <f t="shared" si="84"/>
        <v>EKGSVPVLIIHIFIVFSFFLVFLIILFCNLVIIRTLLMQ</v>
      </c>
      <c r="O242" s="4" t="str">
        <f t="shared" si="85"/>
        <v>QRNAEVKRRALWMVCTVLAVFIICFVPHHVVQLPWTLA</v>
      </c>
      <c r="P242" s="4" t="str">
        <f t="shared" si="86"/>
        <v>DSKFHQAINDAHQVTLCLLSTNCVLDPVIYCFL</v>
      </c>
      <c r="Q242" s="4" t="str">
        <f t="shared" si="87"/>
        <v>TKKFRKHLTEK</v>
      </c>
      <c r="R242" s="5">
        <f>VLOOKUP($A242,'SegEnds_NonXtal_Prot#'!$A:$AL,3,FALSE)</f>
        <v>11</v>
      </c>
      <c r="S242" s="5" t="str">
        <f>VLOOKUP($A242,'SegEnds_NonXtal_Prot#'!$A:$AL,6,FALSE)</f>
        <v>-</v>
      </c>
      <c r="T242" s="5">
        <f>VLOOKUP($A242,'SegEnds_NonXtal_Prot#'!$A:$AL,9,FALSE)</f>
        <v>50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178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297</v>
      </c>
      <c r="AD242" s="5">
        <f>VLOOKUP($A242,'SegEnds_NonXtal_Prot#'!$A:$AL,5,FALSE)</f>
        <v>43</v>
      </c>
      <c r="AE242" s="5" t="str">
        <f>VLOOKUP($A242,'SegEnds_NonXtal_Prot#'!$A:$AL,8,FALSE)</f>
        <v>-</v>
      </c>
      <c r="AF242" s="5">
        <f>VLOOKUP($A242,'SegEnds_NonXtal_Prot#'!$A:$AL,11,FALSE)</f>
        <v>79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156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258</v>
      </c>
      <c r="AN242" s="5">
        <f>VLOOKUP($A242,'SegEnds_NonXtal_Prot#'!$A:$AL,35,FALSE)</f>
        <v>296</v>
      </c>
      <c r="AO242" s="5">
        <f>VLOOKUP($A242,'SegEnds_NonXtal_Prot#'!$A:$AL,38,FALSE)</f>
        <v>307</v>
      </c>
      <c r="AP242" s="5">
        <f t="shared" si="88"/>
        <v>32</v>
      </c>
      <c r="AQ242" s="4" t="str">
        <f t="shared" si="89"/>
        <v>-</v>
      </c>
      <c r="AR242" s="4">
        <f t="shared" si="90"/>
        <v>29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38</v>
      </c>
      <c r="AY242" s="4">
        <f t="shared" si="97"/>
        <v>37</v>
      </c>
      <c r="AZ242" s="4">
        <f t="shared" si="98"/>
        <v>32</v>
      </c>
      <c r="BA242" s="4">
        <f t="shared" si="99"/>
        <v>10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</v>
      </c>
      <c r="O277" s="4" t="str">
        <f t="shared" si="110"/>
        <v>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320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311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37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</v>
      </c>
      <c r="O293" s="4" t="str">
        <f t="shared" si="110"/>
        <v>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259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250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37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IFTLALAYGAVIILGVSGNLALIIIILKQ</v>
      </c>
      <c r="G295" s="4" t="str">
        <f t="shared" si="102"/>
        <v>KEMR</v>
      </c>
      <c r="H295" s="4" t="str">
        <f t="shared" si="103"/>
        <v>NVTNILIVNLSFSDLLVAIMCLPFTFVYTLM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40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205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103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28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41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VMVFIVTSYSIETVVGVLGNLCLMCVTVRQNVTNLLIANLAFSDFLMCLLCQPLTAVYTIMDGETLCKMSAFIQCMSVTVSILSLVLVALERHQLIINSISQAYLGIVLIWVIACVLSLPFLANSHHRTIYTTFLLLFQYCLPLGFILVCYARIYRRLQRQGRVFSLRAGHMKQVNVVLVVMVVAFAVLWLPLHVFNSLEDWHICHGNLIFLVCHLLAMASTCVNPFIYGFLNTNFKKEIKALV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40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209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29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39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LQYFLIGLYTFVSLLGFMGNLLILMALMKKTTVNFLIGNLAFSDILVVLFCSPFTLTSVLLDGKVMCHIMPFLQCVSVLVSTLILISIAIVRYHMIKHTANHGYFLIATVWTLGFAICSPLPVFHSYRIAFTISLLLVQYILPLVCLTVSHTSVCRSISCGLSNKENRLTRIKKRSRSVFYRLTILILVFAVSWMPLHLFHVVTDFNNRHFKLVYCICHLLGMMSCCLNPILYGFLNNGIKADLVSLI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40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206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29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43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ALLLLCIAYTVVLIVGLFGNLSLIIIIFKKNFTSILIANLSLSDTLVCVMCIHFTIIYTLMDGDTMCRLTSYVQSVSISVSIFSLVFTAVERYQLIVNSVTHAYWGITLIWLFSLLLSIPFFLSYKDRLLFTTSLFLLQYFVPLGFILICYLKIVICLRRRNAKVDENEGRLNENKRINTMLISIVVTFGACWLPRISSMSSLTGI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34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204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29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40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PCTLLTACFYVAMFASLCFITEIALDRYYAIVY</v>
      </c>
      <c r="K304" s="4" t="str">
        <f t="shared" si="106"/>
        <v/>
      </c>
      <c r="L304" s="4" t="str">
        <f t="shared" si="107"/>
        <v>PVKQACLFSIFWWIFAVIIAIPHFMV</v>
      </c>
      <c r="M304" s="4" t="str">
        <f t="shared" si="108"/>
        <v>CMT</v>
      </c>
      <c r="N304" s="4" t="str">
        <f t="shared" si="109"/>
        <v>VSYPIILNVELMLGAFVIPLSVISYCYYRISRIVAVS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26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103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182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135</v>
      </c>
      <c r="AI304" s="5" t="str">
        <f>VLOOKUP($A304,'SegEnds_NonXtal_Prot#'!$A:$AL,20,FALSE)</f>
        <v>-</v>
      </c>
      <c r="AJ304" s="5">
        <f>VLOOKUP($A304,'SegEnds_NonXtal_Prot#'!$A:$AL,23,FALSE)</f>
        <v>165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35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32</v>
      </c>
      <c r="AU304" s="4" t="str">
        <f t="shared" si="118"/>
        <v>-</v>
      </c>
      <c r="AV304" s="4">
        <f t="shared" si="119"/>
        <v>25</v>
      </c>
      <c r="AW304" s="4">
        <f t="shared" si="120"/>
        <v>2</v>
      </c>
      <c r="AX304" s="4">
        <f t="shared" si="121"/>
        <v>36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'SegEnds_NonXtal_Prot#'!A298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'SegEnds_NonXtal_Prot#'!A299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'SegEnds_NonXtal_Prot#'!A300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'SegEnds_NonXtal_Prot#'!A301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'SegEnds_NonXtal_Prot#'!A302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'SegEnds_NonXtal_Prot#'!A303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'SegEnds_NonXtal_Prot#'!A304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'SegEnds_NonXtal_Prot#'!A305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'SegEnds_NonXtal_Prot#'!A306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'SegEnds_NonXtal_Prot#'!A307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'SegEnds_NonXtal_Prot#'!A308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'SegEnds_NonXtal_Prot#'!A309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'SegEnds_NonXtal_Prot#'!A310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'SegEnds_NonXtal_Prot#'!A311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'SegEnds_NonXtal_Prot#'!A312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'SegEnds_NonXtal_Prot#'!A313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'SegEnds_NonXtal_Prot#'!A314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'SegEnds_NonXtal_Prot#'!A315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'SegEnds_NonXtal_Prot#'!A316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'SegEnds_NonXtal_Prot#'!A317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'SegEnds_NonXtal_Prot#'!A318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'SegEnds_NonXtal_Prot#'!A319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'SegEnds_NonXtal_Prot#'!A321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'SegEnds_NonXtal_Prot#'!A322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'SegEnds_NonXtal_Prot#'!A323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'SegEnds_NonXtal_Prot#'!A324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'SegEnds_NonXtal_Prot#'!A325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'SegEnds_NonXtal_Prot#'!A327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'SegEnds_NonXtal_Prot#'!A328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'SegEnds_NonXtal_Prot#'!A329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'SegEnds_NonXtal_Prot#'!A330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'SegEnds_NonXtal_Prot#'!A331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'SegEnds_NonXtal_Prot#'!A332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'SegEnds_NonXtal_Prot#'!A333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'SegEnds_NonXtal_Prot#'!A334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'SegEnds_NonXtal_Prot#'!A335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'SegEnds_NonXtal_Prot#'!A336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'SegEnds_NonXtal_Prot#'!A337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'SegEnds_NonXtal_Prot#'!A338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'SegEnds_NonXtal_Prot#'!A339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'SegEnds_NonXtal_Prot#'!A340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'SegEnds_NonXtal_Prot#'!A341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'SegEnds_NonXtal_Prot#'!A342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'SegEnds_NonXtal_Prot#'!A343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'SegEnds_NonXtal_Prot#'!A344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'SegEnds_NonXtal_Prot#'!A345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'SegEnds_NonXtal_Prot#'!A347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'SegEnds_NonXtal_Prot#'!A348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'SegEnds_NonXtal_Prot#'!A349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'SegEnds_NonXtal_Prot#'!A350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'SegEnds_NonXtal_Prot#'!A351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'SegEnds_NonXtal_Prot#'!A352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'SegEnds_NonXtal_Prot#'!A353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'SegEnds_NonXtal_Prot#'!A354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'SegEnds_NonXtal_Prot#'!A355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'SegEnds_NonXtal_Prot#'!A356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'SegEnds_NonXtal_Prot#'!A358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'SegEnds_NonXtal_Prot#'!A359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'SegEnds_NonXtal_Prot#'!A360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'SegEnds_NonXtal_Prot#'!A361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'SegEnds_NonXtal_Prot#'!A362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'SegEnds_NonXtal_Prot#'!A363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'SegEnds_NonXtal_Prot#'!A364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'SegEnds_NonXtal_Prot#'!A366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'SegEnds_NonXtal_Prot#'!A367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'SegEnds_NonXtal_Prot#'!A368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'SegEnds_NonXtal_Prot#'!A370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'SegEnds_NonXtal_Prot#'!A371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'SegEnds_NonXtal_Prot#'!A372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'SegEnds_NonXtal_Prot#'!A373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'SegEnds_NonXtal_Prot#'!A374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'SegEnds_NonXtal_Prot#'!A375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'SegEnds_NonXtal_Prot#'!A376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'SegEnds_NonXtal_Prot#'!A377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'SegEnds_NonXtal_Prot#'!A378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'SegEnds_NonXtal_Prot#'!A380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'SegEnds_NonXtal_Prot#'!A379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'SegEnds_NonXtal_Prot#'!A382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'SegEnds_NonXtal_Prot#'!A383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'SegEnds_NonXtal_Prot#'!A381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'SegEnds_NonXtal_Prot#'!A384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'SegEnds_NonXtal_Prot#'!A386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'SegEnds_NonXtal_Prot#'!A387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'SegEnds_NonXtal_Prot#'!A388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'SegEnds_NonXtal_Prot#'!A389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'SegEnds_NonXtal_Prot#'!A390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'SegEnds_NonXtal_Prot#'!A391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'SegEnds_NonXtal_Prot#'!A392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'SegEnds_NonXtal_Prot#'!A393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'SegEnds_NonXtal_Prot#'!A395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'SegEnds_NonXtal_Prot#'!A396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'SegEnds_NonXtal_Prot#'!A397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'SegEnds_NonXtal_Prot#'!A398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'SegEnds_NonXtal_Prot#'!A399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'SegEnds_NonXtal_Prot#'!A401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'SegEnds_NonXtal_Prot#'!A402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'SegEnds_NonXtal_Prot#'!A403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'SegEnds_NonXtal_Prot#'!A404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'SegEnds_NonXtal_Prot#'!A405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'SegEnds_NonXtal_Prot#'!A406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'SegEnds_NonXtal_Prot#'!A407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'SegEnds_NonXtal_Prot#'!A408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108" workbookViewId="0">
      <selection activeCell="B140" sqref="B1:B104857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6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160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191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165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165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165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165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8" t="str">
        <f>VLOOKUP(A253,Classification!$A:$D,2,FALSE)</f>
        <v>A</v>
      </c>
      <c r="E253" s="49" t="str">
        <f>VLOOKUP(B253,Classification!$A:$D,2,FALSE)</f>
        <v>A</v>
      </c>
      <c r="F253" s="61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165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1175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ref="G346" si="6">OR(D346=F346,AND(D346="T",F346="A"),AND(D346="B2",F346="B1"),D346="O")</f>
        <v>1</v>
      </c>
      <c r="J346" s="3"/>
    </row>
    <row r="347" spans="1:10" x14ac:dyDescent="0.2">
      <c r="A347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ref="G347" si="7">OR(D347=F347,AND(D347="T",F347="A"),AND(D347="B2",F347="B1"),D347="O")</f>
        <v>1</v>
      </c>
      <c r="J347" s="3"/>
    </row>
    <row r="348" spans="1:10" x14ac:dyDescent="0.2">
      <c r="A348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257</v>
      </c>
      <c r="B358" s="1" t="s">
        <v>356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307</v>
      </c>
      <c r="B365" s="1" t="s">
        <v>158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371</v>
      </c>
      <c r="B366" s="1" t="s">
        <v>352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365</v>
      </c>
      <c r="B368" s="1" t="s">
        <v>165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253</v>
      </c>
      <c r="B369" s="1" t="s">
        <v>355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364</v>
      </c>
      <c r="B370" s="1" t="s">
        <v>133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J387" s="3"/>
    </row>
    <row r="388" spans="1:10" x14ac:dyDescent="0.2">
      <c r="A388" t="s">
        <v>363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J388" s="3"/>
    </row>
    <row r="389" spans="1:10" x14ac:dyDescent="0.2">
      <c r="A389" t="s">
        <v>473</v>
      </c>
      <c r="B389" s="1" t="s">
        <v>133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8">OR(D389=F389,AND(D389="T",F389="A"),AND(D389="B2",F389="B1"),D389="O")</f>
        <v>1</v>
      </c>
      <c r="J389" s="3"/>
    </row>
    <row r="390" spans="1:10" x14ac:dyDescent="0.2">
      <c r="A390" t="s">
        <v>213</v>
      </c>
      <c r="B390" s="1" t="s">
        <v>133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8"/>
        <v>1</v>
      </c>
      <c r="J390" s="3"/>
    </row>
    <row r="391" spans="1:10" x14ac:dyDescent="0.2">
      <c r="A39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8"/>
        <v>1</v>
      </c>
      <c r="J391" s="3"/>
    </row>
    <row r="392" spans="1:10" x14ac:dyDescent="0.2">
      <c r="A392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J392" s="3"/>
    </row>
    <row r="393" spans="1:10" x14ac:dyDescent="0.2">
      <c r="A39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J393" s="3"/>
    </row>
    <row r="394" spans="1:10" x14ac:dyDescent="0.2">
      <c r="A394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J394" s="3"/>
    </row>
    <row r="395" spans="1:10" x14ac:dyDescent="0.2">
      <c r="A395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J395" s="3"/>
    </row>
    <row r="396" spans="1:10" x14ac:dyDescent="0.2">
      <c r="A396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8"/>
        <v>1</v>
      </c>
      <c r="J396" s="3"/>
    </row>
    <row r="397" spans="1:10" x14ac:dyDescent="0.2">
      <c r="A397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8"/>
        <v>1</v>
      </c>
      <c r="J397" s="3"/>
    </row>
    <row r="398" spans="1:10" x14ac:dyDescent="0.2">
      <c r="A398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J398" s="3"/>
    </row>
    <row r="399" spans="1:10" x14ac:dyDescent="0.2">
      <c r="A399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J399" s="3"/>
    </row>
    <row r="400" spans="1:10" x14ac:dyDescent="0.2">
      <c r="A400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J401" s="3"/>
    </row>
    <row r="402" spans="1:10" x14ac:dyDescent="0.2">
      <c r="A402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J402" s="3"/>
    </row>
    <row r="403" spans="1:10" x14ac:dyDescent="0.2">
      <c r="A40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J403" s="3"/>
    </row>
    <row r="404" spans="1:10" x14ac:dyDescent="0.2">
      <c r="A404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J404" s="3"/>
    </row>
    <row r="405" spans="1:10" x14ac:dyDescent="0.2">
      <c r="A405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J405" s="3"/>
    </row>
    <row r="406" spans="1:10" x14ac:dyDescent="0.2">
      <c r="A406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J406" s="3"/>
    </row>
    <row r="407" spans="1:10" x14ac:dyDescent="0.2">
      <c r="A407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8"/>
        <v>1</v>
      </c>
      <c r="J407" s="3"/>
    </row>
    <row r="408" spans="1:10" x14ac:dyDescent="0.2">
      <c r="A408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8"/>
        <v>1</v>
      </c>
      <c r="J408" s="3"/>
    </row>
    <row r="409" spans="1:10" x14ac:dyDescent="0.2">
      <c r="A409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 t="shared" ref="G409" si="9">OR(D409=F409,AND(D409="T",F409="A"),AND(D409="B2",F409="B1"),D409="O")</f>
        <v>1</v>
      </c>
    </row>
    <row r="434" spans="4:8" ht="17" customHeight="1" x14ac:dyDescent="0.2">
      <c r="D434" s="7"/>
      <c r="E434" s="7"/>
      <c r="F434" s="7"/>
      <c r="G434" s="7"/>
      <c r="H434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0:G1048576">
    <cfRule type="cellIs" dxfId="8" priority="2" operator="equal">
      <formula>FALSE</formula>
    </cfRule>
  </conditionalFormatting>
  <conditionalFormatting sqref="G2:G409">
    <cfRule type="cellIs" dxfId="7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1"/>
  <sheetViews>
    <sheetView workbookViewId="0">
      <pane ySplit="1" topLeftCell="A231" activePane="bottomLeft" state="frozenSplit"/>
      <selection pane="bottomLeft" activeCell="D263" sqref="D263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1463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103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286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287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288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289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290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1451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104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377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378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379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380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299</v>
      </c>
      <c r="B276" s="3" t="s">
        <v>1</v>
      </c>
      <c r="C276" s="3" t="s">
        <v>17</v>
      </c>
      <c r="D276" s="3" t="s">
        <v>984</v>
      </c>
    </row>
    <row r="277" spans="1:4" x14ac:dyDescent="0.2">
      <c r="A277" s="3" t="s">
        <v>300</v>
      </c>
      <c r="B277" s="3" t="s">
        <v>1</v>
      </c>
      <c r="C277" s="3" t="s">
        <v>17</v>
      </c>
      <c r="D277" s="3" t="s">
        <v>984</v>
      </c>
    </row>
    <row r="278" spans="1:4" x14ac:dyDescent="0.2">
      <c r="A278" s="3" t="s">
        <v>151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296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297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298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309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311</v>
      </c>
      <c r="B283" s="3" t="s">
        <v>1</v>
      </c>
      <c r="C283" s="3" t="s">
        <v>986</v>
      </c>
      <c r="D283" s="3" t="s">
        <v>986</v>
      </c>
    </row>
    <row r="284" spans="1:4" x14ac:dyDescent="0.2">
      <c r="A284" s="3" t="s">
        <v>312</v>
      </c>
      <c r="B284" s="3" t="s">
        <v>1</v>
      </c>
      <c r="C284" s="3" t="s">
        <v>986</v>
      </c>
      <c r="D284" s="3" t="s">
        <v>986</v>
      </c>
    </row>
    <row r="285" spans="1:4" x14ac:dyDescent="0.2">
      <c r="A285" s="3" t="s">
        <v>40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115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116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117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41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118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119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120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310</v>
      </c>
      <c r="B293" s="3" t="s">
        <v>1</v>
      </c>
      <c r="C293" s="3" t="s">
        <v>17</v>
      </c>
      <c r="D293" s="3" t="s">
        <v>985</v>
      </c>
    </row>
    <row r="294" spans="1:4" x14ac:dyDescent="0.2">
      <c r="A294" s="3" t="s">
        <v>318</v>
      </c>
      <c r="B294" s="3" t="s">
        <v>1</v>
      </c>
      <c r="C294" s="3" t="s">
        <v>17</v>
      </c>
      <c r="D294" s="3" t="s">
        <v>988</v>
      </c>
    </row>
    <row r="295" spans="1:4" x14ac:dyDescent="0.2">
      <c r="A295" s="3" t="s">
        <v>319</v>
      </c>
      <c r="B295" s="3" t="s">
        <v>1</v>
      </c>
      <c r="C295" s="3" t="s">
        <v>17</v>
      </c>
      <c r="D295" s="3" t="s">
        <v>988</v>
      </c>
    </row>
    <row r="296" spans="1:4" x14ac:dyDescent="0.2">
      <c r="A296" s="3" t="s">
        <v>322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323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324</v>
      </c>
      <c r="B298" s="3" t="s">
        <v>1</v>
      </c>
      <c r="C298" s="3" t="s">
        <v>17</v>
      </c>
      <c r="D298" s="3" t="s">
        <v>991</v>
      </c>
    </row>
    <row r="299" spans="1:4" x14ac:dyDescent="0.2">
      <c r="A299" s="3" t="s">
        <v>320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325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326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327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328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329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127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46</v>
      </c>
      <c r="B307" s="3" t="s">
        <v>1</v>
      </c>
      <c r="C307" s="3" t="s">
        <v>17</v>
      </c>
      <c r="D307" s="3" t="s">
        <v>993</v>
      </c>
    </row>
    <row r="308" spans="1:4" x14ac:dyDescent="0.2">
      <c r="A308" s="3" t="s">
        <v>330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335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45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336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337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44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1154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332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333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334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338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43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339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98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340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341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1155</v>
      </c>
      <c r="B324" s="3" t="s">
        <v>1</v>
      </c>
      <c r="C324" s="3" t="s">
        <v>17</v>
      </c>
      <c r="D324" s="3" t="s">
        <v>996</v>
      </c>
    </row>
    <row r="325" spans="1:4" x14ac:dyDescent="0.2">
      <c r="A325" s="3" t="s">
        <v>1156</v>
      </c>
      <c r="B325" s="3" t="s">
        <v>1</v>
      </c>
      <c r="C325" s="3" t="s">
        <v>17</v>
      </c>
      <c r="D325" s="3" t="s">
        <v>996</v>
      </c>
    </row>
    <row r="326" spans="1:4" x14ac:dyDescent="0.2">
      <c r="A326" s="3" t="s">
        <v>481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482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485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486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483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484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343</v>
      </c>
      <c r="B332" s="3" t="s">
        <v>1</v>
      </c>
      <c r="C332" s="3" t="s">
        <v>979</v>
      </c>
      <c r="D332" s="3" t="s">
        <v>997</v>
      </c>
    </row>
    <row r="333" spans="1:4" x14ac:dyDescent="0.2">
      <c r="A333" s="3" t="s">
        <v>345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346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347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348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351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352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353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354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409</v>
      </c>
      <c r="B341" s="3" t="s">
        <v>950</v>
      </c>
      <c r="C341" s="3" t="s">
        <v>17</v>
      </c>
      <c r="D341" s="3" t="s">
        <v>1006</v>
      </c>
    </row>
    <row r="342" spans="1:4" x14ac:dyDescent="0.2">
      <c r="A342" s="3" t="s">
        <v>410</v>
      </c>
      <c r="B342" s="3" t="s">
        <v>950</v>
      </c>
      <c r="C342" s="3" t="s">
        <v>17</v>
      </c>
      <c r="D342" s="3" t="s">
        <v>1006</v>
      </c>
    </row>
    <row r="343" spans="1:4" x14ac:dyDescent="0.2">
      <c r="A343" s="3" t="s">
        <v>372</v>
      </c>
      <c r="B343" s="3" t="s">
        <v>1</v>
      </c>
      <c r="C343" s="3" t="s">
        <v>17</v>
      </c>
      <c r="D343" s="3" t="s">
        <v>1007</v>
      </c>
    </row>
    <row r="344" spans="1:4" x14ac:dyDescent="0.2">
      <c r="A344" s="3" t="s">
        <v>371</v>
      </c>
      <c r="B344" s="3" t="s">
        <v>1</v>
      </c>
      <c r="C344" s="3" t="s">
        <v>19</v>
      </c>
      <c r="D344" s="3" t="s">
        <v>1005</v>
      </c>
    </row>
    <row r="345" spans="1:4" x14ac:dyDescent="0.2">
      <c r="A345" s="3" t="s">
        <v>367</v>
      </c>
      <c r="B345" s="3" t="s">
        <v>1</v>
      </c>
      <c r="C345" s="3" t="s">
        <v>29</v>
      </c>
      <c r="D345" s="3" t="s">
        <v>1003</v>
      </c>
    </row>
    <row r="346" spans="1:4" x14ac:dyDescent="0.2">
      <c r="A346" s="3" t="s">
        <v>368</v>
      </c>
      <c r="B346" s="3" t="s">
        <v>1</v>
      </c>
      <c r="C346" s="3" t="s">
        <v>29</v>
      </c>
      <c r="D346" s="3" t="s">
        <v>1003</v>
      </c>
    </row>
    <row r="347" spans="1:4" x14ac:dyDescent="0.2">
      <c r="A347" s="3" t="s">
        <v>369</v>
      </c>
      <c r="B347" s="3" t="s">
        <v>1</v>
      </c>
      <c r="C347" s="3" t="s">
        <v>17</v>
      </c>
      <c r="D347" s="3" t="s">
        <v>1004</v>
      </c>
    </row>
    <row r="348" spans="1:4" x14ac:dyDescent="0.2">
      <c r="A348" s="3" t="s">
        <v>359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360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361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362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363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364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365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366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473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355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356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357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358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373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374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375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376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381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382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383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384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385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386</v>
      </c>
      <c r="B370" s="3" t="s">
        <v>1</v>
      </c>
      <c r="C370" s="3" t="s">
        <v>979</v>
      </c>
      <c r="D370" s="3" t="s">
        <v>1011</v>
      </c>
    </row>
    <row r="371" spans="1:4" x14ac:dyDescent="0.2">
      <c r="A371" s="3" t="s">
        <v>314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315</v>
      </c>
      <c r="B372" s="3" t="s">
        <v>1</v>
      </c>
      <c r="C372" s="3" t="s">
        <v>17</v>
      </c>
      <c r="D372" s="3" t="s">
        <v>987</v>
      </c>
    </row>
    <row r="373" spans="1:4" x14ac:dyDescent="0.2">
      <c r="A373" s="3" t="s">
        <v>316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122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123</v>
      </c>
      <c r="B375" s="3" t="s">
        <v>27</v>
      </c>
      <c r="C375" s="3" t="s">
        <v>994</v>
      </c>
      <c r="D375" s="3" t="s">
        <v>1015</v>
      </c>
    </row>
    <row r="376" spans="1:4" x14ac:dyDescent="0.2">
      <c r="A376" s="3" t="s">
        <v>124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456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457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458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459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461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462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463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464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465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466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467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468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469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930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470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471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472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474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475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476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7" t="s">
        <v>477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478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479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480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929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928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394</v>
      </c>
      <c r="B403" s="3" t="s">
        <v>1</v>
      </c>
      <c r="C403" s="3" t="s">
        <v>17</v>
      </c>
      <c r="D403" s="3" t="s">
        <v>1014</v>
      </c>
    </row>
    <row r="404" spans="1:4" x14ac:dyDescent="0.2">
      <c r="A404" s="3" t="s">
        <v>387</v>
      </c>
      <c r="B404" s="3" t="s">
        <v>1</v>
      </c>
      <c r="C404" s="3" t="s">
        <v>2</v>
      </c>
      <c r="D404" s="3" t="s">
        <v>1013</v>
      </c>
    </row>
    <row r="405" spans="1:4" x14ac:dyDescent="0.2">
      <c r="A405" s="3" t="s">
        <v>926</v>
      </c>
      <c r="B405" s="3" t="s">
        <v>1</v>
      </c>
      <c r="C405" s="3" t="s">
        <v>22</v>
      </c>
      <c r="D405" s="3" t="s">
        <v>1017</v>
      </c>
    </row>
    <row r="406" spans="1:4" x14ac:dyDescent="0.2">
      <c r="A406" s="3" t="s">
        <v>396</v>
      </c>
      <c r="B406" s="3" t="s">
        <v>1</v>
      </c>
      <c r="C406" s="3" t="s">
        <v>17</v>
      </c>
      <c r="D406" s="3" t="s">
        <v>1016</v>
      </c>
    </row>
    <row r="407" spans="1:4" x14ac:dyDescent="0.2">
      <c r="A407" s="3" t="s">
        <v>344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397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398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399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408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927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412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413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884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7" t="s">
        <v>885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886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887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888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889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890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891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7" t="s">
        <v>892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7" t="s">
        <v>893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894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895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896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897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898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899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900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901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902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903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904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905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906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907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908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909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7" t="s">
        <v>460</v>
      </c>
      <c r="B441" s="3" t="s">
        <v>1159</v>
      </c>
      <c r="C441" s="3" t="s">
        <v>994</v>
      </c>
      <c r="D441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4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5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5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5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5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5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5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5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5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5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5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2018-04-12T14:55:27Z</dcterms:modified>
  <cp:category/>
  <cp:contentStatus/>
</cp:coreProperties>
</file>