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880" yWindow="460" windowWidth="3252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'SegEnds_Xtal_Prot#'!$A$1:$CT$373</definedName>
    <definedName name="GPCRdb_alignment" localSheetId="8">Seqs!$A$413:$B$414</definedName>
    <definedName name="human_GPCR_fasta.fas" localSheetId="8">Seqs!$A$8:$B$411</definedName>
    <definedName name="xtal_templates_1" localSheetId="10">Xtal_Templ!$A$2:$B$411</definedName>
    <definedName name="xtal_templates_3" localSheetId="10">Xtal_Templ!$A$2:$B$411</definedName>
    <definedName name="xtal_templates_4" localSheetId="10">Xtal_Templ!$A$2:$B$411</definedName>
    <definedName name="xtal_templates_6" localSheetId="10">Xtal_Templ!$A$2:$B$411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'SegEnds_Xtal_Prot#'!$A$1:$CT$373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71" i="1" l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I197" i="5"/>
  <c r="I196" i="5"/>
  <c r="I198" i="5"/>
  <c r="T259" i="1"/>
  <c r="T260" i="1"/>
  <c r="T261" i="1"/>
  <c r="T262" i="1"/>
  <c r="T263" i="1"/>
  <c r="T264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Z222" i="1"/>
  <c r="BA222" i="1"/>
  <c r="BB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BC222" i="1"/>
  <c r="CT222" i="1"/>
  <c r="A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D71" i="2"/>
  <c r="B163" i="4"/>
  <c r="D163" i="4"/>
  <c r="E191" i="5"/>
  <c r="D30" i="2"/>
  <c r="B232" i="4"/>
  <c r="D232" i="4"/>
  <c r="E196" i="5"/>
  <c r="AC72" i="2"/>
  <c r="AD72" i="2"/>
  <c r="AE72" i="2"/>
  <c r="H71" i="2"/>
  <c r="H163" i="4"/>
  <c r="K191" i="5"/>
  <c r="H30" i="2"/>
  <c r="H232" i="4"/>
  <c r="K196" i="5"/>
  <c r="AF72" i="2"/>
  <c r="AG72" i="2"/>
  <c r="AH72" i="2"/>
  <c r="AI72" i="2"/>
  <c r="AJ72" i="2"/>
  <c r="AK72" i="2"/>
  <c r="M71" i="2"/>
  <c r="M163" i="4"/>
  <c r="R191" i="5"/>
  <c r="L71" i="2"/>
  <c r="L163" i="4"/>
  <c r="Q191" i="5"/>
  <c r="M30" i="2"/>
  <c r="M232" i="4"/>
  <c r="R196" i="5"/>
  <c r="L30" i="2"/>
  <c r="L232" i="4"/>
  <c r="Q196" i="5"/>
  <c r="AL72" i="2"/>
  <c r="AM72" i="2"/>
  <c r="AV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Z221" i="1"/>
  <c r="BA221" i="1"/>
  <c r="BB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BC221" i="1"/>
  <c r="CT221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X220" i="1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T220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Z131" i="1"/>
  <c r="BA131" i="1"/>
  <c r="BB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BC131" i="1"/>
  <c r="CT131" i="1"/>
  <c r="A376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AZ376" i="1"/>
  <c r="BA376" i="1"/>
  <c r="BB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BC376" i="1"/>
  <c r="CT376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Z74" i="1"/>
  <c r="BA74" i="1"/>
  <c r="BB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BC74" i="1"/>
  <c r="CT74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Z88" i="1"/>
  <c r="BA88" i="1"/>
  <c r="BB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BC88" i="1"/>
  <c r="CT88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AZ353" i="1"/>
  <c r="BA353" i="1"/>
  <c r="BB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BC353" i="1"/>
  <c r="CT353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Z352" i="1"/>
  <c r="BA352" i="1"/>
  <c r="BB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BC352" i="1"/>
  <c r="CT352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Z351" i="1"/>
  <c r="BA351" i="1"/>
  <c r="BB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BC351" i="1"/>
  <c r="CT351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H209" i="1"/>
  <c r="A209" i="1"/>
  <c r="D209" i="1"/>
  <c r="F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71" i="2"/>
  <c r="C71" i="2"/>
  <c r="E71" i="2"/>
  <c r="F71" i="2"/>
  <c r="G71" i="2"/>
  <c r="I71" i="2"/>
  <c r="J71" i="2"/>
  <c r="K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D70" i="2"/>
  <c r="B162" i="4"/>
  <c r="D162" i="4"/>
  <c r="E190" i="5"/>
  <c r="D39" i="2"/>
  <c r="AC71" i="2"/>
  <c r="AD71" i="2"/>
  <c r="AE71" i="2"/>
  <c r="H70" i="2"/>
  <c r="H162" i="4"/>
  <c r="K190" i="5"/>
  <c r="H39" i="2"/>
  <c r="AF71" i="2"/>
  <c r="AG71" i="2"/>
  <c r="AH71" i="2"/>
  <c r="AI71" i="2"/>
  <c r="AJ71" i="2"/>
  <c r="AK71" i="2"/>
  <c r="M70" i="2"/>
  <c r="M162" i="4"/>
  <c r="R190" i="5"/>
  <c r="L70" i="2"/>
  <c r="L162" i="4"/>
  <c r="Q190" i="5"/>
  <c r="M39" i="2"/>
  <c r="L39" i="2"/>
  <c r="AL71" i="2"/>
  <c r="AM71" i="2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C201" i="1"/>
  <c r="BC202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Z202" i="1"/>
  <c r="BA202" i="1"/>
  <c r="BB202" i="1"/>
  <c r="S70" i="2"/>
  <c r="S162" i="4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213" i="1"/>
  <c r="C70" i="2"/>
  <c r="E70" i="2"/>
  <c r="F70" i="2"/>
  <c r="G70" i="2"/>
  <c r="I70" i="2"/>
  <c r="J70" i="2"/>
  <c r="K70" i="2"/>
  <c r="N70" i="2"/>
  <c r="O70" i="2"/>
  <c r="P70" i="2"/>
  <c r="Q70" i="2"/>
  <c r="R70" i="2"/>
  <c r="T70" i="2"/>
  <c r="U70" i="2"/>
  <c r="V70" i="2"/>
  <c r="W70" i="2"/>
  <c r="X70" i="2"/>
  <c r="Y70" i="2"/>
  <c r="Z70" i="2"/>
  <c r="AA70" i="2"/>
  <c r="AB70" i="2"/>
  <c r="D69" i="2"/>
  <c r="B260" i="4"/>
  <c r="D260" i="4"/>
  <c r="E43" i="5"/>
  <c r="D57" i="2"/>
  <c r="AC70" i="2"/>
  <c r="AD70" i="2"/>
  <c r="AE70" i="2"/>
  <c r="H69" i="2"/>
  <c r="H260" i="4"/>
  <c r="K43" i="5"/>
  <c r="H57" i="2"/>
  <c r="AF70" i="2"/>
  <c r="AG70" i="2"/>
  <c r="AH70" i="2"/>
  <c r="AI70" i="2"/>
  <c r="AJ70" i="2"/>
  <c r="AK70" i="2"/>
  <c r="M69" i="2"/>
  <c r="M260" i="4"/>
  <c r="R43" i="5"/>
  <c r="L69" i="2"/>
  <c r="L260" i="4"/>
  <c r="Q43" i="5"/>
  <c r="L57" i="2"/>
  <c r="AL70" i="2"/>
  <c r="AM70" i="2"/>
  <c r="AH200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J200" i="1"/>
  <c r="AL200" i="1"/>
  <c r="AN200" i="1"/>
  <c r="AP200" i="1"/>
  <c r="AR200" i="1"/>
  <c r="AT200" i="1"/>
  <c r="AV200" i="1"/>
  <c r="AX200" i="1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T201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Z121" i="1"/>
  <c r="BA121" i="1"/>
  <c r="BB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BC121" i="1"/>
  <c r="CT121" i="1"/>
  <c r="C69" i="2"/>
  <c r="E69" i="2"/>
  <c r="F69" i="2"/>
  <c r="G69" i="2"/>
  <c r="I69" i="2"/>
  <c r="J69" i="2"/>
  <c r="K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D68" i="2"/>
  <c r="B203" i="4"/>
  <c r="D203" i="4"/>
  <c r="E91" i="5"/>
  <c r="D9" i="2"/>
  <c r="AC69" i="2"/>
  <c r="AD69" i="2"/>
  <c r="AE69" i="2"/>
  <c r="L91" i="5"/>
  <c r="K91" i="5"/>
  <c r="H9" i="2"/>
  <c r="AF69" i="2"/>
  <c r="AG69" i="2"/>
  <c r="AH69" i="2"/>
  <c r="AI69" i="2"/>
  <c r="AJ69" i="2"/>
  <c r="O91" i="5"/>
  <c r="N91" i="5"/>
  <c r="AK69" i="2"/>
  <c r="L68" i="2"/>
  <c r="L203" i="4"/>
  <c r="Q91" i="5"/>
  <c r="M9" i="2"/>
  <c r="L9" i="2"/>
  <c r="AL69" i="2"/>
  <c r="AM69" i="2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W68" i="2"/>
  <c r="W203" i="4"/>
  <c r="C68" i="2"/>
  <c r="E68" i="2"/>
  <c r="F68" i="2"/>
  <c r="G68" i="2"/>
  <c r="H68" i="2"/>
  <c r="I68" i="2"/>
  <c r="J68" i="2"/>
  <c r="K68" i="2"/>
  <c r="M68" i="2"/>
  <c r="N68" i="2"/>
  <c r="O68" i="2"/>
  <c r="P68" i="2"/>
  <c r="Q68" i="2"/>
  <c r="R68" i="2"/>
  <c r="S68" i="2"/>
  <c r="T68" i="2"/>
  <c r="U68" i="2"/>
  <c r="V68" i="2"/>
  <c r="X68" i="2"/>
  <c r="Y68" i="2"/>
  <c r="Z68" i="2"/>
  <c r="AA68" i="2"/>
  <c r="AB68" i="2"/>
  <c r="D67" i="2"/>
  <c r="B374" i="4"/>
  <c r="D52" i="2"/>
  <c r="D374" i="4"/>
  <c r="E374" i="5"/>
  <c r="AC68" i="2"/>
  <c r="AD68" i="2"/>
  <c r="AE68" i="2"/>
  <c r="I67" i="2"/>
  <c r="I52" i="2"/>
  <c r="I374" i="4"/>
  <c r="L374" i="5"/>
  <c r="H67" i="2"/>
  <c r="H52" i="2"/>
  <c r="H374" i="4"/>
  <c r="K374" i="5"/>
  <c r="AF68" i="2"/>
  <c r="AG68" i="2"/>
  <c r="AH68" i="2"/>
  <c r="AI68" i="2"/>
  <c r="AJ68" i="2"/>
  <c r="K67" i="2"/>
  <c r="K52" i="2"/>
  <c r="K374" i="4"/>
  <c r="O374" i="5"/>
  <c r="J67" i="2"/>
  <c r="J52" i="2"/>
  <c r="J374" i="4"/>
  <c r="N374" i="5"/>
  <c r="AK68" i="2"/>
  <c r="M67" i="2"/>
  <c r="M52" i="2"/>
  <c r="M374" i="4"/>
  <c r="R374" i="5"/>
  <c r="L67" i="2"/>
  <c r="L52" i="2"/>
  <c r="L374" i="4"/>
  <c r="Q374" i="5"/>
  <c r="AL68" i="2"/>
  <c r="AM68" i="2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Z169" i="1"/>
  <c r="BA169" i="1"/>
  <c r="BB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BC169" i="1"/>
  <c r="CT169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Z168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A364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A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A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A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A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A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A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A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A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A375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A377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A378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A379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V67" i="2"/>
  <c r="V52" i="2"/>
  <c r="V374" i="4"/>
  <c r="C67" i="2"/>
  <c r="E67" i="2"/>
  <c r="F67" i="2"/>
  <c r="G67" i="2"/>
  <c r="N67" i="2"/>
  <c r="O67" i="2"/>
  <c r="P67" i="2"/>
  <c r="Q67" i="2"/>
  <c r="R67" i="2"/>
  <c r="S67" i="2"/>
  <c r="T67" i="2"/>
  <c r="U67" i="2"/>
  <c r="W67" i="2"/>
  <c r="X67" i="2"/>
  <c r="Y67" i="2"/>
  <c r="Z67" i="2"/>
  <c r="AA67" i="2"/>
  <c r="AB67" i="2"/>
  <c r="E66" i="2"/>
  <c r="B157" i="4"/>
  <c r="E157" i="4"/>
  <c r="F240" i="5"/>
  <c r="D66" i="2"/>
  <c r="D157" i="4"/>
  <c r="E240" i="5"/>
  <c r="AC67" i="2"/>
  <c r="I240" i="5"/>
  <c r="F66" i="2"/>
  <c r="F157" i="4"/>
  <c r="H240" i="5"/>
  <c r="AD67" i="2"/>
  <c r="AE67" i="2"/>
  <c r="K240" i="5"/>
  <c r="AF67" i="2"/>
  <c r="AG67" i="2"/>
  <c r="AH67" i="2"/>
  <c r="AI67" i="2"/>
  <c r="AJ67" i="2"/>
  <c r="AK67" i="2"/>
  <c r="M66" i="2"/>
  <c r="M157" i="4"/>
  <c r="R240" i="5"/>
  <c r="L66" i="2"/>
  <c r="L157" i="4"/>
  <c r="Q240" i="5"/>
  <c r="AL67" i="2"/>
  <c r="AM67" i="2"/>
  <c r="AZ364" i="1"/>
  <c r="BA364" i="1"/>
  <c r="BB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BC364" i="1"/>
  <c r="CT364" i="1"/>
  <c r="AZ365" i="1"/>
  <c r="BA365" i="1"/>
  <c r="BB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BC365" i="1"/>
  <c r="CT365" i="1"/>
  <c r="AZ363" i="1"/>
  <c r="BA363" i="1"/>
  <c r="BB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BC363" i="1"/>
  <c r="CT363" i="1"/>
  <c r="AZ362" i="1"/>
  <c r="BA362" i="1"/>
  <c r="BB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BC362" i="1"/>
  <c r="CT362" i="1"/>
  <c r="AZ327" i="1"/>
  <c r="BA327" i="1"/>
  <c r="BB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BC327" i="1"/>
  <c r="CT327" i="1"/>
  <c r="N7" i="2"/>
  <c r="B255" i="4"/>
  <c r="N40" i="2"/>
  <c r="N255" i="4"/>
  <c r="B251" i="4"/>
  <c r="N39" i="2"/>
  <c r="N251" i="4"/>
  <c r="N226" i="5"/>
  <c r="L226" i="5"/>
  <c r="J44" i="2"/>
  <c r="B105" i="4"/>
  <c r="J7" i="2"/>
  <c r="J105" i="4"/>
  <c r="W15" i="2"/>
  <c r="B166" i="4"/>
  <c r="W166" i="4"/>
  <c r="W18" i="2"/>
  <c r="W32" i="2"/>
  <c r="B116" i="4"/>
  <c r="W116" i="4"/>
  <c r="B144" i="4"/>
  <c r="W144" i="4"/>
  <c r="B159" i="4"/>
  <c r="W159" i="4"/>
  <c r="W20" i="2"/>
  <c r="W40" i="2"/>
  <c r="B190" i="4"/>
  <c r="W39" i="2"/>
  <c r="W190" i="4"/>
  <c r="W19" i="2"/>
  <c r="W28" i="2"/>
  <c r="B211" i="4"/>
  <c r="W211" i="4"/>
  <c r="B97" i="4"/>
  <c r="W44" i="2"/>
  <c r="W97" i="4"/>
  <c r="W56" i="2"/>
  <c r="B11" i="4"/>
  <c r="W11" i="4"/>
  <c r="W61" i="2"/>
  <c r="B12" i="4"/>
  <c r="W12" i="4"/>
  <c r="B13" i="4"/>
  <c r="W13" i="4"/>
  <c r="B131" i="4"/>
  <c r="W35" i="2"/>
  <c r="W31" i="2"/>
  <c r="W131" i="4"/>
  <c r="B132" i="4"/>
  <c r="W132" i="4"/>
  <c r="W9" i="2"/>
  <c r="B226" i="4"/>
  <c r="W226" i="4"/>
  <c r="W34" i="2"/>
  <c r="B136" i="4"/>
  <c r="W136" i="4"/>
  <c r="W43" i="2"/>
  <c r="B88" i="4"/>
  <c r="W88" i="4"/>
  <c r="W29" i="2"/>
  <c r="B140" i="4"/>
  <c r="W140" i="4"/>
  <c r="B142" i="4"/>
  <c r="W142" i="4"/>
  <c r="B165" i="4"/>
  <c r="W165" i="4"/>
  <c r="B123" i="4"/>
  <c r="W123" i="4"/>
  <c r="W8" i="2"/>
  <c r="B135" i="4"/>
  <c r="W7" i="2"/>
  <c r="W135" i="4"/>
  <c r="B137" i="4"/>
  <c r="W137" i="4"/>
  <c r="W33" i="2"/>
  <c r="B138" i="4"/>
  <c r="W138" i="4"/>
  <c r="B4" i="4"/>
  <c r="W4" i="4"/>
  <c r="B272" i="4"/>
  <c r="W272" i="4"/>
  <c r="W2" i="2"/>
  <c r="B34" i="4"/>
  <c r="W34" i="4"/>
  <c r="W25" i="2"/>
  <c r="B155" i="4"/>
  <c r="W155" i="4"/>
  <c r="B242" i="4"/>
  <c r="W242" i="4"/>
  <c r="B279" i="4"/>
  <c r="W279" i="4"/>
  <c r="B92" i="4"/>
  <c r="W92" i="4"/>
  <c r="W4" i="2"/>
  <c r="B84" i="4"/>
  <c r="W84" i="4"/>
  <c r="B221" i="4"/>
  <c r="W22" i="2"/>
  <c r="W221" i="4"/>
  <c r="B156" i="4"/>
  <c r="W156" i="4"/>
  <c r="B240" i="4"/>
  <c r="W240" i="4"/>
  <c r="B241" i="4"/>
  <c r="W241" i="4"/>
  <c r="B102" i="4"/>
  <c r="W102" i="4"/>
  <c r="B73" i="4"/>
  <c r="W73" i="4"/>
  <c r="B74" i="4"/>
  <c r="W74" i="4"/>
  <c r="B87" i="4"/>
  <c r="W87" i="4"/>
  <c r="W30" i="2"/>
  <c r="B161" i="4"/>
  <c r="W161" i="4"/>
  <c r="W57" i="2"/>
  <c r="W162" i="4"/>
  <c r="W163" i="4"/>
  <c r="B145" i="4"/>
  <c r="W145" i="4"/>
  <c r="W63" i="2"/>
  <c r="B181" i="4"/>
  <c r="W181" i="4"/>
  <c r="B169" i="4"/>
  <c r="W169" i="4"/>
  <c r="B146" i="4"/>
  <c r="W146" i="4"/>
  <c r="B164" i="4"/>
  <c r="W164" i="4"/>
  <c r="B284" i="4"/>
  <c r="W284" i="4"/>
  <c r="B14" i="4"/>
  <c r="W14" i="4"/>
  <c r="B15" i="4"/>
  <c r="W15" i="4"/>
  <c r="B185" i="4"/>
  <c r="W185" i="4"/>
  <c r="W16" i="2"/>
  <c r="B124" i="4"/>
  <c r="W24" i="2"/>
  <c r="W124" i="4"/>
  <c r="B247" i="4"/>
  <c r="W247" i="4"/>
  <c r="B253" i="4"/>
  <c r="W253" i="4"/>
  <c r="B171" i="4"/>
  <c r="W171" i="4"/>
  <c r="B133" i="4"/>
  <c r="W133" i="4"/>
  <c r="B134" i="4"/>
  <c r="W134" i="4"/>
  <c r="W105" i="4"/>
  <c r="W65" i="2"/>
  <c r="B261" i="4"/>
  <c r="W261" i="4"/>
  <c r="B168" i="4"/>
  <c r="W168" i="4"/>
  <c r="S63" i="2"/>
  <c r="S7" i="2"/>
  <c r="S168" i="4"/>
  <c r="AZ111" i="1"/>
  <c r="BA111" i="1"/>
  <c r="BB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BC111" i="1"/>
  <c r="CT111" i="1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C66" i="2"/>
  <c r="G66" i="2"/>
  <c r="H66" i="2"/>
  <c r="I66" i="2"/>
  <c r="J66" i="2"/>
  <c r="K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E65" i="2"/>
  <c r="E7" i="2"/>
  <c r="E261" i="4"/>
  <c r="F226" i="5"/>
  <c r="D65" i="2"/>
  <c r="D7" i="2"/>
  <c r="D261" i="4"/>
  <c r="E226" i="5"/>
  <c r="E64" i="2"/>
  <c r="D64" i="2"/>
  <c r="AC66" i="2"/>
  <c r="I226" i="5"/>
  <c r="F65" i="2"/>
  <c r="F7" i="2"/>
  <c r="F261" i="4"/>
  <c r="H226" i="5"/>
  <c r="F64" i="2"/>
  <c r="AD66" i="2"/>
  <c r="AE66" i="2"/>
  <c r="I65" i="2"/>
  <c r="I7" i="2"/>
  <c r="I261" i="4"/>
  <c r="H65" i="2"/>
  <c r="H7" i="2"/>
  <c r="H261" i="4"/>
  <c r="K226" i="5"/>
  <c r="L240" i="5"/>
  <c r="AF66" i="2"/>
  <c r="AG66" i="2"/>
  <c r="AH66" i="2"/>
  <c r="AI66" i="2"/>
  <c r="AJ66" i="2"/>
  <c r="O226" i="5"/>
  <c r="J65" i="2"/>
  <c r="J261" i="4"/>
  <c r="AK66" i="2"/>
  <c r="M65" i="2"/>
  <c r="M7" i="2"/>
  <c r="M261" i="4"/>
  <c r="R226" i="5"/>
  <c r="L65" i="2"/>
  <c r="L7" i="2"/>
  <c r="L261" i="4"/>
  <c r="Q226" i="5"/>
  <c r="M64" i="2"/>
  <c r="L64" i="2"/>
  <c r="AL66" i="2"/>
  <c r="AM66" i="2"/>
  <c r="AZ322" i="1"/>
  <c r="BA322" i="1"/>
  <c r="BB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BC322" i="1"/>
  <c r="CT322" i="1"/>
  <c r="AZ323" i="1"/>
  <c r="BA323" i="1"/>
  <c r="BB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BC323" i="1"/>
  <c r="CT323" i="1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C64" i="2"/>
  <c r="G64" i="2"/>
  <c r="H64" i="2"/>
  <c r="I64" i="2"/>
  <c r="J64" i="2"/>
  <c r="K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B184" i="4"/>
  <c r="E184" i="4"/>
  <c r="F225" i="5"/>
  <c r="D184" i="4"/>
  <c r="E225" i="5"/>
  <c r="AC64" i="2"/>
  <c r="I225" i="5"/>
  <c r="F184" i="4"/>
  <c r="H225" i="5"/>
  <c r="AD64" i="2"/>
  <c r="AE64" i="2"/>
  <c r="H184" i="4"/>
  <c r="K225" i="5"/>
  <c r="AF64" i="2"/>
  <c r="AG64" i="2"/>
  <c r="AH64" i="2"/>
  <c r="AI64" i="2"/>
  <c r="AJ64" i="2"/>
  <c r="AK64" i="2"/>
  <c r="M184" i="4"/>
  <c r="R225" i="5"/>
  <c r="L184" i="4"/>
  <c r="Q225" i="5"/>
  <c r="AL64" i="2"/>
  <c r="AM64" i="2"/>
  <c r="AG171" i="5"/>
  <c r="AF171" i="5"/>
  <c r="B42" i="4"/>
  <c r="C61" i="2"/>
  <c r="C42" i="4"/>
  <c r="C171" i="5"/>
  <c r="D61" i="2"/>
  <c r="D42" i="4"/>
  <c r="E171" i="5"/>
  <c r="K171" i="5"/>
  <c r="L61" i="2"/>
  <c r="L42" i="4"/>
  <c r="Q171" i="5"/>
  <c r="M61" i="2"/>
  <c r="M42" i="4"/>
  <c r="R171" i="5"/>
  <c r="T171" i="5"/>
  <c r="U171" i="5"/>
  <c r="P61" i="2"/>
  <c r="P42" i="4"/>
  <c r="W171" i="5"/>
  <c r="Q61" i="2"/>
  <c r="Q42" i="4"/>
  <c r="X171" i="5"/>
  <c r="S61" i="2"/>
  <c r="AA171" i="5"/>
  <c r="AI42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42" i="4" a="1"/>
  <c r="T42" i="4"/>
  <c r="AC171" i="5"/>
  <c r="H6" i="3"/>
  <c r="U42" i="4" a="1"/>
  <c r="U42" i="4"/>
  <c r="AD171" i="5"/>
  <c r="X61" i="2"/>
  <c r="X42" i="4"/>
  <c r="AI171" i="5"/>
  <c r="Y61" i="2"/>
  <c r="Y42" i="4"/>
  <c r="AJ171" i="5"/>
  <c r="Z61" i="2"/>
  <c r="Z42" i="4"/>
  <c r="AL171" i="5"/>
  <c r="AN171" i="5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D78" i="5"/>
  <c r="AI19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19" i="4" a="1"/>
  <c r="T19" i="4"/>
  <c r="AC78" i="5"/>
  <c r="AI51" i="4"/>
  <c r="H10" i="3"/>
  <c r="U51" i="4" a="1"/>
  <c r="U51" i="4"/>
  <c r="AD85" i="5"/>
  <c r="T51" i="4" a="1"/>
  <c r="T51" i="4"/>
  <c r="AC85" i="5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AZ301" i="1"/>
  <c r="BA301" i="1"/>
  <c r="BB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BC301" i="1"/>
  <c r="CT301" i="1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Z306" i="1"/>
  <c r="BA306" i="1"/>
  <c r="BB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BC306" i="1"/>
  <c r="CT306" i="1"/>
  <c r="C65" i="2"/>
  <c r="G65" i="2"/>
  <c r="K65" i="2"/>
  <c r="N65" i="2"/>
  <c r="O65" i="2"/>
  <c r="P65" i="2"/>
  <c r="Q65" i="2"/>
  <c r="R65" i="2"/>
  <c r="S65" i="2"/>
  <c r="T65" i="2"/>
  <c r="U65" i="2"/>
  <c r="V65" i="2"/>
  <c r="X65" i="2"/>
  <c r="Y65" i="2"/>
  <c r="Z65" i="2"/>
  <c r="AA65" i="2"/>
  <c r="AB65" i="2"/>
  <c r="D63" i="2"/>
  <c r="D168" i="4"/>
  <c r="E280" i="5"/>
  <c r="E9" i="2"/>
  <c r="AC65" i="2"/>
  <c r="F9" i="2"/>
  <c r="AD65" i="2"/>
  <c r="AE65" i="2"/>
  <c r="H63" i="2"/>
  <c r="H168" i="4"/>
  <c r="K280" i="5"/>
  <c r="I9" i="2"/>
  <c r="AF65" i="2"/>
  <c r="AG65" i="2"/>
  <c r="AH65" i="2"/>
  <c r="AI65" i="2"/>
  <c r="AJ65" i="2"/>
  <c r="J9" i="2"/>
  <c r="AK65" i="2"/>
  <c r="M63" i="2"/>
  <c r="M168" i="4"/>
  <c r="R280" i="5"/>
  <c r="L63" i="2"/>
  <c r="L168" i="4"/>
  <c r="Q280" i="5"/>
  <c r="AL65" i="2"/>
  <c r="AM65" i="2"/>
  <c r="AZ305" i="1"/>
  <c r="BA305" i="1"/>
  <c r="BB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BC305" i="1"/>
  <c r="CT305" i="1"/>
  <c r="AZ300" i="1"/>
  <c r="BA300" i="1"/>
  <c r="BB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BC300" i="1"/>
  <c r="CT300" i="1"/>
  <c r="C63" i="2"/>
  <c r="E63" i="2"/>
  <c r="F63" i="2"/>
  <c r="G63" i="2"/>
  <c r="I63" i="2"/>
  <c r="J63" i="2"/>
  <c r="K63" i="2"/>
  <c r="N63" i="2"/>
  <c r="O63" i="2"/>
  <c r="P63" i="2"/>
  <c r="Q63" i="2"/>
  <c r="R63" i="2"/>
  <c r="T63" i="2"/>
  <c r="U63" i="2"/>
  <c r="V63" i="2"/>
  <c r="X63" i="2"/>
  <c r="Y63" i="2"/>
  <c r="Z63" i="2"/>
  <c r="AA63" i="2"/>
  <c r="AB63" i="2"/>
  <c r="D62" i="2"/>
  <c r="B313" i="4"/>
  <c r="D313" i="4"/>
  <c r="E310" i="5"/>
  <c r="AC63" i="2"/>
  <c r="AD63" i="2"/>
  <c r="AE63" i="2"/>
  <c r="I62" i="2"/>
  <c r="I313" i="4"/>
  <c r="L310" i="5"/>
  <c r="K310" i="5"/>
  <c r="AF63" i="2"/>
  <c r="AG63" i="2"/>
  <c r="AH63" i="2"/>
  <c r="AI63" i="2"/>
  <c r="AJ63" i="2"/>
  <c r="O310" i="5"/>
  <c r="J62" i="2"/>
  <c r="J313" i="4"/>
  <c r="N310" i="5"/>
  <c r="AK63" i="2"/>
  <c r="M62" i="2"/>
  <c r="M313" i="4"/>
  <c r="R310" i="5"/>
  <c r="L62" i="2"/>
  <c r="L313" i="4"/>
  <c r="Q310" i="5"/>
  <c r="AL63" i="2"/>
  <c r="AM63" i="2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AZ82" i="1"/>
  <c r="BA82" i="1"/>
  <c r="BB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BC82" i="1"/>
  <c r="CT82" i="1"/>
  <c r="AZ81" i="1"/>
  <c r="BA81" i="1"/>
  <c r="BB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BC81" i="1"/>
  <c r="CT81" i="1"/>
  <c r="AZ80" i="1"/>
  <c r="BA80" i="1"/>
  <c r="BB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BC80" i="1"/>
  <c r="CT80" i="1"/>
  <c r="AZ79" i="1"/>
  <c r="BA79" i="1"/>
  <c r="BB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BC79" i="1"/>
  <c r="CT79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C62" i="2"/>
  <c r="E62" i="2"/>
  <c r="F62" i="2"/>
  <c r="G62" i="2"/>
  <c r="H62" i="2"/>
  <c r="K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E61" i="2"/>
  <c r="B44" i="4"/>
  <c r="E44" i="4"/>
  <c r="F222" i="5"/>
  <c r="D44" i="4"/>
  <c r="E222" i="5"/>
  <c r="D48" i="2"/>
  <c r="AC62" i="2"/>
  <c r="I222" i="5"/>
  <c r="F61" i="2"/>
  <c r="F44" i="4"/>
  <c r="H222" i="5"/>
  <c r="AD62" i="2"/>
  <c r="AE62" i="2"/>
  <c r="H61" i="2"/>
  <c r="H44" i="4"/>
  <c r="K222" i="5"/>
  <c r="I48" i="2"/>
  <c r="AF62" i="2"/>
  <c r="AG62" i="2"/>
  <c r="AH62" i="2"/>
  <c r="AI62" i="2"/>
  <c r="AJ62" i="2"/>
  <c r="J48" i="2"/>
  <c r="AK62" i="2"/>
  <c r="M44" i="4"/>
  <c r="R222" i="5"/>
  <c r="L44" i="4"/>
  <c r="Q222" i="5"/>
  <c r="M48" i="2"/>
  <c r="L48" i="2"/>
  <c r="AL62" i="2"/>
  <c r="AM62" i="2"/>
  <c r="AZ350" i="1"/>
  <c r="BA350" i="1"/>
  <c r="BB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BC350" i="1"/>
  <c r="CT350" i="1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BC349" i="1"/>
  <c r="CT349" i="1"/>
  <c r="AZ130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Z109" i="1"/>
  <c r="BA109" i="1"/>
  <c r="BB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BC109" i="1"/>
  <c r="CT109" i="1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X7" i="2"/>
  <c r="X44" i="4"/>
  <c r="G61" i="2"/>
  <c r="I61" i="2"/>
  <c r="J61" i="2"/>
  <c r="K61" i="2"/>
  <c r="N61" i="2"/>
  <c r="O61" i="2"/>
  <c r="R61" i="2"/>
  <c r="T61" i="2"/>
  <c r="U61" i="2"/>
  <c r="V61" i="2"/>
  <c r="AA61" i="2"/>
  <c r="AB61" i="2"/>
  <c r="D60" i="2"/>
  <c r="B300" i="4"/>
  <c r="D300" i="4"/>
  <c r="E300" i="5"/>
  <c r="E19" i="2"/>
  <c r="D19" i="2"/>
  <c r="AC61" i="2"/>
  <c r="F19" i="2"/>
  <c r="AD61" i="2"/>
  <c r="AE61" i="2"/>
  <c r="I60" i="2"/>
  <c r="I300" i="4"/>
  <c r="L300" i="5"/>
  <c r="K300" i="5"/>
  <c r="H19" i="2"/>
  <c r="AF61" i="2"/>
  <c r="AG61" i="2"/>
  <c r="AH61" i="2"/>
  <c r="AI61" i="2"/>
  <c r="AJ61" i="2"/>
  <c r="O300" i="5"/>
  <c r="J60" i="2"/>
  <c r="J300" i="4"/>
  <c r="N300" i="5"/>
  <c r="AK61" i="2"/>
  <c r="M60" i="2"/>
  <c r="M300" i="4"/>
  <c r="R300" i="5"/>
  <c r="L60" i="2"/>
  <c r="L300" i="4"/>
  <c r="Q300" i="5"/>
  <c r="M19" i="2"/>
  <c r="L19" i="2"/>
  <c r="AL61" i="2"/>
  <c r="AM61" i="2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AZ298" i="1"/>
  <c r="BA298" i="1"/>
  <c r="BB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BC298" i="1"/>
  <c r="CT298" i="1"/>
  <c r="C60" i="2"/>
  <c r="E60" i="2"/>
  <c r="F60" i="2"/>
  <c r="G60" i="2"/>
  <c r="H60" i="2"/>
  <c r="K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D59" i="2"/>
  <c r="B45" i="4"/>
  <c r="D45" i="4"/>
  <c r="E298" i="5"/>
  <c r="D45" i="2"/>
  <c r="AC60" i="2"/>
  <c r="AD60" i="2"/>
  <c r="AE60" i="2"/>
  <c r="I59" i="2"/>
  <c r="I45" i="4"/>
  <c r="L298" i="5"/>
  <c r="K298" i="5"/>
  <c r="I45" i="2"/>
  <c r="AF60" i="2"/>
  <c r="AG60" i="2"/>
  <c r="AH60" i="2"/>
  <c r="AI60" i="2"/>
  <c r="AJ60" i="2"/>
  <c r="O298" i="5"/>
  <c r="J59" i="2"/>
  <c r="J45" i="4"/>
  <c r="N298" i="5"/>
  <c r="J45" i="2"/>
  <c r="AK60" i="2"/>
  <c r="M59" i="2"/>
  <c r="M45" i="4"/>
  <c r="R298" i="5"/>
  <c r="L59" i="2"/>
  <c r="L45" i="4"/>
  <c r="Q298" i="5"/>
  <c r="M45" i="2"/>
  <c r="L45" i="2"/>
  <c r="AL60" i="2"/>
  <c r="AM60" i="2"/>
  <c r="AZ329" i="1"/>
  <c r="BA329" i="1"/>
  <c r="BB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BC329" i="1"/>
  <c r="CT329" i="1"/>
  <c r="AZ328" i="1"/>
  <c r="BA328" i="1"/>
  <c r="BB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BC328" i="1"/>
  <c r="CT328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2" i="9"/>
  <c r="AL298" i="4"/>
  <c r="A6" i="14"/>
  <c r="H6" i="14"/>
  <c r="G6" i="14"/>
  <c r="F6" i="14"/>
  <c r="U52" i="2"/>
  <c r="B381" i="4"/>
  <c r="U381" i="4"/>
  <c r="AD380" i="5"/>
  <c r="T52" i="2"/>
  <c r="T381" i="4"/>
  <c r="AC380" i="5"/>
  <c r="E6" i="14"/>
  <c r="C6" i="14"/>
  <c r="B6" i="14"/>
  <c r="A8" i="13"/>
  <c r="H8" i="13"/>
  <c r="G8" i="13"/>
  <c r="F8" i="13"/>
  <c r="B303" i="4"/>
  <c r="U49" i="2"/>
  <c r="U303" i="4"/>
  <c r="AD303" i="5"/>
  <c r="T49" i="2"/>
  <c r="T303" i="4"/>
  <c r="AC303" i="5"/>
  <c r="E8" i="13"/>
  <c r="C8" i="13"/>
  <c r="B8" i="13"/>
  <c r="A7" i="13"/>
  <c r="H7" i="13"/>
  <c r="G7" i="13"/>
  <c r="F7" i="13"/>
  <c r="B307" i="4"/>
  <c r="U47" i="2"/>
  <c r="U307" i="4"/>
  <c r="AD308" i="5"/>
  <c r="T47" i="2"/>
  <c r="T307" i="4"/>
  <c r="AC308" i="5"/>
  <c r="E7" i="13"/>
  <c r="C7" i="13"/>
  <c r="B7" i="13"/>
  <c r="A6" i="13"/>
  <c r="H6" i="13"/>
  <c r="G6" i="13"/>
  <c r="F6" i="13"/>
  <c r="B305" i="4"/>
  <c r="U48" i="2"/>
  <c r="U305" i="4"/>
  <c r="AD306" i="5"/>
  <c r="T48" i="2"/>
  <c r="T305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47" i="4"/>
  <c r="C59" i="2"/>
  <c r="C47" i="4"/>
  <c r="C45" i="4"/>
  <c r="C298" i="5"/>
  <c r="D23" i="2"/>
  <c r="D47" i="4"/>
  <c r="H298" i="5"/>
  <c r="I298" i="5"/>
  <c r="I23" i="2"/>
  <c r="I47" i="4"/>
  <c r="J23" i="2"/>
  <c r="J47" i="4"/>
  <c r="L23" i="2"/>
  <c r="L47" i="4"/>
  <c r="M23" i="2"/>
  <c r="M47" i="4"/>
  <c r="N23" i="2"/>
  <c r="N59" i="2"/>
  <c r="N47" i="4"/>
  <c r="N45" i="4"/>
  <c r="T298" i="5"/>
  <c r="O23" i="2"/>
  <c r="O59" i="2"/>
  <c r="O47" i="4"/>
  <c r="O45" i="4"/>
  <c r="U298" i="5"/>
  <c r="P23" i="2"/>
  <c r="P59" i="2"/>
  <c r="P47" i="4"/>
  <c r="P45" i="4"/>
  <c r="W298" i="5"/>
  <c r="Q23" i="2"/>
  <c r="Q59" i="2"/>
  <c r="Q47" i="4"/>
  <c r="Q45" i="4"/>
  <c r="X298" i="5"/>
  <c r="Z298" i="5"/>
  <c r="S23" i="2"/>
  <c r="S59" i="2"/>
  <c r="S47" i="4"/>
  <c r="S45" i="4"/>
  <c r="AA298" i="5"/>
  <c r="AI47" i="4"/>
  <c r="T47" i="4" a="1"/>
  <c r="T47" i="4"/>
  <c r="AI45" i="4"/>
  <c r="T45" i="4" a="1"/>
  <c r="T45" i="4"/>
  <c r="AC298" i="5"/>
  <c r="AD298" i="5"/>
  <c r="AF298" i="5"/>
  <c r="AG298" i="5"/>
  <c r="X23" i="2"/>
  <c r="X59" i="2"/>
  <c r="X47" i="4"/>
  <c r="X45" i="4"/>
  <c r="AI298" i="5"/>
  <c r="Y23" i="2"/>
  <c r="Y59" i="2"/>
  <c r="Y47" i="4"/>
  <c r="Y45" i="4"/>
  <c r="AJ298" i="5"/>
  <c r="Z23" i="2"/>
  <c r="Z59" i="2"/>
  <c r="Z47" i="4"/>
  <c r="Z45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45" i="4"/>
  <c r="F23" i="2"/>
  <c r="F59" i="2"/>
  <c r="F45" i="4"/>
  <c r="R23" i="2"/>
  <c r="R59" i="2"/>
  <c r="R45" i="4"/>
  <c r="AA45" i="4"/>
  <c r="AB45" i="4"/>
  <c r="AC45" i="4"/>
  <c r="AD45" i="4"/>
  <c r="AE45" i="4"/>
  <c r="AF45" i="4"/>
  <c r="AG45" i="4"/>
  <c r="AH45" i="4"/>
  <c r="AJ45" i="4"/>
  <c r="AK45" i="4"/>
  <c r="AL45" i="4"/>
  <c r="G59" i="2"/>
  <c r="H59" i="2"/>
  <c r="K59" i="2"/>
  <c r="T59" i="2"/>
  <c r="U59" i="2"/>
  <c r="V59" i="2"/>
  <c r="W59" i="2"/>
  <c r="AA59" i="2"/>
  <c r="AB59" i="2"/>
  <c r="E58" i="2"/>
  <c r="B113" i="4"/>
  <c r="E113" i="4"/>
  <c r="F230" i="5"/>
  <c r="D58" i="2"/>
  <c r="D113" i="4"/>
  <c r="E230" i="5"/>
  <c r="AC59" i="2"/>
  <c r="I230" i="5"/>
  <c r="F58" i="2"/>
  <c r="F113" i="4"/>
  <c r="H230" i="5"/>
  <c r="AD59" i="2"/>
  <c r="AE59" i="2"/>
  <c r="H58" i="2"/>
  <c r="H113" i="4"/>
  <c r="K230" i="5"/>
  <c r="AF59" i="2"/>
  <c r="AG59" i="2"/>
  <c r="AH59" i="2"/>
  <c r="AI59" i="2"/>
  <c r="AJ59" i="2"/>
  <c r="AK59" i="2"/>
  <c r="M58" i="2"/>
  <c r="M113" i="4"/>
  <c r="R230" i="5"/>
  <c r="L58" i="2"/>
  <c r="L113" i="4"/>
  <c r="Q230" i="5"/>
  <c r="AL59" i="2"/>
  <c r="AM59" i="2"/>
  <c r="D411" i="9"/>
  <c r="E411" i="9"/>
  <c r="F411" i="9"/>
  <c r="G411" i="9"/>
  <c r="AZ321" i="1"/>
  <c r="BA321" i="1"/>
  <c r="BB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BC321" i="1"/>
  <c r="CT321" i="1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BC320" i="1"/>
  <c r="CT320" i="1"/>
  <c r="AZ319" i="1"/>
  <c r="BA319" i="1"/>
  <c r="BB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BC319" i="1"/>
  <c r="CT319" i="1"/>
  <c r="C124" i="7"/>
  <c r="D124" i="7"/>
  <c r="E124" i="7"/>
  <c r="AZ309" i="1"/>
  <c r="BA309" i="1"/>
  <c r="BB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BC309" i="1"/>
  <c r="CT309" i="1"/>
  <c r="AB6" i="4"/>
  <c r="AB3" i="4"/>
  <c r="AB191" i="4"/>
  <c r="AB192" i="4"/>
  <c r="AB111" i="4"/>
  <c r="AB193" i="4"/>
  <c r="AB10" i="4"/>
  <c r="AB12" i="4"/>
  <c r="AB13" i="4"/>
  <c r="AB109" i="4"/>
  <c r="AB211" i="4"/>
  <c r="AB97" i="4"/>
  <c r="AB99" i="4"/>
  <c r="AB188" i="4"/>
  <c r="AB202" i="4"/>
  <c r="AB166" i="4"/>
  <c r="AB175" i="4"/>
  <c r="AB16" i="4"/>
  <c r="AB18" i="4"/>
  <c r="AB21" i="4"/>
  <c r="AB50" i="4"/>
  <c r="AB23" i="4"/>
  <c r="AB51" i="4"/>
  <c r="AB25" i="4"/>
  <c r="AB26" i="4"/>
  <c r="AB27" i="4"/>
  <c r="AB29" i="4"/>
  <c r="AB30" i="4"/>
  <c r="AB31" i="4"/>
  <c r="AB32" i="4"/>
  <c r="AB33" i="4"/>
  <c r="AB52" i="4"/>
  <c r="AB34" i="4"/>
  <c r="AB227" i="4"/>
  <c r="AB95" i="4"/>
  <c r="AB47" i="4"/>
  <c r="AB48" i="4"/>
  <c r="AB20" i="4"/>
  <c r="AB22" i="4"/>
  <c r="AB24" i="4"/>
  <c r="AB234" i="4"/>
  <c r="AB203" i="4"/>
  <c r="AB248" i="4"/>
  <c r="AB238" i="4"/>
  <c r="AB242" i="4"/>
  <c r="AB54" i="4"/>
  <c r="AB94" i="4"/>
  <c r="AB96" i="4"/>
  <c r="AB40" i="4"/>
  <c r="AB281" i="4"/>
  <c r="AB178" i="4"/>
  <c r="AB179" i="4"/>
  <c r="AB180" i="4"/>
  <c r="AB100" i="4"/>
  <c r="AB70" i="4"/>
  <c r="AB101" i="4"/>
  <c r="AB42" i="4"/>
  <c r="AB72" i="4"/>
  <c r="AB56" i="4"/>
  <c r="AB131" i="4"/>
  <c r="AB132" i="4"/>
  <c r="AB133" i="4"/>
  <c r="AB134" i="4"/>
  <c r="AB135" i="4"/>
  <c r="AB136" i="4"/>
  <c r="AB137" i="4"/>
  <c r="AB138" i="4"/>
  <c r="AB104" i="4"/>
  <c r="AB265" i="4"/>
  <c r="AB114" i="4"/>
  <c r="AB46" i="4"/>
  <c r="AB201" i="4"/>
  <c r="AB89" i="4"/>
  <c r="AB139" i="4"/>
  <c r="AB140" i="4"/>
  <c r="AB209" i="4"/>
  <c r="AB141" i="4"/>
  <c r="AB142" i="4"/>
  <c r="AB165" i="4"/>
  <c r="AB143" i="4"/>
  <c r="AB123" i="4"/>
  <c r="AB106" i="4"/>
  <c r="AB124" i="4"/>
  <c r="AB283" i="4"/>
  <c r="AB273" i="4"/>
  <c r="AB271" i="4"/>
  <c r="AB276" i="4"/>
  <c r="AB278" i="4"/>
  <c r="AB231" i="4"/>
  <c r="AB250" i="4"/>
  <c r="AB17" i="4"/>
  <c r="AB287" i="4"/>
  <c r="AB291" i="4"/>
  <c r="AB297" i="4"/>
  <c r="AB298" i="4"/>
  <c r="AB293" i="4"/>
  <c r="AB296" i="4"/>
  <c r="AB258" i="4"/>
  <c r="AB262" i="4"/>
  <c r="AB266" i="4"/>
  <c r="AB288" i="4"/>
  <c r="AB290" i="4"/>
  <c r="AB286" i="4"/>
  <c r="AB269" i="4"/>
  <c r="AB254" i="4"/>
  <c r="AB244" i="4"/>
  <c r="AB259" i="4"/>
  <c r="AB90" i="4"/>
  <c r="AB91" i="4"/>
  <c r="AB115" i="4"/>
  <c r="AB125" i="4"/>
  <c r="AB107" i="4"/>
  <c r="AB189" i="4"/>
  <c r="AB49" i="4"/>
  <c r="AB19" i="4"/>
  <c r="AB2" i="4"/>
  <c r="AB272" i="4"/>
  <c r="AB83" i="4"/>
  <c r="AB108" i="4"/>
  <c r="AB28" i="4"/>
  <c r="AB289" i="4"/>
  <c r="AB154" i="4"/>
  <c r="AB155" i="4"/>
  <c r="AB57" i="4"/>
  <c r="AB63" i="4"/>
  <c r="AB53" i="4"/>
  <c r="AB35" i="4"/>
  <c r="AB36" i="4"/>
  <c r="AB37" i="4"/>
  <c r="AB116" i="4"/>
  <c r="AB144" i="4"/>
  <c r="AB159" i="4"/>
  <c r="AB279" i="4"/>
  <c r="AB160" i="4"/>
  <c r="AB204" i="4"/>
  <c r="AB294" i="4"/>
  <c r="AB212" i="4"/>
  <c r="AB65" i="4"/>
  <c r="AB126" i="4"/>
  <c r="AB93" i="4"/>
  <c r="AB252" i="4"/>
  <c r="AB85" i="4"/>
  <c r="AB38" i="4"/>
  <c r="AB127" i="4"/>
  <c r="AB39" i="4"/>
  <c r="AB110" i="4"/>
  <c r="AB66" i="4"/>
  <c r="AB176" i="4"/>
  <c r="AB220" i="4"/>
  <c r="AB270" i="4"/>
  <c r="AB58" i="4"/>
  <c r="AB235" i="4"/>
  <c r="AB98" i="4"/>
  <c r="AB41" i="4"/>
  <c r="AB128" i="4"/>
  <c r="AB156" i="4"/>
  <c r="AB67" i="4"/>
  <c r="AB55" i="4"/>
  <c r="AB240" i="4"/>
  <c r="AB223" i="4"/>
  <c r="AB241" i="4"/>
  <c r="AB237" i="4"/>
  <c r="AB177" i="4"/>
  <c r="AB267" i="4"/>
  <c r="AB112" i="4"/>
  <c r="AB194" i="4"/>
  <c r="AB86" i="4"/>
  <c r="AB68" i="4"/>
  <c r="AB69" i="4"/>
  <c r="AB295" i="4"/>
  <c r="AB167" i="4"/>
  <c r="AB285" i="4"/>
  <c r="AB206" i="4"/>
  <c r="AB8" i="4"/>
  <c r="AB130" i="4"/>
  <c r="AB195" i="4"/>
  <c r="AB9" i="4"/>
  <c r="AB43" i="4"/>
  <c r="AB11" i="4"/>
  <c r="AB161" i="4"/>
  <c r="AB162" i="4"/>
  <c r="AB163" i="4"/>
  <c r="AB145" i="4"/>
  <c r="AB168" i="4"/>
  <c r="AB181" i="4"/>
  <c r="AB169" i="4"/>
  <c r="AB196" i="4"/>
  <c r="AB197" i="4"/>
  <c r="AB200" i="4"/>
  <c r="AB226" i="4"/>
  <c r="AB171" i="4"/>
  <c r="AB146" i="4"/>
  <c r="AB164" i="4"/>
  <c r="AB284" i="4"/>
  <c r="AB172" i="4"/>
  <c r="AB75" i="4"/>
  <c r="AB182" i="4"/>
  <c r="AB214" i="4"/>
  <c r="AB183" i="4"/>
  <c r="AB147" i="4"/>
  <c r="AB148" i="4"/>
  <c r="AB149" i="4"/>
  <c r="AB150" i="4"/>
  <c r="AB151" i="4"/>
  <c r="AB255" i="4"/>
  <c r="AB251" i="4"/>
  <c r="AB76" i="4"/>
  <c r="AB77" i="4"/>
  <c r="AB245" i="4"/>
  <c r="AB78" i="4"/>
  <c r="AB117" i="4"/>
  <c r="AB103" i="4"/>
  <c r="AB118" i="4"/>
  <c r="AB88" i="4"/>
  <c r="AB79" i="4"/>
  <c r="AB119" i="4"/>
  <c r="AB120" i="4"/>
  <c r="AB121" i="4"/>
  <c r="AB80" i="4"/>
  <c r="AB105" i="4"/>
  <c r="AB14" i="4"/>
  <c r="AB15" i="4"/>
  <c r="AB44" i="4"/>
  <c r="AB261" i="4"/>
  <c r="AB81" i="4"/>
  <c r="AB113" i="4"/>
  <c r="AB207" i="4"/>
  <c r="AB208" i="4"/>
  <c r="AB62" i="4"/>
  <c r="AB216" i="4"/>
  <c r="AB186" i="4"/>
  <c r="AB210" i="4"/>
  <c r="AB187" i="4"/>
  <c r="AB217" i="4"/>
  <c r="AB218" i="4"/>
  <c r="AB219" i="4"/>
  <c r="AB246" i="4"/>
  <c r="AB247" i="4"/>
  <c r="AB253" i="4"/>
  <c r="AB230" i="4"/>
  <c r="AB260" i="4"/>
  <c r="AB274" i="4"/>
  <c r="AB268" i="4"/>
  <c r="AB256" i="4"/>
  <c r="AB257" i="4"/>
  <c r="AB282" i="4"/>
  <c r="AB292" i="4"/>
  <c r="AB92" i="4"/>
  <c r="AB84" i="4"/>
  <c r="AB222" i="4"/>
  <c r="AB280" i="4"/>
  <c r="AB225" i="4"/>
  <c r="AB7" i="4"/>
  <c r="AB229" i="4"/>
  <c r="AB170" i="4"/>
  <c r="AB215" i="4"/>
  <c r="AB185" i="4"/>
  <c r="AB221" i="4"/>
  <c r="AB199" i="4"/>
  <c r="AB224" i="4"/>
  <c r="AB249" i="4"/>
  <c r="AB232" i="4"/>
  <c r="AB239" i="4"/>
  <c r="AB263" i="4"/>
  <c r="AB173" i="4"/>
  <c r="AB174" i="4"/>
  <c r="AB213" i="4"/>
  <c r="AB236" i="4"/>
  <c r="AB243" i="4"/>
  <c r="AB275" i="4"/>
  <c r="AB129" i="4"/>
  <c r="AB233" i="4"/>
  <c r="AB184" i="4"/>
  <c r="AB122" i="4"/>
  <c r="AB157" i="4"/>
  <c r="AB158" i="4"/>
  <c r="AB264" i="4"/>
  <c r="AB73" i="4"/>
  <c r="AB198" i="4"/>
  <c r="AB4" i="4"/>
  <c r="AB102" i="4"/>
  <c r="AB74" i="4"/>
  <c r="AB87" i="4"/>
  <c r="AB228" i="4"/>
  <c r="AB64" i="4"/>
  <c r="AB59" i="4"/>
  <c r="AB60" i="4"/>
  <c r="AB61" i="4"/>
  <c r="AB71" i="4"/>
  <c r="AB152" i="4"/>
  <c r="AB153" i="4"/>
  <c r="AB82" i="4"/>
  <c r="AB190" i="4"/>
  <c r="AB205" i="4"/>
  <c r="AB277" i="4"/>
  <c r="AB302" i="4"/>
  <c r="AB301" i="4"/>
  <c r="AB299" i="4"/>
  <c r="AB300" i="4"/>
  <c r="AB308" i="4"/>
  <c r="AB309" i="4"/>
  <c r="AB310" i="4"/>
  <c r="AB311" i="4"/>
  <c r="AB312" i="4"/>
  <c r="AB304" i="4"/>
  <c r="AB303" i="4"/>
  <c r="AB305" i="4"/>
  <c r="AB306" i="4"/>
  <c r="AB307" i="4"/>
  <c r="AB314" i="4"/>
  <c r="AB313" i="4"/>
  <c r="AB343" i="4"/>
  <c r="AB344" i="4"/>
  <c r="AB327" i="4"/>
  <c r="AB342" i="4"/>
  <c r="AB328" i="4"/>
  <c r="AB329" i="4"/>
  <c r="AB330" i="4"/>
  <c r="AB331" i="4"/>
  <c r="AB335" i="4"/>
  <c r="AB336" i="4"/>
  <c r="AB337" i="4"/>
  <c r="AB338" i="4"/>
  <c r="AB322" i="4"/>
  <c r="AB317" i="4"/>
  <c r="AB318" i="4"/>
  <c r="AB316" i="4"/>
  <c r="AB346" i="4"/>
  <c r="AB347" i="4"/>
  <c r="AB345" i="4"/>
  <c r="AB315" i="4"/>
  <c r="AB324" i="4"/>
  <c r="AB340" i="4"/>
  <c r="AB321" i="4"/>
  <c r="AB325" i="4"/>
  <c r="AB339" i="4"/>
  <c r="AB320" i="4"/>
  <c r="AB319" i="4"/>
  <c r="AB333" i="4"/>
  <c r="AB332" i="4"/>
  <c r="AB341" i="4"/>
  <c r="AB323" i="4"/>
  <c r="AB334" i="4"/>
  <c r="AB326" i="4"/>
  <c r="AB349" i="4"/>
  <c r="AB350" i="4"/>
  <c r="AB351" i="4"/>
  <c r="AB366" i="4"/>
  <c r="AB367" i="4"/>
  <c r="AB368" i="4"/>
  <c r="AB348" i="4"/>
  <c r="AB352" i="4"/>
  <c r="AB353" i="4"/>
  <c r="AB354" i="4"/>
  <c r="AB355" i="4"/>
  <c r="AB356" i="4"/>
  <c r="AB357" i="4"/>
  <c r="AB358" i="4"/>
  <c r="AB359" i="4"/>
  <c r="AB369" i="4"/>
  <c r="AB360" i="4"/>
  <c r="AB361" i="4"/>
  <c r="AB362" i="4"/>
  <c r="AB365" i="4"/>
  <c r="AB363" i="4"/>
  <c r="AB364" i="4"/>
  <c r="AB375" i="4"/>
  <c r="AB371" i="4"/>
  <c r="AB378" i="4"/>
  <c r="AB370" i="4"/>
  <c r="AB372" i="4"/>
  <c r="AB374" i="4"/>
  <c r="AB377" i="4"/>
  <c r="AB381" i="4"/>
  <c r="AB380" i="4"/>
  <c r="AB373" i="4"/>
  <c r="AB376" i="4"/>
  <c r="AB379" i="4"/>
  <c r="AB385" i="4"/>
  <c r="AB384" i="4"/>
  <c r="AB383" i="4"/>
  <c r="AB382" i="4"/>
  <c r="AB386" i="4"/>
  <c r="AB387" i="4"/>
  <c r="AB404" i="4"/>
  <c r="AB407" i="4"/>
  <c r="AB391" i="4"/>
  <c r="AB392" i="4"/>
  <c r="AB393" i="4"/>
  <c r="AB394" i="4"/>
  <c r="AB400" i="4"/>
  <c r="AB411" i="4"/>
  <c r="AB401" i="4"/>
  <c r="AB402" i="4"/>
  <c r="AB406" i="4"/>
  <c r="AB389" i="4"/>
  <c r="AB390" i="4"/>
  <c r="AB388" i="4"/>
  <c r="AB396" i="4"/>
  <c r="AB397" i="4"/>
  <c r="AB398" i="4"/>
  <c r="AB399" i="4"/>
  <c r="AB403" i="4"/>
  <c r="AB405" i="4"/>
  <c r="AB408" i="4"/>
  <c r="AB409" i="4"/>
  <c r="AB410" i="4"/>
  <c r="AB395" i="4"/>
  <c r="AB5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171" i="4"/>
  <c r="E287" i="5"/>
  <c r="E42" i="2"/>
  <c r="D42" i="2"/>
  <c r="AC58" i="2"/>
  <c r="F42" i="2"/>
  <c r="AD58" i="2"/>
  <c r="AE58" i="2"/>
  <c r="H171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171" i="4"/>
  <c r="R287" i="5"/>
  <c r="L171" i="4"/>
  <c r="Q287" i="5"/>
  <c r="M42" i="2"/>
  <c r="L42" i="2"/>
  <c r="AL58" i="2"/>
  <c r="AM58" i="2"/>
  <c r="AZ308" i="1"/>
  <c r="BA308" i="1"/>
  <c r="BB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BC308" i="1"/>
  <c r="CT308" i="1"/>
  <c r="AZ307" i="1"/>
  <c r="BA307" i="1"/>
  <c r="BB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BC307" i="1"/>
  <c r="CT307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275" i="1"/>
  <c r="BA275" i="1"/>
  <c r="BB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BC275" i="1"/>
  <c r="CT275" i="1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240" i="1"/>
  <c r="BA240" i="1"/>
  <c r="BB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BC240" i="1"/>
  <c r="CT240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AZ146" i="1"/>
  <c r="BA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CT146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Z379" i="1"/>
  <c r="BA379" i="1"/>
  <c r="BB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BC379" i="1"/>
  <c r="CT379" i="1"/>
  <c r="H381" i="5"/>
  <c r="H53" i="2"/>
  <c r="B380" i="4"/>
  <c r="H380" i="4"/>
  <c r="K381" i="5"/>
  <c r="F45" i="2"/>
  <c r="B381" i="5"/>
  <c r="C52" i="2"/>
  <c r="C381" i="4"/>
  <c r="C53" i="2"/>
  <c r="C380" i="4"/>
  <c r="C381" i="5"/>
  <c r="D381" i="4"/>
  <c r="D53" i="2"/>
  <c r="D380" i="4"/>
  <c r="E381" i="5"/>
  <c r="F381" i="5"/>
  <c r="I381" i="5"/>
  <c r="H381" i="4"/>
  <c r="I381" i="4"/>
  <c r="I53" i="2"/>
  <c r="I380" i="4"/>
  <c r="L381" i="5"/>
  <c r="J381" i="4"/>
  <c r="J53" i="2"/>
  <c r="J380" i="4"/>
  <c r="N381" i="5"/>
  <c r="K381" i="4"/>
  <c r="K53" i="2"/>
  <c r="K380" i="4"/>
  <c r="O381" i="5"/>
  <c r="L381" i="4"/>
  <c r="L53" i="2"/>
  <c r="L380" i="4"/>
  <c r="Q381" i="5"/>
  <c r="M381" i="4"/>
  <c r="M53" i="2"/>
  <c r="M380" i="4"/>
  <c r="R381" i="5"/>
  <c r="N52" i="2"/>
  <c r="N381" i="4"/>
  <c r="N53" i="2"/>
  <c r="N380" i="4"/>
  <c r="T381" i="5"/>
  <c r="O52" i="2"/>
  <c r="O381" i="4"/>
  <c r="O53" i="2"/>
  <c r="O380" i="4"/>
  <c r="U381" i="5"/>
  <c r="P52" i="2"/>
  <c r="P381" i="4"/>
  <c r="P53" i="2"/>
  <c r="P380" i="4"/>
  <c r="W381" i="5"/>
  <c r="Q52" i="2"/>
  <c r="Q381" i="4"/>
  <c r="Q53" i="2"/>
  <c r="Q380" i="4"/>
  <c r="X381" i="5"/>
  <c r="Z381" i="5"/>
  <c r="S52" i="2"/>
  <c r="S381" i="4"/>
  <c r="S53" i="2"/>
  <c r="S380" i="4"/>
  <c r="AA381" i="5"/>
  <c r="T53" i="2"/>
  <c r="T380" i="4"/>
  <c r="AC381" i="5"/>
  <c r="U53" i="2"/>
  <c r="U380" i="4"/>
  <c r="AD381" i="5"/>
  <c r="V381" i="4"/>
  <c r="V53" i="2"/>
  <c r="V380" i="4"/>
  <c r="AF381" i="5"/>
  <c r="W52" i="2"/>
  <c r="W381" i="4"/>
  <c r="W53" i="2"/>
  <c r="W380" i="4"/>
  <c r="AG381" i="5"/>
  <c r="X52" i="2"/>
  <c r="X381" i="4"/>
  <c r="X53" i="2"/>
  <c r="X380" i="4"/>
  <c r="AI381" i="5"/>
  <c r="Y52" i="2"/>
  <c r="Y381" i="4"/>
  <c r="Y53" i="2"/>
  <c r="Y380" i="4"/>
  <c r="AJ381" i="5"/>
  <c r="Z52" i="2"/>
  <c r="Z381" i="4"/>
  <c r="Z53" i="2"/>
  <c r="Z380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D410" i="9"/>
  <c r="E410" i="9"/>
  <c r="F410" i="9"/>
  <c r="G410" i="9"/>
  <c r="E52" i="2"/>
  <c r="E53" i="2"/>
  <c r="E380" i="4"/>
  <c r="F52" i="2"/>
  <c r="F53" i="2"/>
  <c r="F380" i="4"/>
  <c r="R52" i="2"/>
  <c r="R53" i="2"/>
  <c r="R380" i="4"/>
  <c r="AA380" i="4"/>
  <c r="AC380" i="4"/>
  <c r="AD380" i="4"/>
  <c r="AE380" i="4"/>
  <c r="AF380" i="4"/>
  <c r="AG380" i="4"/>
  <c r="AH380" i="4"/>
  <c r="AI380" i="4"/>
  <c r="AJ380" i="4"/>
  <c r="AK380" i="4"/>
  <c r="AL380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378" i="1"/>
  <c r="BA378" i="1"/>
  <c r="BB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BC378" i="1"/>
  <c r="CT378" i="1"/>
  <c r="AZ377" i="1"/>
  <c r="BA377" i="1"/>
  <c r="BB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BC377" i="1"/>
  <c r="CT377" i="1"/>
  <c r="D44" i="7"/>
  <c r="E44" i="7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X57" i="2"/>
  <c r="Y57" i="2"/>
  <c r="Z57" i="2"/>
  <c r="AA57" i="2"/>
  <c r="AB57" i="2"/>
  <c r="E56" i="2"/>
  <c r="B19" i="4"/>
  <c r="E19" i="4"/>
  <c r="F78" i="5"/>
  <c r="D56" i="2"/>
  <c r="D19" i="4"/>
  <c r="E78" i="5"/>
  <c r="D40" i="2"/>
  <c r="F287" i="5"/>
  <c r="AC57" i="2"/>
  <c r="I78" i="5"/>
  <c r="F56" i="2"/>
  <c r="F19" i="4"/>
  <c r="H78" i="5"/>
  <c r="H287" i="5"/>
  <c r="I287" i="5"/>
  <c r="AD57" i="2"/>
  <c r="AE57" i="2"/>
  <c r="H56" i="2"/>
  <c r="H19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19" i="4"/>
  <c r="R78" i="5"/>
  <c r="L56" i="2"/>
  <c r="L19" i="4"/>
  <c r="Q78" i="5"/>
  <c r="M40" i="2"/>
  <c r="L40" i="2"/>
  <c r="AL57" i="2"/>
  <c r="AM57" i="2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BC261" i="1"/>
  <c r="CT261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X54" i="2"/>
  <c r="B114" i="4"/>
  <c r="X114" i="4"/>
  <c r="X56" i="2"/>
  <c r="AK236" i="4"/>
  <c r="AK8" i="4"/>
  <c r="AK191" i="4"/>
  <c r="AK192" i="4"/>
  <c r="AK193" i="4"/>
  <c r="AK53" i="4"/>
  <c r="AK55" i="4"/>
  <c r="AK63" i="4"/>
  <c r="AK233" i="4"/>
  <c r="AK267" i="4"/>
  <c r="AK6" i="4"/>
  <c r="AK7" i="4"/>
  <c r="AK9" i="4"/>
  <c r="AK43" i="4"/>
  <c r="AK57" i="4"/>
  <c r="AK141" i="4"/>
  <c r="AK143" i="4"/>
  <c r="AK175" i="4"/>
  <c r="AK205" i="4"/>
  <c r="AK220" i="4"/>
  <c r="AK223" i="4"/>
  <c r="AK243" i="4"/>
  <c r="AK250" i="4"/>
  <c r="AK264" i="4"/>
  <c r="AK277" i="4"/>
  <c r="AK288" i="4"/>
  <c r="AK152" i="4"/>
  <c r="AK153" i="4"/>
  <c r="AK177" i="4"/>
  <c r="AK178" i="4"/>
  <c r="AK186" i="4"/>
  <c r="AK187" i="4"/>
  <c r="AK198" i="4"/>
  <c r="AK199" i="4"/>
  <c r="AK210" i="4"/>
  <c r="AK216" i="4"/>
  <c r="AK217" i="4"/>
  <c r="AK218" i="4"/>
  <c r="AK219" i="4"/>
  <c r="AK231" i="4"/>
  <c r="AK235" i="4"/>
  <c r="AK237" i="4"/>
  <c r="AK244" i="4"/>
  <c r="AK254" i="4"/>
  <c r="AK256" i="4"/>
  <c r="AK269" i="4"/>
  <c r="AK276" i="4"/>
  <c r="AK287" i="4"/>
  <c r="AK289" i="4"/>
  <c r="AK291" i="4"/>
  <c r="AK293" i="4"/>
  <c r="AK295" i="4"/>
  <c r="AK296" i="4"/>
  <c r="AK297" i="4"/>
  <c r="AK298" i="4"/>
  <c r="AK41" i="4"/>
  <c r="AK59" i="4"/>
  <c r="AK60" i="4"/>
  <c r="AK61" i="4"/>
  <c r="AK64" i="4"/>
  <c r="AK71" i="4"/>
  <c r="AK82" i="4"/>
  <c r="AK96" i="4"/>
  <c r="AK147" i="4"/>
  <c r="AK148" i="4"/>
  <c r="AK149" i="4"/>
  <c r="AK150" i="4"/>
  <c r="AK151" i="4"/>
  <c r="AK167" i="4"/>
  <c r="AK176" i="4"/>
  <c r="AK179" i="4"/>
  <c r="AK180" i="4"/>
  <c r="AK182" i="4"/>
  <c r="AK183" i="4"/>
  <c r="AK188" i="4"/>
  <c r="AK203" i="4"/>
  <c r="AK212" i="4"/>
  <c r="AK213" i="4"/>
  <c r="AK214" i="4"/>
  <c r="AK215" i="4"/>
  <c r="AK222" i="4"/>
  <c r="AK225" i="4"/>
  <c r="AK230" i="4"/>
  <c r="AK234" i="4"/>
  <c r="AK245" i="4"/>
  <c r="AK246" i="4"/>
  <c r="AK249" i="4"/>
  <c r="AK252" i="4"/>
  <c r="AK258" i="4"/>
  <c r="AK259" i="4"/>
  <c r="AK262" i="4"/>
  <c r="AK265" i="4"/>
  <c r="AK266" i="4"/>
  <c r="AK270" i="4"/>
  <c r="AK275" i="4"/>
  <c r="AK278" i="4"/>
  <c r="AK282" i="4"/>
  <c r="AK285" i="4"/>
  <c r="AK292" i="4"/>
  <c r="AK56" i="4"/>
  <c r="AK89" i="4"/>
  <c r="AK122" i="4"/>
  <c r="AK130" i="4"/>
  <c r="AK139" i="4"/>
  <c r="AK195" i="4"/>
  <c r="AK201" i="4"/>
  <c r="AK202" i="4"/>
  <c r="AK209" i="4"/>
  <c r="AK271" i="4"/>
  <c r="AK273" i="4"/>
  <c r="AK280" i="4"/>
  <c r="AK281" i="4"/>
  <c r="AK283" i="4"/>
  <c r="AK286" i="4"/>
  <c r="AK290" i="4"/>
  <c r="AK294" i="4"/>
  <c r="AK10" i="4"/>
  <c r="AK11" i="4"/>
  <c r="AK12" i="4"/>
  <c r="AK13" i="4"/>
  <c r="AK28" i="4"/>
  <c r="AK88" i="4"/>
  <c r="AK97" i="4"/>
  <c r="AK116" i="4"/>
  <c r="AK123" i="4"/>
  <c r="AK126" i="4"/>
  <c r="AK131" i="4"/>
  <c r="AK132" i="4"/>
  <c r="AK135" i="4"/>
  <c r="AK136" i="4"/>
  <c r="AK137" i="4"/>
  <c r="AK138" i="4"/>
  <c r="AK140" i="4"/>
  <c r="AK142" i="4"/>
  <c r="AK144" i="4"/>
  <c r="AK159" i="4"/>
  <c r="AK165" i="4"/>
  <c r="AK166" i="4"/>
  <c r="AK190" i="4"/>
  <c r="AK204" i="4"/>
  <c r="AK211" i="4"/>
  <c r="AK226" i="4"/>
  <c r="AK274" i="4"/>
  <c r="AK4" i="4"/>
  <c r="AK14" i="4"/>
  <c r="AK15" i="4"/>
  <c r="AK34" i="4"/>
  <c r="AK73" i="4"/>
  <c r="AK74" i="4"/>
  <c r="AK84" i="4"/>
  <c r="AK87" i="4"/>
  <c r="AK92" i="4"/>
  <c r="AK102" i="4"/>
  <c r="AK105" i="4"/>
  <c r="AK124" i="4"/>
  <c r="AK133" i="4"/>
  <c r="AK134" i="4"/>
  <c r="AK145" i="4"/>
  <c r="AK146" i="4"/>
  <c r="AK155" i="4"/>
  <c r="AK156" i="4"/>
  <c r="AK161" i="4"/>
  <c r="AK162" i="4"/>
  <c r="AK163" i="4"/>
  <c r="AK164" i="4"/>
  <c r="AK168" i="4"/>
  <c r="AK169" i="4"/>
  <c r="AK171" i="4"/>
  <c r="AK181" i="4"/>
  <c r="AK185" i="4"/>
  <c r="AK221" i="4"/>
  <c r="AK240" i="4"/>
  <c r="AK241" i="4"/>
  <c r="AK242" i="4"/>
  <c r="AK247" i="4"/>
  <c r="AK253" i="4"/>
  <c r="AK261" i="4"/>
  <c r="AK257" i="4"/>
  <c r="AK260" i="4"/>
  <c r="AK268" i="4"/>
  <c r="AK272" i="4"/>
  <c r="AK279" i="4"/>
  <c r="AK284" i="4"/>
  <c r="AK2" i="4"/>
  <c r="AK19" i="4"/>
  <c r="AK39" i="4"/>
  <c r="AK44" i="4"/>
  <c r="AK49" i="4"/>
  <c r="AK54" i="4"/>
  <c r="AK75" i="4"/>
  <c r="AK80" i="4"/>
  <c r="AK86" i="4"/>
  <c r="AK93" i="4"/>
  <c r="AK108" i="4"/>
  <c r="AK173" i="4"/>
  <c r="AK174" i="4"/>
  <c r="AK194" i="4"/>
  <c r="AK196" i="4"/>
  <c r="AK228" i="4"/>
  <c r="AK111" i="4"/>
  <c r="AK170" i="4"/>
  <c r="AK189" i="4"/>
  <c r="AK197" i="4"/>
  <c r="AK200" i="4"/>
  <c r="AK207" i="4"/>
  <c r="AK229" i="4"/>
  <c r="AK248" i="4"/>
  <c r="AK35" i="4"/>
  <c r="AK40" i="4"/>
  <c r="AK76" i="4"/>
  <c r="AK98" i="4"/>
  <c r="AK129" i="4"/>
  <c r="AK160" i="4"/>
  <c r="AK206" i="4"/>
  <c r="AK251" i="4"/>
  <c r="AK255" i="4"/>
  <c r="AK36" i="4"/>
  <c r="AK37" i="4"/>
  <c r="AK46" i="4"/>
  <c r="AK77" i="4"/>
  <c r="AK103" i="4"/>
  <c r="AK110" i="4"/>
  <c r="AK113" i="4"/>
  <c r="AK115" i="4"/>
  <c r="AK117" i="4"/>
  <c r="AK128" i="4"/>
  <c r="AK224" i="4"/>
  <c r="AK232" i="4"/>
  <c r="AK239" i="4"/>
  <c r="AK263" i="4"/>
  <c r="AK5" i="4"/>
  <c r="AK16" i="4"/>
  <c r="AK20" i="4"/>
  <c r="AK22" i="4"/>
  <c r="AK23" i="4"/>
  <c r="AK24" i="4"/>
  <c r="AK26" i="4"/>
  <c r="AK29" i="4"/>
  <c r="AK38" i="4"/>
  <c r="AK48" i="4"/>
  <c r="AK50" i="4"/>
  <c r="AK51" i="4"/>
  <c r="AK66" i="4"/>
  <c r="AK67" i="4"/>
  <c r="AK83" i="4"/>
  <c r="AK85" i="4"/>
  <c r="AK90" i="4"/>
  <c r="AK91" i="4"/>
  <c r="AK94" i="4"/>
  <c r="AK99" i="4"/>
  <c r="AK100" i="4"/>
  <c r="AK101" i="4"/>
  <c r="AK104" i="4"/>
  <c r="AK107" i="4"/>
  <c r="AK112" i="4"/>
  <c r="AK114" i="4"/>
  <c r="AK118" i="4"/>
  <c r="AK119" i="4"/>
  <c r="AK120" i="4"/>
  <c r="AK121" i="4"/>
  <c r="AK125" i="4"/>
  <c r="AK157" i="4"/>
  <c r="AK17" i="4"/>
  <c r="AK18" i="4"/>
  <c r="AK21" i="4"/>
  <c r="AK25" i="4"/>
  <c r="AK27" i="4"/>
  <c r="AK30" i="4"/>
  <c r="AK31" i="4"/>
  <c r="AK32" i="4"/>
  <c r="AK33" i="4"/>
  <c r="AK47" i="4"/>
  <c r="AK52" i="4"/>
  <c r="AK58" i="4"/>
  <c r="AK62" i="4"/>
  <c r="AK68" i="4"/>
  <c r="AK69" i="4"/>
  <c r="AK70" i="4"/>
  <c r="AK106" i="4"/>
  <c r="AK109" i="4"/>
  <c r="AK154" i="4"/>
  <c r="AK158" i="4"/>
  <c r="AK208" i="4"/>
  <c r="AK238" i="4"/>
  <c r="AK3" i="4"/>
  <c r="AK42" i="4"/>
  <c r="AK72" i="4"/>
  <c r="AK78" i="4"/>
  <c r="AK81" i="4"/>
  <c r="AK127" i="4"/>
  <c r="AK184" i="4"/>
  <c r="AK95" i="4"/>
  <c r="AK65" i="4"/>
  <c r="AK79" i="4"/>
  <c r="AK172" i="4"/>
  <c r="AK310" i="4"/>
  <c r="AK308" i="4"/>
  <c r="AK309" i="4"/>
  <c r="AK311" i="4"/>
  <c r="AK312" i="4"/>
  <c r="AK299" i="4"/>
  <c r="AK300" i="4"/>
  <c r="AK301" i="4"/>
  <c r="AK302" i="4"/>
  <c r="AK314" i="4"/>
  <c r="AK303" i="4"/>
  <c r="AK304" i="4"/>
  <c r="AK305" i="4"/>
  <c r="AK306" i="4"/>
  <c r="AK307" i="4"/>
  <c r="AK313" i="4"/>
  <c r="AK342" i="4"/>
  <c r="AK341" i="4"/>
  <c r="AK340" i="4"/>
  <c r="AK316" i="4"/>
  <c r="AK317" i="4"/>
  <c r="AK318" i="4"/>
  <c r="AK319" i="4"/>
  <c r="AK320" i="4"/>
  <c r="AK321" i="4"/>
  <c r="AK324" i="4"/>
  <c r="AK325" i="4"/>
  <c r="AK327" i="4"/>
  <c r="AK328" i="4"/>
  <c r="AK329" i="4"/>
  <c r="AK330" i="4"/>
  <c r="AK335" i="4"/>
  <c r="AK336" i="4"/>
  <c r="AK337" i="4"/>
  <c r="AK338" i="4"/>
  <c r="AK339" i="4"/>
  <c r="AK322" i="4"/>
  <c r="AK323" i="4"/>
  <c r="AK332" i="4"/>
  <c r="AK333" i="4"/>
  <c r="AK334" i="4"/>
  <c r="AK343" i="4"/>
  <c r="AK344" i="4"/>
  <c r="AK315" i="4"/>
  <c r="AK326" i="4"/>
  <c r="AK345" i="4"/>
  <c r="AK346" i="4"/>
  <c r="AK347" i="4"/>
  <c r="AK331" i="4"/>
  <c r="AK352" i="4"/>
  <c r="AK356" i="4"/>
  <c r="AK348" i="4"/>
  <c r="AK349" i="4"/>
  <c r="AK360" i="4"/>
  <c r="AK361" i="4"/>
  <c r="AK362" i="4"/>
  <c r="AK365" i="4"/>
  <c r="AK353" i="4"/>
  <c r="AK354" i="4"/>
  <c r="AK363" i="4"/>
  <c r="AK364" i="4"/>
  <c r="AK369" i="4"/>
  <c r="AK350" i="4"/>
  <c r="AK351" i="4"/>
  <c r="AK355" i="4"/>
  <c r="AK357" i="4"/>
  <c r="AK358" i="4"/>
  <c r="AK359" i="4"/>
  <c r="AK367" i="4"/>
  <c r="AK366" i="4"/>
  <c r="AK368" i="4"/>
  <c r="AK374" i="4"/>
  <c r="AK375" i="4"/>
  <c r="AK379" i="4"/>
  <c r="AK372" i="4"/>
  <c r="AK373" i="4"/>
  <c r="AK376" i="4"/>
  <c r="AK377" i="4"/>
  <c r="AK371" i="4"/>
  <c r="AK378" i="4"/>
  <c r="AK370" i="4"/>
  <c r="AK381" i="4"/>
  <c r="AK386" i="4"/>
  <c r="AK385" i="4"/>
  <c r="AK382" i="4"/>
  <c r="AK384" i="4"/>
  <c r="AK383" i="4"/>
  <c r="AK411" i="4"/>
  <c r="AK387" i="4"/>
  <c r="AK388" i="4"/>
  <c r="AK390" i="4"/>
  <c r="AK396" i="4"/>
  <c r="AK397" i="4"/>
  <c r="AK398" i="4"/>
  <c r="AK403" i="4"/>
  <c r="AK404" i="4"/>
  <c r="AK389" i="4"/>
  <c r="AK391" i="4"/>
  <c r="AK392" i="4"/>
  <c r="AK393" i="4"/>
  <c r="AK394" i="4"/>
  <c r="AK395" i="4"/>
  <c r="AK399" i="4"/>
  <c r="AK400" i="4"/>
  <c r="AK401" i="4"/>
  <c r="AK402" i="4"/>
  <c r="AK405" i="4"/>
  <c r="AK406" i="4"/>
  <c r="AK407" i="4"/>
  <c r="AK408" i="4"/>
  <c r="AK409" i="4"/>
  <c r="AK410" i="4"/>
  <c r="AK227" i="4"/>
  <c r="B7" i="3"/>
  <c r="C7" i="3"/>
  <c r="AI33" i="4"/>
  <c r="H7" i="3"/>
  <c r="H8" i="3"/>
  <c r="H9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33" i="4" a="1"/>
  <c r="U33" i="4"/>
  <c r="AD94" i="5"/>
  <c r="T33" i="4" a="1"/>
  <c r="T33" i="4"/>
  <c r="AC94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Y56" i="2"/>
  <c r="Z56" i="2"/>
  <c r="AA56" i="2"/>
  <c r="AB56" i="2"/>
  <c r="D55" i="2"/>
  <c r="D46" i="4"/>
  <c r="E20" i="5"/>
  <c r="E18" i="2"/>
  <c r="D18" i="2"/>
  <c r="AC56" i="2"/>
  <c r="F18" i="2"/>
  <c r="AD56" i="2"/>
  <c r="AE56" i="2"/>
  <c r="H55" i="2"/>
  <c r="H46" i="4"/>
  <c r="K20" i="5"/>
  <c r="H18" i="2"/>
  <c r="L78" i="5"/>
  <c r="AF56" i="2"/>
  <c r="AG56" i="2"/>
  <c r="AH56" i="2"/>
  <c r="AI56" i="2"/>
  <c r="AJ56" i="2"/>
  <c r="N78" i="5"/>
  <c r="O78" i="5"/>
  <c r="AK56" i="2"/>
  <c r="M55" i="2"/>
  <c r="M46" i="4"/>
  <c r="R20" i="5"/>
  <c r="L55" i="2"/>
  <c r="L46" i="4"/>
  <c r="Q20" i="5"/>
  <c r="M18" i="2"/>
  <c r="L18" i="2"/>
  <c r="AL56" i="2"/>
  <c r="AM56" i="2"/>
  <c r="AZ145" i="1"/>
  <c r="BA145" i="1"/>
  <c r="BB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BC145" i="1"/>
  <c r="CT145" i="1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Z375" i="1"/>
  <c r="BA375" i="1"/>
  <c r="BB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BC375" i="1"/>
  <c r="CT375" i="1"/>
  <c r="AZ374" i="1"/>
  <c r="BA374" i="1"/>
  <c r="BB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BC374" i="1"/>
  <c r="CT374" i="1"/>
  <c r="AZ175" i="1"/>
  <c r="BA175" i="1"/>
  <c r="BB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CT175" i="1"/>
  <c r="S51" i="2"/>
  <c r="B350" i="4"/>
  <c r="S350" i="4"/>
  <c r="AZ361" i="1"/>
  <c r="BA361" i="1"/>
  <c r="BB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BC361" i="1"/>
  <c r="CT361" i="1"/>
  <c r="AZ360" i="1"/>
  <c r="BA360" i="1"/>
  <c r="BB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BC360" i="1"/>
  <c r="CT360" i="1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B219" i="4"/>
  <c r="H219" i="4"/>
  <c r="S9" i="2"/>
  <c r="B268" i="4"/>
  <c r="S8" i="2"/>
  <c r="S268" i="4"/>
  <c r="N30" i="2"/>
  <c r="B263" i="4"/>
  <c r="N263" i="4"/>
  <c r="N9" i="2"/>
  <c r="N25" i="2"/>
  <c r="N16" i="2"/>
  <c r="N21" i="2"/>
  <c r="N5" i="2"/>
  <c r="N8" i="2"/>
  <c r="N18" i="2"/>
  <c r="N44" i="2"/>
  <c r="N261" i="4"/>
  <c r="B256" i="4"/>
  <c r="N256" i="4"/>
  <c r="C9" i="2"/>
  <c r="G9" i="2"/>
  <c r="K9" i="2"/>
  <c r="O9" i="2"/>
  <c r="P9" i="2"/>
  <c r="Q9" i="2"/>
  <c r="R9" i="2"/>
  <c r="T9" i="2"/>
  <c r="U9" i="2"/>
  <c r="V9" i="2"/>
  <c r="X9" i="2"/>
  <c r="Y9" i="2"/>
  <c r="Z9" i="2"/>
  <c r="AA9" i="2"/>
  <c r="AB9" i="2"/>
  <c r="D8" i="2"/>
  <c r="B274" i="4"/>
  <c r="D274" i="4"/>
  <c r="E44" i="5"/>
  <c r="D268" i="4"/>
  <c r="E45" i="5"/>
  <c r="F45" i="5"/>
  <c r="AC9" i="2"/>
  <c r="H45" i="5"/>
  <c r="I45" i="5"/>
  <c r="AD9" i="2"/>
  <c r="AE9" i="2"/>
  <c r="H8" i="2"/>
  <c r="H274" i="4"/>
  <c r="K44" i="5"/>
  <c r="H268" i="4"/>
  <c r="K45" i="5"/>
  <c r="L45" i="5"/>
  <c r="AF9" i="2"/>
  <c r="AG9" i="2"/>
  <c r="AH9" i="2"/>
  <c r="AI9" i="2"/>
  <c r="AJ9" i="2"/>
  <c r="N45" i="5"/>
  <c r="O45" i="5"/>
  <c r="AK9" i="2"/>
  <c r="M8" i="2"/>
  <c r="M274" i="4"/>
  <c r="R44" i="5"/>
  <c r="L8" i="2"/>
  <c r="L274" i="4"/>
  <c r="Q44" i="5"/>
  <c r="M268" i="4"/>
  <c r="R45" i="5"/>
  <c r="L268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S4" i="2"/>
  <c r="B289" i="4"/>
  <c r="S5" i="2"/>
  <c r="S289" i="4"/>
  <c r="S42" i="2"/>
  <c r="S16" i="2"/>
  <c r="B269" i="4"/>
  <c r="S269" i="4"/>
  <c r="S17" i="2"/>
  <c r="B254" i="4"/>
  <c r="S254" i="4"/>
  <c r="B244" i="4"/>
  <c r="S244" i="4"/>
  <c r="S12" i="2"/>
  <c r="B298" i="4"/>
  <c r="S298" i="4"/>
  <c r="S10" i="2"/>
  <c r="B293" i="4"/>
  <c r="S293" i="4"/>
  <c r="B296" i="4"/>
  <c r="S296" i="4"/>
  <c r="S11" i="2"/>
  <c r="B287" i="4"/>
  <c r="S287" i="4"/>
  <c r="S13" i="2"/>
  <c r="B291" i="4"/>
  <c r="S291" i="4"/>
  <c r="B297" i="4"/>
  <c r="S297" i="4"/>
  <c r="S256" i="4"/>
  <c r="B231" i="4"/>
  <c r="S231" i="4"/>
  <c r="B276" i="4"/>
  <c r="S276" i="4"/>
  <c r="N4" i="2"/>
  <c r="N289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X4" i="2"/>
  <c r="Y4" i="2"/>
  <c r="Z4" i="2"/>
  <c r="AA4" i="2"/>
  <c r="AB4" i="2"/>
  <c r="D5" i="2"/>
  <c r="B282" i="4"/>
  <c r="D282" i="4"/>
  <c r="E262" i="5"/>
  <c r="D289" i="4"/>
  <c r="E253" i="5"/>
  <c r="F253" i="5"/>
  <c r="AC4" i="2"/>
  <c r="H253" i="5"/>
  <c r="I253" i="5"/>
  <c r="AD4" i="2"/>
  <c r="AE4" i="2"/>
  <c r="H5" i="2"/>
  <c r="H282" i="4"/>
  <c r="K262" i="5"/>
  <c r="H289" i="4"/>
  <c r="K253" i="5"/>
  <c r="L253" i="5"/>
  <c r="AF4" i="2"/>
  <c r="AG4" i="2"/>
  <c r="AH4" i="2"/>
  <c r="AI4" i="2"/>
  <c r="AJ4" i="2"/>
  <c r="N253" i="5"/>
  <c r="O253" i="5"/>
  <c r="AK4" i="2"/>
  <c r="M5" i="2"/>
  <c r="M282" i="4"/>
  <c r="R262" i="5"/>
  <c r="L5" i="2"/>
  <c r="L282" i="4"/>
  <c r="Q262" i="5"/>
  <c r="M289" i="4"/>
  <c r="R253" i="5"/>
  <c r="L289" i="4"/>
  <c r="Q253" i="5"/>
  <c r="AL4" i="2"/>
  <c r="AM4" i="2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341" i="1"/>
  <c r="BA341" i="1"/>
  <c r="BB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BC341" i="1"/>
  <c r="CT341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N2" i="2"/>
  <c r="B107" i="4"/>
  <c r="M107" i="4"/>
  <c r="M24" i="2"/>
  <c r="B20" i="4"/>
  <c r="M20" i="4"/>
  <c r="B125" i="4"/>
  <c r="N125" i="4"/>
  <c r="N19" i="2"/>
  <c r="N24" i="2"/>
  <c r="N20" i="4"/>
  <c r="N3" i="2"/>
  <c r="B50" i="4"/>
  <c r="N50" i="4"/>
  <c r="B22" i="4"/>
  <c r="N22" i="4"/>
  <c r="B23" i="4"/>
  <c r="N23" i="4"/>
  <c r="B51" i="4"/>
  <c r="N51" i="4"/>
  <c r="B91" i="4"/>
  <c r="N91" i="4"/>
  <c r="N32" i="2"/>
  <c r="B76" i="4"/>
  <c r="N76" i="4"/>
  <c r="N20" i="2"/>
  <c r="B115" i="4"/>
  <c r="N115" i="4"/>
  <c r="B36" i="4"/>
  <c r="N22" i="2"/>
  <c r="N36" i="4"/>
  <c r="B37" i="4"/>
  <c r="N37" i="4"/>
  <c r="B110" i="4"/>
  <c r="N110" i="4"/>
  <c r="N43" i="2"/>
  <c r="B128" i="4"/>
  <c r="N128" i="4"/>
  <c r="B224" i="4"/>
  <c r="N224" i="4"/>
  <c r="N232" i="4"/>
  <c r="B239" i="4"/>
  <c r="N239" i="4"/>
  <c r="N41" i="2"/>
  <c r="B77" i="4"/>
  <c r="N77" i="4"/>
  <c r="B117" i="4"/>
  <c r="N117" i="4"/>
  <c r="B103" i="4"/>
  <c r="N103" i="4"/>
  <c r="N42" i="2"/>
  <c r="N113" i="4"/>
  <c r="B16" i="4"/>
  <c r="N16" i="4"/>
  <c r="B90" i="4"/>
  <c r="N90" i="4"/>
  <c r="O41" i="2"/>
  <c r="O103" i="4"/>
  <c r="O55" i="2"/>
  <c r="O46" i="4"/>
  <c r="O3" i="2"/>
  <c r="O24" i="2"/>
  <c r="O16" i="4"/>
  <c r="N55" i="2"/>
  <c r="N46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114" i="4"/>
  <c r="C55" i="2"/>
  <c r="C46" i="4"/>
  <c r="C20" i="5"/>
  <c r="D54" i="2"/>
  <c r="D114" i="4"/>
  <c r="F20" i="5"/>
  <c r="H20" i="5"/>
  <c r="I20" i="5"/>
  <c r="H54" i="2"/>
  <c r="H114" i="4"/>
  <c r="L20" i="5"/>
  <c r="N20" i="5"/>
  <c r="O20" i="5"/>
  <c r="L54" i="2"/>
  <c r="L114" i="4"/>
  <c r="M54" i="2"/>
  <c r="M114" i="4"/>
  <c r="N54" i="2"/>
  <c r="N114" i="4"/>
  <c r="T20" i="5"/>
  <c r="O54" i="2"/>
  <c r="O114" i="4"/>
  <c r="U20" i="5"/>
  <c r="P54" i="2"/>
  <c r="P114" i="4"/>
  <c r="P55" i="2"/>
  <c r="P46" i="4"/>
  <c r="W20" i="5"/>
  <c r="Q54" i="2"/>
  <c r="Q114" i="4"/>
  <c r="Q55" i="2"/>
  <c r="Q46" i="4"/>
  <c r="X20" i="5"/>
  <c r="R54" i="2"/>
  <c r="R114" i="4"/>
  <c r="R55" i="2"/>
  <c r="R46" i="4"/>
  <c r="Z20" i="5"/>
  <c r="S54" i="2"/>
  <c r="S114" i="4"/>
  <c r="S55" i="2"/>
  <c r="S46" i="4"/>
  <c r="AA20" i="5"/>
  <c r="AI114" i="4"/>
  <c r="T114" i="4" a="1"/>
  <c r="T114" i="4"/>
  <c r="AI46" i="4"/>
  <c r="T46" i="4" a="1"/>
  <c r="T46" i="4"/>
  <c r="AC20" i="5"/>
  <c r="U114" i="4" a="1"/>
  <c r="U114" i="4"/>
  <c r="U46" i="4" a="1"/>
  <c r="U46" i="4"/>
  <c r="AD20" i="5"/>
  <c r="AF20" i="5"/>
  <c r="AG20" i="5"/>
  <c r="X55" i="2"/>
  <c r="X46" i="4"/>
  <c r="AI20" i="5"/>
  <c r="Y54" i="2"/>
  <c r="Y114" i="4"/>
  <c r="Y55" i="2"/>
  <c r="Y46" i="4"/>
  <c r="AJ20" i="5"/>
  <c r="Z54" i="2"/>
  <c r="Z114" i="4"/>
  <c r="Z55" i="2"/>
  <c r="Z46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46" i="4"/>
  <c r="F54" i="2"/>
  <c r="F55" i="2"/>
  <c r="F46" i="4"/>
  <c r="I54" i="2"/>
  <c r="I55" i="2"/>
  <c r="I46" i="4"/>
  <c r="J54" i="2"/>
  <c r="J55" i="2"/>
  <c r="J46" i="4"/>
  <c r="K54" i="2"/>
  <c r="K55" i="2"/>
  <c r="K46" i="4"/>
  <c r="AA46" i="4"/>
  <c r="AC46" i="4"/>
  <c r="AD46" i="4"/>
  <c r="AE46" i="4"/>
  <c r="AF46" i="4"/>
  <c r="AG46" i="4"/>
  <c r="AH46" i="4"/>
  <c r="AJ46" i="4"/>
  <c r="AL46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312" i="1"/>
  <c r="BA312" i="1"/>
  <c r="BB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BC312" i="1"/>
  <c r="CT312" i="1"/>
  <c r="D347" i="9"/>
  <c r="E347" i="9"/>
  <c r="F347" i="9"/>
  <c r="G347" i="9"/>
  <c r="C125" i="7"/>
  <c r="D125" i="7"/>
  <c r="E125" i="7"/>
  <c r="AZ313" i="1"/>
  <c r="BA313" i="1"/>
  <c r="BB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BC313" i="1"/>
  <c r="CT313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X29" i="2"/>
  <c r="B201" i="4"/>
  <c r="X201" i="4"/>
  <c r="N29" i="2"/>
  <c r="N201" i="4"/>
  <c r="X30" i="2"/>
  <c r="B280" i="4"/>
  <c r="X16" i="2"/>
  <c r="X12" i="2"/>
  <c r="X280" i="4"/>
  <c r="Q21" i="2"/>
  <c r="N38" i="2"/>
  <c r="B150" i="4"/>
  <c r="N150" i="4"/>
  <c r="N36" i="2"/>
  <c r="B151" i="4"/>
  <c r="N151" i="4"/>
  <c r="B148" i="4"/>
  <c r="N148" i="4"/>
  <c r="B149" i="4"/>
  <c r="N149" i="4"/>
  <c r="O28" i="2"/>
  <c r="B179" i="4"/>
  <c r="O179" i="4"/>
  <c r="B180" i="4"/>
  <c r="O180" i="4"/>
  <c r="H14" i="2"/>
  <c r="B178" i="4"/>
  <c r="O7" i="2"/>
  <c r="O178" i="4"/>
  <c r="N28" i="2"/>
  <c r="N178" i="4"/>
  <c r="Y51" i="2"/>
  <c r="B368" i="4"/>
  <c r="Y368" i="4"/>
  <c r="AJ356" i="5"/>
  <c r="Q30" i="2"/>
  <c r="Q29" i="2"/>
  <c r="Q253" i="4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V15" i="2"/>
  <c r="V8" i="2"/>
  <c r="V7" i="2"/>
  <c r="V40" i="2"/>
  <c r="V32" i="2"/>
  <c r="V39" i="2"/>
  <c r="V27" i="2"/>
  <c r="V18" i="2"/>
  <c r="V16" i="2"/>
  <c r="V21" i="2"/>
  <c r="V203" i="4"/>
  <c r="V5" i="2"/>
  <c r="V282" i="4"/>
  <c r="V6" i="2"/>
  <c r="B292" i="4"/>
  <c r="V292" i="4"/>
  <c r="C5" i="2"/>
  <c r="C6" i="2"/>
  <c r="C7" i="2"/>
  <c r="C292" i="4"/>
  <c r="D6" i="2"/>
  <c r="D292" i="4"/>
  <c r="E5" i="2"/>
  <c r="E6" i="2"/>
  <c r="E292" i="4"/>
  <c r="F5" i="2"/>
  <c r="F6" i="2"/>
  <c r="F292" i="4"/>
  <c r="H6" i="2"/>
  <c r="H292" i="4"/>
  <c r="I5" i="2"/>
  <c r="I6" i="2"/>
  <c r="I292" i="4"/>
  <c r="J5" i="2"/>
  <c r="J6" i="2"/>
  <c r="J292" i="4"/>
  <c r="L6" i="2"/>
  <c r="L292" i="4"/>
  <c r="M6" i="2"/>
  <c r="M292" i="4"/>
  <c r="N6" i="2"/>
  <c r="N292" i="4"/>
  <c r="O5" i="2"/>
  <c r="O6" i="2"/>
  <c r="O292" i="4"/>
  <c r="P5" i="2"/>
  <c r="P6" i="2"/>
  <c r="P7" i="2"/>
  <c r="P292" i="4"/>
  <c r="Q5" i="2"/>
  <c r="Q6" i="2"/>
  <c r="Q7" i="2"/>
  <c r="Q292" i="4"/>
  <c r="R5" i="2"/>
  <c r="R6" i="2"/>
  <c r="R7" i="2"/>
  <c r="R292" i="4"/>
  <c r="AI292" i="4"/>
  <c r="T292" i="4" a="1"/>
  <c r="T292" i="4"/>
  <c r="U292" i="4" a="1"/>
  <c r="U292" i="4"/>
  <c r="X5" i="2"/>
  <c r="X6" i="2"/>
  <c r="X292" i="4"/>
  <c r="Y5" i="2"/>
  <c r="Y6" i="2"/>
  <c r="Y7" i="2"/>
  <c r="Y292" i="4"/>
  <c r="Z5" i="2"/>
  <c r="Z6" i="2"/>
  <c r="Z7" i="2"/>
  <c r="Z292" i="4"/>
  <c r="AA292" i="4"/>
  <c r="AC292" i="4"/>
  <c r="AD292" i="4"/>
  <c r="AE292" i="4"/>
  <c r="AF292" i="4"/>
  <c r="AG292" i="4"/>
  <c r="AH292" i="4"/>
  <c r="AJ292" i="4"/>
  <c r="AL292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180" i="4"/>
  <c r="C19" i="5"/>
  <c r="D28" i="2"/>
  <c r="D180" i="4"/>
  <c r="F19" i="5"/>
  <c r="H19" i="5"/>
  <c r="I19" i="5"/>
  <c r="H28" i="2"/>
  <c r="H180" i="4"/>
  <c r="O19" i="5"/>
  <c r="L28" i="2"/>
  <c r="L180" i="4"/>
  <c r="M28" i="2"/>
  <c r="M180" i="4"/>
  <c r="T19" i="5"/>
  <c r="U19" i="5"/>
  <c r="P28" i="2"/>
  <c r="P180" i="4"/>
  <c r="W19" i="5"/>
  <c r="Q28" i="2"/>
  <c r="Q180" i="4"/>
  <c r="X19" i="5"/>
  <c r="R28" i="2"/>
  <c r="R180" i="4"/>
  <c r="Z19" i="5"/>
  <c r="S28" i="2"/>
  <c r="S180" i="4"/>
  <c r="AA19" i="5"/>
  <c r="AI180" i="4"/>
  <c r="T180" i="4" a="1"/>
  <c r="T180" i="4"/>
  <c r="AC19" i="5"/>
  <c r="U180" i="4" a="1"/>
  <c r="U180" i="4"/>
  <c r="AD19" i="5"/>
  <c r="AF19" i="5"/>
  <c r="AG19" i="5"/>
  <c r="X28" i="2"/>
  <c r="X180" i="4"/>
  <c r="AI19" i="5"/>
  <c r="Y28" i="2"/>
  <c r="Y180" i="4"/>
  <c r="AJ19" i="5"/>
  <c r="Z28" i="2"/>
  <c r="Z180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114" i="4"/>
  <c r="F28" i="2"/>
  <c r="F114" i="4"/>
  <c r="I28" i="2"/>
  <c r="I114" i="4"/>
  <c r="J28" i="2"/>
  <c r="J114" i="4"/>
  <c r="K28" i="2"/>
  <c r="K114" i="4"/>
  <c r="AA114" i="4"/>
  <c r="AC114" i="4"/>
  <c r="AD114" i="4"/>
  <c r="AE114" i="4"/>
  <c r="AF114" i="4"/>
  <c r="AG114" i="4"/>
  <c r="AH114" i="4"/>
  <c r="AJ114" i="4"/>
  <c r="AL114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BC311" i="1"/>
  <c r="CT311" i="1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BC310" i="1"/>
  <c r="CT310" i="1"/>
  <c r="D346" i="9"/>
  <c r="E346" i="9"/>
  <c r="F346" i="9"/>
  <c r="G346" i="9"/>
  <c r="C123" i="7"/>
  <c r="E123" i="7"/>
  <c r="D123" i="7"/>
  <c r="AG3" i="5"/>
  <c r="AF3" i="5"/>
  <c r="C39" i="2"/>
  <c r="B176" i="4"/>
  <c r="C176" i="4"/>
  <c r="C3" i="5"/>
  <c r="D176" i="4"/>
  <c r="E3" i="5"/>
  <c r="H176" i="4"/>
  <c r="K3" i="5"/>
  <c r="L176" i="4"/>
  <c r="Q3" i="5"/>
  <c r="M176" i="4"/>
  <c r="R3" i="5"/>
  <c r="T3" i="5"/>
  <c r="O39" i="2"/>
  <c r="O176" i="4"/>
  <c r="U3" i="5"/>
  <c r="P39" i="2"/>
  <c r="P176" i="4"/>
  <c r="W3" i="5"/>
  <c r="Q39" i="2"/>
  <c r="Q176" i="4"/>
  <c r="X3" i="5"/>
  <c r="S39" i="2"/>
  <c r="S176" i="4"/>
  <c r="AA3" i="5"/>
  <c r="AI176" i="4"/>
  <c r="T176" i="4" a="1"/>
  <c r="T176" i="4"/>
  <c r="AC3" i="5"/>
  <c r="U176" i="4" a="1"/>
  <c r="U176" i="4"/>
  <c r="AD3" i="5"/>
  <c r="X39" i="2"/>
  <c r="X176" i="4"/>
  <c r="AI3" i="5"/>
  <c r="Y39" i="2"/>
  <c r="Y176" i="4"/>
  <c r="AJ3" i="5"/>
  <c r="Z39" i="2"/>
  <c r="Z176" i="4"/>
  <c r="AL3" i="5"/>
  <c r="F3" i="5"/>
  <c r="L3" i="5"/>
  <c r="N3" i="5"/>
  <c r="O3" i="5"/>
  <c r="H3" i="5"/>
  <c r="I3" i="5"/>
  <c r="Z3" i="5"/>
  <c r="AN3" i="5"/>
  <c r="O4" i="5"/>
  <c r="H27" i="2"/>
  <c r="B270" i="4"/>
  <c r="H270" i="4"/>
  <c r="K4" i="5"/>
  <c r="AG4" i="5"/>
  <c r="AF4" i="5"/>
  <c r="C27" i="2"/>
  <c r="C270" i="4"/>
  <c r="C4" i="5"/>
  <c r="D27" i="2"/>
  <c r="D270" i="4"/>
  <c r="E4" i="5"/>
  <c r="I27" i="2"/>
  <c r="I270" i="4"/>
  <c r="L4" i="5"/>
  <c r="J27" i="2"/>
  <c r="J270" i="4"/>
  <c r="N4" i="5"/>
  <c r="L27" i="2"/>
  <c r="L270" i="4"/>
  <c r="Q4" i="5"/>
  <c r="M27" i="2"/>
  <c r="M270" i="4"/>
  <c r="R4" i="5"/>
  <c r="T4" i="5"/>
  <c r="O27" i="2"/>
  <c r="O270" i="4"/>
  <c r="U4" i="5"/>
  <c r="W4" i="5"/>
  <c r="Q27" i="2"/>
  <c r="Q270" i="4"/>
  <c r="X4" i="5"/>
  <c r="AA4" i="5"/>
  <c r="AI270" i="4"/>
  <c r="T270" i="4" a="1"/>
  <c r="T270" i="4"/>
  <c r="AC4" i="5"/>
  <c r="U270" i="4" a="1"/>
  <c r="U270" i="4"/>
  <c r="AD4" i="5"/>
  <c r="X27" i="2"/>
  <c r="X270" i="4"/>
  <c r="AI4" i="5"/>
  <c r="Y27" i="2"/>
  <c r="Y270" i="4"/>
  <c r="AJ4" i="5"/>
  <c r="Z27" i="2"/>
  <c r="Z270" i="4"/>
  <c r="AL4" i="5"/>
  <c r="F4" i="5"/>
  <c r="H4" i="5"/>
  <c r="I4" i="5"/>
  <c r="Z4" i="5"/>
  <c r="AN4" i="5"/>
  <c r="AG5" i="5"/>
  <c r="AF5" i="5"/>
  <c r="C16" i="2"/>
  <c r="C226" i="4"/>
  <c r="C5" i="5"/>
  <c r="D16" i="2"/>
  <c r="D226" i="4"/>
  <c r="E5" i="5"/>
  <c r="E27" i="2"/>
  <c r="E16" i="2"/>
  <c r="E226" i="4"/>
  <c r="F5" i="5"/>
  <c r="F27" i="2"/>
  <c r="F16" i="2"/>
  <c r="F226" i="4"/>
  <c r="H5" i="5"/>
  <c r="I5" i="5"/>
  <c r="H16" i="2"/>
  <c r="H226" i="4"/>
  <c r="K5" i="5"/>
  <c r="L16" i="2"/>
  <c r="L226" i="4"/>
  <c r="Q5" i="5"/>
  <c r="M16" i="2"/>
  <c r="M226" i="4"/>
  <c r="R5" i="5"/>
  <c r="T5" i="5"/>
  <c r="U5" i="5"/>
  <c r="P27" i="2"/>
  <c r="P16" i="2"/>
  <c r="P226" i="4"/>
  <c r="W5" i="5"/>
  <c r="Q16" i="2"/>
  <c r="Q226" i="4"/>
  <c r="X5" i="5"/>
  <c r="S27" i="2"/>
  <c r="S226" i="4"/>
  <c r="AA5" i="5"/>
  <c r="AI226" i="4"/>
  <c r="T226" i="4" a="1"/>
  <c r="T226" i="4"/>
  <c r="AC5" i="5"/>
  <c r="U226" i="4" a="1"/>
  <c r="U226" i="4"/>
  <c r="AD5" i="5"/>
  <c r="X226" i="4"/>
  <c r="AI5" i="5"/>
  <c r="Y16" i="2"/>
  <c r="Y226" i="4"/>
  <c r="AJ5" i="5"/>
  <c r="Z16" i="2"/>
  <c r="Z226" i="4"/>
  <c r="AL5" i="5"/>
  <c r="L5" i="5"/>
  <c r="N5" i="5"/>
  <c r="O5" i="5"/>
  <c r="Z5" i="5"/>
  <c r="AN5" i="5"/>
  <c r="AG6" i="5"/>
  <c r="AF6" i="5"/>
  <c r="C40" i="2"/>
  <c r="C255" i="4"/>
  <c r="C6" i="5"/>
  <c r="D255" i="4"/>
  <c r="E6" i="5"/>
  <c r="H255" i="4"/>
  <c r="K6" i="5"/>
  <c r="L255" i="4"/>
  <c r="Q6" i="5"/>
  <c r="M255" i="4"/>
  <c r="R6" i="5"/>
  <c r="T6" i="5"/>
  <c r="O40" i="2"/>
  <c r="O255" i="4"/>
  <c r="U6" i="5"/>
  <c r="P40" i="2"/>
  <c r="P255" i="4"/>
  <c r="W6" i="5"/>
  <c r="Q40" i="2"/>
  <c r="Q255" i="4"/>
  <c r="X6" i="5"/>
  <c r="S40" i="2"/>
  <c r="S255" i="4"/>
  <c r="AA6" i="5"/>
  <c r="AD6" i="5"/>
  <c r="X40" i="2"/>
  <c r="X255" i="4"/>
  <c r="AI6" i="5"/>
  <c r="Y40" i="2"/>
  <c r="Y255" i="4"/>
  <c r="AJ6" i="5"/>
  <c r="Z40" i="2"/>
  <c r="Z255" i="4"/>
  <c r="AL6" i="5"/>
  <c r="F6" i="5"/>
  <c r="H6" i="5"/>
  <c r="I6" i="5"/>
  <c r="L6" i="5"/>
  <c r="N6" i="5"/>
  <c r="O6" i="5"/>
  <c r="Z6" i="5"/>
  <c r="AN6" i="5"/>
  <c r="AG7" i="5"/>
  <c r="AF7" i="5"/>
  <c r="C251" i="4"/>
  <c r="C7" i="5"/>
  <c r="D251" i="4"/>
  <c r="E7" i="5"/>
  <c r="H251" i="4"/>
  <c r="K7" i="5"/>
  <c r="L251" i="4"/>
  <c r="Q7" i="5"/>
  <c r="M251" i="4"/>
  <c r="R7" i="5"/>
  <c r="T7" i="5"/>
  <c r="O251" i="4"/>
  <c r="U7" i="5"/>
  <c r="P251" i="4"/>
  <c r="W7" i="5"/>
  <c r="Q251" i="4"/>
  <c r="X7" i="5"/>
  <c r="S251" i="4"/>
  <c r="AA7" i="5"/>
  <c r="AD7" i="5"/>
  <c r="X251" i="4"/>
  <c r="AI7" i="5"/>
  <c r="Y251" i="4"/>
  <c r="AJ7" i="5"/>
  <c r="Z251" i="4"/>
  <c r="AL7" i="5"/>
  <c r="F7" i="5"/>
  <c r="H7" i="5"/>
  <c r="I7" i="5"/>
  <c r="L7" i="5"/>
  <c r="N7" i="5"/>
  <c r="O7" i="5"/>
  <c r="Z7" i="5"/>
  <c r="AN7" i="5"/>
  <c r="AG8" i="5"/>
  <c r="AF8" i="5"/>
  <c r="C185" i="4"/>
  <c r="C8" i="5"/>
  <c r="D185" i="4"/>
  <c r="E8" i="5"/>
  <c r="H185" i="4"/>
  <c r="K8" i="5"/>
  <c r="L185" i="4"/>
  <c r="Q8" i="5"/>
  <c r="M185" i="4"/>
  <c r="R8" i="5"/>
  <c r="T8" i="5"/>
  <c r="O185" i="4"/>
  <c r="U8" i="5"/>
  <c r="P185" i="4"/>
  <c r="W8" i="5"/>
  <c r="Q185" i="4"/>
  <c r="X8" i="5"/>
  <c r="S185" i="4"/>
  <c r="AA8" i="5"/>
  <c r="AI185" i="4"/>
  <c r="T185" i="4" a="1"/>
  <c r="T185" i="4"/>
  <c r="AC8" i="5"/>
  <c r="U185" i="4" a="1"/>
  <c r="U185" i="4"/>
  <c r="AD8" i="5"/>
  <c r="X185" i="4"/>
  <c r="AI8" i="5"/>
  <c r="Y185" i="4"/>
  <c r="AJ8" i="5"/>
  <c r="Z185" i="4"/>
  <c r="AL8" i="5"/>
  <c r="F8" i="5"/>
  <c r="H8" i="5"/>
  <c r="I8" i="5"/>
  <c r="L8" i="5"/>
  <c r="N8" i="5"/>
  <c r="O8" i="5"/>
  <c r="Z8" i="5"/>
  <c r="AN8" i="5"/>
  <c r="AG9" i="5"/>
  <c r="AF9" i="5"/>
  <c r="C19" i="2"/>
  <c r="C91" i="4"/>
  <c r="C9" i="5"/>
  <c r="D91" i="4"/>
  <c r="E9" i="5"/>
  <c r="E91" i="4"/>
  <c r="F9" i="5"/>
  <c r="F91" i="4"/>
  <c r="H9" i="5"/>
  <c r="I9" i="5"/>
  <c r="H91" i="4"/>
  <c r="K9" i="5"/>
  <c r="L91" i="4"/>
  <c r="Q9" i="5"/>
  <c r="M91" i="4"/>
  <c r="R9" i="5"/>
  <c r="T9" i="5"/>
  <c r="O19" i="2"/>
  <c r="O91" i="4"/>
  <c r="U9" i="5"/>
  <c r="P19" i="2"/>
  <c r="P91" i="4"/>
  <c r="W9" i="5"/>
  <c r="Q19" i="2"/>
  <c r="Q91" i="4"/>
  <c r="X9" i="5"/>
  <c r="S19" i="2"/>
  <c r="S91" i="4"/>
  <c r="AA9" i="5"/>
  <c r="AI91" i="4"/>
  <c r="T91" i="4" a="1"/>
  <c r="T91" i="4"/>
  <c r="AC9" i="5"/>
  <c r="U91" i="4" a="1"/>
  <c r="U91" i="4"/>
  <c r="AD9" i="5"/>
  <c r="X19" i="2"/>
  <c r="X91" i="4"/>
  <c r="AI9" i="5"/>
  <c r="Y19" i="2"/>
  <c r="Y91" i="4"/>
  <c r="AJ9" i="5"/>
  <c r="Z19" i="2"/>
  <c r="Z91" i="4"/>
  <c r="AL9" i="5"/>
  <c r="L9" i="5"/>
  <c r="N9" i="5"/>
  <c r="O9" i="5"/>
  <c r="Z9" i="5"/>
  <c r="AN9" i="5"/>
  <c r="AG10" i="5"/>
  <c r="AF10" i="5"/>
  <c r="C3" i="2"/>
  <c r="B30" i="4"/>
  <c r="C30" i="4"/>
  <c r="C10" i="5"/>
  <c r="D3" i="2"/>
  <c r="D30" i="4"/>
  <c r="E10" i="5"/>
  <c r="K10" i="5"/>
  <c r="L3" i="2"/>
  <c r="L30" i="4"/>
  <c r="Q10" i="5"/>
  <c r="M3" i="2"/>
  <c r="M30" i="4"/>
  <c r="R10" i="5"/>
  <c r="T10" i="5"/>
  <c r="O30" i="4"/>
  <c r="U10" i="5"/>
  <c r="P3" i="2"/>
  <c r="P30" i="4"/>
  <c r="W10" i="5"/>
  <c r="Q3" i="2"/>
  <c r="Q30" i="4"/>
  <c r="X10" i="5"/>
  <c r="S3" i="2"/>
  <c r="S30" i="4"/>
  <c r="AA10" i="5"/>
  <c r="AI30" i="4"/>
  <c r="T30" i="4" a="1"/>
  <c r="T30" i="4"/>
  <c r="AC10" i="5"/>
  <c r="U30" i="4" a="1"/>
  <c r="U30" i="4"/>
  <c r="AD10" i="5"/>
  <c r="X3" i="2"/>
  <c r="X30" i="4"/>
  <c r="AI10" i="5"/>
  <c r="Y3" i="2"/>
  <c r="Y30" i="4"/>
  <c r="AJ10" i="5"/>
  <c r="Z3" i="2"/>
  <c r="Z30" i="4"/>
  <c r="AL10" i="5"/>
  <c r="F10" i="5"/>
  <c r="H10" i="5"/>
  <c r="I10" i="5"/>
  <c r="L10" i="5"/>
  <c r="N10" i="5"/>
  <c r="O10" i="5"/>
  <c r="Z10" i="5"/>
  <c r="AN10" i="5"/>
  <c r="AG11" i="5"/>
  <c r="AF11" i="5"/>
  <c r="C2" i="2"/>
  <c r="B31" i="4"/>
  <c r="C31" i="4"/>
  <c r="C11" i="5"/>
  <c r="D2" i="2"/>
  <c r="D31" i="4"/>
  <c r="E11" i="5"/>
  <c r="K11" i="5"/>
  <c r="L2" i="2"/>
  <c r="L31" i="4"/>
  <c r="Q11" i="5"/>
  <c r="M2" i="2"/>
  <c r="M31" i="4"/>
  <c r="R11" i="5"/>
  <c r="T11" i="5"/>
  <c r="U11" i="5"/>
  <c r="P2" i="2"/>
  <c r="P31" i="4"/>
  <c r="W11" i="5"/>
  <c r="Q2" i="2"/>
  <c r="Q31" i="4"/>
  <c r="X11" i="5"/>
  <c r="S2" i="2"/>
  <c r="S31" i="4"/>
  <c r="AA11" i="5"/>
  <c r="AI31" i="4"/>
  <c r="T31" i="4" a="1"/>
  <c r="T31" i="4"/>
  <c r="AC11" i="5"/>
  <c r="U31" i="4" a="1"/>
  <c r="U31" i="4"/>
  <c r="AD11" i="5"/>
  <c r="X2" i="2"/>
  <c r="X31" i="4"/>
  <c r="AI11" i="5"/>
  <c r="Y2" i="2"/>
  <c r="Y31" i="4"/>
  <c r="AJ11" i="5"/>
  <c r="Z2" i="2"/>
  <c r="Z31" i="4"/>
  <c r="AL11" i="5"/>
  <c r="F11" i="5"/>
  <c r="H11" i="5"/>
  <c r="I11" i="5"/>
  <c r="L11" i="5"/>
  <c r="N11" i="5"/>
  <c r="O11" i="5"/>
  <c r="Z11" i="5"/>
  <c r="AN11" i="5"/>
  <c r="S30" i="2"/>
  <c r="S92" i="4"/>
  <c r="AA12" i="5"/>
  <c r="P30" i="2"/>
  <c r="P92" i="4"/>
  <c r="W12" i="5"/>
  <c r="O12" i="5"/>
  <c r="K12" i="5"/>
  <c r="AG12" i="5"/>
  <c r="AF12" i="5"/>
  <c r="C30" i="2"/>
  <c r="C92" i="4"/>
  <c r="C12" i="5"/>
  <c r="D92" i="4"/>
  <c r="E12" i="5"/>
  <c r="E30" i="2"/>
  <c r="E92" i="4"/>
  <c r="F12" i="5"/>
  <c r="F30" i="2"/>
  <c r="F92" i="4"/>
  <c r="H12" i="5"/>
  <c r="I12" i="5"/>
  <c r="L92" i="4"/>
  <c r="Q12" i="5"/>
  <c r="M92" i="4"/>
  <c r="R12" i="5"/>
  <c r="T12" i="5"/>
  <c r="O30" i="2"/>
  <c r="O92" i="4"/>
  <c r="U12" i="5"/>
  <c r="Q92" i="4"/>
  <c r="X12" i="5"/>
  <c r="R30" i="2"/>
  <c r="R92" i="4"/>
  <c r="Z12" i="5"/>
  <c r="AI92" i="4"/>
  <c r="T92" i="4" a="1"/>
  <c r="T92" i="4"/>
  <c r="AC12" i="5"/>
  <c r="U92" i="4" a="1"/>
  <c r="U92" i="4"/>
  <c r="AD12" i="5"/>
  <c r="X92" i="4"/>
  <c r="AI12" i="5"/>
  <c r="Y30" i="2"/>
  <c r="Y92" i="4"/>
  <c r="AJ12" i="5"/>
  <c r="Z30" i="2"/>
  <c r="Z92" i="4"/>
  <c r="AL12" i="5"/>
  <c r="AN12" i="5"/>
  <c r="S84" i="4"/>
  <c r="AA13" i="5"/>
  <c r="P8" i="2"/>
  <c r="P84" i="4"/>
  <c r="W13" i="5"/>
  <c r="O13" i="5"/>
  <c r="K13" i="5"/>
  <c r="AG13" i="5"/>
  <c r="AF13" i="5"/>
  <c r="C8" i="2"/>
  <c r="C84" i="4"/>
  <c r="C13" i="5"/>
  <c r="D84" i="4"/>
  <c r="E13" i="5"/>
  <c r="E8" i="2"/>
  <c r="E84" i="4"/>
  <c r="F13" i="5"/>
  <c r="F8" i="2"/>
  <c r="F84" i="4"/>
  <c r="H13" i="5"/>
  <c r="I13" i="5"/>
  <c r="I8" i="2"/>
  <c r="I84" i="4"/>
  <c r="L13" i="5"/>
  <c r="J8" i="2"/>
  <c r="J84" i="4"/>
  <c r="N13" i="5"/>
  <c r="L84" i="4"/>
  <c r="Q13" i="5"/>
  <c r="M84" i="4"/>
  <c r="R13" i="5"/>
  <c r="T13" i="5"/>
  <c r="O8" i="2"/>
  <c r="O84" i="4"/>
  <c r="U13" i="5"/>
  <c r="Q8" i="2"/>
  <c r="Q84" i="4"/>
  <c r="X13" i="5"/>
  <c r="R8" i="2"/>
  <c r="R84" i="4"/>
  <c r="Z13" i="5"/>
  <c r="AI84" i="4"/>
  <c r="T84" i="4" a="1"/>
  <c r="T84" i="4"/>
  <c r="AC13" i="5"/>
  <c r="U84" i="4" a="1"/>
  <c r="U84" i="4"/>
  <c r="AD13" i="5"/>
  <c r="X8" i="2"/>
  <c r="X84" i="4"/>
  <c r="AI13" i="5"/>
  <c r="Y8" i="2"/>
  <c r="Y84" i="4"/>
  <c r="AJ13" i="5"/>
  <c r="Z8" i="2"/>
  <c r="Z84" i="4"/>
  <c r="AL13" i="5"/>
  <c r="AN13" i="5"/>
  <c r="AG14" i="5"/>
  <c r="AF14" i="5"/>
  <c r="B126" i="4"/>
  <c r="C126" i="4"/>
  <c r="C14" i="5"/>
  <c r="D126" i="4"/>
  <c r="E14" i="5"/>
  <c r="E126" i="4"/>
  <c r="F14" i="5"/>
  <c r="F126" i="4"/>
  <c r="H14" i="5"/>
  <c r="I14" i="5"/>
  <c r="H126" i="4"/>
  <c r="K14" i="5"/>
  <c r="L126" i="4"/>
  <c r="Q14" i="5"/>
  <c r="M126" i="4"/>
  <c r="R14" i="5"/>
  <c r="T14" i="5"/>
  <c r="O126" i="4"/>
  <c r="U14" i="5"/>
  <c r="P126" i="4"/>
  <c r="W14" i="5"/>
  <c r="Q126" i="4"/>
  <c r="X14" i="5"/>
  <c r="S126" i="4"/>
  <c r="AA14" i="5"/>
  <c r="AI126" i="4"/>
  <c r="T126" i="4" a="1"/>
  <c r="T126" i="4"/>
  <c r="AC14" i="5"/>
  <c r="U126" i="4" a="1"/>
  <c r="U126" i="4"/>
  <c r="AD14" i="5"/>
  <c r="X126" i="4"/>
  <c r="AI14" i="5"/>
  <c r="Y126" i="4"/>
  <c r="AJ14" i="5"/>
  <c r="Z126" i="4"/>
  <c r="AL14" i="5"/>
  <c r="L14" i="5"/>
  <c r="N14" i="5"/>
  <c r="O14" i="5"/>
  <c r="Z14" i="5"/>
  <c r="AN14" i="5"/>
  <c r="AG15" i="5"/>
  <c r="AF15" i="5"/>
  <c r="C41" i="2"/>
  <c r="B94" i="4"/>
  <c r="C94" i="4"/>
  <c r="C15" i="5"/>
  <c r="D41" i="2"/>
  <c r="D94" i="4"/>
  <c r="E15" i="5"/>
  <c r="E41" i="2"/>
  <c r="E94" i="4"/>
  <c r="F15" i="5"/>
  <c r="F41" i="2"/>
  <c r="F94" i="4"/>
  <c r="H15" i="5"/>
  <c r="I15" i="5"/>
  <c r="K15" i="5"/>
  <c r="L41" i="2"/>
  <c r="L94" i="4"/>
  <c r="Q15" i="5"/>
  <c r="M41" i="2"/>
  <c r="M94" i="4"/>
  <c r="R15" i="5"/>
  <c r="T15" i="5"/>
  <c r="O94" i="4"/>
  <c r="U15" i="5"/>
  <c r="P41" i="2"/>
  <c r="P94" i="4"/>
  <c r="W15" i="5"/>
  <c r="Q41" i="2"/>
  <c r="Q94" i="4"/>
  <c r="X15" i="5"/>
  <c r="S41" i="2"/>
  <c r="S94" i="4"/>
  <c r="AA15" i="5"/>
  <c r="AI94" i="4"/>
  <c r="T94" i="4" a="1"/>
  <c r="T94" i="4"/>
  <c r="AC15" i="5"/>
  <c r="U94" i="4" a="1"/>
  <c r="U94" i="4"/>
  <c r="AD15" i="5"/>
  <c r="X41" i="2"/>
  <c r="X94" i="4"/>
  <c r="AI15" i="5"/>
  <c r="Y41" i="2"/>
  <c r="Y94" i="4"/>
  <c r="AJ15" i="5"/>
  <c r="Z41" i="2"/>
  <c r="Z94" i="4"/>
  <c r="AL15" i="5"/>
  <c r="L15" i="5"/>
  <c r="N15" i="5"/>
  <c r="O15" i="5"/>
  <c r="Z15" i="5"/>
  <c r="AN15" i="5"/>
  <c r="S178" i="4"/>
  <c r="AA16" i="5"/>
  <c r="P178" i="4"/>
  <c r="W16" i="5"/>
  <c r="AG16" i="5"/>
  <c r="AF16" i="5"/>
  <c r="C178" i="4"/>
  <c r="C16" i="5"/>
  <c r="D178" i="4"/>
  <c r="E16" i="5"/>
  <c r="K16" i="5"/>
  <c r="L178" i="4"/>
  <c r="Q16" i="5"/>
  <c r="M178" i="4"/>
  <c r="R16" i="5"/>
  <c r="T16" i="5"/>
  <c r="U16" i="5"/>
  <c r="Q178" i="4"/>
  <c r="X16" i="5"/>
  <c r="R178" i="4"/>
  <c r="Z16" i="5"/>
  <c r="AI178" i="4"/>
  <c r="T178" i="4" a="1"/>
  <c r="T178" i="4"/>
  <c r="AC16" i="5"/>
  <c r="U178" i="4" a="1"/>
  <c r="U178" i="4"/>
  <c r="AD16" i="5"/>
  <c r="X178" i="4"/>
  <c r="AI16" i="5"/>
  <c r="Y178" i="4"/>
  <c r="AJ16" i="5"/>
  <c r="Z178" i="4"/>
  <c r="AL16" i="5"/>
  <c r="L16" i="5"/>
  <c r="N16" i="5"/>
  <c r="O16" i="5"/>
  <c r="F16" i="5"/>
  <c r="H16" i="5"/>
  <c r="I16" i="5"/>
  <c r="AN16" i="5"/>
  <c r="S179" i="4"/>
  <c r="AA17" i="5"/>
  <c r="P179" i="4"/>
  <c r="W17" i="5"/>
  <c r="AG17" i="5"/>
  <c r="AF17" i="5"/>
  <c r="C179" i="4"/>
  <c r="C17" i="5"/>
  <c r="D179" i="4"/>
  <c r="E17" i="5"/>
  <c r="H179" i="4"/>
  <c r="K17" i="5"/>
  <c r="L179" i="4"/>
  <c r="Q17" i="5"/>
  <c r="M179" i="4"/>
  <c r="R17" i="5"/>
  <c r="T17" i="5"/>
  <c r="U17" i="5"/>
  <c r="Q179" i="4"/>
  <c r="X17" i="5"/>
  <c r="R179" i="4"/>
  <c r="Z17" i="5"/>
  <c r="AI179" i="4"/>
  <c r="T179" i="4" a="1"/>
  <c r="T179" i="4"/>
  <c r="AC17" i="5"/>
  <c r="U179" i="4" a="1"/>
  <c r="U179" i="4"/>
  <c r="AD17" i="5"/>
  <c r="X179" i="4"/>
  <c r="AI17" i="5"/>
  <c r="Y179" i="4"/>
  <c r="AJ17" i="5"/>
  <c r="Z179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183" i="4"/>
  <c r="C183" i="4"/>
  <c r="C21" i="5"/>
  <c r="D36" i="2"/>
  <c r="D183" i="4"/>
  <c r="E21" i="5"/>
  <c r="L36" i="2"/>
  <c r="L183" i="4"/>
  <c r="Q21" i="5"/>
  <c r="M36" i="2"/>
  <c r="M183" i="4"/>
  <c r="R21" i="5"/>
  <c r="T21" i="5"/>
  <c r="O36" i="2"/>
  <c r="O183" i="4"/>
  <c r="U21" i="5"/>
  <c r="P36" i="2"/>
  <c r="P183" i="4"/>
  <c r="W21" i="5"/>
  <c r="Q36" i="2"/>
  <c r="Q183" i="4"/>
  <c r="X21" i="5"/>
  <c r="S36" i="2"/>
  <c r="S183" i="4"/>
  <c r="AA21" i="5"/>
  <c r="AI183" i="4"/>
  <c r="T183" i="4" a="1"/>
  <c r="T183" i="4"/>
  <c r="AC21" i="5"/>
  <c r="U183" i="4" a="1"/>
  <c r="U183" i="4"/>
  <c r="AD21" i="5"/>
  <c r="X36" i="2"/>
  <c r="X183" i="4"/>
  <c r="AI21" i="5"/>
  <c r="Y36" i="2"/>
  <c r="Y183" i="4"/>
  <c r="AJ21" i="5"/>
  <c r="Z36" i="2"/>
  <c r="Z183" i="4"/>
  <c r="AL21" i="5"/>
  <c r="L21" i="5"/>
  <c r="N21" i="5"/>
  <c r="O21" i="5"/>
  <c r="F21" i="5"/>
  <c r="H21" i="5"/>
  <c r="I21" i="5"/>
  <c r="Z21" i="5"/>
  <c r="AN21" i="5"/>
  <c r="AG22" i="5"/>
  <c r="AF22" i="5"/>
  <c r="C38" i="2"/>
  <c r="B147" i="4"/>
  <c r="C147" i="4"/>
  <c r="C22" i="5"/>
  <c r="D38" i="2"/>
  <c r="D147" i="4"/>
  <c r="E22" i="5"/>
  <c r="H38" i="2"/>
  <c r="H147" i="4"/>
  <c r="K22" i="5"/>
  <c r="L38" i="2"/>
  <c r="L147" i="4"/>
  <c r="Q22" i="5"/>
  <c r="M38" i="2"/>
  <c r="M147" i="4"/>
  <c r="R22" i="5"/>
  <c r="T22" i="5"/>
  <c r="O38" i="2"/>
  <c r="O147" i="4"/>
  <c r="U22" i="5"/>
  <c r="P38" i="2"/>
  <c r="P147" i="4"/>
  <c r="W22" i="5"/>
  <c r="Q38" i="2"/>
  <c r="Q147" i="4"/>
  <c r="X22" i="5"/>
  <c r="S38" i="2"/>
  <c r="S147" i="4"/>
  <c r="AA22" i="5"/>
  <c r="AI147" i="4"/>
  <c r="T147" i="4" a="1"/>
  <c r="T147" i="4"/>
  <c r="AC22" i="5"/>
  <c r="U147" i="4" a="1"/>
  <c r="U147" i="4"/>
  <c r="AD22" i="5"/>
  <c r="X38" i="2"/>
  <c r="X147" i="4"/>
  <c r="AI22" i="5"/>
  <c r="Y38" i="2"/>
  <c r="Y147" i="4"/>
  <c r="AJ22" i="5"/>
  <c r="Z38" i="2"/>
  <c r="Z147" i="4"/>
  <c r="AL22" i="5"/>
  <c r="L22" i="5"/>
  <c r="N22" i="5"/>
  <c r="O22" i="5"/>
  <c r="F22" i="5"/>
  <c r="H22" i="5"/>
  <c r="I22" i="5"/>
  <c r="Z22" i="5"/>
  <c r="AN22" i="5"/>
  <c r="AG23" i="5"/>
  <c r="AF23" i="5"/>
  <c r="C148" i="4"/>
  <c r="C23" i="5"/>
  <c r="D148" i="4"/>
  <c r="E23" i="5"/>
  <c r="H36" i="2"/>
  <c r="H148" i="4"/>
  <c r="K23" i="5"/>
  <c r="I36" i="2"/>
  <c r="I148" i="4"/>
  <c r="L23" i="5"/>
  <c r="J36" i="2"/>
  <c r="J148" i="4"/>
  <c r="N23" i="5"/>
  <c r="O23" i="5"/>
  <c r="L148" i="4"/>
  <c r="Q23" i="5"/>
  <c r="M148" i="4"/>
  <c r="R23" i="5"/>
  <c r="T23" i="5"/>
  <c r="O148" i="4"/>
  <c r="U23" i="5"/>
  <c r="P148" i="4"/>
  <c r="W23" i="5"/>
  <c r="Q148" i="4"/>
  <c r="X23" i="5"/>
  <c r="S148" i="4"/>
  <c r="AA23" i="5"/>
  <c r="AI148" i="4"/>
  <c r="T148" i="4" a="1"/>
  <c r="T148" i="4"/>
  <c r="AC23" i="5"/>
  <c r="U148" i="4" a="1"/>
  <c r="U148" i="4"/>
  <c r="AD23" i="5"/>
  <c r="X148" i="4"/>
  <c r="AI23" i="5"/>
  <c r="Y148" i="4"/>
  <c r="AJ23" i="5"/>
  <c r="Z148" i="4"/>
  <c r="AL23" i="5"/>
  <c r="F23" i="5"/>
  <c r="H23" i="5"/>
  <c r="I23" i="5"/>
  <c r="Z23" i="5"/>
  <c r="AN23" i="5"/>
  <c r="AG24" i="5"/>
  <c r="AF24" i="5"/>
  <c r="C149" i="4"/>
  <c r="C24" i="5"/>
  <c r="D149" i="4"/>
  <c r="E24" i="5"/>
  <c r="H149" i="4"/>
  <c r="K24" i="5"/>
  <c r="L149" i="4"/>
  <c r="Q24" i="5"/>
  <c r="M149" i="4"/>
  <c r="R24" i="5"/>
  <c r="T24" i="5"/>
  <c r="O149" i="4"/>
  <c r="U24" i="5"/>
  <c r="P149" i="4"/>
  <c r="W24" i="5"/>
  <c r="Q149" i="4"/>
  <c r="X24" i="5"/>
  <c r="S149" i="4"/>
  <c r="AA24" i="5"/>
  <c r="AI149" i="4"/>
  <c r="T149" i="4" a="1"/>
  <c r="T149" i="4"/>
  <c r="AC24" i="5"/>
  <c r="U149" i="4" a="1"/>
  <c r="U149" i="4"/>
  <c r="AD24" i="5"/>
  <c r="X149" i="4"/>
  <c r="AI24" i="5"/>
  <c r="Y149" i="4"/>
  <c r="AJ24" i="5"/>
  <c r="Z149" i="4"/>
  <c r="AL24" i="5"/>
  <c r="L24" i="5"/>
  <c r="N24" i="5"/>
  <c r="O24" i="5"/>
  <c r="F24" i="5"/>
  <c r="H24" i="5"/>
  <c r="I24" i="5"/>
  <c r="Z24" i="5"/>
  <c r="AN24" i="5"/>
  <c r="AG25" i="5"/>
  <c r="AF25" i="5"/>
  <c r="C150" i="4"/>
  <c r="C25" i="5"/>
  <c r="D150" i="4"/>
  <c r="E25" i="5"/>
  <c r="H150" i="4"/>
  <c r="K25" i="5"/>
  <c r="L150" i="4"/>
  <c r="Q25" i="5"/>
  <c r="M150" i="4"/>
  <c r="R25" i="5"/>
  <c r="T25" i="5"/>
  <c r="O150" i="4"/>
  <c r="U25" i="5"/>
  <c r="P150" i="4"/>
  <c r="W25" i="5"/>
  <c r="Q150" i="4"/>
  <c r="X25" i="5"/>
  <c r="S150" i="4"/>
  <c r="AA25" i="5"/>
  <c r="AI150" i="4"/>
  <c r="T150" i="4" a="1"/>
  <c r="T150" i="4"/>
  <c r="AC25" i="5"/>
  <c r="U150" i="4" a="1"/>
  <c r="U150" i="4"/>
  <c r="AD25" i="5"/>
  <c r="X150" i="4"/>
  <c r="AI25" i="5"/>
  <c r="Y150" i="4"/>
  <c r="AJ25" i="5"/>
  <c r="Z150" i="4"/>
  <c r="AL25" i="5"/>
  <c r="L25" i="5"/>
  <c r="N25" i="5"/>
  <c r="O25" i="5"/>
  <c r="F25" i="5"/>
  <c r="H25" i="5"/>
  <c r="I25" i="5"/>
  <c r="Z25" i="5"/>
  <c r="AN25" i="5"/>
  <c r="AG26" i="5"/>
  <c r="AF26" i="5"/>
  <c r="C151" i="4"/>
  <c r="C26" i="5"/>
  <c r="D151" i="4"/>
  <c r="E26" i="5"/>
  <c r="H151" i="4"/>
  <c r="K26" i="5"/>
  <c r="L151" i="4"/>
  <c r="Q26" i="5"/>
  <c r="M151" i="4"/>
  <c r="R26" i="5"/>
  <c r="T26" i="5"/>
  <c r="O151" i="4"/>
  <c r="U26" i="5"/>
  <c r="P151" i="4"/>
  <c r="W26" i="5"/>
  <c r="Q151" i="4"/>
  <c r="X26" i="5"/>
  <c r="S151" i="4"/>
  <c r="AA26" i="5"/>
  <c r="AI151" i="4"/>
  <c r="T151" i="4" a="1"/>
  <c r="T151" i="4"/>
  <c r="AC26" i="5"/>
  <c r="U151" i="4" a="1"/>
  <c r="U151" i="4"/>
  <c r="AD26" i="5"/>
  <c r="X151" i="4"/>
  <c r="AI26" i="5"/>
  <c r="Y151" i="4"/>
  <c r="AJ26" i="5"/>
  <c r="Z151" i="4"/>
  <c r="AL26" i="5"/>
  <c r="L26" i="5"/>
  <c r="N26" i="5"/>
  <c r="O26" i="5"/>
  <c r="F26" i="5"/>
  <c r="H26" i="5"/>
  <c r="I26" i="5"/>
  <c r="Z26" i="5"/>
  <c r="AN26" i="5"/>
  <c r="AG27" i="5"/>
  <c r="AF27" i="5"/>
  <c r="B104" i="4"/>
  <c r="C104" i="4"/>
  <c r="C27" i="5"/>
  <c r="D104" i="4"/>
  <c r="E27" i="5"/>
  <c r="E104" i="4"/>
  <c r="F27" i="5"/>
  <c r="F104" i="4"/>
  <c r="H27" i="5"/>
  <c r="I27" i="5"/>
  <c r="K27" i="5"/>
  <c r="L104" i="4"/>
  <c r="Q27" i="5"/>
  <c r="M104" i="4"/>
  <c r="R27" i="5"/>
  <c r="T27" i="5"/>
  <c r="O104" i="4"/>
  <c r="U27" i="5"/>
  <c r="P104" i="4"/>
  <c r="W27" i="5"/>
  <c r="Q104" i="4"/>
  <c r="X27" i="5"/>
  <c r="S104" i="4"/>
  <c r="AA27" i="5"/>
  <c r="AI104" i="4"/>
  <c r="T104" i="4" a="1"/>
  <c r="T104" i="4"/>
  <c r="AC27" i="5"/>
  <c r="U104" i="4" a="1"/>
  <c r="U104" i="4"/>
  <c r="AD27" i="5"/>
  <c r="X104" i="4"/>
  <c r="AI27" i="5"/>
  <c r="Y104" i="4"/>
  <c r="AJ27" i="5"/>
  <c r="Z104" i="4"/>
  <c r="AL27" i="5"/>
  <c r="L27" i="5"/>
  <c r="N27" i="5"/>
  <c r="O27" i="5"/>
  <c r="Z27" i="5"/>
  <c r="AN27" i="5"/>
  <c r="AG28" i="5"/>
  <c r="AF28" i="5"/>
  <c r="C44" i="2"/>
  <c r="C105" i="4"/>
  <c r="C28" i="5"/>
  <c r="D44" i="2"/>
  <c r="D105" i="4"/>
  <c r="E28" i="5"/>
  <c r="E44" i="2"/>
  <c r="E105" i="4"/>
  <c r="F28" i="5"/>
  <c r="F44" i="2"/>
  <c r="F105" i="4"/>
  <c r="H28" i="5"/>
  <c r="I28" i="5"/>
  <c r="H44" i="2"/>
  <c r="H105" i="4"/>
  <c r="K28" i="5"/>
  <c r="L44" i="2"/>
  <c r="L105" i="4"/>
  <c r="Q28" i="5"/>
  <c r="M44" i="2"/>
  <c r="M105" i="4"/>
  <c r="R28" i="5"/>
  <c r="N105" i="4"/>
  <c r="T28" i="5"/>
  <c r="O44" i="2"/>
  <c r="O105" i="4"/>
  <c r="U28" i="5"/>
  <c r="P44" i="2"/>
  <c r="P105" i="4"/>
  <c r="W28" i="5"/>
  <c r="Q44" i="2"/>
  <c r="Q105" i="4"/>
  <c r="X28" i="5"/>
  <c r="S44" i="2"/>
  <c r="S105" i="4"/>
  <c r="AA28" i="5"/>
  <c r="AI105" i="4"/>
  <c r="T105" i="4" a="1"/>
  <c r="T105" i="4"/>
  <c r="AC28" i="5"/>
  <c r="U105" i="4" a="1"/>
  <c r="U105" i="4"/>
  <c r="AD28" i="5"/>
  <c r="X44" i="2"/>
  <c r="X105" i="4"/>
  <c r="AI28" i="5"/>
  <c r="Y44" i="2"/>
  <c r="Y105" i="4"/>
  <c r="AJ28" i="5"/>
  <c r="Z44" i="2"/>
  <c r="Z105" i="4"/>
  <c r="AL28" i="5"/>
  <c r="L28" i="5"/>
  <c r="N28" i="5"/>
  <c r="O28" i="5"/>
  <c r="Z28" i="5"/>
  <c r="AN28" i="5"/>
  <c r="O29" i="5"/>
  <c r="B152" i="4"/>
  <c r="H152" i="4"/>
  <c r="K29" i="5"/>
  <c r="AG29" i="5"/>
  <c r="AF29" i="5"/>
  <c r="C14" i="2"/>
  <c r="C152" i="4"/>
  <c r="C29" i="5"/>
  <c r="D14" i="2"/>
  <c r="D152" i="4"/>
  <c r="E29" i="5"/>
  <c r="I14" i="2"/>
  <c r="I152" i="4"/>
  <c r="L29" i="5"/>
  <c r="J14" i="2"/>
  <c r="J152" i="4"/>
  <c r="N29" i="5"/>
  <c r="L14" i="2"/>
  <c r="L152" i="4"/>
  <c r="Q29" i="5"/>
  <c r="M14" i="2"/>
  <c r="M152" i="4"/>
  <c r="R29" i="5"/>
  <c r="T29" i="5"/>
  <c r="O14" i="2"/>
  <c r="O152" i="4"/>
  <c r="U29" i="5"/>
  <c r="P14" i="2"/>
  <c r="P152" i="4"/>
  <c r="W29" i="5"/>
  <c r="Q14" i="2"/>
  <c r="Q152" i="4"/>
  <c r="X29" i="5"/>
  <c r="AA29" i="5"/>
  <c r="AI152" i="4"/>
  <c r="T152" i="4" a="1"/>
  <c r="T152" i="4"/>
  <c r="AC29" i="5"/>
  <c r="U152" i="4" a="1"/>
  <c r="U152" i="4"/>
  <c r="AD29" i="5"/>
  <c r="Y14" i="2"/>
  <c r="Y152" i="4"/>
  <c r="AJ29" i="5"/>
  <c r="Z14" i="2"/>
  <c r="Z152" i="4"/>
  <c r="AL29" i="5"/>
  <c r="F29" i="5"/>
  <c r="H29" i="5"/>
  <c r="I29" i="5"/>
  <c r="Z29" i="5"/>
  <c r="AN29" i="5"/>
  <c r="AG30" i="5"/>
  <c r="AF30" i="5"/>
  <c r="B153" i="4"/>
  <c r="C153" i="4"/>
  <c r="C30" i="5"/>
  <c r="D153" i="4"/>
  <c r="E30" i="5"/>
  <c r="H153" i="4"/>
  <c r="K30" i="5"/>
  <c r="L153" i="4"/>
  <c r="Q30" i="5"/>
  <c r="M153" i="4"/>
  <c r="R30" i="5"/>
  <c r="T30" i="5"/>
  <c r="O153" i="4"/>
  <c r="U30" i="5"/>
  <c r="P153" i="4"/>
  <c r="W30" i="5"/>
  <c r="Q153" i="4"/>
  <c r="X30" i="5"/>
  <c r="AA30" i="5"/>
  <c r="AI153" i="4"/>
  <c r="T153" i="4" a="1"/>
  <c r="T153" i="4"/>
  <c r="AC30" i="5"/>
  <c r="U153" i="4" a="1"/>
  <c r="U153" i="4"/>
  <c r="AD30" i="5"/>
  <c r="Y153" i="4"/>
  <c r="AJ30" i="5"/>
  <c r="Z153" i="4"/>
  <c r="AL30" i="5"/>
  <c r="L30" i="5"/>
  <c r="N30" i="5"/>
  <c r="O30" i="5"/>
  <c r="F30" i="5"/>
  <c r="H30" i="5"/>
  <c r="I30" i="5"/>
  <c r="Z30" i="5"/>
  <c r="AN30" i="5"/>
  <c r="S29" i="2"/>
  <c r="S201" i="4"/>
  <c r="AA31" i="5"/>
  <c r="P29" i="2"/>
  <c r="P201" i="4"/>
  <c r="W31" i="5"/>
  <c r="AG31" i="5"/>
  <c r="AF31" i="5"/>
  <c r="C29" i="2"/>
  <c r="C201" i="4"/>
  <c r="C31" i="5"/>
  <c r="D29" i="2"/>
  <c r="D201" i="4"/>
  <c r="E31" i="5"/>
  <c r="K31" i="5"/>
  <c r="L29" i="2"/>
  <c r="L201" i="4"/>
  <c r="Q31" i="5"/>
  <c r="M29" i="2"/>
  <c r="M201" i="4"/>
  <c r="R31" i="5"/>
  <c r="T31" i="5"/>
  <c r="O29" i="2"/>
  <c r="O201" i="4"/>
  <c r="U31" i="5"/>
  <c r="Q201" i="4"/>
  <c r="X31" i="5"/>
  <c r="R29" i="2"/>
  <c r="R201" i="4"/>
  <c r="Z31" i="5"/>
  <c r="AI201" i="4"/>
  <c r="T201" i="4" a="1"/>
  <c r="T201" i="4"/>
  <c r="AC31" i="5"/>
  <c r="U201" i="4" a="1"/>
  <c r="U201" i="4"/>
  <c r="AD31" i="5"/>
  <c r="AI31" i="5"/>
  <c r="Y29" i="2"/>
  <c r="Y201" i="4"/>
  <c r="AJ31" i="5"/>
  <c r="Z29" i="2"/>
  <c r="Z201" i="4"/>
  <c r="AL31" i="5"/>
  <c r="L31" i="5"/>
  <c r="N31" i="5"/>
  <c r="O31" i="5"/>
  <c r="F31" i="5"/>
  <c r="H31" i="5"/>
  <c r="I31" i="5"/>
  <c r="AN31" i="5"/>
  <c r="B89" i="4"/>
  <c r="S89" i="4"/>
  <c r="AA32" i="5"/>
  <c r="P89" i="4"/>
  <c r="W32" i="5"/>
  <c r="AG32" i="5"/>
  <c r="AF32" i="5"/>
  <c r="C89" i="4"/>
  <c r="C32" i="5"/>
  <c r="D89" i="4"/>
  <c r="E32" i="5"/>
  <c r="K32" i="5"/>
  <c r="L89" i="4"/>
  <c r="Q32" i="5"/>
  <c r="M89" i="4"/>
  <c r="R32" i="5"/>
  <c r="T32" i="5"/>
  <c r="O89" i="4"/>
  <c r="U32" i="5"/>
  <c r="Q89" i="4"/>
  <c r="X32" i="5"/>
  <c r="R89" i="4"/>
  <c r="Z32" i="5"/>
  <c r="AI89" i="4"/>
  <c r="T89" i="4" a="1"/>
  <c r="T89" i="4"/>
  <c r="AC32" i="5"/>
  <c r="U89" i="4" a="1"/>
  <c r="U89" i="4"/>
  <c r="AD32" i="5"/>
  <c r="X89" i="4"/>
  <c r="AI32" i="5"/>
  <c r="Y89" i="4"/>
  <c r="AJ32" i="5"/>
  <c r="Z89" i="4"/>
  <c r="AL32" i="5"/>
  <c r="L32" i="5"/>
  <c r="N32" i="5"/>
  <c r="O32" i="5"/>
  <c r="F32" i="5"/>
  <c r="H32" i="5"/>
  <c r="I32" i="5"/>
  <c r="AN32" i="5"/>
  <c r="B139" i="4"/>
  <c r="S139" i="4"/>
  <c r="AA33" i="5"/>
  <c r="P139" i="4"/>
  <c r="W33" i="5"/>
  <c r="AG33" i="5"/>
  <c r="AF33" i="5"/>
  <c r="C139" i="4"/>
  <c r="C33" i="5"/>
  <c r="D139" i="4"/>
  <c r="E33" i="5"/>
  <c r="K33" i="5"/>
  <c r="L139" i="4"/>
  <c r="Q33" i="5"/>
  <c r="M139" i="4"/>
  <c r="R33" i="5"/>
  <c r="T33" i="5"/>
  <c r="O139" i="4"/>
  <c r="U33" i="5"/>
  <c r="Q139" i="4"/>
  <c r="X33" i="5"/>
  <c r="R139" i="4"/>
  <c r="Z33" i="5"/>
  <c r="AI139" i="4"/>
  <c r="T139" i="4" a="1"/>
  <c r="T139" i="4"/>
  <c r="AC33" i="5"/>
  <c r="U139" i="4" a="1"/>
  <c r="U139" i="4"/>
  <c r="AD33" i="5"/>
  <c r="X139" i="4"/>
  <c r="AI33" i="5"/>
  <c r="Y139" i="4"/>
  <c r="AJ33" i="5"/>
  <c r="Z139" i="4"/>
  <c r="AL33" i="5"/>
  <c r="L33" i="5"/>
  <c r="N33" i="5"/>
  <c r="O33" i="5"/>
  <c r="F33" i="5"/>
  <c r="H33" i="5"/>
  <c r="I33" i="5"/>
  <c r="AN33" i="5"/>
  <c r="B209" i="4"/>
  <c r="S209" i="4"/>
  <c r="AA34" i="5"/>
  <c r="P209" i="4"/>
  <c r="W34" i="5"/>
  <c r="AG34" i="5"/>
  <c r="AF34" i="5"/>
  <c r="C209" i="4"/>
  <c r="C34" i="5"/>
  <c r="D209" i="4"/>
  <c r="E34" i="5"/>
  <c r="K34" i="5"/>
  <c r="L209" i="4"/>
  <c r="Q34" i="5"/>
  <c r="M209" i="4"/>
  <c r="R34" i="5"/>
  <c r="T34" i="5"/>
  <c r="O209" i="4"/>
  <c r="U34" i="5"/>
  <c r="Q209" i="4"/>
  <c r="X34" i="5"/>
  <c r="R209" i="4"/>
  <c r="Z34" i="5"/>
  <c r="AI209" i="4"/>
  <c r="T209" i="4" a="1"/>
  <c r="T209" i="4"/>
  <c r="AC34" i="5"/>
  <c r="U209" i="4" a="1"/>
  <c r="U209" i="4"/>
  <c r="AD34" i="5"/>
  <c r="X209" i="4"/>
  <c r="AI34" i="5"/>
  <c r="Y209" i="4"/>
  <c r="AJ34" i="5"/>
  <c r="Z209" i="4"/>
  <c r="AL34" i="5"/>
  <c r="L34" i="5"/>
  <c r="N34" i="5"/>
  <c r="O34" i="5"/>
  <c r="F34" i="5"/>
  <c r="H34" i="5"/>
  <c r="I34" i="5"/>
  <c r="AN34" i="5"/>
  <c r="AG35" i="5"/>
  <c r="AF35" i="5"/>
  <c r="C24" i="2"/>
  <c r="C124" i="4"/>
  <c r="C35" i="5"/>
  <c r="D24" i="2"/>
  <c r="D124" i="4"/>
  <c r="E35" i="5"/>
  <c r="K35" i="5"/>
  <c r="L24" i="2"/>
  <c r="L124" i="4"/>
  <c r="Q35" i="5"/>
  <c r="M124" i="4"/>
  <c r="R35" i="5"/>
  <c r="T35" i="5"/>
  <c r="O16" i="2"/>
  <c r="O124" i="4"/>
  <c r="U35" i="5"/>
  <c r="P24" i="2"/>
  <c r="P124" i="4"/>
  <c r="W35" i="5"/>
  <c r="Q24" i="2"/>
  <c r="Q124" i="4"/>
  <c r="X35" i="5"/>
  <c r="S24" i="2"/>
  <c r="S124" i="4"/>
  <c r="AA35" i="5"/>
  <c r="AI124" i="4"/>
  <c r="T124" i="4" a="1"/>
  <c r="T124" i="4"/>
  <c r="AC35" i="5"/>
  <c r="U124" i="4" a="1"/>
  <c r="U124" i="4"/>
  <c r="AD35" i="5"/>
  <c r="AI35" i="5"/>
  <c r="Y24" i="2"/>
  <c r="Y124" i="4"/>
  <c r="AJ35" i="5"/>
  <c r="Z24" i="2"/>
  <c r="Z124" i="4"/>
  <c r="AL35" i="5"/>
  <c r="L35" i="5"/>
  <c r="F35" i="5"/>
  <c r="H35" i="5"/>
  <c r="I35" i="5"/>
  <c r="N35" i="5"/>
  <c r="O35" i="5"/>
  <c r="Z35" i="5"/>
  <c r="AN35" i="5"/>
  <c r="AG36" i="5"/>
  <c r="AF36" i="5"/>
  <c r="C247" i="4"/>
  <c r="C36" i="5"/>
  <c r="D247" i="4"/>
  <c r="E36" i="5"/>
  <c r="K36" i="5"/>
  <c r="L247" i="4"/>
  <c r="Q36" i="5"/>
  <c r="M247" i="4"/>
  <c r="R36" i="5"/>
  <c r="T36" i="5"/>
  <c r="O247" i="4"/>
  <c r="U36" i="5"/>
  <c r="P247" i="4"/>
  <c r="W36" i="5"/>
  <c r="Q247" i="4"/>
  <c r="X36" i="5"/>
  <c r="S247" i="4"/>
  <c r="AA36" i="5"/>
  <c r="AI247" i="4"/>
  <c r="T247" i="4" a="1"/>
  <c r="T247" i="4"/>
  <c r="AC36" i="5"/>
  <c r="U247" i="4" a="1"/>
  <c r="U247" i="4"/>
  <c r="AD36" i="5"/>
  <c r="X247" i="4"/>
  <c r="AI36" i="5"/>
  <c r="Y247" i="4"/>
  <c r="AJ36" i="5"/>
  <c r="Z247" i="4"/>
  <c r="AL36" i="5"/>
  <c r="L36" i="5"/>
  <c r="F36" i="5"/>
  <c r="H36" i="5"/>
  <c r="I36" i="5"/>
  <c r="N36" i="5"/>
  <c r="O36" i="5"/>
  <c r="Z36" i="5"/>
  <c r="AN36" i="5"/>
  <c r="AG37" i="5"/>
  <c r="AF37" i="5"/>
  <c r="C253" i="4"/>
  <c r="C37" i="5"/>
  <c r="D253" i="4"/>
  <c r="E37" i="5"/>
  <c r="H29" i="2"/>
  <c r="K37" i="5"/>
  <c r="L253" i="4"/>
  <c r="Q37" i="5"/>
  <c r="M253" i="4"/>
  <c r="R37" i="5"/>
  <c r="T37" i="5"/>
  <c r="O253" i="4"/>
  <c r="U37" i="5"/>
  <c r="P253" i="4"/>
  <c r="W37" i="5"/>
  <c r="S253" i="4"/>
  <c r="AA37" i="5"/>
  <c r="AI253" i="4"/>
  <c r="T253" i="4" a="1"/>
  <c r="T253" i="4"/>
  <c r="AC37" i="5"/>
  <c r="U253" i="4" a="1"/>
  <c r="U253" i="4"/>
  <c r="AD37" i="5"/>
  <c r="X253" i="4"/>
  <c r="AI37" i="5"/>
  <c r="Y253" i="4"/>
  <c r="AJ37" i="5"/>
  <c r="Z253" i="4"/>
  <c r="AL37" i="5"/>
  <c r="L37" i="5"/>
  <c r="F37" i="5"/>
  <c r="H37" i="5"/>
  <c r="I37" i="5"/>
  <c r="N37" i="5"/>
  <c r="O37" i="5"/>
  <c r="Z37" i="5"/>
  <c r="AN37" i="5"/>
  <c r="AG38" i="5"/>
  <c r="AF38" i="5"/>
  <c r="B283" i="4"/>
  <c r="C283" i="4"/>
  <c r="C38" i="5"/>
  <c r="D283" i="4"/>
  <c r="E38" i="5"/>
  <c r="H283" i="4"/>
  <c r="K38" i="5"/>
  <c r="L283" i="4"/>
  <c r="Q38" i="5"/>
  <c r="M283" i="4"/>
  <c r="R38" i="5"/>
  <c r="T38" i="5"/>
  <c r="U38" i="5"/>
  <c r="P283" i="4"/>
  <c r="W38" i="5"/>
  <c r="Q283" i="4"/>
  <c r="X38" i="5"/>
  <c r="AA38" i="5"/>
  <c r="AI283" i="4"/>
  <c r="T283" i="4" a="1"/>
  <c r="T283" i="4"/>
  <c r="AC38" i="5"/>
  <c r="U283" i="4" a="1"/>
  <c r="U283" i="4"/>
  <c r="AD38" i="5"/>
  <c r="X283" i="4"/>
  <c r="AI38" i="5"/>
  <c r="Y283" i="4"/>
  <c r="AJ38" i="5"/>
  <c r="Z283" i="4"/>
  <c r="AL38" i="5"/>
  <c r="F38" i="5"/>
  <c r="H38" i="5"/>
  <c r="I38" i="5"/>
  <c r="L38" i="5"/>
  <c r="N38" i="5"/>
  <c r="O38" i="5"/>
  <c r="Z38" i="5"/>
  <c r="AN38" i="5"/>
  <c r="AG39" i="5"/>
  <c r="AF39" i="5"/>
  <c r="B273" i="4"/>
  <c r="C273" i="4"/>
  <c r="C39" i="5"/>
  <c r="D273" i="4"/>
  <c r="E39" i="5"/>
  <c r="H273" i="4"/>
  <c r="K39" i="5"/>
  <c r="L273" i="4"/>
  <c r="Q39" i="5"/>
  <c r="M273" i="4"/>
  <c r="R39" i="5"/>
  <c r="N273" i="4"/>
  <c r="T39" i="5"/>
  <c r="O273" i="4"/>
  <c r="U39" i="5"/>
  <c r="P273" i="4"/>
  <c r="W39" i="5"/>
  <c r="Q273" i="4"/>
  <c r="X39" i="5"/>
  <c r="AA39" i="5"/>
  <c r="AI273" i="4"/>
  <c r="T273" i="4" a="1"/>
  <c r="T273" i="4"/>
  <c r="AC39" i="5"/>
  <c r="U273" i="4" a="1"/>
  <c r="U273" i="4"/>
  <c r="AD39" i="5"/>
  <c r="X273" i="4"/>
  <c r="AI39" i="5"/>
  <c r="Y273" i="4"/>
  <c r="AJ39" i="5"/>
  <c r="Z273" i="4"/>
  <c r="AL39" i="5"/>
  <c r="F39" i="5"/>
  <c r="H39" i="5"/>
  <c r="I39" i="5"/>
  <c r="L39" i="5"/>
  <c r="N39" i="5"/>
  <c r="O39" i="5"/>
  <c r="Z39" i="5"/>
  <c r="AN39" i="5"/>
  <c r="AG40" i="5"/>
  <c r="AF40" i="5"/>
  <c r="B271" i="4"/>
  <c r="C271" i="4"/>
  <c r="C40" i="5"/>
  <c r="D271" i="4"/>
  <c r="E40" i="5"/>
  <c r="H271" i="4"/>
  <c r="K40" i="5"/>
  <c r="L271" i="4"/>
  <c r="Q40" i="5"/>
  <c r="M271" i="4"/>
  <c r="R40" i="5"/>
  <c r="T40" i="5"/>
  <c r="U40" i="5"/>
  <c r="P271" i="4"/>
  <c r="W40" i="5"/>
  <c r="Q271" i="4"/>
  <c r="X40" i="5"/>
  <c r="AA40" i="5"/>
  <c r="AI271" i="4"/>
  <c r="T271" i="4" a="1"/>
  <c r="T271" i="4"/>
  <c r="AC40" i="5"/>
  <c r="U271" i="4" a="1"/>
  <c r="U271" i="4"/>
  <c r="AD40" i="5"/>
  <c r="X271" i="4"/>
  <c r="AI40" i="5"/>
  <c r="Y271" i="4"/>
  <c r="AJ40" i="5"/>
  <c r="Z271" i="4"/>
  <c r="AL40" i="5"/>
  <c r="F40" i="5"/>
  <c r="H40" i="5"/>
  <c r="I40" i="5"/>
  <c r="L40" i="5"/>
  <c r="N40" i="5"/>
  <c r="O40" i="5"/>
  <c r="Z40" i="5"/>
  <c r="AN40" i="5"/>
  <c r="AG41" i="5"/>
  <c r="AF41" i="5"/>
  <c r="C276" i="4"/>
  <c r="C41" i="5"/>
  <c r="D276" i="4"/>
  <c r="E41" i="5"/>
  <c r="H276" i="4"/>
  <c r="K41" i="5"/>
  <c r="L276" i="4"/>
  <c r="Q41" i="5"/>
  <c r="M276" i="4"/>
  <c r="R41" i="5"/>
  <c r="T41" i="5"/>
  <c r="U41" i="5"/>
  <c r="P276" i="4"/>
  <c r="W41" i="5"/>
  <c r="Q276" i="4"/>
  <c r="X41" i="5"/>
  <c r="AA41" i="5"/>
  <c r="AI276" i="4"/>
  <c r="T276" i="4" a="1"/>
  <c r="T276" i="4"/>
  <c r="AC41" i="5"/>
  <c r="U276" i="4" a="1"/>
  <c r="U276" i="4"/>
  <c r="AD41" i="5"/>
  <c r="X276" i="4"/>
  <c r="AI41" i="5"/>
  <c r="Y276" i="4"/>
  <c r="AJ41" i="5"/>
  <c r="Z276" i="4"/>
  <c r="AL41" i="5"/>
  <c r="F41" i="5"/>
  <c r="H41" i="5"/>
  <c r="I41" i="5"/>
  <c r="L41" i="5"/>
  <c r="N41" i="5"/>
  <c r="O41" i="5"/>
  <c r="Z41" i="5"/>
  <c r="AN41" i="5"/>
  <c r="AG42" i="5"/>
  <c r="AF42" i="5"/>
  <c r="B278" i="4"/>
  <c r="C278" i="4"/>
  <c r="C42" i="5"/>
  <c r="D278" i="4"/>
  <c r="E42" i="5"/>
  <c r="H278" i="4"/>
  <c r="K42" i="5"/>
  <c r="L278" i="4"/>
  <c r="Q42" i="5"/>
  <c r="M278" i="4"/>
  <c r="R42" i="5"/>
  <c r="T42" i="5"/>
  <c r="U42" i="5"/>
  <c r="P278" i="4"/>
  <c r="W42" i="5"/>
  <c r="Q278" i="4"/>
  <c r="X42" i="5"/>
  <c r="AA42" i="5"/>
  <c r="AI278" i="4"/>
  <c r="T278" i="4" a="1"/>
  <c r="T278" i="4"/>
  <c r="AC42" i="5"/>
  <c r="U278" i="4" a="1"/>
  <c r="U278" i="4"/>
  <c r="AD42" i="5"/>
  <c r="X278" i="4"/>
  <c r="AI42" i="5"/>
  <c r="Y278" i="4"/>
  <c r="AJ42" i="5"/>
  <c r="Z278" i="4"/>
  <c r="AL42" i="5"/>
  <c r="F42" i="5"/>
  <c r="H42" i="5"/>
  <c r="I42" i="5"/>
  <c r="L42" i="5"/>
  <c r="N42" i="5"/>
  <c r="O42" i="5"/>
  <c r="Z42" i="5"/>
  <c r="AN42" i="5"/>
  <c r="AG43" i="5"/>
  <c r="AF43" i="5"/>
  <c r="C260" i="4"/>
  <c r="C43" i="5"/>
  <c r="T43" i="5"/>
  <c r="O260" i="4"/>
  <c r="U43" i="5"/>
  <c r="P260" i="4"/>
  <c r="W43" i="5"/>
  <c r="Q260" i="4"/>
  <c r="X43" i="5"/>
  <c r="AA43" i="5"/>
  <c r="AI260" i="4"/>
  <c r="T260" i="4" a="1"/>
  <c r="T260" i="4"/>
  <c r="AC43" i="5"/>
  <c r="U260" i="4" a="1"/>
  <c r="U260" i="4"/>
  <c r="AD43" i="5"/>
  <c r="X260" i="4"/>
  <c r="AI43" i="5"/>
  <c r="Y260" i="4"/>
  <c r="AJ43" i="5"/>
  <c r="Z260" i="4"/>
  <c r="AL43" i="5"/>
  <c r="F43" i="5"/>
  <c r="H43" i="5"/>
  <c r="I43" i="5"/>
  <c r="L43" i="5"/>
  <c r="N43" i="5"/>
  <c r="O43" i="5"/>
  <c r="Z43" i="5"/>
  <c r="AN43" i="5"/>
  <c r="AG44" i="5"/>
  <c r="AF44" i="5"/>
  <c r="C274" i="4"/>
  <c r="C44" i="5"/>
  <c r="N274" i="4"/>
  <c r="T44" i="5"/>
  <c r="O274" i="4"/>
  <c r="U44" i="5"/>
  <c r="P274" i="4"/>
  <c r="W44" i="5"/>
  <c r="Q274" i="4"/>
  <c r="X44" i="5"/>
  <c r="AA44" i="5"/>
  <c r="AI274" i="4"/>
  <c r="T274" i="4" a="1"/>
  <c r="T274" i="4"/>
  <c r="AC44" i="5"/>
  <c r="U274" i="4" a="1"/>
  <c r="U274" i="4"/>
  <c r="AD44" i="5"/>
  <c r="X274" i="4"/>
  <c r="AI44" i="5"/>
  <c r="Y274" i="4"/>
  <c r="AJ44" i="5"/>
  <c r="Z274" i="4"/>
  <c r="AL44" i="5"/>
  <c r="F44" i="5"/>
  <c r="H44" i="5"/>
  <c r="I44" i="5"/>
  <c r="L44" i="5"/>
  <c r="N44" i="5"/>
  <c r="O44" i="5"/>
  <c r="Z44" i="5"/>
  <c r="AN44" i="5"/>
  <c r="AG45" i="5"/>
  <c r="AF45" i="5"/>
  <c r="C268" i="4"/>
  <c r="C45" i="5"/>
  <c r="T45" i="5"/>
  <c r="O268" i="4"/>
  <c r="U45" i="5"/>
  <c r="P268" i="4"/>
  <c r="W45" i="5"/>
  <c r="Q268" i="4"/>
  <c r="X45" i="5"/>
  <c r="AA45" i="5"/>
  <c r="AI268" i="4"/>
  <c r="T268" i="4" a="1"/>
  <c r="T268" i="4"/>
  <c r="AC45" i="5"/>
  <c r="U268" i="4" a="1"/>
  <c r="U268" i="4"/>
  <c r="AD45" i="5"/>
  <c r="X268" i="4"/>
  <c r="AI45" i="5"/>
  <c r="Y268" i="4"/>
  <c r="AJ45" i="5"/>
  <c r="Z268" i="4"/>
  <c r="AL45" i="5"/>
  <c r="Z45" i="5"/>
  <c r="AN45" i="5"/>
  <c r="AG46" i="5"/>
  <c r="AF46" i="5"/>
  <c r="C231" i="4"/>
  <c r="C46" i="5"/>
  <c r="D231" i="4"/>
  <c r="E46" i="5"/>
  <c r="H231" i="4"/>
  <c r="K46" i="5"/>
  <c r="L231" i="4"/>
  <c r="Q46" i="5"/>
  <c r="M231" i="4"/>
  <c r="R46" i="5"/>
  <c r="T46" i="5"/>
  <c r="U46" i="5"/>
  <c r="P231" i="4"/>
  <c r="W46" i="5"/>
  <c r="Q231" i="4"/>
  <c r="X46" i="5"/>
  <c r="AA46" i="5"/>
  <c r="AI231" i="4"/>
  <c r="T231" i="4" a="1"/>
  <c r="T231" i="4"/>
  <c r="AC46" i="5"/>
  <c r="U231" i="4" a="1"/>
  <c r="U231" i="4"/>
  <c r="AD46" i="5"/>
  <c r="Y231" i="4"/>
  <c r="AJ46" i="5"/>
  <c r="Z231" i="4"/>
  <c r="AL46" i="5"/>
  <c r="F46" i="5"/>
  <c r="H46" i="5"/>
  <c r="I46" i="5"/>
  <c r="L46" i="5"/>
  <c r="N46" i="5"/>
  <c r="O46" i="5"/>
  <c r="Z46" i="5"/>
  <c r="AN46" i="5"/>
  <c r="AG47" i="5"/>
  <c r="AF47" i="5"/>
  <c r="C256" i="4"/>
  <c r="C47" i="5"/>
  <c r="D256" i="4"/>
  <c r="E47" i="5"/>
  <c r="H256" i="4"/>
  <c r="K47" i="5"/>
  <c r="L256" i="4"/>
  <c r="Q47" i="5"/>
  <c r="M256" i="4"/>
  <c r="R47" i="5"/>
  <c r="T47" i="5"/>
  <c r="O256" i="4"/>
  <c r="U47" i="5"/>
  <c r="P256" i="4"/>
  <c r="W47" i="5"/>
  <c r="Q256" i="4"/>
  <c r="X47" i="5"/>
  <c r="AA47" i="5"/>
  <c r="AI256" i="4"/>
  <c r="T256" i="4" a="1"/>
  <c r="T256" i="4"/>
  <c r="AC47" i="5"/>
  <c r="U256" i="4" a="1"/>
  <c r="U256" i="4"/>
  <c r="AD47" i="5"/>
  <c r="X256" i="4"/>
  <c r="AI47" i="5"/>
  <c r="Y256" i="4"/>
  <c r="AJ47" i="5"/>
  <c r="Z256" i="4"/>
  <c r="AL47" i="5"/>
  <c r="F47" i="5"/>
  <c r="H47" i="5"/>
  <c r="I47" i="5"/>
  <c r="L47" i="5"/>
  <c r="N47" i="5"/>
  <c r="O47" i="5"/>
  <c r="Z47" i="5"/>
  <c r="AN47" i="5"/>
  <c r="AG48" i="5"/>
  <c r="AF48" i="5"/>
  <c r="B250" i="4"/>
  <c r="C250" i="4"/>
  <c r="C48" i="5"/>
  <c r="D250" i="4"/>
  <c r="E48" i="5"/>
  <c r="H250" i="4"/>
  <c r="K48" i="5"/>
  <c r="L250" i="4"/>
  <c r="Q48" i="5"/>
  <c r="M250" i="4"/>
  <c r="R48" i="5"/>
  <c r="T48" i="5"/>
  <c r="U48" i="5"/>
  <c r="P250" i="4"/>
  <c r="W48" i="5"/>
  <c r="Q250" i="4"/>
  <c r="X48" i="5"/>
  <c r="AA48" i="5"/>
  <c r="AI250" i="4"/>
  <c r="T250" i="4" a="1"/>
  <c r="T250" i="4"/>
  <c r="AC48" i="5"/>
  <c r="U250" i="4" a="1"/>
  <c r="U250" i="4"/>
  <c r="AD48" i="5"/>
  <c r="X250" i="4"/>
  <c r="AI48" i="5"/>
  <c r="Y250" i="4"/>
  <c r="AJ48" i="5"/>
  <c r="Z250" i="4"/>
  <c r="AL48" i="5"/>
  <c r="F48" i="5"/>
  <c r="H48" i="5"/>
  <c r="I48" i="5"/>
  <c r="L48" i="5"/>
  <c r="N48" i="5"/>
  <c r="O48" i="5"/>
  <c r="Z48" i="5"/>
  <c r="AN48" i="5"/>
  <c r="AG49" i="5"/>
  <c r="AF49" i="5"/>
  <c r="B257" i="4"/>
  <c r="C257" i="4"/>
  <c r="C49" i="5"/>
  <c r="D257" i="4"/>
  <c r="E49" i="5"/>
  <c r="H257" i="4"/>
  <c r="K49" i="5"/>
  <c r="L257" i="4"/>
  <c r="Q49" i="5"/>
  <c r="M257" i="4"/>
  <c r="R49" i="5"/>
  <c r="T49" i="5"/>
  <c r="O257" i="4"/>
  <c r="U49" i="5"/>
  <c r="P257" i="4"/>
  <c r="W49" i="5"/>
  <c r="Q257" i="4"/>
  <c r="X49" i="5"/>
  <c r="AA49" i="5"/>
  <c r="AI257" i="4"/>
  <c r="T257" i="4" a="1"/>
  <c r="T257" i="4"/>
  <c r="AC49" i="5"/>
  <c r="U257" i="4" a="1"/>
  <c r="U257" i="4"/>
  <c r="AD49" i="5"/>
  <c r="X257" i="4"/>
  <c r="AI49" i="5"/>
  <c r="Y257" i="4"/>
  <c r="AJ49" i="5"/>
  <c r="Z257" i="4"/>
  <c r="AL49" i="5"/>
  <c r="F49" i="5"/>
  <c r="H49" i="5"/>
  <c r="I49" i="5"/>
  <c r="L49" i="5"/>
  <c r="N49" i="5"/>
  <c r="O49" i="5"/>
  <c r="Z49" i="5"/>
  <c r="AN49" i="5"/>
  <c r="AG50" i="5"/>
  <c r="AF50" i="5"/>
  <c r="B188" i="4"/>
  <c r="C188" i="4"/>
  <c r="C50" i="5"/>
  <c r="D188" i="4"/>
  <c r="E50" i="5"/>
  <c r="L188" i="4"/>
  <c r="Q50" i="5"/>
  <c r="M188" i="4"/>
  <c r="R50" i="5"/>
  <c r="T50" i="5"/>
  <c r="U50" i="5"/>
  <c r="P188" i="4"/>
  <c r="W50" i="5"/>
  <c r="Q188" i="4"/>
  <c r="X50" i="5"/>
  <c r="S14" i="2"/>
  <c r="S188" i="4"/>
  <c r="AA50" i="5"/>
  <c r="AI188" i="4"/>
  <c r="T188" i="4" a="1"/>
  <c r="T188" i="4"/>
  <c r="AC50" i="5"/>
  <c r="U188" i="4" a="1"/>
  <c r="U188" i="4"/>
  <c r="AD50" i="5"/>
  <c r="X14" i="2"/>
  <c r="X188" i="4"/>
  <c r="AI50" i="5"/>
  <c r="Y188" i="4"/>
  <c r="AJ50" i="5"/>
  <c r="Z188" i="4"/>
  <c r="AL50" i="5"/>
  <c r="L50" i="5"/>
  <c r="F50" i="5"/>
  <c r="H50" i="5"/>
  <c r="I50" i="5"/>
  <c r="N50" i="5"/>
  <c r="O50" i="5"/>
  <c r="Z50" i="5"/>
  <c r="AN50" i="5"/>
  <c r="AG51" i="5"/>
  <c r="AF51" i="5"/>
  <c r="C15" i="2"/>
  <c r="B202" i="4"/>
  <c r="C202" i="4"/>
  <c r="C51" i="5"/>
  <c r="D15" i="2"/>
  <c r="D202" i="4"/>
  <c r="E51" i="5"/>
  <c r="L15" i="2"/>
  <c r="L202" i="4"/>
  <c r="Q51" i="5"/>
  <c r="M15" i="2"/>
  <c r="M202" i="4"/>
  <c r="R51" i="5"/>
  <c r="N15" i="2"/>
  <c r="N202" i="4"/>
  <c r="T51" i="5"/>
  <c r="O15" i="2"/>
  <c r="O202" i="4"/>
  <c r="U51" i="5"/>
  <c r="P15" i="2"/>
  <c r="P202" i="4"/>
  <c r="W51" i="5"/>
  <c r="Q15" i="2"/>
  <c r="Q202" i="4"/>
  <c r="X51" i="5"/>
  <c r="S15" i="2"/>
  <c r="S202" i="4"/>
  <c r="AA51" i="5"/>
  <c r="AI202" i="4"/>
  <c r="T202" i="4" a="1"/>
  <c r="T202" i="4"/>
  <c r="AC51" i="5"/>
  <c r="U202" i="4" a="1"/>
  <c r="U202" i="4"/>
  <c r="AD51" i="5"/>
  <c r="X15" i="2"/>
  <c r="X202" i="4"/>
  <c r="AI51" i="5"/>
  <c r="Y15" i="2"/>
  <c r="Y202" i="4"/>
  <c r="AJ51" i="5"/>
  <c r="Z15" i="2"/>
  <c r="Z202" i="4"/>
  <c r="AL51" i="5"/>
  <c r="L51" i="5"/>
  <c r="F51" i="5"/>
  <c r="H51" i="5"/>
  <c r="I51" i="5"/>
  <c r="N51" i="5"/>
  <c r="O51" i="5"/>
  <c r="Z51" i="5"/>
  <c r="AN51" i="5"/>
  <c r="AG52" i="5"/>
  <c r="AF52" i="5"/>
  <c r="C166" i="4"/>
  <c r="C52" i="5"/>
  <c r="D166" i="4"/>
  <c r="E52" i="5"/>
  <c r="L166" i="4"/>
  <c r="Q52" i="5"/>
  <c r="M166" i="4"/>
  <c r="R52" i="5"/>
  <c r="T52" i="5"/>
  <c r="U52" i="5"/>
  <c r="P166" i="4"/>
  <c r="W52" i="5"/>
  <c r="Q166" i="4"/>
  <c r="X52" i="5"/>
  <c r="S166" i="4"/>
  <c r="AA52" i="5"/>
  <c r="AI166" i="4"/>
  <c r="T166" i="4" a="1"/>
  <c r="T166" i="4"/>
  <c r="AC52" i="5"/>
  <c r="U166" i="4" a="1"/>
  <c r="U166" i="4"/>
  <c r="AD52" i="5"/>
  <c r="X166" i="4"/>
  <c r="AI52" i="5"/>
  <c r="Y166" i="4"/>
  <c r="AJ52" i="5"/>
  <c r="Z166" i="4"/>
  <c r="AL52" i="5"/>
  <c r="L52" i="5"/>
  <c r="F52" i="5"/>
  <c r="H52" i="5"/>
  <c r="I52" i="5"/>
  <c r="N52" i="5"/>
  <c r="O52" i="5"/>
  <c r="Z52" i="5"/>
  <c r="AN52" i="5"/>
  <c r="AG53" i="5"/>
  <c r="AF53" i="5"/>
  <c r="B175" i="4"/>
  <c r="C175" i="4"/>
  <c r="C53" i="5"/>
  <c r="D175" i="4"/>
  <c r="E53" i="5"/>
  <c r="L175" i="4"/>
  <c r="Q53" i="5"/>
  <c r="M175" i="4"/>
  <c r="R53" i="5"/>
  <c r="T53" i="5"/>
  <c r="U53" i="5"/>
  <c r="P175" i="4"/>
  <c r="W53" i="5"/>
  <c r="Q175" i="4"/>
  <c r="X53" i="5"/>
  <c r="S175" i="4"/>
  <c r="AA53" i="5"/>
  <c r="AI175" i="4"/>
  <c r="T175" i="4" a="1"/>
  <c r="T175" i="4"/>
  <c r="AC53" i="5"/>
  <c r="U175" i="4" a="1"/>
  <c r="U175" i="4"/>
  <c r="AD53" i="5"/>
  <c r="X175" i="4"/>
  <c r="AI53" i="5"/>
  <c r="Y175" i="4"/>
  <c r="AJ53" i="5"/>
  <c r="Z175" i="4"/>
  <c r="AL53" i="5"/>
  <c r="L53" i="5"/>
  <c r="F53" i="5"/>
  <c r="H53" i="5"/>
  <c r="I53" i="5"/>
  <c r="N53" i="5"/>
  <c r="O53" i="5"/>
  <c r="Z53" i="5"/>
  <c r="AN53" i="5"/>
  <c r="AG54" i="5"/>
  <c r="AF54" i="5"/>
  <c r="C16" i="4"/>
  <c r="C54" i="5"/>
  <c r="D16" i="4"/>
  <c r="E54" i="5"/>
  <c r="K54" i="5"/>
  <c r="I24" i="2"/>
  <c r="I3" i="2"/>
  <c r="I16" i="4"/>
  <c r="L54" i="5"/>
  <c r="J24" i="2"/>
  <c r="J3" i="2"/>
  <c r="J16" i="4"/>
  <c r="N54" i="5"/>
  <c r="O54" i="5"/>
  <c r="L16" i="4"/>
  <c r="Q54" i="5"/>
  <c r="M16" i="4"/>
  <c r="R54" i="5"/>
  <c r="T54" i="5"/>
  <c r="U54" i="5"/>
  <c r="P16" i="4"/>
  <c r="W54" i="5"/>
  <c r="Q16" i="4"/>
  <c r="X54" i="5"/>
  <c r="S16" i="4"/>
  <c r="AA54" i="5"/>
  <c r="AI16" i="4"/>
  <c r="T16" i="4" a="1"/>
  <c r="T16" i="4"/>
  <c r="AC54" i="5"/>
  <c r="U16" i="4" a="1"/>
  <c r="U16" i="4"/>
  <c r="AD54" i="5"/>
  <c r="X24" i="2"/>
  <c r="X16" i="4"/>
  <c r="AI54" i="5"/>
  <c r="Y16" i="4"/>
  <c r="AJ54" i="5"/>
  <c r="Z16" i="4"/>
  <c r="AL54" i="5"/>
  <c r="F54" i="5"/>
  <c r="H54" i="5"/>
  <c r="I54" i="5"/>
  <c r="Z54" i="5"/>
  <c r="AN54" i="5"/>
  <c r="AG55" i="5"/>
  <c r="AF55" i="5"/>
  <c r="C11" i="2"/>
  <c r="C287" i="4"/>
  <c r="C55" i="5"/>
  <c r="D11" i="2"/>
  <c r="D287" i="4"/>
  <c r="E55" i="5"/>
  <c r="H11" i="2"/>
  <c r="H287" i="4"/>
  <c r="K55" i="5"/>
  <c r="L11" i="2"/>
  <c r="L287" i="4"/>
  <c r="Q55" i="5"/>
  <c r="M11" i="2"/>
  <c r="M287" i="4"/>
  <c r="R55" i="5"/>
  <c r="N11" i="2"/>
  <c r="N287" i="4"/>
  <c r="T55" i="5"/>
  <c r="O11" i="2"/>
  <c r="O287" i="4"/>
  <c r="U55" i="5"/>
  <c r="P11" i="2"/>
  <c r="P287" i="4"/>
  <c r="W55" i="5"/>
  <c r="Q11" i="2"/>
  <c r="Q287" i="4"/>
  <c r="X55" i="5"/>
  <c r="AA55" i="5"/>
  <c r="AI287" i="4"/>
  <c r="T287" i="4" a="1"/>
  <c r="T287" i="4"/>
  <c r="AC55" i="5"/>
  <c r="U287" i="4" a="1"/>
  <c r="U287" i="4"/>
  <c r="AD55" i="5"/>
  <c r="X11" i="2"/>
  <c r="X287" i="4"/>
  <c r="AI55" i="5"/>
  <c r="Y11" i="2"/>
  <c r="Y287" i="4"/>
  <c r="AJ55" i="5"/>
  <c r="Z11" i="2"/>
  <c r="Z287" i="4"/>
  <c r="AL55" i="5"/>
  <c r="L55" i="5"/>
  <c r="N55" i="5"/>
  <c r="O55" i="5"/>
  <c r="F55" i="5"/>
  <c r="H55" i="5"/>
  <c r="I55" i="5"/>
  <c r="Z55" i="5"/>
  <c r="AN55" i="5"/>
  <c r="AG56" i="5"/>
  <c r="AF56" i="5"/>
  <c r="C13" i="2"/>
  <c r="C291" i="4"/>
  <c r="C56" i="5"/>
  <c r="D13" i="2"/>
  <c r="D291" i="4"/>
  <c r="E56" i="5"/>
  <c r="H13" i="2"/>
  <c r="H291" i="4"/>
  <c r="K56" i="5"/>
  <c r="L13" i="2"/>
  <c r="L291" i="4"/>
  <c r="Q56" i="5"/>
  <c r="M13" i="2"/>
  <c r="M291" i="4"/>
  <c r="R56" i="5"/>
  <c r="N13" i="2"/>
  <c r="N291" i="4"/>
  <c r="T56" i="5"/>
  <c r="O13" i="2"/>
  <c r="O291" i="4"/>
  <c r="U56" i="5"/>
  <c r="P13" i="2"/>
  <c r="P291" i="4"/>
  <c r="W56" i="5"/>
  <c r="Q13" i="2"/>
  <c r="Q291" i="4"/>
  <c r="X56" i="5"/>
  <c r="AA56" i="5"/>
  <c r="AI291" i="4"/>
  <c r="T291" i="4" a="1"/>
  <c r="T291" i="4"/>
  <c r="AC56" i="5"/>
  <c r="U291" i="4" a="1"/>
  <c r="U291" i="4"/>
  <c r="AD56" i="5"/>
  <c r="X13" i="2"/>
  <c r="X291" i="4"/>
  <c r="AI56" i="5"/>
  <c r="Y13" i="2"/>
  <c r="Y291" i="4"/>
  <c r="AJ56" i="5"/>
  <c r="Z13" i="2"/>
  <c r="Z291" i="4"/>
  <c r="AL56" i="5"/>
  <c r="L56" i="5"/>
  <c r="N56" i="5"/>
  <c r="O56" i="5"/>
  <c r="F56" i="5"/>
  <c r="H56" i="5"/>
  <c r="I56" i="5"/>
  <c r="Z56" i="5"/>
  <c r="AN56" i="5"/>
  <c r="AG57" i="5"/>
  <c r="AF57" i="5"/>
  <c r="C12" i="2"/>
  <c r="C297" i="4"/>
  <c r="C57" i="5"/>
  <c r="D12" i="2"/>
  <c r="D297" i="4"/>
  <c r="E57" i="5"/>
  <c r="H12" i="2"/>
  <c r="H297" i="4"/>
  <c r="K57" i="5"/>
  <c r="L12" i="2"/>
  <c r="L297" i="4"/>
  <c r="Q57" i="5"/>
  <c r="M12" i="2"/>
  <c r="M297" i="4"/>
  <c r="R57" i="5"/>
  <c r="T57" i="5"/>
  <c r="U57" i="5"/>
  <c r="P12" i="2"/>
  <c r="P297" i="4"/>
  <c r="W57" i="5"/>
  <c r="Q12" i="2"/>
  <c r="Q297" i="4"/>
  <c r="X57" i="5"/>
  <c r="AA57" i="5"/>
  <c r="AI297" i="4"/>
  <c r="T297" i="4" a="1"/>
  <c r="T297" i="4"/>
  <c r="AC57" i="5"/>
  <c r="U297" i="4" a="1"/>
  <c r="U297" i="4"/>
  <c r="AD57" i="5"/>
  <c r="X297" i="4"/>
  <c r="AI57" i="5"/>
  <c r="Y12" i="2"/>
  <c r="Y297" i="4"/>
  <c r="AJ57" i="5"/>
  <c r="Z12" i="2"/>
  <c r="Z297" i="4"/>
  <c r="AL57" i="5"/>
  <c r="L57" i="5"/>
  <c r="N57" i="5"/>
  <c r="O57" i="5"/>
  <c r="F57" i="5"/>
  <c r="H57" i="5"/>
  <c r="I57" i="5"/>
  <c r="Z57" i="5"/>
  <c r="AN57" i="5"/>
  <c r="AG58" i="5"/>
  <c r="AF58" i="5"/>
  <c r="C298" i="4"/>
  <c r="C58" i="5"/>
  <c r="D298" i="4"/>
  <c r="E58" i="5"/>
  <c r="H298" i="4"/>
  <c r="K58" i="5"/>
  <c r="I12" i="2"/>
  <c r="I298" i="4"/>
  <c r="L58" i="5"/>
  <c r="J12" i="2"/>
  <c r="J298" i="4"/>
  <c r="N58" i="5"/>
  <c r="O58" i="5"/>
  <c r="L298" i="4"/>
  <c r="Q58" i="5"/>
  <c r="M298" i="4"/>
  <c r="R58" i="5"/>
  <c r="N12" i="2"/>
  <c r="N298" i="4"/>
  <c r="T58" i="5"/>
  <c r="O12" i="2"/>
  <c r="O298" i="4"/>
  <c r="U58" i="5"/>
  <c r="P298" i="4"/>
  <c r="W58" i="5"/>
  <c r="Q298" i="4"/>
  <c r="X58" i="5"/>
  <c r="AA58" i="5"/>
  <c r="AI298" i="4"/>
  <c r="T298" i="4" a="1"/>
  <c r="T298" i="4"/>
  <c r="AC58" i="5"/>
  <c r="U298" i="4" a="1"/>
  <c r="U298" i="4"/>
  <c r="AD58" i="5"/>
  <c r="X298" i="4"/>
  <c r="AI58" i="5"/>
  <c r="Y298" i="4"/>
  <c r="AJ58" i="5"/>
  <c r="Z298" i="4"/>
  <c r="AL58" i="5"/>
  <c r="F58" i="5"/>
  <c r="H58" i="5"/>
  <c r="I58" i="5"/>
  <c r="Z58" i="5"/>
  <c r="AN58" i="5"/>
  <c r="AG59" i="5"/>
  <c r="AF59" i="5"/>
  <c r="C10" i="2"/>
  <c r="C293" i="4"/>
  <c r="C59" i="5"/>
  <c r="D10" i="2"/>
  <c r="D293" i="4"/>
  <c r="E59" i="5"/>
  <c r="H10" i="2"/>
  <c r="H293" i="4"/>
  <c r="K59" i="5"/>
  <c r="L10" i="2"/>
  <c r="L293" i="4"/>
  <c r="Q59" i="5"/>
  <c r="M10" i="2"/>
  <c r="M293" i="4"/>
  <c r="R59" i="5"/>
  <c r="N10" i="2"/>
  <c r="N293" i="4"/>
  <c r="T59" i="5"/>
  <c r="O10" i="2"/>
  <c r="O293" i="4"/>
  <c r="U59" i="5"/>
  <c r="P10" i="2"/>
  <c r="P293" i="4"/>
  <c r="W59" i="5"/>
  <c r="Q10" i="2"/>
  <c r="Q293" i="4"/>
  <c r="X59" i="5"/>
  <c r="AA59" i="5"/>
  <c r="AI293" i="4"/>
  <c r="T293" i="4" a="1"/>
  <c r="T293" i="4"/>
  <c r="AC59" i="5"/>
  <c r="U293" i="4" a="1"/>
  <c r="U293" i="4"/>
  <c r="AD59" i="5"/>
  <c r="X10" i="2"/>
  <c r="X293" i="4"/>
  <c r="AI59" i="5"/>
  <c r="Y10" i="2"/>
  <c r="Y293" i="4"/>
  <c r="AJ59" i="5"/>
  <c r="Z10" i="2"/>
  <c r="Z293" i="4"/>
  <c r="AL59" i="5"/>
  <c r="L59" i="5"/>
  <c r="N59" i="5"/>
  <c r="O59" i="5"/>
  <c r="F59" i="5"/>
  <c r="H59" i="5"/>
  <c r="I59" i="5"/>
  <c r="Z59" i="5"/>
  <c r="AN59" i="5"/>
  <c r="AG60" i="5"/>
  <c r="AF60" i="5"/>
  <c r="C296" i="4"/>
  <c r="C60" i="5"/>
  <c r="D296" i="4"/>
  <c r="E60" i="5"/>
  <c r="H296" i="4"/>
  <c r="K60" i="5"/>
  <c r="L296" i="4"/>
  <c r="Q60" i="5"/>
  <c r="M296" i="4"/>
  <c r="R60" i="5"/>
  <c r="T60" i="5"/>
  <c r="U60" i="5"/>
  <c r="P296" i="4"/>
  <c r="W60" i="5"/>
  <c r="Q296" i="4"/>
  <c r="X60" i="5"/>
  <c r="AA60" i="5"/>
  <c r="AI296" i="4"/>
  <c r="T296" i="4" a="1"/>
  <c r="T296" i="4"/>
  <c r="AC60" i="5"/>
  <c r="U296" i="4" a="1"/>
  <c r="U296" i="4"/>
  <c r="AD60" i="5"/>
  <c r="X296" i="4"/>
  <c r="AI60" i="5"/>
  <c r="Y296" i="4"/>
  <c r="AJ60" i="5"/>
  <c r="Z296" i="4"/>
  <c r="AL60" i="5"/>
  <c r="L60" i="5"/>
  <c r="N60" i="5"/>
  <c r="O60" i="5"/>
  <c r="F60" i="5"/>
  <c r="H60" i="5"/>
  <c r="I60" i="5"/>
  <c r="Z60" i="5"/>
  <c r="AN60" i="5"/>
  <c r="AA61" i="5"/>
  <c r="P4" i="4"/>
  <c r="W61" i="5"/>
  <c r="O61" i="5"/>
  <c r="K61" i="5"/>
  <c r="AG61" i="5"/>
  <c r="AF61" i="5"/>
  <c r="C4" i="4"/>
  <c r="C61" i="5"/>
  <c r="D4" i="4"/>
  <c r="E61" i="5"/>
  <c r="L61" i="5"/>
  <c r="N61" i="5"/>
  <c r="L4" i="4"/>
  <c r="Q61" i="5"/>
  <c r="O4" i="4"/>
  <c r="U61" i="5"/>
  <c r="Q4" i="4"/>
  <c r="X61" i="5"/>
  <c r="R4" i="4"/>
  <c r="Z61" i="5"/>
  <c r="AI4" i="4"/>
  <c r="T4" i="4" a="1"/>
  <c r="T4" i="4"/>
  <c r="AC61" i="5"/>
  <c r="U4" i="4" a="1"/>
  <c r="U4" i="4"/>
  <c r="AD61" i="5"/>
  <c r="X4" i="4"/>
  <c r="AI61" i="5"/>
  <c r="Y4" i="4"/>
  <c r="AJ61" i="5"/>
  <c r="Z4" i="4"/>
  <c r="AL61" i="5"/>
  <c r="R61" i="5"/>
  <c r="T61" i="5"/>
  <c r="F61" i="5"/>
  <c r="H61" i="5"/>
  <c r="I61" i="5"/>
  <c r="AN61" i="5"/>
  <c r="AG62" i="5"/>
  <c r="AF62" i="5"/>
  <c r="B258" i="4"/>
  <c r="C258" i="4"/>
  <c r="C62" i="5"/>
  <c r="D258" i="4"/>
  <c r="E62" i="5"/>
  <c r="H258" i="4"/>
  <c r="K62" i="5"/>
  <c r="L258" i="4"/>
  <c r="Q62" i="5"/>
  <c r="M258" i="4"/>
  <c r="R62" i="5"/>
  <c r="T62" i="5"/>
  <c r="U62" i="5"/>
  <c r="P258" i="4"/>
  <c r="W62" i="5"/>
  <c r="Q258" i="4"/>
  <c r="X62" i="5"/>
  <c r="AA62" i="5"/>
  <c r="AI258" i="4"/>
  <c r="T258" i="4" a="1"/>
  <c r="T258" i="4"/>
  <c r="AC62" i="5"/>
  <c r="U258" i="4" a="1"/>
  <c r="U258" i="4"/>
  <c r="AD62" i="5"/>
  <c r="AI62" i="5"/>
  <c r="Y258" i="4"/>
  <c r="AJ62" i="5"/>
  <c r="Z258" i="4"/>
  <c r="AL62" i="5"/>
  <c r="F62" i="5"/>
  <c r="H62" i="5"/>
  <c r="I62" i="5"/>
  <c r="L62" i="5"/>
  <c r="N62" i="5"/>
  <c r="O62" i="5"/>
  <c r="Z62" i="5"/>
  <c r="AN62" i="5"/>
  <c r="AG63" i="5"/>
  <c r="AF63" i="5"/>
  <c r="B262" i="4"/>
  <c r="C262" i="4"/>
  <c r="C63" i="5"/>
  <c r="D262" i="4"/>
  <c r="E63" i="5"/>
  <c r="H262" i="4"/>
  <c r="K63" i="5"/>
  <c r="L262" i="4"/>
  <c r="Q63" i="5"/>
  <c r="M262" i="4"/>
  <c r="R63" i="5"/>
  <c r="T63" i="5"/>
  <c r="U63" i="5"/>
  <c r="P262" i="4"/>
  <c r="W63" i="5"/>
  <c r="Q262" i="4"/>
  <c r="X63" i="5"/>
  <c r="AA63" i="5"/>
  <c r="AI262" i="4"/>
  <c r="T262" i="4" a="1"/>
  <c r="T262" i="4"/>
  <c r="AC63" i="5"/>
  <c r="U262" i="4" a="1"/>
  <c r="U262" i="4"/>
  <c r="AD63" i="5"/>
  <c r="Y262" i="4"/>
  <c r="AJ63" i="5"/>
  <c r="Z262" i="4"/>
  <c r="AL63" i="5"/>
  <c r="F63" i="5"/>
  <c r="H63" i="5"/>
  <c r="I63" i="5"/>
  <c r="L63" i="5"/>
  <c r="N63" i="5"/>
  <c r="O63" i="5"/>
  <c r="Z63" i="5"/>
  <c r="AN63" i="5"/>
  <c r="AG64" i="5"/>
  <c r="AF64" i="5"/>
  <c r="B266" i="4"/>
  <c r="C266" i="4"/>
  <c r="C64" i="5"/>
  <c r="D266" i="4"/>
  <c r="E64" i="5"/>
  <c r="H266" i="4"/>
  <c r="K64" i="5"/>
  <c r="L266" i="4"/>
  <c r="Q64" i="5"/>
  <c r="M266" i="4"/>
  <c r="R64" i="5"/>
  <c r="T64" i="5"/>
  <c r="U64" i="5"/>
  <c r="P266" i="4"/>
  <c r="W64" i="5"/>
  <c r="Q266" i="4"/>
  <c r="X64" i="5"/>
  <c r="AA64" i="5"/>
  <c r="AI266" i="4"/>
  <c r="T266" i="4" a="1"/>
  <c r="T266" i="4"/>
  <c r="AC64" i="5"/>
  <c r="U266" i="4" a="1"/>
  <c r="U266" i="4"/>
  <c r="AD64" i="5"/>
  <c r="Y266" i="4"/>
  <c r="AJ64" i="5"/>
  <c r="Z266" i="4"/>
  <c r="AL64" i="5"/>
  <c r="F64" i="5"/>
  <c r="H64" i="5"/>
  <c r="I64" i="5"/>
  <c r="L64" i="5"/>
  <c r="N64" i="5"/>
  <c r="O64" i="5"/>
  <c r="Z64" i="5"/>
  <c r="AN64" i="5"/>
  <c r="AG65" i="5"/>
  <c r="AF65" i="5"/>
  <c r="B288" i="4"/>
  <c r="C288" i="4"/>
  <c r="C65" i="5"/>
  <c r="D288" i="4"/>
  <c r="E65" i="5"/>
  <c r="H288" i="4"/>
  <c r="K65" i="5"/>
  <c r="L288" i="4"/>
  <c r="Q65" i="5"/>
  <c r="M288" i="4"/>
  <c r="R65" i="5"/>
  <c r="T65" i="5"/>
  <c r="U65" i="5"/>
  <c r="P288" i="4"/>
  <c r="W65" i="5"/>
  <c r="Q288" i="4"/>
  <c r="X65" i="5"/>
  <c r="AA65" i="5"/>
  <c r="AI288" i="4"/>
  <c r="T288" i="4" a="1"/>
  <c r="T288" i="4"/>
  <c r="AC65" i="5"/>
  <c r="U288" i="4" a="1"/>
  <c r="U288" i="4"/>
  <c r="AD65" i="5"/>
  <c r="X288" i="4"/>
  <c r="AI65" i="5"/>
  <c r="Y288" i="4"/>
  <c r="AJ65" i="5"/>
  <c r="Z288" i="4"/>
  <c r="AL65" i="5"/>
  <c r="F65" i="5"/>
  <c r="H65" i="5"/>
  <c r="I65" i="5"/>
  <c r="L65" i="5"/>
  <c r="N65" i="5"/>
  <c r="O65" i="5"/>
  <c r="Z65" i="5"/>
  <c r="AN65" i="5"/>
  <c r="AG66" i="5"/>
  <c r="AF66" i="5"/>
  <c r="B290" i="4"/>
  <c r="C290" i="4"/>
  <c r="C66" i="5"/>
  <c r="D290" i="4"/>
  <c r="E66" i="5"/>
  <c r="H290" i="4"/>
  <c r="K66" i="5"/>
  <c r="L290" i="4"/>
  <c r="Q66" i="5"/>
  <c r="M290" i="4"/>
  <c r="R66" i="5"/>
  <c r="T66" i="5"/>
  <c r="U66" i="5"/>
  <c r="P290" i="4"/>
  <c r="W66" i="5"/>
  <c r="Q290" i="4"/>
  <c r="X66" i="5"/>
  <c r="AA66" i="5"/>
  <c r="AI290" i="4"/>
  <c r="T290" i="4" a="1"/>
  <c r="T290" i="4"/>
  <c r="AC66" i="5"/>
  <c r="U290" i="4" a="1"/>
  <c r="U290" i="4"/>
  <c r="AD66" i="5"/>
  <c r="X290" i="4"/>
  <c r="AI66" i="5"/>
  <c r="Y290" i="4"/>
  <c r="AJ66" i="5"/>
  <c r="Z290" i="4"/>
  <c r="AL66" i="5"/>
  <c r="F66" i="5"/>
  <c r="H66" i="5"/>
  <c r="I66" i="5"/>
  <c r="L66" i="5"/>
  <c r="N66" i="5"/>
  <c r="O66" i="5"/>
  <c r="Z66" i="5"/>
  <c r="AN66" i="5"/>
  <c r="AG67" i="5"/>
  <c r="AF67" i="5"/>
  <c r="B286" i="4"/>
  <c r="C286" i="4"/>
  <c r="C67" i="5"/>
  <c r="D286" i="4"/>
  <c r="E67" i="5"/>
  <c r="H286" i="4"/>
  <c r="K67" i="5"/>
  <c r="L286" i="4"/>
  <c r="Q67" i="5"/>
  <c r="M286" i="4"/>
  <c r="R67" i="5"/>
  <c r="T67" i="5"/>
  <c r="U67" i="5"/>
  <c r="P286" i="4"/>
  <c r="W67" i="5"/>
  <c r="Q286" i="4"/>
  <c r="X67" i="5"/>
  <c r="AA67" i="5"/>
  <c r="AI286" i="4"/>
  <c r="T286" i="4" a="1"/>
  <c r="T286" i="4"/>
  <c r="AC67" i="5"/>
  <c r="U286" i="4" a="1"/>
  <c r="U286" i="4"/>
  <c r="AD67" i="5"/>
  <c r="X286" i="4"/>
  <c r="AI67" i="5"/>
  <c r="Y286" i="4"/>
  <c r="AJ67" i="5"/>
  <c r="Z286" i="4"/>
  <c r="AL67" i="5"/>
  <c r="F67" i="5"/>
  <c r="H67" i="5"/>
  <c r="I67" i="5"/>
  <c r="L67" i="5"/>
  <c r="N67" i="5"/>
  <c r="O67" i="5"/>
  <c r="Z67" i="5"/>
  <c r="AN67" i="5"/>
  <c r="AG68" i="5"/>
  <c r="AF68" i="5"/>
  <c r="C269" i="4"/>
  <c r="C68" i="5"/>
  <c r="D269" i="4"/>
  <c r="E68" i="5"/>
  <c r="H269" i="4"/>
  <c r="K68" i="5"/>
  <c r="L269" i="4"/>
  <c r="Q68" i="5"/>
  <c r="M269" i="4"/>
  <c r="R68" i="5"/>
  <c r="T68" i="5"/>
  <c r="U68" i="5"/>
  <c r="P269" i="4"/>
  <c r="W68" i="5"/>
  <c r="Q269" i="4"/>
  <c r="X68" i="5"/>
  <c r="AA68" i="5"/>
  <c r="AI269" i="4"/>
  <c r="T269" i="4" a="1"/>
  <c r="T269" i="4"/>
  <c r="AC68" i="5"/>
  <c r="U269" i="4" a="1"/>
  <c r="U269" i="4"/>
  <c r="AD68" i="5"/>
  <c r="Y269" i="4"/>
  <c r="AJ68" i="5"/>
  <c r="Z269" i="4"/>
  <c r="AL68" i="5"/>
  <c r="F68" i="5"/>
  <c r="H68" i="5"/>
  <c r="I68" i="5"/>
  <c r="L68" i="5"/>
  <c r="N68" i="5"/>
  <c r="O68" i="5"/>
  <c r="Z68" i="5"/>
  <c r="AN68" i="5"/>
  <c r="AG69" i="5"/>
  <c r="AF69" i="5"/>
  <c r="C17" i="2"/>
  <c r="C254" i="4"/>
  <c r="C69" i="5"/>
  <c r="D17" i="2"/>
  <c r="D254" i="4"/>
  <c r="E69" i="5"/>
  <c r="H17" i="2"/>
  <c r="H254" i="4"/>
  <c r="K69" i="5"/>
  <c r="I17" i="2"/>
  <c r="I254" i="4"/>
  <c r="L69" i="5"/>
  <c r="J17" i="2"/>
  <c r="J254" i="4"/>
  <c r="N69" i="5"/>
  <c r="O69" i="5"/>
  <c r="L17" i="2"/>
  <c r="L254" i="4"/>
  <c r="Q69" i="5"/>
  <c r="M17" i="2"/>
  <c r="M254" i="4"/>
  <c r="R69" i="5"/>
  <c r="N17" i="2"/>
  <c r="N254" i="4"/>
  <c r="T69" i="5"/>
  <c r="O17" i="2"/>
  <c r="O254" i="4"/>
  <c r="U69" i="5"/>
  <c r="P17" i="2"/>
  <c r="P254" i="4"/>
  <c r="W69" i="5"/>
  <c r="Q17" i="2"/>
  <c r="Q254" i="4"/>
  <c r="X69" i="5"/>
  <c r="AA69" i="5"/>
  <c r="AI254" i="4"/>
  <c r="T254" i="4" a="1"/>
  <c r="T254" i="4"/>
  <c r="AC69" i="5"/>
  <c r="AD69" i="5"/>
  <c r="X17" i="2"/>
  <c r="X254" i="4"/>
  <c r="AI69" i="5"/>
  <c r="Y17" i="2"/>
  <c r="Y254" i="4"/>
  <c r="AJ69" i="5"/>
  <c r="Z17" i="2"/>
  <c r="Z254" i="4"/>
  <c r="AL69" i="5"/>
  <c r="F69" i="5"/>
  <c r="H69" i="5"/>
  <c r="I69" i="5"/>
  <c r="Z69" i="5"/>
  <c r="AN69" i="5"/>
  <c r="AG70" i="5"/>
  <c r="AF70" i="5"/>
  <c r="C244" i="4"/>
  <c r="C70" i="5"/>
  <c r="D244" i="4"/>
  <c r="E70" i="5"/>
  <c r="H244" i="4"/>
  <c r="K70" i="5"/>
  <c r="L244" i="4"/>
  <c r="Q70" i="5"/>
  <c r="M244" i="4"/>
  <c r="R70" i="5"/>
  <c r="N244" i="4"/>
  <c r="T70" i="5"/>
  <c r="O244" i="4"/>
  <c r="U70" i="5"/>
  <c r="P244" i="4"/>
  <c r="W70" i="5"/>
  <c r="Q244" i="4"/>
  <c r="X70" i="5"/>
  <c r="AA70" i="5"/>
  <c r="AI244" i="4"/>
  <c r="T244" i="4" a="1"/>
  <c r="T244" i="4"/>
  <c r="AC70" i="5"/>
  <c r="U244" i="4" a="1"/>
  <c r="U244" i="4"/>
  <c r="AD70" i="5"/>
  <c r="Y244" i="4"/>
  <c r="AJ70" i="5"/>
  <c r="Z244" i="4"/>
  <c r="AL70" i="5"/>
  <c r="F70" i="5"/>
  <c r="H70" i="5"/>
  <c r="I70" i="5"/>
  <c r="L70" i="5"/>
  <c r="N70" i="5"/>
  <c r="O70" i="5"/>
  <c r="Z70" i="5"/>
  <c r="AN70" i="5"/>
  <c r="AG71" i="5"/>
  <c r="AF71" i="5"/>
  <c r="B259" i="4"/>
  <c r="C259" i="4"/>
  <c r="C71" i="5"/>
  <c r="D259" i="4"/>
  <c r="E71" i="5"/>
  <c r="H259" i="4"/>
  <c r="K71" i="5"/>
  <c r="L259" i="4"/>
  <c r="Q71" i="5"/>
  <c r="M259" i="4"/>
  <c r="R71" i="5"/>
  <c r="T71" i="5"/>
  <c r="U71" i="5"/>
  <c r="P259" i="4"/>
  <c r="W71" i="5"/>
  <c r="Q259" i="4"/>
  <c r="X71" i="5"/>
  <c r="AA71" i="5"/>
  <c r="AI259" i="4"/>
  <c r="T259" i="4" a="1"/>
  <c r="T259" i="4"/>
  <c r="AC71" i="5"/>
  <c r="U259" i="4" a="1"/>
  <c r="U259" i="4"/>
  <c r="AD71" i="5"/>
  <c r="Y259" i="4"/>
  <c r="AJ71" i="5"/>
  <c r="Z259" i="4"/>
  <c r="AL71" i="5"/>
  <c r="F71" i="5"/>
  <c r="H71" i="5"/>
  <c r="I71" i="5"/>
  <c r="L71" i="5"/>
  <c r="N71" i="5"/>
  <c r="O71" i="5"/>
  <c r="Z71" i="5"/>
  <c r="AN71" i="5"/>
  <c r="AG72" i="5"/>
  <c r="AF72" i="5"/>
  <c r="C18" i="2"/>
  <c r="C90" i="4"/>
  <c r="C72" i="5"/>
  <c r="D90" i="4"/>
  <c r="E72" i="5"/>
  <c r="H90" i="4"/>
  <c r="K72" i="5"/>
  <c r="L90" i="4"/>
  <c r="Q72" i="5"/>
  <c r="M90" i="4"/>
  <c r="R72" i="5"/>
  <c r="T72" i="5"/>
  <c r="O18" i="2"/>
  <c r="O90" i="4"/>
  <c r="U72" i="5"/>
  <c r="P18" i="2"/>
  <c r="P90" i="4"/>
  <c r="W72" i="5"/>
  <c r="Q18" i="2"/>
  <c r="Q90" i="4"/>
  <c r="X72" i="5"/>
  <c r="S18" i="2"/>
  <c r="S90" i="4"/>
  <c r="AA72" i="5"/>
  <c r="AI90" i="4"/>
  <c r="T90" i="4" a="1"/>
  <c r="T90" i="4"/>
  <c r="AC72" i="5"/>
  <c r="U90" i="4" a="1"/>
  <c r="U90" i="4"/>
  <c r="AD72" i="5"/>
  <c r="X18" i="2"/>
  <c r="X90" i="4"/>
  <c r="AI72" i="5"/>
  <c r="Y18" i="2"/>
  <c r="Y90" i="4"/>
  <c r="AJ72" i="5"/>
  <c r="Z18" i="2"/>
  <c r="Z90" i="4"/>
  <c r="AL72" i="5"/>
  <c r="F72" i="5"/>
  <c r="H72" i="5"/>
  <c r="I72" i="5"/>
  <c r="L72" i="5"/>
  <c r="N72" i="5"/>
  <c r="O72" i="5"/>
  <c r="Z72" i="5"/>
  <c r="AN72" i="5"/>
  <c r="AG73" i="5"/>
  <c r="AF73" i="5"/>
  <c r="C20" i="2"/>
  <c r="C115" i="4"/>
  <c r="C73" i="5"/>
  <c r="D20" i="2"/>
  <c r="D115" i="4"/>
  <c r="E73" i="5"/>
  <c r="E20" i="2"/>
  <c r="E115" i="4"/>
  <c r="F73" i="5"/>
  <c r="F20" i="2"/>
  <c r="F115" i="4"/>
  <c r="H73" i="5"/>
  <c r="I73" i="5"/>
  <c r="H20" i="2"/>
  <c r="H115" i="4"/>
  <c r="K73" i="5"/>
  <c r="L20" i="2"/>
  <c r="L115" i="4"/>
  <c r="Q73" i="5"/>
  <c r="M20" i="2"/>
  <c r="M115" i="4"/>
  <c r="R73" i="5"/>
  <c r="T73" i="5"/>
  <c r="U73" i="5"/>
  <c r="P20" i="2"/>
  <c r="P115" i="4"/>
  <c r="W73" i="5"/>
  <c r="Q20" i="2"/>
  <c r="Q115" i="4"/>
  <c r="X73" i="5"/>
  <c r="S20" i="2"/>
  <c r="S115" i="4"/>
  <c r="AA73" i="5"/>
  <c r="AI115" i="4"/>
  <c r="T115" i="4" a="1"/>
  <c r="T115" i="4"/>
  <c r="AC73" i="5"/>
  <c r="U115" i="4" a="1"/>
  <c r="U115" i="4"/>
  <c r="AD73" i="5"/>
  <c r="X20" i="2"/>
  <c r="X115" i="4"/>
  <c r="AI73" i="5"/>
  <c r="Y20" i="2"/>
  <c r="Y115" i="4"/>
  <c r="AJ73" i="5"/>
  <c r="Z20" i="2"/>
  <c r="Z115" i="4"/>
  <c r="AL73" i="5"/>
  <c r="L73" i="5"/>
  <c r="N73" i="5"/>
  <c r="O73" i="5"/>
  <c r="Z73" i="5"/>
  <c r="AN73" i="5"/>
  <c r="AG74" i="5"/>
  <c r="AF74" i="5"/>
  <c r="C125" i="4"/>
  <c r="C74" i="5"/>
  <c r="D125" i="4"/>
  <c r="E74" i="5"/>
  <c r="H125" i="4"/>
  <c r="K74" i="5"/>
  <c r="L125" i="4"/>
  <c r="Q74" i="5"/>
  <c r="M125" i="4"/>
  <c r="R74" i="5"/>
  <c r="T74" i="5"/>
  <c r="U74" i="5"/>
  <c r="P125" i="4"/>
  <c r="W74" i="5"/>
  <c r="Q125" i="4"/>
  <c r="X74" i="5"/>
  <c r="S125" i="4"/>
  <c r="AA74" i="5"/>
  <c r="AI125" i="4"/>
  <c r="T125" i="4" a="1"/>
  <c r="T125" i="4"/>
  <c r="AC74" i="5"/>
  <c r="U125" i="4" a="1"/>
  <c r="U125" i="4"/>
  <c r="AD74" i="5"/>
  <c r="X125" i="4"/>
  <c r="AI74" i="5"/>
  <c r="Y125" i="4"/>
  <c r="AJ74" i="5"/>
  <c r="Z125" i="4"/>
  <c r="AL74" i="5"/>
  <c r="F74" i="5"/>
  <c r="H74" i="5"/>
  <c r="I74" i="5"/>
  <c r="L74" i="5"/>
  <c r="N74" i="5"/>
  <c r="O74" i="5"/>
  <c r="Z74" i="5"/>
  <c r="AN74" i="5"/>
  <c r="AG75" i="5"/>
  <c r="AF75" i="5"/>
  <c r="C107" i="4"/>
  <c r="C75" i="5"/>
  <c r="D107" i="4"/>
  <c r="E75" i="5"/>
  <c r="H107" i="4"/>
  <c r="K75" i="5"/>
  <c r="L107" i="4"/>
  <c r="Q75" i="5"/>
  <c r="R75" i="5"/>
  <c r="T75" i="5"/>
  <c r="O107" i="4"/>
  <c r="U75" i="5"/>
  <c r="P107" i="4"/>
  <c r="W75" i="5"/>
  <c r="Q107" i="4"/>
  <c r="X75" i="5"/>
  <c r="S107" i="4"/>
  <c r="AA75" i="5"/>
  <c r="AI107" i="4"/>
  <c r="T107" i="4" a="1"/>
  <c r="T107" i="4"/>
  <c r="AC75" i="5"/>
  <c r="U107" i="4" a="1"/>
  <c r="U107" i="4"/>
  <c r="AD75" i="5"/>
  <c r="X107" i="4"/>
  <c r="AI75" i="5"/>
  <c r="Y107" i="4"/>
  <c r="AJ75" i="5"/>
  <c r="Z107" i="4"/>
  <c r="AL75" i="5"/>
  <c r="F75" i="5"/>
  <c r="H75" i="5"/>
  <c r="I75" i="5"/>
  <c r="L75" i="5"/>
  <c r="N75" i="5"/>
  <c r="O75" i="5"/>
  <c r="Z75" i="5"/>
  <c r="AN75" i="5"/>
  <c r="AG76" i="5"/>
  <c r="AF76" i="5"/>
  <c r="C25" i="2"/>
  <c r="B189" i="4"/>
  <c r="C189" i="4"/>
  <c r="C76" i="5"/>
  <c r="D25" i="2"/>
  <c r="D189" i="4"/>
  <c r="E76" i="5"/>
  <c r="H25" i="2"/>
  <c r="H189" i="4"/>
  <c r="K76" i="5"/>
  <c r="L25" i="2"/>
  <c r="L189" i="4"/>
  <c r="Q76" i="5"/>
  <c r="M25" i="2"/>
  <c r="M189" i="4"/>
  <c r="R76" i="5"/>
  <c r="T76" i="5"/>
  <c r="U76" i="5"/>
  <c r="P25" i="2"/>
  <c r="P189" i="4"/>
  <c r="W76" i="5"/>
  <c r="Q25" i="2"/>
  <c r="Q189" i="4"/>
  <c r="X76" i="5"/>
  <c r="S25" i="2"/>
  <c r="S189" i="4"/>
  <c r="AA76" i="5"/>
  <c r="AI189" i="4"/>
  <c r="T189" i="4" a="1"/>
  <c r="T189" i="4"/>
  <c r="AC76" i="5"/>
  <c r="U189" i="4" a="1"/>
  <c r="U189" i="4"/>
  <c r="AD76" i="5"/>
  <c r="X25" i="2"/>
  <c r="X189" i="4"/>
  <c r="AI76" i="5"/>
  <c r="Y25" i="2"/>
  <c r="Y189" i="4"/>
  <c r="AJ76" i="5"/>
  <c r="Z25" i="2"/>
  <c r="Z189" i="4"/>
  <c r="AL76" i="5"/>
  <c r="F76" i="5"/>
  <c r="H76" i="5"/>
  <c r="I76" i="5"/>
  <c r="L76" i="5"/>
  <c r="N76" i="5"/>
  <c r="O76" i="5"/>
  <c r="Z76" i="5"/>
  <c r="AN76" i="5"/>
  <c r="AG77" i="5"/>
  <c r="AF77" i="5"/>
  <c r="B49" i="4"/>
  <c r="C32" i="2"/>
  <c r="C49" i="4"/>
  <c r="C77" i="5"/>
  <c r="D32" i="2"/>
  <c r="D49" i="4"/>
  <c r="E77" i="5"/>
  <c r="E32" i="2"/>
  <c r="E49" i="4"/>
  <c r="F77" i="5"/>
  <c r="F32" i="2"/>
  <c r="F49" i="4"/>
  <c r="H77" i="5"/>
  <c r="I77" i="5"/>
  <c r="H32" i="2"/>
  <c r="H49" i="4"/>
  <c r="K77" i="5"/>
  <c r="L32" i="2"/>
  <c r="L49" i="4"/>
  <c r="Q77" i="5"/>
  <c r="M32" i="2"/>
  <c r="M49" i="4"/>
  <c r="R77" i="5"/>
  <c r="T77" i="5"/>
  <c r="U77" i="5"/>
  <c r="P32" i="2"/>
  <c r="P49" i="4"/>
  <c r="W77" i="5"/>
  <c r="Q32" i="2"/>
  <c r="Q49" i="4"/>
  <c r="X77" i="5"/>
  <c r="S32" i="2"/>
  <c r="S49" i="4"/>
  <c r="AA77" i="5"/>
  <c r="AI49" i="4"/>
  <c r="T49" i="4" a="1"/>
  <c r="T49" i="4"/>
  <c r="AC77" i="5"/>
  <c r="AD77" i="5"/>
  <c r="X32" i="2"/>
  <c r="X49" i="4"/>
  <c r="AI77" i="5"/>
  <c r="Y32" i="2"/>
  <c r="Y49" i="4"/>
  <c r="AJ77" i="5"/>
  <c r="Z32" i="2"/>
  <c r="Z49" i="4"/>
  <c r="AL77" i="5"/>
  <c r="L77" i="5"/>
  <c r="N77" i="5"/>
  <c r="O77" i="5"/>
  <c r="Z77" i="5"/>
  <c r="AN77" i="5"/>
  <c r="AG78" i="5"/>
  <c r="AF78" i="5"/>
  <c r="C19" i="4"/>
  <c r="C78" i="5"/>
  <c r="T78" i="5"/>
  <c r="U78" i="5"/>
  <c r="P19" i="4"/>
  <c r="W78" i="5"/>
  <c r="Q19" i="4"/>
  <c r="X78" i="5"/>
  <c r="S19" i="4"/>
  <c r="AA78" i="5"/>
  <c r="X19" i="4"/>
  <c r="AI78" i="5"/>
  <c r="Y19" i="4"/>
  <c r="AJ78" i="5"/>
  <c r="Z19" i="4"/>
  <c r="AL78" i="5"/>
  <c r="Z78" i="5"/>
  <c r="AN78" i="5"/>
  <c r="AG79" i="5"/>
  <c r="AF79" i="5"/>
  <c r="B2" i="4"/>
  <c r="C2" i="4"/>
  <c r="C79" i="5"/>
  <c r="D2" i="4"/>
  <c r="E79" i="5"/>
  <c r="E2" i="4"/>
  <c r="F79" i="5"/>
  <c r="F2" i="4"/>
  <c r="H79" i="5"/>
  <c r="I79" i="5"/>
  <c r="H2" i="4"/>
  <c r="K79" i="5"/>
  <c r="L2" i="4"/>
  <c r="Q79" i="5"/>
  <c r="M2" i="4"/>
  <c r="R79" i="5"/>
  <c r="T79" i="5"/>
  <c r="U79" i="5"/>
  <c r="P2" i="4"/>
  <c r="W79" i="5"/>
  <c r="Q2" i="4"/>
  <c r="X79" i="5"/>
  <c r="S2" i="4"/>
  <c r="AA79" i="5"/>
  <c r="AI2" i="4"/>
  <c r="T2" i="4" a="1"/>
  <c r="T2" i="4"/>
  <c r="AC79" i="5"/>
  <c r="AD79" i="5"/>
  <c r="X2" i="4"/>
  <c r="AI79" i="5"/>
  <c r="Y2" i="4"/>
  <c r="AJ79" i="5"/>
  <c r="Z2" i="4"/>
  <c r="AL79" i="5"/>
  <c r="L79" i="5"/>
  <c r="N79" i="5"/>
  <c r="O79" i="5"/>
  <c r="Z79" i="5"/>
  <c r="AN79" i="5"/>
  <c r="AG80" i="5"/>
  <c r="AF80" i="5"/>
  <c r="C272" i="4"/>
  <c r="C80" i="5"/>
  <c r="D272" i="4"/>
  <c r="E80" i="5"/>
  <c r="H272" i="4"/>
  <c r="K80" i="5"/>
  <c r="L272" i="4"/>
  <c r="Q80" i="5"/>
  <c r="M272" i="4"/>
  <c r="R80" i="5"/>
  <c r="T80" i="5"/>
  <c r="O272" i="4"/>
  <c r="U80" i="5"/>
  <c r="P272" i="4"/>
  <c r="W80" i="5"/>
  <c r="Q272" i="4"/>
  <c r="X80" i="5"/>
  <c r="S272" i="4"/>
  <c r="AA80" i="5"/>
  <c r="AI272" i="4"/>
  <c r="T272" i="4" a="1"/>
  <c r="T272" i="4"/>
  <c r="AC80" i="5"/>
  <c r="U272" i="4" a="1"/>
  <c r="U272" i="4"/>
  <c r="AD80" i="5"/>
  <c r="X272" i="4"/>
  <c r="AI80" i="5"/>
  <c r="Y272" i="4"/>
  <c r="AJ80" i="5"/>
  <c r="Z272" i="4"/>
  <c r="AL80" i="5"/>
  <c r="F80" i="5"/>
  <c r="H80" i="5"/>
  <c r="I80" i="5"/>
  <c r="L80" i="5"/>
  <c r="N80" i="5"/>
  <c r="O80" i="5"/>
  <c r="Z80" i="5"/>
  <c r="AN80" i="5"/>
  <c r="AG81" i="5"/>
  <c r="AF81" i="5"/>
  <c r="C20" i="4"/>
  <c r="C81" i="5"/>
  <c r="D20" i="4"/>
  <c r="E81" i="5"/>
  <c r="K81" i="5"/>
  <c r="L20" i="4"/>
  <c r="Q81" i="5"/>
  <c r="R81" i="5"/>
  <c r="T81" i="5"/>
  <c r="O20" i="4"/>
  <c r="U81" i="5"/>
  <c r="P20" i="4"/>
  <c r="W81" i="5"/>
  <c r="Q20" i="4"/>
  <c r="X81" i="5"/>
  <c r="S20" i="4"/>
  <c r="AA81" i="5"/>
  <c r="AI20" i="4"/>
  <c r="T20" i="4" a="1"/>
  <c r="T20" i="4"/>
  <c r="AC81" i="5"/>
  <c r="U20" i="4" a="1"/>
  <c r="U20" i="4"/>
  <c r="AD81" i="5"/>
  <c r="X20" i="4"/>
  <c r="AI81" i="5"/>
  <c r="Y20" i="4"/>
  <c r="AJ81" i="5"/>
  <c r="Z20" i="4"/>
  <c r="AL81" i="5"/>
  <c r="F81" i="5"/>
  <c r="H81" i="5"/>
  <c r="I81" i="5"/>
  <c r="L81" i="5"/>
  <c r="N81" i="5"/>
  <c r="O81" i="5"/>
  <c r="Z81" i="5"/>
  <c r="AN81" i="5"/>
  <c r="AG82" i="5"/>
  <c r="AF82" i="5"/>
  <c r="C50" i="4"/>
  <c r="C82" i="5"/>
  <c r="D50" i="4"/>
  <c r="E82" i="5"/>
  <c r="K82" i="5"/>
  <c r="L50" i="4"/>
  <c r="Q82" i="5"/>
  <c r="M50" i="4"/>
  <c r="R82" i="5"/>
  <c r="T82" i="5"/>
  <c r="O50" i="4"/>
  <c r="U82" i="5"/>
  <c r="P50" i="4"/>
  <c r="W82" i="5"/>
  <c r="Q50" i="4"/>
  <c r="X82" i="5"/>
  <c r="S50" i="4"/>
  <c r="AA82" i="5"/>
  <c r="AI50" i="4"/>
  <c r="T50" i="4" a="1"/>
  <c r="T50" i="4"/>
  <c r="AC82" i="5"/>
  <c r="U50" i="4" a="1"/>
  <c r="U50" i="4"/>
  <c r="AD82" i="5"/>
  <c r="X50" i="4"/>
  <c r="AI82" i="5"/>
  <c r="Y50" i="4"/>
  <c r="AJ82" i="5"/>
  <c r="Z50" i="4"/>
  <c r="AL82" i="5"/>
  <c r="F82" i="5"/>
  <c r="H82" i="5"/>
  <c r="I82" i="5"/>
  <c r="L82" i="5"/>
  <c r="N82" i="5"/>
  <c r="O82" i="5"/>
  <c r="Z82" i="5"/>
  <c r="AN82" i="5"/>
  <c r="AG83" i="5"/>
  <c r="AF83" i="5"/>
  <c r="C22" i="4"/>
  <c r="C83" i="5"/>
  <c r="D22" i="4"/>
  <c r="E83" i="5"/>
  <c r="K83" i="5"/>
  <c r="L22" i="4"/>
  <c r="Q83" i="5"/>
  <c r="M22" i="4"/>
  <c r="R83" i="5"/>
  <c r="T83" i="5"/>
  <c r="O22" i="4"/>
  <c r="U83" i="5"/>
  <c r="P22" i="4"/>
  <c r="W83" i="5"/>
  <c r="Q22" i="4"/>
  <c r="X83" i="5"/>
  <c r="S22" i="4"/>
  <c r="AA83" i="5"/>
  <c r="AI22" i="4"/>
  <c r="T22" i="4" a="1"/>
  <c r="T22" i="4"/>
  <c r="AC83" i="5"/>
  <c r="U22" i="4" a="1"/>
  <c r="U22" i="4"/>
  <c r="AD83" i="5"/>
  <c r="X22" i="4"/>
  <c r="AI83" i="5"/>
  <c r="Y22" i="4"/>
  <c r="AJ83" i="5"/>
  <c r="Z22" i="4"/>
  <c r="AL83" i="5"/>
  <c r="F83" i="5"/>
  <c r="H83" i="5"/>
  <c r="I83" i="5"/>
  <c r="L83" i="5"/>
  <c r="N83" i="5"/>
  <c r="O83" i="5"/>
  <c r="Z83" i="5"/>
  <c r="AN83" i="5"/>
  <c r="AG84" i="5"/>
  <c r="AF84" i="5"/>
  <c r="C23" i="4"/>
  <c r="C84" i="5"/>
  <c r="D23" i="4"/>
  <c r="E84" i="5"/>
  <c r="K84" i="5"/>
  <c r="L23" i="4"/>
  <c r="Q84" i="5"/>
  <c r="M23" i="4"/>
  <c r="R84" i="5"/>
  <c r="T84" i="5"/>
  <c r="U84" i="5"/>
  <c r="P23" i="4"/>
  <c r="W84" i="5"/>
  <c r="Q23" i="4"/>
  <c r="X84" i="5"/>
  <c r="S23" i="4"/>
  <c r="AA84" i="5"/>
  <c r="AI23" i="4"/>
  <c r="T23" i="4" a="1"/>
  <c r="T23" i="4"/>
  <c r="AC84" i="5"/>
  <c r="U23" i="4" a="1"/>
  <c r="U23" i="4"/>
  <c r="AD84" i="5"/>
  <c r="X23" i="4"/>
  <c r="AI84" i="5"/>
  <c r="Y23" i="4"/>
  <c r="AJ84" i="5"/>
  <c r="Z23" i="4"/>
  <c r="AL84" i="5"/>
  <c r="F84" i="5"/>
  <c r="H84" i="5"/>
  <c r="I84" i="5"/>
  <c r="L84" i="5"/>
  <c r="N84" i="5"/>
  <c r="O84" i="5"/>
  <c r="Z84" i="5"/>
  <c r="AN84" i="5"/>
  <c r="AG85" i="5"/>
  <c r="AF85" i="5"/>
  <c r="C51" i="4"/>
  <c r="C85" i="5"/>
  <c r="D51" i="4"/>
  <c r="E85" i="5"/>
  <c r="K85" i="5"/>
  <c r="L51" i="4"/>
  <c r="Q85" i="5"/>
  <c r="M51" i="4"/>
  <c r="R85" i="5"/>
  <c r="T85" i="5"/>
  <c r="O51" i="4"/>
  <c r="U85" i="5"/>
  <c r="P51" i="4"/>
  <c r="W85" i="5"/>
  <c r="Q51" i="4"/>
  <c r="X85" i="5"/>
  <c r="S51" i="4"/>
  <c r="AA85" i="5"/>
  <c r="X51" i="4"/>
  <c r="AI85" i="5"/>
  <c r="Y51" i="4"/>
  <c r="AJ85" i="5"/>
  <c r="Z51" i="4"/>
  <c r="AL85" i="5"/>
  <c r="F85" i="5"/>
  <c r="H85" i="5"/>
  <c r="I85" i="5"/>
  <c r="L85" i="5"/>
  <c r="N85" i="5"/>
  <c r="O85" i="5"/>
  <c r="Z85" i="5"/>
  <c r="AN85" i="5"/>
  <c r="AG86" i="5"/>
  <c r="AF86" i="5"/>
  <c r="B26" i="4"/>
  <c r="C26" i="4"/>
  <c r="C86" i="5"/>
  <c r="D26" i="4"/>
  <c r="E86" i="5"/>
  <c r="K86" i="5"/>
  <c r="L26" i="4"/>
  <c r="Q86" i="5"/>
  <c r="M26" i="4"/>
  <c r="R86" i="5"/>
  <c r="T86" i="5"/>
  <c r="U86" i="5"/>
  <c r="P26" i="4"/>
  <c r="W86" i="5"/>
  <c r="Q26" i="4"/>
  <c r="X86" i="5"/>
  <c r="S26" i="4"/>
  <c r="AA86" i="5"/>
  <c r="AI26" i="4"/>
  <c r="T26" i="4" a="1"/>
  <c r="T26" i="4"/>
  <c r="AC86" i="5"/>
  <c r="U26" i="4" a="1"/>
  <c r="U26" i="4"/>
  <c r="AD86" i="5"/>
  <c r="X26" i="4"/>
  <c r="AI86" i="5"/>
  <c r="Y26" i="4"/>
  <c r="AJ86" i="5"/>
  <c r="Z26" i="4"/>
  <c r="AL86" i="5"/>
  <c r="F86" i="5"/>
  <c r="H86" i="5"/>
  <c r="I86" i="5"/>
  <c r="L86" i="5"/>
  <c r="N86" i="5"/>
  <c r="O86" i="5"/>
  <c r="Z86" i="5"/>
  <c r="AN86" i="5"/>
  <c r="AG87" i="5"/>
  <c r="AF87" i="5"/>
  <c r="B83" i="4"/>
  <c r="C83" i="4"/>
  <c r="C87" i="5"/>
  <c r="D83" i="4"/>
  <c r="E87" i="5"/>
  <c r="E83" i="4"/>
  <c r="F87" i="5"/>
  <c r="F83" i="4"/>
  <c r="H87" i="5"/>
  <c r="I87" i="5"/>
  <c r="H41" i="2"/>
  <c r="H83" i="4"/>
  <c r="K87" i="5"/>
  <c r="L83" i="4"/>
  <c r="Q87" i="5"/>
  <c r="M83" i="4"/>
  <c r="R87" i="5"/>
  <c r="T87" i="5"/>
  <c r="O83" i="4"/>
  <c r="U87" i="5"/>
  <c r="P83" i="4"/>
  <c r="W87" i="5"/>
  <c r="Q83" i="4"/>
  <c r="X87" i="5"/>
  <c r="S83" i="4"/>
  <c r="AA87" i="5"/>
  <c r="AI83" i="4"/>
  <c r="T83" i="4" a="1"/>
  <c r="T83" i="4"/>
  <c r="AC87" i="5"/>
  <c r="U83" i="4" a="1"/>
  <c r="U83" i="4"/>
  <c r="AD87" i="5"/>
  <c r="X83" i="4"/>
  <c r="AI87" i="5"/>
  <c r="Y83" i="4"/>
  <c r="AJ87" i="5"/>
  <c r="Z83" i="4"/>
  <c r="AL87" i="5"/>
  <c r="L87" i="5"/>
  <c r="N87" i="5"/>
  <c r="O87" i="5"/>
  <c r="Z87" i="5"/>
  <c r="AN87" i="5"/>
  <c r="AG88" i="5"/>
  <c r="AF88" i="5"/>
  <c r="B108" i="4"/>
  <c r="C108" i="4"/>
  <c r="C88" i="5"/>
  <c r="D108" i="4"/>
  <c r="E88" i="5"/>
  <c r="E108" i="4"/>
  <c r="F88" i="5"/>
  <c r="F108" i="4"/>
  <c r="H88" i="5"/>
  <c r="I88" i="5"/>
  <c r="H108" i="4"/>
  <c r="K88" i="5"/>
  <c r="L108" i="4"/>
  <c r="Q88" i="5"/>
  <c r="M108" i="4"/>
  <c r="R88" i="5"/>
  <c r="T88" i="5"/>
  <c r="O108" i="4"/>
  <c r="U88" i="5"/>
  <c r="P108" i="4"/>
  <c r="W88" i="5"/>
  <c r="Q108" i="4"/>
  <c r="X88" i="5"/>
  <c r="S108" i="4"/>
  <c r="AA88" i="5"/>
  <c r="AI108" i="4"/>
  <c r="T108" i="4" a="1"/>
  <c r="T108" i="4"/>
  <c r="AC88" i="5"/>
  <c r="U108" i="4" a="1"/>
  <c r="U108" i="4"/>
  <c r="AD88" i="5"/>
  <c r="X108" i="4"/>
  <c r="AI88" i="5"/>
  <c r="Y108" i="4"/>
  <c r="AJ88" i="5"/>
  <c r="Z108" i="4"/>
  <c r="AL88" i="5"/>
  <c r="L88" i="5"/>
  <c r="N88" i="5"/>
  <c r="O88" i="5"/>
  <c r="Z88" i="5"/>
  <c r="AN88" i="5"/>
  <c r="AG89" i="5"/>
  <c r="AF89" i="5"/>
  <c r="B28" i="4"/>
  <c r="C28" i="4"/>
  <c r="C89" i="5"/>
  <c r="D28" i="4"/>
  <c r="E89" i="5"/>
  <c r="E28" i="4"/>
  <c r="F89" i="5"/>
  <c r="F28" i="4"/>
  <c r="H89" i="5"/>
  <c r="I89" i="5"/>
  <c r="H28" i="4"/>
  <c r="K89" i="5"/>
  <c r="L28" i="4"/>
  <c r="Q89" i="5"/>
  <c r="M28" i="4"/>
  <c r="R89" i="5"/>
  <c r="T89" i="5"/>
  <c r="U89" i="5"/>
  <c r="P28" i="4"/>
  <c r="W89" i="5"/>
  <c r="Q28" i="4"/>
  <c r="X89" i="5"/>
  <c r="S28" i="4"/>
  <c r="AA89" i="5"/>
  <c r="AI28" i="4"/>
  <c r="T28" i="4" a="1"/>
  <c r="T28" i="4"/>
  <c r="AC89" i="5"/>
  <c r="U28" i="4" a="1"/>
  <c r="U28" i="4"/>
  <c r="AD89" i="5"/>
  <c r="X28" i="4"/>
  <c r="AI89" i="5"/>
  <c r="Y28" i="4"/>
  <c r="AJ89" i="5"/>
  <c r="Z28" i="4"/>
  <c r="AL89" i="5"/>
  <c r="L89" i="5"/>
  <c r="N89" i="5"/>
  <c r="O89" i="5"/>
  <c r="Z89" i="5"/>
  <c r="AN89" i="5"/>
  <c r="S21" i="2"/>
  <c r="B234" i="4"/>
  <c r="S234" i="4"/>
  <c r="AA90" i="5"/>
  <c r="P21" i="2"/>
  <c r="P234" i="4"/>
  <c r="W90" i="5"/>
  <c r="K21" i="2"/>
  <c r="K7" i="2"/>
  <c r="K234" i="4"/>
  <c r="O90" i="5"/>
  <c r="H21" i="2"/>
  <c r="H234" i="4"/>
  <c r="K90" i="5"/>
  <c r="W21" i="2"/>
  <c r="W234" i="4"/>
  <c r="AG90" i="5"/>
  <c r="V234" i="4"/>
  <c r="AF90" i="5"/>
  <c r="C21" i="2"/>
  <c r="C234" i="4"/>
  <c r="C90" i="5"/>
  <c r="D21" i="2"/>
  <c r="D234" i="4"/>
  <c r="E90" i="5"/>
  <c r="G21" i="2"/>
  <c r="G7" i="2"/>
  <c r="G234" i="4"/>
  <c r="I90" i="5"/>
  <c r="I21" i="2"/>
  <c r="I234" i="4"/>
  <c r="L90" i="5"/>
  <c r="J21" i="2"/>
  <c r="J234" i="4"/>
  <c r="N90" i="5"/>
  <c r="L21" i="2"/>
  <c r="L234" i="4"/>
  <c r="Q90" i="5"/>
  <c r="O21" i="2"/>
  <c r="O234" i="4"/>
  <c r="U90" i="5"/>
  <c r="Q234" i="4"/>
  <c r="X90" i="5"/>
  <c r="R21" i="2"/>
  <c r="R234" i="4"/>
  <c r="Z90" i="5"/>
  <c r="AI234" i="4"/>
  <c r="T234" i="4" a="1"/>
  <c r="T234" i="4"/>
  <c r="AC90" i="5"/>
  <c r="U234" i="4" a="1"/>
  <c r="U234" i="4"/>
  <c r="AD90" i="5"/>
  <c r="X21" i="2"/>
  <c r="X234" i="4"/>
  <c r="AI90" i="5"/>
  <c r="Y21" i="2"/>
  <c r="Y234" i="4"/>
  <c r="AJ90" i="5"/>
  <c r="Z21" i="2"/>
  <c r="Z234" i="4"/>
  <c r="AL90" i="5"/>
  <c r="R90" i="5"/>
  <c r="T90" i="5"/>
  <c r="F90" i="5"/>
  <c r="H90" i="5"/>
  <c r="AN90" i="5"/>
  <c r="S203" i="4"/>
  <c r="AA91" i="5"/>
  <c r="P203" i="4"/>
  <c r="W91" i="5"/>
  <c r="AG91" i="5"/>
  <c r="AF91" i="5"/>
  <c r="C203" i="4"/>
  <c r="C91" i="5"/>
  <c r="O203" i="4"/>
  <c r="U91" i="5"/>
  <c r="Q203" i="4"/>
  <c r="X91" i="5"/>
  <c r="R203" i="4"/>
  <c r="Z91" i="5"/>
  <c r="AI203" i="4"/>
  <c r="T203" i="4" a="1"/>
  <c r="T203" i="4"/>
  <c r="AC91" i="5"/>
  <c r="U203" i="4" a="1"/>
  <c r="U203" i="4"/>
  <c r="AD91" i="5"/>
  <c r="X203" i="4"/>
  <c r="AI91" i="5"/>
  <c r="Y203" i="4"/>
  <c r="AJ91" i="5"/>
  <c r="Z203" i="4"/>
  <c r="AL91" i="5"/>
  <c r="R91" i="5"/>
  <c r="T91" i="5"/>
  <c r="F91" i="5"/>
  <c r="H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I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F92" i="5"/>
  <c r="H92" i="5"/>
  <c r="I92" i="5"/>
  <c r="Z92" i="5"/>
  <c r="AN92" i="5"/>
  <c r="AG93" i="5"/>
  <c r="AF93" i="5"/>
  <c r="C22" i="2"/>
  <c r="B32" i="4"/>
  <c r="C32" i="4"/>
  <c r="C93" i="5"/>
  <c r="D22" i="2"/>
  <c r="D32" i="4"/>
  <c r="E93" i="5"/>
  <c r="K93" i="5"/>
  <c r="L22" i="2"/>
  <c r="L32" i="4"/>
  <c r="Q93" i="5"/>
  <c r="M22" i="2"/>
  <c r="M32" i="4"/>
  <c r="R93" i="5"/>
  <c r="T93" i="5"/>
  <c r="U93" i="5"/>
  <c r="P22" i="2"/>
  <c r="P32" i="4"/>
  <c r="W93" i="5"/>
  <c r="Q22" i="2"/>
  <c r="Q32" i="4"/>
  <c r="X93" i="5"/>
  <c r="S22" i="2"/>
  <c r="S32" i="4"/>
  <c r="AA93" i="5"/>
  <c r="AI32" i="4"/>
  <c r="T32" i="4" a="1"/>
  <c r="T32" i="4"/>
  <c r="AC93" i="5"/>
  <c r="U32" i="4" a="1"/>
  <c r="U32" i="4"/>
  <c r="AD93" i="5"/>
  <c r="X22" i="2"/>
  <c r="X32" i="4"/>
  <c r="AI93" i="5"/>
  <c r="Y22" i="2"/>
  <c r="Y32" i="4"/>
  <c r="AJ93" i="5"/>
  <c r="Z22" i="2"/>
  <c r="Z32" i="4"/>
  <c r="AL93" i="5"/>
  <c r="F93" i="5"/>
  <c r="H93" i="5"/>
  <c r="I93" i="5"/>
  <c r="L93" i="5"/>
  <c r="N93" i="5"/>
  <c r="O93" i="5"/>
  <c r="Z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22" i="2"/>
  <c r="O33" i="4"/>
  <c r="U94" i="5"/>
  <c r="P33" i="4"/>
  <c r="W94" i="5"/>
  <c r="Q33" i="4"/>
  <c r="X94" i="5"/>
  <c r="S33" i="4"/>
  <c r="AA94" i="5"/>
  <c r="X33" i="4"/>
  <c r="AI94" i="5"/>
  <c r="Y33" i="4"/>
  <c r="AJ94" i="5"/>
  <c r="Z33" i="4"/>
  <c r="AL94" i="5"/>
  <c r="F94" i="5"/>
  <c r="H94" i="5"/>
  <c r="I94" i="5"/>
  <c r="L94" i="5"/>
  <c r="N94" i="5"/>
  <c r="O94" i="5"/>
  <c r="Z94" i="5"/>
  <c r="AN94" i="5"/>
  <c r="AG95" i="5"/>
  <c r="AF95" i="5"/>
  <c r="B52" i="4"/>
  <c r="C52" i="4"/>
  <c r="C95" i="5"/>
  <c r="D52" i="4"/>
  <c r="E95" i="5"/>
  <c r="K95" i="5"/>
  <c r="L52" i="4"/>
  <c r="Q95" i="5"/>
  <c r="M52" i="4"/>
  <c r="R95" i="5"/>
  <c r="T95" i="5"/>
  <c r="U95" i="5"/>
  <c r="P52" i="4"/>
  <c r="W95" i="5"/>
  <c r="Q52" i="4"/>
  <c r="X95" i="5"/>
  <c r="S52" i="4"/>
  <c r="AA95" i="5"/>
  <c r="AI52" i="4"/>
  <c r="T52" i="4" a="1"/>
  <c r="T52" i="4"/>
  <c r="AC95" i="5"/>
  <c r="U52" i="4" a="1"/>
  <c r="U52" i="4"/>
  <c r="AD95" i="5"/>
  <c r="X52" i="4"/>
  <c r="AI95" i="5"/>
  <c r="Y52" i="4"/>
  <c r="AJ95" i="5"/>
  <c r="Z52" i="4"/>
  <c r="AL95" i="5"/>
  <c r="F95" i="5"/>
  <c r="H95" i="5"/>
  <c r="I95" i="5"/>
  <c r="L95" i="5"/>
  <c r="N95" i="5"/>
  <c r="O95" i="5"/>
  <c r="Z95" i="5"/>
  <c r="AN95" i="5"/>
  <c r="AG96" i="5"/>
  <c r="AF96" i="5"/>
  <c r="B248" i="4"/>
  <c r="C248" i="4"/>
  <c r="C96" i="5"/>
  <c r="D248" i="4"/>
  <c r="E96" i="5"/>
  <c r="K96" i="5"/>
  <c r="L248" i="4"/>
  <c r="Q96" i="5"/>
  <c r="M248" i="4"/>
  <c r="R96" i="5"/>
  <c r="T96" i="5"/>
  <c r="U96" i="5"/>
  <c r="P248" i="4"/>
  <c r="W96" i="5"/>
  <c r="Q248" i="4"/>
  <c r="X96" i="5"/>
  <c r="AA96" i="5"/>
  <c r="AI248" i="4"/>
  <c r="T248" i="4" a="1"/>
  <c r="T248" i="4"/>
  <c r="AC96" i="5"/>
  <c r="U248" i="4" a="1"/>
  <c r="U248" i="4"/>
  <c r="AD96" i="5"/>
  <c r="Y248" i="4"/>
  <c r="AJ96" i="5"/>
  <c r="Z248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238" i="4"/>
  <c r="C238" i="4"/>
  <c r="C98" i="5"/>
  <c r="D238" i="4"/>
  <c r="E98" i="5"/>
  <c r="K98" i="5"/>
  <c r="L238" i="4"/>
  <c r="Q98" i="5"/>
  <c r="M238" i="4"/>
  <c r="R98" i="5"/>
  <c r="T98" i="5"/>
  <c r="U98" i="5"/>
  <c r="P238" i="4"/>
  <c r="W98" i="5"/>
  <c r="Q238" i="4"/>
  <c r="X98" i="5"/>
  <c r="AA98" i="5"/>
  <c r="AI238" i="4"/>
  <c r="T238" i="4" a="1"/>
  <c r="T238" i="4"/>
  <c r="AC98" i="5"/>
  <c r="U238" i="4" a="1"/>
  <c r="U238" i="4"/>
  <c r="AD98" i="5"/>
  <c r="Y238" i="4"/>
  <c r="AJ98" i="5"/>
  <c r="Z238" i="4"/>
  <c r="AL98" i="5"/>
  <c r="F98" i="5"/>
  <c r="H98" i="5"/>
  <c r="I98" i="5"/>
  <c r="L98" i="5"/>
  <c r="N98" i="5"/>
  <c r="O98" i="5"/>
  <c r="Z98" i="5"/>
  <c r="AN98" i="5"/>
  <c r="AG99" i="5"/>
  <c r="AF99" i="5"/>
  <c r="B158" i="4"/>
  <c r="C158" i="4"/>
  <c r="C99" i="5"/>
  <c r="D158" i="4"/>
  <c r="E99" i="5"/>
  <c r="K99" i="5"/>
  <c r="L158" i="4"/>
  <c r="Q99" i="5"/>
  <c r="M158" i="4"/>
  <c r="R99" i="5"/>
  <c r="T99" i="5"/>
  <c r="O25" i="2"/>
  <c r="O158" i="4"/>
  <c r="U99" i="5"/>
  <c r="P158" i="4"/>
  <c r="W99" i="5"/>
  <c r="Q158" i="4"/>
  <c r="X99" i="5"/>
  <c r="S158" i="4"/>
  <c r="AA99" i="5"/>
  <c r="AI158" i="4"/>
  <c r="T158" i="4" a="1"/>
  <c r="T158" i="4"/>
  <c r="AC99" i="5"/>
  <c r="U158" i="4" a="1"/>
  <c r="U158" i="4"/>
  <c r="AD99" i="5"/>
  <c r="X158" i="4"/>
  <c r="AI99" i="5"/>
  <c r="Y158" i="4"/>
  <c r="AJ99" i="5"/>
  <c r="Z158" i="4"/>
  <c r="AL99" i="5"/>
  <c r="F99" i="5"/>
  <c r="I99" i="5"/>
  <c r="L99" i="5"/>
  <c r="N99" i="5"/>
  <c r="O99" i="5"/>
  <c r="Z99" i="5"/>
  <c r="AN99" i="5"/>
  <c r="AG100" i="5"/>
  <c r="AF100" i="5"/>
  <c r="B154" i="4"/>
  <c r="C154" i="4"/>
  <c r="C100" i="5"/>
  <c r="D154" i="4"/>
  <c r="E100" i="5"/>
  <c r="H154" i="4"/>
  <c r="K100" i="5"/>
  <c r="L154" i="4"/>
  <c r="Q100" i="5"/>
  <c r="M154" i="4"/>
  <c r="R100" i="5"/>
  <c r="N154" i="4"/>
  <c r="T100" i="5"/>
  <c r="O154" i="4"/>
  <c r="U100" i="5"/>
  <c r="P154" i="4"/>
  <c r="W100" i="5"/>
  <c r="Q154" i="4"/>
  <c r="X100" i="5"/>
  <c r="S154" i="4"/>
  <c r="AA100" i="5"/>
  <c r="AI154" i="4"/>
  <c r="T154" i="4" a="1"/>
  <c r="T154" i="4"/>
  <c r="AC100" i="5"/>
  <c r="U154" i="4" a="1"/>
  <c r="U154" i="4"/>
  <c r="AD100" i="5"/>
  <c r="X154" i="4"/>
  <c r="AI100" i="5"/>
  <c r="Y154" i="4"/>
  <c r="AJ100" i="5"/>
  <c r="Z154" i="4"/>
  <c r="AL100" i="5"/>
  <c r="F100" i="5"/>
  <c r="I100" i="5"/>
  <c r="L100" i="5"/>
  <c r="N100" i="5"/>
  <c r="O100" i="5"/>
  <c r="Z100" i="5"/>
  <c r="AN100" i="5"/>
  <c r="O101" i="5"/>
  <c r="H155" i="4"/>
  <c r="K101" i="5"/>
  <c r="AG101" i="5"/>
  <c r="AF101" i="5"/>
  <c r="C155" i="4"/>
  <c r="C101" i="5"/>
  <c r="D155" i="4"/>
  <c r="E101" i="5"/>
  <c r="I25" i="2"/>
  <c r="I155" i="4"/>
  <c r="L101" i="5"/>
  <c r="J25" i="2"/>
  <c r="J155" i="4"/>
  <c r="N101" i="5"/>
  <c r="L155" i="4"/>
  <c r="Q101" i="5"/>
  <c r="M155" i="4"/>
  <c r="R101" i="5"/>
  <c r="T101" i="5"/>
  <c r="U101" i="5"/>
  <c r="P155" i="4"/>
  <c r="W101" i="5"/>
  <c r="Q155" i="4"/>
  <c r="X101" i="5"/>
  <c r="S155" i="4"/>
  <c r="AA101" i="5"/>
  <c r="AI155" i="4"/>
  <c r="T155" i="4" a="1"/>
  <c r="T155" i="4"/>
  <c r="AC101" i="5"/>
  <c r="U155" i="4" a="1"/>
  <c r="U155" i="4"/>
  <c r="AD101" i="5"/>
  <c r="X155" i="4"/>
  <c r="AI101" i="5"/>
  <c r="Y155" i="4"/>
  <c r="AJ101" i="5"/>
  <c r="Z155" i="4"/>
  <c r="AL101" i="5"/>
  <c r="H101" i="5"/>
  <c r="I101" i="5"/>
  <c r="F101" i="5"/>
  <c r="Z101" i="5"/>
  <c r="AN101" i="5"/>
  <c r="AG102" i="5"/>
  <c r="AF102" i="5"/>
  <c r="C26" i="2"/>
  <c r="B57" i="4"/>
  <c r="C57" i="4"/>
  <c r="C102" i="5"/>
  <c r="D26" i="2"/>
  <c r="D57" i="4"/>
  <c r="E102" i="5"/>
  <c r="E26" i="2"/>
  <c r="E57" i="4"/>
  <c r="F102" i="5"/>
  <c r="F26" i="2"/>
  <c r="F57" i="4"/>
  <c r="H102" i="5"/>
  <c r="I102" i="5"/>
  <c r="H26" i="2"/>
  <c r="H57" i="4"/>
  <c r="K102" i="5"/>
  <c r="L26" i="2"/>
  <c r="L57" i="4"/>
  <c r="Q102" i="5"/>
  <c r="M26" i="2"/>
  <c r="M57" i="4"/>
  <c r="R102" i="5"/>
  <c r="N26" i="2"/>
  <c r="N57" i="4"/>
  <c r="T102" i="5"/>
  <c r="O26" i="2"/>
  <c r="O57" i="4"/>
  <c r="U102" i="5"/>
  <c r="P26" i="2"/>
  <c r="P57" i="4"/>
  <c r="W102" i="5"/>
  <c r="Q26" i="2"/>
  <c r="Q57" i="4"/>
  <c r="X102" i="5"/>
  <c r="S26" i="2"/>
  <c r="S57" i="4"/>
  <c r="AA102" i="5"/>
  <c r="AI57" i="4"/>
  <c r="T57" i="4" a="1"/>
  <c r="T57" i="4"/>
  <c r="AC102" i="5"/>
  <c r="U57" i="4" a="1"/>
  <c r="U57" i="4"/>
  <c r="AD102" i="5"/>
  <c r="X26" i="2"/>
  <c r="X57" i="4"/>
  <c r="AI102" i="5"/>
  <c r="Y26" i="2"/>
  <c r="Y57" i="4"/>
  <c r="AJ102" i="5"/>
  <c r="Z26" i="2"/>
  <c r="Z57" i="4"/>
  <c r="AL102" i="5"/>
  <c r="L102" i="5"/>
  <c r="N102" i="5"/>
  <c r="O102" i="5"/>
  <c r="Z102" i="5"/>
  <c r="AN102" i="5"/>
  <c r="AG103" i="5"/>
  <c r="AF103" i="5"/>
  <c r="B63" i="4"/>
  <c r="C63" i="4"/>
  <c r="C103" i="5"/>
  <c r="D63" i="4"/>
  <c r="E103" i="5"/>
  <c r="E63" i="4"/>
  <c r="F103" i="5"/>
  <c r="F63" i="4"/>
  <c r="H103" i="5"/>
  <c r="I103" i="5"/>
  <c r="H63" i="4"/>
  <c r="K103" i="5"/>
  <c r="L63" i="4"/>
  <c r="Q103" i="5"/>
  <c r="M63" i="4"/>
  <c r="R103" i="5"/>
  <c r="T103" i="5"/>
  <c r="O63" i="4"/>
  <c r="U103" i="5"/>
  <c r="P63" i="4"/>
  <c r="W103" i="5"/>
  <c r="Q63" i="4"/>
  <c r="X103" i="5"/>
  <c r="S63" i="4"/>
  <c r="AA103" i="5"/>
  <c r="AI63" i="4"/>
  <c r="T63" i="4" a="1"/>
  <c r="T63" i="4"/>
  <c r="AC103" i="5"/>
  <c r="U63" i="4" a="1"/>
  <c r="U63" i="4"/>
  <c r="AD103" i="5"/>
  <c r="X63" i="4"/>
  <c r="AI103" i="5"/>
  <c r="Y63" i="4"/>
  <c r="AJ103" i="5"/>
  <c r="Z63" i="4"/>
  <c r="AL103" i="5"/>
  <c r="L103" i="5"/>
  <c r="N103" i="5"/>
  <c r="O103" i="5"/>
  <c r="Z103" i="5"/>
  <c r="AN103" i="5"/>
  <c r="AG104" i="5"/>
  <c r="AF104" i="5"/>
  <c r="C43" i="2"/>
  <c r="B53" i="4"/>
  <c r="C53" i="4"/>
  <c r="C104" i="5"/>
  <c r="D43" i="2"/>
  <c r="D53" i="4"/>
  <c r="E104" i="5"/>
  <c r="E43" i="2"/>
  <c r="E53" i="4"/>
  <c r="F104" i="5"/>
  <c r="F43" i="2"/>
  <c r="F53" i="4"/>
  <c r="H104" i="5"/>
  <c r="I104" i="5"/>
  <c r="H43" i="2"/>
  <c r="H53" i="4"/>
  <c r="K104" i="5"/>
  <c r="L43" i="2"/>
  <c r="L53" i="4"/>
  <c r="Q104" i="5"/>
  <c r="M43" i="2"/>
  <c r="M53" i="4"/>
  <c r="R104" i="5"/>
  <c r="T104" i="5"/>
  <c r="O43" i="2"/>
  <c r="O53" i="4"/>
  <c r="U104" i="5"/>
  <c r="P43" i="2"/>
  <c r="P53" i="4"/>
  <c r="W104" i="5"/>
  <c r="Q43" i="2"/>
  <c r="Q53" i="4"/>
  <c r="X104" i="5"/>
  <c r="S43" i="2"/>
  <c r="S53" i="4"/>
  <c r="AA104" i="5"/>
  <c r="AI53" i="4"/>
  <c r="T53" i="4" a="1"/>
  <c r="T53" i="4"/>
  <c r="AC104" i="5"/>
  <c r="U53" i="4" a="1"/>
  <c r="U53" i="4"/>
  <c r="AD104" i="5"/>
  <c r="X43" i="2"/>
  <c r="X53" i="4"/>
  <c r="AI104" i="5"/>
  <c r="Y43" i="2"/>
  <c r="Y53" i="4"/>
  <c r="AJ104" i="5"/>
  <c r="Z43" i="2"/>
  <c r="Z53" i="4"/>
  <c r="AL104" i="5"/>
  <c r="L104" i="5"/>
  <c r="N104" i="5"/>
  <c r="O104" i="5"/>
  <c r="Z104" i="5"/>
  <c r="AN104" i="5"/>
  <c r="AG105" i="5"/>
  <c r="AF105" i="5"/>
  <c r="C242" i="4"/>
  <c r="C105" i="5"/>
  <c r="D242" i="4"/>
  <c r="E105" i="5"/>
  <c r="E39" i="2"/>
  <c r="E242" i="4"/>
  <c r="F105" i="5"/>
  <c r="F39" i="2"/>
  <c r="F242" i="4"/>
  <c r="H105" i="5"/>
  <c r="I105" i="5"/>
  <c r="K105" i="5"/>
  <c r="L242" i="4"/>
  <c r="Q105" i="5"/>
  <c r="M242" i="4"/>
  <c r="R105" i="5"/>
  <c r="T105" i="5"/>
  <c r="O242" i="4"/>
  <c r="U105" i="5"/>
  <c r="P242" i="4"/>
  <c r="W105" i="5"/>
  <c r="Q242" i="4"/>
  <c r="X105" i="5"/>
  <c r="S242" i="4"/>
  <c r="AA105" i="5"/>
  <c r="AI242" i="4"/>
  <c r="T242" i="4" a="1"/>
  <c r="T242" i="4"/>
  <c r="AC105" i="5"/>
  <c r="U242" i="4" a="1"/>
  <c r="U242" i="4"/>
  <c r="AD105" i="5"/>
  <c r="X242" i="4"/>
  <c r="AI105" i="5"/>
  <c r="Y242" i="4"/>
  <c r="AJ105" i="5"/>
  <c r="Z242" i="4"/>
  <c r="AL105" i="5"/>
  <c r="L105" i="5"/>
  <c r="N105" i="5"/>
  <c r="O105" i="5"/>
  <c r="Z105" i="5"/>
  <c r="AN105" i="5"/>
  <c r="AG106" i="5"/>
  <c r="AF106" i="5"/>
  <c r="B35" i="4"/>
  <c r="C35" i="4"/>
  <c r="C106" i="5"/>
  <c r="D35" i="4"/>
  <c r="E106" i="5"/>
  <c r="E35" i="4"/>
  <c r="F106" i="5"/>
  <c r="F35" i="4"/>
  <c r="H106" i="5"/>
  <c r="I106" i="5"/>
  <c r="H35" i="4"/>
  <c r="K106" i="5"/>
  <c r="L35" i="4"/>
  <c r="Q106" i="5"/>
  <c r="M35" i="4"/>
  <c r="R106" i="5"/>
  <c r="T106" i="5"/>
  <c r="U106" i="5"/>
  <c r="P35" i="4"/>
  <c r="W106" i="5"/>
  <c r="Q35" i="4"/>
  <c r="X106" i="5"/>
  <c r="S35" i="4"/>
  <c r="AA106" i="5"/>
  <c r="AI35" i="4"/>
  <c r="T35" i="4" a="1"/>
  <c r="T35" i="4"/>
  <c r="AC106" i="5"/>
  <c r="U35" i="4" a="1"/>
  <c r="U35" i="4"/>
  <c r="AD106" i="5"/>
  <c r="X35" i="4"/>
  <c r="AI106" i="5"/>
  <c r="Y35" i="4"/>
  <c r="AJ106" i="5"/>
  <c r="Z35" i="4"/>
  <c r="AL106" i="5"/>
  <c r="L106" i="5"/>
  <c r="N106" i="5"/>
  <c r="O106" i="5"/>
  <c r="Z106" i="5"/>
  <c r="AN106" i="5"/>
  <c r="AG107" i="5"/>
  <c r="AF107" i="5"/>
  <c r="C36" i="4"/>
  <c r="C107" i="5"/>
  <c r="D36" i="4"/>
  <c r="E107" i="5"/>
  <c r="E22" i="2"/>
  <c r="E36" i="4"/>
  <c r="F107" i="5"/>
  <c r="F22" i="2"/>
  <c r="F36" i="4"/>
  <c r="H107" i="5"/>
  <c r="I107" i="5"/>
  <c r="H22" i="2"/>
  <c r="H36" i="4"/>
  <c r="K107" i="5"/>
  <c r="L36" i="4"/>
  <c r="Q107" i="5"/>
  <c r="M36" i="4"/>
  <c r="R107" i="5"/>
  <c r="T107" i="5"/>
  <c r="U107" i="5"/>
  <c r="P36" i="4"/>
  <c r="W107" i="5"/>
  <c r="Q36" i="4"/>
  <c r="X107" i="5"/>
  <c r="S36" i="4"/>
  <c r="AA107" i="5"/>
  <c r="AI36" i="4"/>
  <c r="T36" i="4" a="1"/>
  <c r="T36" i="4"/>
  <c r="AC107" i="5"/>
  <c r="U36" i="4" a="1"/>
  <c r="U36" i="4"/>
  <c r="AD107" i="5"/>
  <c r="AI107" i="5"/>
  <c r="Y36" i="4"/>
  <c r="AJ107" i="5"/>
  <c r="Z36" i="4"/>
  <c r="AL107" i="5"/>
  <c r="L107" i="5"/>
  <c r="N107" i="5"/>
  <c r="O107" i="5"/>
  <c r="Z107" i="5"/>
  <c r="AN107" i="5"/>
  <c r="AG108" i="5"/>
  <c r="AF108" i="5"/>
  <c r="C37" i="4"/>
  <c r="C108" i="5"/>
  <c r="D37" i="4"/>
  <c r="E108" i="5"/>
  <c r="E37" i="4"/>
  <c r="F108" i="5"/>
  <c r="F37" i="4"/>
  <c r="H108" i="5"/>
  <c r="I108" i="5"/>
  <c r="H37" i="4"/>
  <c r="K108" i="5"/>
  <c r="L37" i="4"/>
  <c r="Q108" i="5"/>
  <c r="M37" i="4"/>
  <c r="R108" i="5"/>
  <c r="T108" i="5"/>
  <c r="U108" i="5"/>
  <c r="P37" i="4"/>
  <c r="W108" i="5"/>
  <c r="Q37" i="4"/>
  <c r="X108" i="5"/>
  <c r="S37" i="4"/>
  <c r="AA108" i="5"/>
  <c r="AI37" i="4"/>
  <c r="T37" i="4" a="1"/>
  <c r="T37" i="4"/>
  <c r="AC108" i="5"/>
  <c r="U37" i="4" a="1"/>
  <c r="U37" i="4"/>
  <c r="AD108" i="5"/>
  <c r="AI108" i="5"/>
  <c r="Y37" i="4"/>
  <c r="AJ108" i="5"/>
  <c r="Z37" i="4"/>
  <c r="AL108" i="5"/>
  <c r="L108" i="5"/>
  <c r="N108" i="5"/>
  <c r="O108" i="5"/>
  <c r="Z108" i="5"/>
  <c r="AN108" i="5"/>
  <c r="AG109" i="5"/>
  <c r="AF109" i="5"/>
  <c r="B64" i="4"/>
  <c r="C64" i="4"/>
  <c r="C109" i="5"/>
  <c r="D64" i="4"/>
  <c r="E109" i="5"/>
  <c r="H15" i="2"/>
  <c r="H64" i="4"/>
  <c r="K109" i="5"/>
  <c r="L64" i="4"/>
  <c r="Q109" i="5"/>
  <c r="M64" i="4"/>
  <c r="R109" i="5"/>
  <c r="T109" i="5"/>
  <c r="O64" i="4"/>
  <c r="U109" i="5"/>
  <c r="P64" i="4"/>
  <c r="W109" i="5"/>
  <c r="Q64" i="4"/>
  <c r="X109" i="5"/>
  <c r="S64" i="4"/>
  <c r="AA109" i="5"/>
  <c r="AI64" i="4"/>
  <c r="T64" i="4" a="1"/>
  <c r="T64" i="4"/>
  <c r="AC109" i="5"/>
  <c r="U64" i="4" a="1"/>
  <c r="U64" i="4"/>
  <c r="AD109" i="5"/>
  <c r="X64" i="4"/>
  <c r="AI109" i="5"/>
  <c r="Y64" i="4"/>
  <c r="AJ109" i="5"/>
  <c r="Z64" i="4"/>
  <c r="AL109" i="5"/>
  <c r="F109" i="5"/>
  <c r="H109" i="5"/>
  <c r="I109" i="5"/>
  <c r="L109" i="5"/>
  <c r="N109" i="5"/>
  <c r="O109" i="5"/>
  <c r="Z109" i="5"/>
  <c r="AN109" i="5"/>
  <c r="AG110" i="5"/>
  <c r="AF110" i="5"/>
  <c r="C116" i="4"/>
  <c r="C110" i="5"/>
  <c r="D116" i="4"/>
  <c r="E110" i="5"/>
  <c r="E40" i="2"/>
  <c r="E116" i="4"/>
  <c r="F110" i="5"/>
  <c r="F40" i="2"/>
  <c r="F116" i="4"/>
  <c r="H110" i="5"/>
  <c r="I110" i="5"/>
  <c r="H116" i="4"/>
  <c r="K110" i="5"/>
  <c r="L116" i="4"/>
  <c r="Q110" i="5"/>
  <c r="M116" i="4"/>
  <c r="R110" i="5"/>
  <c r="T110" i="5"/>
  <c r="O32" i="2"/>
  <c r="O116" i="4"/>
  <c r="U110" i="5"/>
  <c r="P116" i="4"/>
  <c r="W110" i="5"/>
  <c r="Q116" i="4"/>
  <c r="X110" i="5"/>
  <c r="S116" i="4"/>
  <c r="AA110" i="5"/>
  <c r="AI116" i="4"/>
  <c r="T116" i="4" a="1"/>
  <c r="T116" i="4"/>
  <c r="AC110" i="5"/>
  <c r="U116" i="4" a="1"/>
  <c r="U116" i="4"/>
  <c r="AD110" i="5"/>
  <c r="X116" i="4"/>
  <c r="AI110" i="5"/>
  <c r="Y116" i="4"/>
  <c r="AJ110" i="5"/>
  <c r="Z116" i="4"/>
  <c r="AL110" i="5"/>
  <c r="L110" i="5"/>
  <c r="N110" i="5"/>
  <c r="O110" i="5"/>
  <c r="Z110" i="5"/>
  <c r="AN110" i="5"/>
  <c r="AG111" i="5"/>
  <c r="AF111" i="5"/>
  <c r="C144" i="4"/>
  <c r="C111" i="5"/>
  <c r="D144" i="4"/>
  <c r="E111" i="5"/>
  <c r="H144" i="4"/>
  <c r="K111" i="5"/>
  <c r="L144" i="4"/>
  <c r="Q111" i="5"/>
  <c r="M144" i="4"/>
  <c r="R111" i="5"/>
  <c r="T111" i="5"/>
  <c r="O144" i="4"/>
  <c r="U111" i="5"/>
  <c r="P144" i="4"/>
  <c r="W111" i="5"/>
  <c r="Q144" i="4"/>
  <c r="X111" i="5"/>
  <c r="S144" i="4"/>
  <c r="AA111" i="5"/>
  <c r="AI144" i="4"/>
  <c r="T144" i="4" a="1"/>
  <c r="T144" i="4"/>
  <c r="AC111" i="5"/>
  <c r="U144" i="4" a="1"/>
  <c r="U144" i="4"/>
  <c r="AD111" i="5"/>
  <c r="X144" i="4"/>
  <c r="AI111" i="5"/>
  <c r="Y144" i="4"/>
  <c r="AJ111" i="5"/>
  <c r="Z144" i="4"/>
  <c r="AL111" i="5"/>
  <c r="F111" i="5"/>
  <c r="H111" i="5"/>
  <c r="I111" i="5"/>
  <c r="L111" i="5"/>
  <c r="N111" i="5"/>
  <c r="O111" i="5"/>
  <c r="Z111" i="5"/>
  <c r="AN111" i="5"/>
  <c r="AG112" i="5"/>
  <c r="AF112" i="5"/>
  <c r="C159" i="4"/>
  <c r="C112" i="5"/>
  <c r="D159" i="4"/>
  <c r="E112" i="5"/>
  <c r="H159" i="4"/>
  <c r="K112" i="5"/>
  <c r="L159" i="4"/>
  <c r="Q112" i="5"/>
  <c r="M159" i="4"/>
  <c r="R112" i="5"/>
  <c r="T112" i="5"/>
  <c r="O159" i="4"/>
  <c r="U112" i="5"/>
  <c r="P159" i="4"/>
  <c r="W112" i="5"/>
  <c r="Q159" i="4"/>
  <c r="X112" i="5"/>
  <c r="S159" i="4"/>
  <c r="AA112" i="5"/>
  <c r="AI159" i="4"/>
  <c r="T159" i="4" a="1"/>
  <c r="T159" i="4"/>
  <c r="AC112" i="5"/>
  <c r="U159" i="4" a="1"/>
  <c r="U159" i="4"/>
  <c r="AD112" i="5"/>
  <c r="X159" i="4"/>
  <c r="AI112" i="5"/>
  <c r="Y159" i="4"/>
  <c r="AJ112" i="5"/>
  <c r="Z159" i="4"/>
  <c r="AL112" i="5"/>
  <c r="F112" i="5"/>
  <c r="H112" i="5"/>
  <c r="I112" i="5"/>
  <c r="L112" i="5"/>
  <c r="N112" i="5"/>
  <c r="O112" i="5"/>
  <c r="Z112" i="5"/>
  <c r="AN112" i="5"/>
  <c r="AG113" i="5"/>
  <c r="AF113" i="5"/>
  <c r="C279" i="4"/>
  <c r="C113" i="5"/>
  <c r="D279" i="4"/>
  <c r="E113" i="5"/>
  <c r="H279" i="4"/>
  <c r="K113" i="5"/>
  <c r="L279" i="4"/>
  <c r="Q113" i="5"/>
  <c r="M279" i="4"/>
  <c r="R113" i="5"/>
  <c r="T113" i="5"/>
  <c r="O279" i="4"/>
  <c r="U113" i="5"/>
  <c r="P279" i="4"/>
  <c r="W113" i="5"/>
  <c r="Q279" i="4"/>
  <c r="X113" i="5"/>
  <c r="S279" i="4"/>
  <c r="AA113" i="5"/>
  <c r="AI279" i="4"/>
  <c r="T279" i="4" a="1"/>
  <c r="T279" i="4"/>
  <c r="AC113" i="5"/>
  <c r="U279" i="4" a="1"/>
  <c r="U279" i="4"/>
  <c r="AD113" i="5"/>
  <c r="X279" i="4"/>
  <c r="AI113" i="5"/>
  <c r="Y279" i="4"/>
  <c r="AJ113" i="5"/>
  <c r="Z279" i="4"/>
  <c r="AL113" i="5"/>
  <c r="F113" i="5"/>
  <c r="H113" i="5"/>
  <c r="I113" i="5"/>
  <c r="L113" i="5"/>
  <c r="N113" i="5"/>
  <c r="O113" i="5"/>
  <c r="Z113" i="5"/>
  <c r="AN113" i="5"/>
  <c r="AG114" i="5"/>
  <c r="AF114" i="5"/>
  <c r="B160" i="4"/>
  <c r="C160" i="4"/>
  <c r="C114" i="5"/>
  <c r="D160" i="4"/>
  <c r="E114" i="5"/>
  <c r="K114" i="5"/>
  <c r="L160" i="4"/>
  <c r="Q114" i="5"/>
  <c r="M160" i="4"/>
  <c r="R114" i="5"/>
  <c r="T114" i="5"/>
  <c r="O160" i="4"/>
  <c r="U114" i="5"/>
  <c r="P160" i="4"/>
  <c r="W114" i="5"/>
  <c r="Q160" i="4"/>
  <c r="X114" i="5"/>
  <c r="S160" i="4"/>
  <c r="AA114" i="5"/>
  <c r="AI160" i="4"/>
  <c r="T160" i="4" a="1"/>
  <c r="T160" i="4"/>
  <c r="AC114" i="5"/>
  <c r="U160" i="4" a="1"/>
  <c r="U160" i="4"/>
  <c r="AD114" i="5"/>
  <c r="X160" i="4"/>
  <c r="AI114" i="5"/>
  <c r="Y160" i="4"/>
  <c r="AJ114" i="5"/>
  <c r="Z160" i="4"/>
  <c r="AL114" i="5"/>
  <c r="F114" i="5"/>
  <c r="H114" i="5"/>
  <c r="I114" i="5"/>
  <c r="L114" i="5"/>
  <c r="N114" i="5"/>
  <c r="O114" i="5"/>
  <c r="Z114" i="5"/>
  <c r="AN114" i="5"/>
  <c r="AG115" i="5"/>
  <c r="AF115" i="5"/>
  <c r="B294" i="4"/>
  <c r="C294" i="4"/>
  <c r="C115" i="5"/>
  <c r="D294" i="4"/>
  <c r="E115" i="5"/>
  <c r="H24" i="2"/>
  <c r="H294" i="4"/>
  <c r="K115" i="5"/>
  <c r="L294" i="4"/>
  <c r="Q115" i="5"/>
  <c r="M294" i="4"/>
  <c r="R115" i="5"/>
  <c r="T115" i="5"/>
  <c r="U115" i="5"/>
  <c r="P294" i="4"/>
  <c r="W115" i="5"/>
  <c r="Q294" i="4"/>
  <c r="X115" i="5"/>
  <c r="AA115" i="5"/>
  <c r="AI294" i="4"/>
  <c r="T294" i="4" a="1"/>
  <c r="T294" i="4"/>
  <c r="AC115" i="5"/>
  <c r="U294" i="4" a="1"/>
  <c r="U294" i="4"/>
  <c r="AD115" i="5"/>
  <c r="X294" i="4"/>
  <c r="AI115" i="5"/>
  <c r="Y294" i="4"/>
  <c r="AJ115" i="5"/>
  <c r="Z294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212" i="4"/>
  <c r="C212" i="4"/>
  <c r="C116" i="5"/>
  <c r="D212" i="4"/>
  <c r="E116" i="5"/>
  <c r="E14" i="2"/>
  <c r="E11" i="2"/>
  <c r="E212" i="4"/>
  <c r="F116" i="5"/>
  <c r="F14" i="2"/>
  <c r="F11" i="2"/>
  <c r="F212" i="4"/>
  <c r="H116" i="5"/>
  <c r="I116" i="5"/>
  <c r="I11" i="2"/>
  <c r="I212" i="4"/>
  <c r="L116" i="5"/>
  <c r="J11" i="2"/>
  <c r="J212" i="4"/>
  <c r="N116" i="5"/>
  <c r="L212" i="4"/>
  <c r="Q116" i="5"/>
  <c r="M212" i="4"/>
  <c r="R116" i="5"/>
  <c r="T116" i="5"/>
  <c r="U116" i="5"/>
  <c r="P212" i="4"/>
  <c r="W116" i="5"/>
  <c r="AA116" i="5"/>
  <c r="AI212" i="4"/>
  <c r="T212" i="4" a="1"/>
  <c r="T212" i="4"/>
  <c r="AC116" i="5"/>
  <c r="U212" i="4" a="1"/>
  <c r="U212" i="4"/>
  <c r="AD116" i="5"/>
  <c r="Y212" i="4"/>
  <c r="AJ116" i="5"/>
  <c r="Z212" i="4"/>
  <c r="AL116" i="5"/>
  <c r="X116" i="5"/>
  <c r="Z116" i="5"/>
  <c r="AN116" i="5"/>
  <c r="AG117" i="5"/>
  <c r="AF117" i="5"/>
  <c r="B54" i="4"/>
  <c r="C54" i="4"/>
  <c r="C117" i="5"/>
  <c r="D54" i="4"/>
  <c r="E117" i="5"/>
  <c r="K117" i="5"/>
  <c r="L54" i="4"/>
  <c r="Q117" i="5"/>
  <c r="M54" i="4"/>
  <c r="R117" i="5"/>
  <c r="T117" i="5"/>
  <c r="U117" i="5"/>
  <c r="P54" i="4"/>
  <c r="W117" i="5"/>
  <c r="Q54" i="4"/>
  <c r="X117" i="5"/>
  <c r="S54" i="4"/>
  <c r="AA117" i="5"/>
  <c r="AI54" i="4"/>
  <c r="T54" i="4" a="1"/>
  <c r="T54" i="4"/>
  <c r="AC117" i="5"/>
  <c r="U54" i="4" a="1"/>
  <c r="U54" i="4"/>
  <c r="AD117" i="5"/>
  <c r="X54" i="4"/>
  <c r="AI117" i="5"/>
  <c r="F117" i="5"/>
  <c r="H117" i="5"/>
  <c r="I117" i="5"/>
  <c r="L117" i="5"/>
  <c r="N117" i="5"/>
  <c r="O117" i="5"/>
  <c r="Z117" i="5"/>
  <c r="AN117" i="5"/>
  <c r="AA118" i="5"/>
  <c r="B227" i="4"/>
  <c r="P227" i="4"/>
  <c r="W118" i="5"/>
  <c r="AG118" i="5"/>
  <c r="AF118" i="5"/>
  <c r="C227" i="4"/>
  <c r="C118" i="5"/>
  <c r="D227" i="4"/>
  <c r="E118" i="5"/>
  <c r="K118" i="5"/>
  <c r="L227" i="4"/>
  <c r="Q118" i="5"/>
  <c r="M227" i="4"/>
  <c r="R118" i="5"/>
  <c r="T118" i="5"/>
  <c r="U118" i="5"/>
  <c r="Q227" i="4"/>
  <c r="X118" i="5"/>
  <c r="R20" i="2"/>
  <c r="R14" i="2"/>
  <c r="R227" i="4"/>
  <c r="Z118" i="5"/>
  <c r="AI227" i="4"/>
  <c r="T227" i="4" a="1"/>
  <c r="T227" i="4"/>
  <c r="AC118" i="5"/>
  <c r="U227" i="4" a="1"/>
  <c r="U227" i="4"/>
  <c r="AD118" i="5"/>
  <c r="Y227" i="4"/>
  <c r="AJ118" i="5"/>
  <c r="Z227" i="4"/>
  <c r="AL118" i="5"/>
  <c r="F118" i="5"/>
  <c r="H118" i="5"/>
  <c r="I118" i="5"/>
  <c r="L118" i="5"/>
  <c r="N118" i="5"/>
  <c r="O118" i="5"/>
  <c r="AN118" i="5"/>
  <c r="AG119" i="5"/>
  <c r="AF119" i="5"/>
  <c r="B93" i="4"/>
  <c r="C93" i="4"/>
  <c r="C119" i="5"/>
  <c r="D93" i="4"/>
  <c r="E119" i="5"/>
  <c r="E93" i="4"/>
  <c r="F119" i="5"/>
  <c r="F93" i="4"/>
  <c r="H119" i="5"/>
  <c r="I119" i="5"/>
  <c r="K119" i="5"/>
  <c r="L93" i="4"/>
  <c r="Q119" i="5"/>
  <c r="M93" i="4"/>
  <c r="R119" i="5"/>
  <c r="T119" i="5"/>
  <c r="O93" i="4"/>
  <c r="U119" i="5"/>
  <c r="P93" i="4"/>
  <c r="W119" i="5"/>
  <c r="Q93" i="4"/>
  <c r="X119" i="5"/>
  <c r="AA119" i="5"/>
  <c r="AI93" i="4"/>
  <c r="T93" i="4" a="1"/>
  <c r="T93" i="4"/>
  <c r="AC119" i="5"/>
  <c r="U93" i="4" a="1"/>
  <c r="U93" i="4"/>
  <c r="AD119" i="5"/>
  <c r="X93" i="4"/>
  <c r="AI119" i="5"/>
  <c r="Y93" i="4"/>
  <c r="AJ119" i="5"/>
  <c r="Z93" i="4"/>
  <c r="AL119" i="5"/>
  <c r="L119" i="5"/>
  <c r="N119" i="5"/>
  <c r="O119" i="5"/>
  <c r="Z119" i="5"/>
  <c r="AN119" i="5"/>
  <c r="AG120" i="5"/>
  <c r="AF120" i="5"/>
  <c r="B243" i="4"/>
  <c r="C243" i="4"/>
  <c r="C120" i="5"/>
  <c r="D243" i="4"/>
  <c r="E120" i="5"/>
  <c r="H243" i="4"/>
  <c r="K120" i="5"/>
  <c r="L243" i="4"/>
  <c r="Q120" i="5"/>
  <c r="M243" i="4"/>
  <c r="R120" i="5"/>
  <c r="T120" i="5"/>
  <c r="O243" i="4"/>
  <c r="U120" i="5"/>
  <c r="W120" i="5"/>
  <c r="Q243" i="4"/>
  <c r="X120" i="5"/>
  <c r="AA120" i="5"/>
  <c r="AI243" i="4"/>
  <c r="T243" i="4" a="1"/>
  <c r="T243" i="4"/>
  <c r="AC120" i="5"/>
  <c r="U243" i="4" a="1"/>
  <c r="U243" i="4"/>
  <c r="AD120" i="5"/>
  <c r="Y243" i="4"/>
  <c r="AJ120" i="5"/>
  <c r="Z243" i="4"/>
  <c r="AL120" i="5"/>
  <c r="F120" i="5"/>
  <c r="H120" i="5"/>
  <c r="I120" i="5"/>
  <c r="L120" i="5"/>
  <c r="N120" i="5"/>
  <c r="O120" i="5"/>
  <c r="Z120" i="5"/>
  <c r="AN120" i="5"/>
  <c r="AG121" i="5"/>
  <c r="AF121" i="5"/>
  <c r="B252" i="4"/>
  <c r="C252" i="4"/>
  <c r="C121" i="5"/>
  <c r="D252" i="4"/>
  <c r="E121" i="5"/>
  <c r="H252" i="4"/>
  <c r="K121" i="5"/>
  <c r="L252" i="4"/>
  <c r="Q121" i="5"/>
  <c r="M252" i="4"/>
  <c r="R121" i="5"/>
  <c r="N252" i="4"/>
  <c r="T121" i="5"/>
  <c r="U121" i="5"/>
  <c r="W121" i="5"/>
  <c r="Q252" i="4"/>
  <c r="X121" i="5"/>
  <c r="AA121" i="5"/>
  <c r="AI252" i="4"/>
  <c r="T252" i="4" a="1"/>
  <c r="T252" i="4"/>
  <c r="AC121" i="5"/>
  <c r="U252" i="4" a="1"/>
  <c r="U252" i="4"/>
  <c r="AD121" i="5"/>
  <c r="X252" i="4"/>
  <c r="AI121" i="5"/>
  <c r="Y252" i="4"/>
  <c r="AJ121" i="5"/>
  <c r="Z252" i="4"/>
  <c r="AL121" i="5"/>
  <c r="F121" i="5"/>
  <c r="H121" i="5"/>
  <c r="I121" i="5"/>
  <c r="L121" i="5"/>
  <c r="N121" i="5"/>
  <c r="O121" i="5"/>
  <c r="Z121" i="5"/>
  <c r="AN121" i="5"/>
  <c r="AG122" i="5"/>
  <c r="AF122" i="5"/>
  <c r="B264" i="4"/>
  <c r="C264" i="4"/>
  <c r="C122" i="5"/>
  <c r="D264" i="4"/>
  <c r="E122" i="5"/>
  <c r="H264" i="4"/>
  <c r="K122" i="5"/>
  <c r="L264" i="4"/>
  <c r="Q122" i="5"/>
  <c r="R122" i="5"/>
  <c r="T122" i="5"/>
  <c r="O264" i="4"/>
  <c r="U122" i="5"/>
  <c r="P264" i="4"/>
  <c r="W122" i="5"/>
  <c r="Q264" i="4"/>
  <c r="X122" i="5"/>
  <c r="AA122" i="5"/>
  <c r="AI264" i="4"/>
  <c r="T264" i="4" a="1"/>
  <c r="T264" i="4"/>
  <c r="AC122" i="5"/>
  <c r="U264" i="4" a="1"/>
  <c r="U264" i="4"/>
  <c r="AD122" i="5"/>
  <c r="Y264" i="4"/>
  <c r="AJ122" i="5"/>
  <c r="Z264" i="4"/>
  <c r="AL122" i="5"/>
  <c r="F122" i="5"/>
  <c r="H122" i="5"/>
  <c r="I122" i="5"/>
  <c r="L122" i="5"/>
  <c r="N122" i="5"/>
  <c r="O122" i="5"/>
  <c r="Z122" i="5"/>
  <c r="AN122" i="5"/>
  <c r="O123" i="5"/>
  <c r="B85" i="4"/>
  <c r="H85" i="4"/>
  <c r="K123" i="5"/>
  <c r="AG123" i="5"/>
  <c r="AF123" i="5"/>
  <c r="C42" i="2"/>
  <c r="C85" i="4"/>
  <c r="C123" i="5"/>
  <c r="D85" i="4"/>
  <c r="E123" i="5"/>
  <c r="E85" i="4"/>
  <c r="F123" i="5"/>
  <c r="F85" i="4"/>
  <c r="H123" i="5"/>
  <c r="I123" i="5"/>
  <c r="I42" i="2"/>
  <c r="I85" i="4"/>
  <c r="L123" i="5"/>
  <c r="J42" i="2"/>
  <c r="J85" i="4"/>
  <c r="N123" i="5"/>
  <c r="L85" i="4"/>
  <c r="Q123" i="5"/>
  <c r="M85" i="4"/>
  <c r="R123" i="5"/>
  <c r="T123" i="5"/>
  <c r="O42" i="2"/>
  <c r="O85" i="4"/>
  <c r="U123" i="5"/>
  <c r="P42" i="2"/>
  <c r="P85" i="4"/>
  <c r="W123" i="5"/>
  <c r="Q42" i="2"/>
  <c r="Q85" i="4"/>
  <c r="X123" i="5"/>
  <c r="S85" i="4"/>
  <c r="AA123" i="5"/>
  <c r="AI85" i="4"/>
  <c r="T85" i="4" a="1"/>
  <c r="T85" i="4"/>
  <c r="AC123" i="5"/>
  <c r="U85" i="4" a="1"/>
  <c r="U85" i="4"/>
  <c r="AD123" i="5"/>
  <c r="X42" i="2"/>
  <c r="X85" i="4"/>
  <c r="AI123" i="5"/>
  <c r="Y42" i="2"/>
  <c r="Y85" i="4"/>
  <c r="AJ123" i="5"/>
  <c r="Z42" i="2"/>
  <c r="Z85" i="4"/>
  <c r="AL123" i="5"/>
  <c r="Z123" i="5"/>
  <c r="AN123" i="5"/>
  <c r="AG124" i="5"/>
  <c r="AF124" i="5"/>
  <c r="B222" i="4"/>
  <c r="C222" i="4"/>
  <c r="C124" i="5"/>
  <c r="D222" i="4"/>
  <c r="E124" i="5"/>
  <c r="H222" i="4"/>
  <c r="K124" i="5"/>
  <c r="L222" i="4"/>
  <c r="Q124" i="5"/>
  <c r="M222" i="4"/>
  <c r="R124" i="5"/>
  <c r="T124" i="5"/>
  <c r="O222" i="4"/>
  <c r="U124" i="5"/>
  <c r="P222" i="4"/>
  <c r="W124" i="5"/>
  <c r="Q222" i="4"/>
  <c r="X124" i="5"/>
  <c r="AA124" i="5"/>
  <c r="AI222" i="4"/>
  <c r="T222" i="4" a="1"/>
  <c r="T222" i="4"/>
  <c r="AC124" i="5"/>
  <c r="U222" i="4" a="1"/>
  <c r="U222" i="4"/>
  <c r="AD124" i="5"/>
  <c r="X222" i="4"/>
  <c r="AI124" i="5"/>
  <c r="Y222" i="4"/>
  <c r="AJ124" i="5"/>
  <c r="Z222" i="4"/>
  <c r="AL124" i="5"/>
  <c r="F124" i="5"/>
  <c r="H124" i="5"/>
  <c r="I124" i="5"/>
  <c r="L124" i="5"/>
  <c r="N124" i="5"/>
  <c r="O124" i="5"/>
  <c r="Z124" i="5"/>
  <c r="AN124" i="5"/>
  <c r="AG125" i="5"/>
  <c r="AF125" i="5"/>
  <c r="B38" i="4"/>
  <c r="C38" i="4"/>
  <c r="C125" i="5"/>
  <c r="D38" i="4"/>
  <c r="E125" i="5"/>
  <c r="H38" i="4"/>
  <c r="K125" i="5"/>
  <c r="L38" i="4"/>
  <c r="Q125" i="5"/>
  <c r="M38" i="4"/>
  <c r="R125" i="5"/>
  <c r="T125" i="5"/>
  <c r="U125" i="5"/>
  <c r="P38" i="4"/>
  <c r="W125" i="5"/>
  <c r="Q38" i="4"/>
  <c r="X125" i="5"/>
  <c r="S38" i="4"/>
  <c r="AA125" i="5"/>
  <c r="AI38" i="4"/>
  <c r="T38" i="4" a="1"/>
  <c r="T38" i="4"/>
  <c r="AC125" i="5"/>
  <c r="U38" i="4" a="1"/>
  <c r="U38" i="4"/>
  <c r="AD125" i="5"/>
  <c r="X38" i="4"/>
  <c r="AI125" i="5"/>
  <c r="Y38" i="4"/>
  <c r="AJ125" i="5"/>
  <c r="Z38" i="4"/>
  <c r="AL125" i="5"/>
  <c r="F125" i="5"/>
  <c r="H125" i="5"/>
  <c r="I125" i="5"/>
  <c r="L125" i="5"/>
  <c r="N125" i="5"/>
  <c r="O125" i="5"/>
  <c r="Z125" i="5"/>
  <c r="AN125" i="5"/>
  <c r="AG126" i="5"/>
  <c r="AF126" i="5"/>
  <c r="B127" i="4"/>
  <c r="C127" i="4"/>
  <c r="C126" i="5"/>
  <c r="D127" i="4"/>
  <c r="E126" i="5"/>
  <c r="H127" i="4"/>
  <c r="K126" i="5"/>
  <c r="L127" i="4"/>
  <c r="Q126" i="5"/>
  <c r="M127" i="4"/>
  <c r="R126" i="5"/>
  <c r="T126" i="5"/>
  <c r="O127" i="4"/>
  <c r="U126" i="5"/>
  <c r="P127" i="4"/>
  <c r="W126" i="5"/>
  <c r="Q127" i="4"/>
  <c r="X126" i="5"/>
  <c r="S127" i="4"/>
  <c r="AA126" i="5"/>
  <c r="AI127" i="4"/>
  <c r="T127" i="4" a="1"/>
  <c r="T127" i="4"/>
  <c r="AC126" i="5"/>
  <c r="U127" i="4" a="1"/>
  <c r="U127" i="4"/>
  <c r="AD126" i="5"/>
  <c r="X127" i="4"/>
  <c r="AI126" i="5"/>
  <c r="Y127" i="4"/>
  <c r="AJ126" i="5"/>
  <c r="Z127" i="4"/>
  <c r="AL126" i="5"/>
  <c r="F126" i="5"/>
  <c r="H126" i="5"/>
  <c r="I126" i="5"/>
  <c r="L126" i="5"/>
  <c r="N126" i="5"/>
  <c r="O126" i="5"/>
  <c r="Z126" i="5"/>
  <c r="AN126" i="5"/>
  <c r="AG127" i="5"/>
  <c r="AF127" i="5"/>
  <c r="B95" i="4"/>
  <c r="C95" i="4"/>
  <c r="C127" i="5"/>
  <c r="D95" i="4"/>
  <c r="E127" i="5"/>
  <c r="K127" i="5"/>
  <c r="L95" i="4"/>
  <c r="Q127" i="5"/>
  <c r="M95" i="4"/>
  <c r="R127" i="5"/>
  <c r="T127" i="5"/>
  <c r="O95" i="4"/>
  <c r="U127" i="5"/>
  <c r="P95" i="4"/>
  <c r="W127" i="5"/>
  <c r="Q95" i="4"/>
  <c r="X127" i="5"/>
  <c r="AA127" i="5"/>
  <c r="AI95" i="4"/>
  <c r="T95" i="4" a="1"/>
  <c r="T95" i="4"/>
  <c r="AC127" i="5"/>
  <c r="U95" i="4" a="1"/>
  <c r="U95" i="4"/>
  <c r="AD127" i="5"/>
  <c r="X95" i="4"/>
  <c r="AI127" i="5"/>
  <c r="Y95" i="4"/>
  <c r="AJ127" i="5"/>
  <c r="Z95" i="4"/>
  <c r="AL127" i="5"/>
  <c r="F127" i="5"/>
  <c r="H127" i="5"/>
  <c r="I127" i="5"/>
  <c r="L127" i="5"/>
  <c r="N127" i="5"/>
  <c r="O127" i="5"/>
  <c r="Z127" i="5"/>
  <c r="AN127" i="5"/>
  <c r="AG128" i="5"/>
  <c r="AF128" i="5"/>
  <c r="B39" i="4"/>
  <c r="C39" i="4"/>
  <c r="C128" i="5"/>
  <c r="D39" i="4"/>
  <c r="E128" i="5"/>
  <c r="E39" i="4"/>
  <c r="F128" i="5"/>
  <c r="F39" i="4"/>
  <c r="H128" i="5"/>
  <c r="I128" i="5"/>
  <c r="H39" i="4"/>
  <c r="K128" i="5"/>
  <c r="L39" i="4"/>
  <c r="Q128" i="5"/>
  <c r="M39" i="4"/>
  <c r="R128" i="5"/>
  <c r="T128" i="5"/>
  <c r="U128" i="5"/>
  <c r="P39" i="4"/>
  <c r="W128" i="5"/>
  <c r="Q39" i="4"/>
  <c r="X128" i="5"/>
  <c r="S39" i="4"/>
  <c r="AA128" i="5"/>
  <c r="AI39" i="4"/>
  <c r="T39" i="4" a="1"/>
  <c r="T39" i="4"/>
  <c r="AC128" i="5"/>
  <c r="U39" i="4" a="1"/>
  <c r="U39" i="4"/>
  <c r="AD128" i="5"/>
  <c r="X39" i="4"/>
  <c r="AI128" i="5"/>
  <c r="Y39" i="4"/>
  <c r="AJ128" i="5"/>
  <c r="Z39" i="4"/>
  <c r="AL128" i="5"/>
  <c r="L128" i="5"/>
  <c r="N128" i="5"/>
  <c r="O128" i="5"/>
  <c r="Z128" i="5"/>
  <c r="AN128" i="5"/>
  <c r="B191" i="4"/>
  <c r="S191" i="4"/>
  <c r="AA129" i="5"/>
  <c r="P191" i="4"/>
  <c r="W129" i="5"/>
  <c r="AG129" i="5"/>
  <c r="AF129" i="5"/>
  <c r="C191" i="4"/>
  <c r="C129" i="5"/>
  <c r="D191" i="4"/>
  <c r="E129" i="5"/>
  <c r="E191" i="4"/>
  <c r="F129" i="5"/>
  <c r="F191" i="4"/>
  <c r="H129" i="5"/>
  <c r="I129" i="5"/>
  <c r="K129" i="5"/>
  <c r="L191" i="4"/>
  <c r="Q129" i="5"/>
  <c r="U129" i="5"/>
  <c r="Q191" i="4"/>
  <c r="X129" i="5"/>
  <c r="R191" i="4"/>
  <c r="Z129" i="5"/>
  <c r="AI191" i="4"/>
  <c r="T191" i="4" a="1"/>
  <c r="T191" i="4"/>
  <c r="AC129" i="5"/>
  <c r="U191" i="4" a="1"/>
  <c r="U191" i="4"/>
  <c r="AD129" i="5"/>
  <c r="X191" i="4"/>
  <c r="AI129" i="5"/>
  <c r="Y191" i="4"/>
  <c r="AJ129" i="5"/>
  <c r="Z191" i="4"/>
  <c r="AL129" i="5"/>
  <c r="R129" i="5"/>
  <c r="T129" i="5"/>
  <c r="L129" i="5"/>
  <c r="N129" i="5"/>
  <c r="O129" i="5"/>
  <c r="AN129" i="5"/>
  <c r="AG130" i="5"/>
  <c r="AF130" i="5"/>
  <c r="C110" i="4"/>
  <c r="C130" i="5"/>
  <c r="D110" i="4"/>
  <c r="E130" i="5"/>
  <c r="E110" i="4"/>
  <c r="F130" i="5"/>
  <c r="F110" i="4"/>
  <c r="H130" i="5"/>
  <c r="I130" i="5"/>
  <c r="H110" i="4"/>
  <c r="K130" i="5"/>
  <c r="L110" i="4"/>
  <c r="Q130" i="5"/>
  <c r="M110" i="4"/>
  <c r="R130" i="5"/>
  <c r="T130" i="5"/>
  <c r="U130" i="5"/>
  <c r="P110" i="4"/>
  <c r="W130" i="5"/>
  <c r="Q110" i="4"/>
  <c r="X130" i="5"/>
  <c r="S110" i="4"/>
  <c r="AA130" i="5"/>
  <c r="AI110" i="4"/>
  <c r="T110" i="4" a="1"/>
  <c r="T110" i="4"/>
  <c r="AC130" i="5"/>
  <c r="U110" i="4" a="1"/>
  <c r="U110" i="4"/>
  <c r="AD130" i="5"/>
  <c r="X110" i="4"/>
  <c r="AI130" i="5"/>
  <c r="Y110" i="4"/>
  <c r="AJ130" i="5"/>
  <c r="Z110" i="4"/>
  <c r="AL130" i="5"/>
  <c r="Z130" i="5"/>
  <c r="L130" i="5"/>
  <c r="N130" i="5"/>
  <c r="O130" i="5"/>
  <c r="AN130" i="5"/>
  <c r="AG131" i="5"/>
  <c r="AF131" i="5"/>
  <c r="B66" i="4"/>
  <c r="C66" i="4"/>
  <c r="C131" i="5"/>
  <c r="D66" i="4"/>
  <c r="E131" i="5"/>
  <c r="E66" i="4"/>
  <c r="F131" i="5"/>
  <c r="F66" i="4"/>
  <c r="H131" i="5"/>
  <c r="I131" i="5"/>
  <c r="H66" i="4"/>
  <c r="K131" i="5"/>
  <c r="L66" i="4"/>
  <c r="Q131" i="5"/>
  <c r="M66" i="4"/>
  <c r="R131" i="5"/>
  <c r="T131" i="5"/>
  <c r="O20" i="2"/>
  <c r="O66" i="4"/>
  <c r="U131" i="5"/>
  <c r="P66" i="4"/>
  <c r="W131" i="5"/>
  <c r="Q66" i="4"/>
  <c r="X131" i="5"/>
  <c r="S66" i="4"/>
  <c r="AA131" i="5"/>
  <c r="AI66" i="4"/>
  <c r="T66" i="4" a="1"/>
  <c r="T66" i="4"/>
  <c r="AC131" i="5"/>
  <c r="U66" i="4" a="1"/>
  <c r="U66" i="4"/>
  <c r="AD131" i="5"/>
  <c r="X66" i="4"/>
  <c r="AI131" i="5"/>
  <c r="Y66" i="4"/>
  <c r="AJ131" i="5"/>
  <c r="Z66" i="4"/>
  <c r="AL131" i="5"/>
  <c r="Z131" i="5"/>
  <c r="L131" i="5"/>
  <c r="N131" i="5"/>
  <c r="O131" i="5"/>
  <c r="AN131" i="5"/>
  <c r="AG132" i="5"/>
  <c r="AF132" i="5"/>
  <c r="B96" i="4"/>
  <c r="C96" i="4"/>
  <c r="C132" i="5"/>
  <c r="D96" i="4"/>
  <c r="E132" i="5"/>
  <c r="E96" i="4"/>
  <c r="F132" i="5"/>
  <c r="F96" i="4"/>
  <c r="H132" i="5"/>
  <c r="I132" i="5"/>
  <c r="K132" i="5"/>
  <c r="L96" i="4"/>
  <c r="Q132" i="5"/>
  <c r="M96" i="4"/>
  <c r="R132" i="5"/>
  <c r="T132" i="5"/>
  <c r="U132" i="5"/>
  <c r="P96" i="4"/>
  <c r="W132" i="5"/>
  <c r="Q96" i="4"/>
  <c r="X132" i="5"/>
  <c r="S96" i="4"/>
  <c r="AA132" i="5"/>
  <c r="AI96" i="4"/>
  <c r="T96" i="4" a="1"/>
  <c r="T96" i="4"/>
  <c r="AC132" i="5"/>
  <c r="U96" i="4" a="1"/>
  <c r="U96" i="4"/>
  <c r="AD132" i="5"/>
  <c r="X96" i="4"/>
  <c r="AI132" i="5"/>
  <c r="Y96" i="4"/>
  <c r="AJ132" i="5"/>
  <c r="Z96" i="4"/>
  <c r="AL132" i="5"/>
  <c r="Z132" i="5"/>
  <c r="L132" i="5"/>
  <c r="N132" i="5"/>
  <c r="O132" i="5"/>
  <c r="AN132" i="5"/>
  <c r="AA133" i="5"/>
  <c r="P97" i="4"/>
  <c r="W133" i="5"/>
  <c r="O133" i="5"/>
  <c r="K133" i="5"/>
  <c r="AG133" i="5"/>
  <c r="AF133" i="5"/>
  <c r="C97" i="4"/>
  <c r="C133" i="5"/>
  <c r="D97" i="4"/>
  <c r="E133" i="5"/>
  <c r="I32" i="2"/>
  <c r="I44" i="2"/>
  <c r="I97" i="4"/>
  <c r="L133" i="5"/>
  <c r="J32" i="2"/>
  <c r="J97" i="4"/>
  <c r="N133" i="5"/>
  <c r="L97" i="4"/>
  <c r="Q133" i="5"/>
  <c r="M97" i="4"/>
  <c r="R133" i="5"/>
  <c r="T133" i="5"/>
  <c r="U133" i="5"/>
  <c r="Q97" i="4"/>
  <c r="X133" i="5"/>
  <c r="R32" i="2"/>
  <c r="R44" i="2"/>
  <c r="R97" i="4"/>
  <c r="Z133" i="5"/>
  <c r="AI97" i="4"/>
  <c r="T97" i="4" a="1"/>
  <c r="T97" i="4"/>
  <c r="AC133" i="5"/>
  <c r="U97" i="4" a="1"/>
  <c r="U97" i="4"/>
  <c r="AD133" i="5"/>
  <c r="X97" i="4"/>
  <c r="AI133" i="5"/>
  <c r="Y97" i="4"/>
  <c r="AJ133" i="5"/>
  <c r="Z97" i="4"/>
  <c r="AL133" i="5"/>
  <c r="F133" i="5"/>
  <c r="H133" i="5"/>
  <c r="I133" i="5"/>
  <c r="AN133" i="5"/>
  <c r="O134" i="5"/>
  <c r="K134" i="5"/>
  <c r="AG134" i="5"/>
  <c r="AF134" i="5"/>
  <c r="B220" i="4"/>
  <c r="C220" i="4"/>
  <c r="C134" i="5"/>
  <c r="D220" i="4"/>
  <c r="E134" i="5"/>
  <c r="I220" i="4"/>
  <c r="L134" i="5"/>
  <c r="J220" i="4"/>
  <c r="N134" i="5"/>
  <c r="L220" i="4"/>
  <c r="Q134" i="5"/>
  <c r="M220" i="4"/>
  <c r="R134" i="5"/>
  <c r="T134" i="5"/>
  <c r="U134" i="5"/>
  <c r="P220" i="4"/>
  <c r="W134" i="5"/>
  <c r="Q220" i="4"/>
  <c r="X134" i="5"/>
  <c r="AA134" i="5"/>
  <c r="AI220" i="4"/>
  <c r="T220" i="4" a="1"/>
  <c r="T220" i="4"/>
  <c r="AC134" i="5"/>
  <c r="U220" i="4" a="1"/>
  <c r="U220" i="4"/>
  <c r="AD134" i="5"/>
  <c r="X220" i="4"/>
  <c r="AI134" i="5"/>
  <c r="Y220" i="4"/>
  <c r="AJ134" i="5"/>
  <c r="Z220" i="4"/>
  <c r="AL134" i="5"/>
  <c r="Z134" i="5"/>
  <c r="F134" i="5"/>
  <c r="H134" i="5"/>
  <c r="I134" i="5"/>
  <c r="AN134" i="5"/>
  <c r="AG135" i="5"/>
  <c r="AF135" i="5"/>
  <c r="B58" i="4"/>
  <c r="C58" i="4"/>
  <c r="C135" i="5"/>
  <c r="D58" i="4"/>
  <c r="E135" i="5"/>
  <c r="H58" i="4"/>
  <c r="K135" i="5"/>
  <c r="L58" i="4"/>
  <c r="Q135" i="5"/>
  <c r="M58" i="4"/>
  <c r="R135" i="5"/>
  <c r="T135" i="5"/>
  <c r="O58" i="4"/>
  <c r="U135" i="5"/>
  <c r="P58" i="4"/>
  <c r="W135" i="5"/>
  <c r="Q58" i="4"/>
  <c r="X135" i="5"/>
  <c r="S58" i="4"/>
  <c r="AA135" i="5"/>
  <c r="AI58" i="4"/>
  <c r="T58" i="4" a="1"/>
  <c r="T58" i="4"/>
  <c r="AC135" i="5"/>
  <c r="U58" i="4" a="1"/>
  <c r="U58" i="4"/>
  <c r="AD135" i="5"/>
  <c r="X58" i="4"/>
  <c r="AI135" i="5"/>
  <c r="Y58" i="4"/>
  <c r="AJ135" i="5"/>
  <c r="Z58" i="4"/>
  <c r="AL135" i="5"/>
  <c r="L135" i="5"/>
  <c r="N135" i="5"/>
  <c r="O135" i="5"/>
  <c r="Z135" i="5"/>
  <c r="F135" i="5"/>
  <c r="H135" i="5"/>
  <c r="I135" i="5"/>
  <c r="AN135" i="5"/>
  <c r="O136" i="5"/>
  <c r="B235" i="4"/>
  <c r="H235" i="4"/>
  <c r="K136" i="5"/>
  <c r="AG136" i="5"/>
  <c r="AF136" i="5"/>
  <c r="C235" i="4"/>
  <c r="C136" i="5"/>
  <c r="D235" i="4"/>
  <c r="E136" i="5"/>
  <c r="I39" i="2"/>
  <c r="I235" i="4"/>
  <c r="L136" i="5"/>
  <c r="J39" i="2"/>
  <c r="J235" i="4"/>
  <c r="N136" i="5"/>
  <c r="L235" i="4"/>
  <c r="Q136" i="5"/>
  <c r="M235" i="4"/>
  <c r="R136" i="5"/>
  <c r="T136" i="5"/>
  <c r="U136" i="5"/>
  <c r="P235" i="4"/>
  <c r="W136" i="5"/>
  <c r="Q235" i="4"/>
  <c r="X136" i="5"/>
  <c r="AA136" i="5"/>
  <c r="AI235" i="4"/>
  <c r="T235" i="4" a="1"/>
  <c r="T235" i="4"/>
  <c r="AC136" i="5"/>
  <c r="U235" i="4" a="1"/>
  <c r="U235" i="4"/>
  <c r="AD136" i="5"/>
  <c r="X235" i="4"/>
  <c r="AI136" i="5"/>
  <c r="Y235" i="4"/>
  <c r="AJ136" i="5"/>
  <c r="Z235" i="4"/>
  <c r="AL136" i="5"/>
  <c r="Z136" i="5"/>
  <c r="F136" i="5"/>
  <c r="H136" i="5"/>
  <c r="I136" i="5"/>
  <c r="AN136" i="5"/>
  <c r="B192" i="4"/>
  <c r="S192" i="4"/>
  <c r="AA137" i="5"/>
  <c r="P192" i="4"/>
  <c r="W137" i="5"/>
  <c r="AG137" i="5"/>
  <c r="AF137" i="5"/>
  <c r="C192" i="4"/>
  <c r="C137" i="5"/>
  <c r="D192" i="4"/>
  <c r="E137" i="5"/>
  <c r="K137" i="5"/>
  <c r="L192" i="4"/>
  <c r="Q137" i="5"/>
  <c r="U137" i="5"/>
  <c r="Q192" i="4"/>
  <c r="X137" i="5"/>
  <c r="R192" i="4"/>
  <c r="Z137" i="5"/>
  <c r="AI192" i="4"/>
  <c r="T192" i="4" a="1"/>
  <c r="T192" i="4"/>
  <c r="AC137" i="5"/>
  <c r="U192" i="4" a="1"/>
  <c r="U192" i="4"/>
  <c r="AD137" i="5"/>
  <c r="X192" i="4"/>
  <c r="AI137" i="5"/>
  <c r="Y192" i="4"/>
  <c r="AJ137" i="5"/>
  <c r="Z192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98" i="4"/>
  <c r="C31" i="2"/>
  <c r="C98" i="4"/>
  <c r="C138" i="5"/>
  <c r="D35" i="2"/>
  <c r="D31" i="2"/>
  <c r="D98" i="4"/>
  <c r="E138" i="5"/>
  <c r="H35" i="2"/>
  <c r="H31" i="2"/>
  <c r="H98" i="4"/>
  <c r="K138" i="5"/>
  <c r="L35" i="2"/>
  <c r="L31" i="2"/>
  <c r="L98" i="4"/>
  <c r="Q138" i="5"/>
  <c r="M35" i="2"/>
  <c r="M31" i="2"/>
  <c r="M98" i="4"/>
  <c r="R138" i="5"/>
  <c r="T138" i="5"/>
  <c r="O35" i="2"/>
  <c r="O31" i="2"/>
  <c r="O98" i="4"/>
  <c r="U138" i="5"/>
  <c r="P35" i="2"/>
  <c r="P31" i="2"/>
  <c r="P98" i="4"/>
  <c r="W138" i="5"/>
  <c r="Q35" i="2"/>
  <c r="Q31" i="2"/>
  <c r="Q98" i="4"/>
  <c r="X138" i="5"/>
  <c r="S35" i="2"/>
  <c r="S31" i="2"/>
  <c r="S98" i="4"/>
  <c r="AA138" i="5"/>
  <c r="AI98" i="4"/>
  <c r="T98" i="4" a="1"/>
  <c r="T98" i="4"/>
  <c r="AC138" i="5"/>
  <c r="U98" i="4" a="1"/>
  <c r="U98" i="4"/>
  <c r="AD138" i="5"/>
  <c r="X35" i="2"/>
  <c r="X31" i="2"/>
  <c r="X98" i="4"/>
  <c r="AI138" i="5"/>
  <c r="Y35" i="2"/>
  <c r="Y31" i="2"/>
  <c r="Y98" i="4"/>
  <c r="AJ138" i="5"/>
  <c r="Z35" i="2"/>
  <c r="Z31" i="2"/>
  <c r="Z98" i="4"/>
  <c r="AL138" i="5"/>
  <c r="L138" i="5"/>
  <c r="N138" i="5"/>
  <c r="O138" i="5"/>
  <c r="F138" i="5"/>
  <c r="H138" i="5"/>
  <c r="I138" i="5"/>
  <c r="Z138" i="5"/>
  <c r="AN138" i="5"/>
  <c r="AG139" i="5"/>
  <c r="AF139" i="5"/>
  <c r="B40" i="4"/>
  <c r="C40" i="4"/>
  <c r="C139" i="5"/>
  <c r="D40" i="4"/>
  <c r="E139" i="5"/>
  <c r="E35" i="2"/>
  <c r="E40" i="4"/>
  <c r="F139" i="5"/>
  <c r="F35" i="2"/>
  <c r="F40" i="4"/>
  <c r="H139" i="5"/>
  <c r="I139" i="5"/>
  <c r="K139" i="5"/>
  <c r="L40" i="4"/>
  <c r="Q139" i="5"/>
  <c r="M40" i="4"/>
  <c r="R139" i="5"/>
  <c r="T139" i="5"/>
  <c r="U139" i="5"/>
  <c r="P40" i="4"/>
  <c r="W139" i="5"/>
  <c r="Q40" i="4"/>
  <c r="X139" i="5"/>
  <c r="S40" i="4"/>
  <c r="AA139" i="5"/>
  <c r="AI40" i="4"/>
  <c r="T40" i="4" a="1"/>
  <c r="T40" i="4"/>
  <c r="AC139" i="5"/>
  <c r="U40" i="4" a="1"/>
  <c r="U40" i="4"/>
  <c r="AD139" i="5"/>
  <c r="X40" i="4"/>
  <c r="AI139" i="5"/>
  <c r="Y40" i="4"/>
  <c r="AJ139" i="5"/>
  <c r="Z40" i="4"/>
  <c r="AL139" i="5"/>
  <c r="L139" i="5"/>
  <c r="N139" i="5"/>
  <c r="O139" i="5"/>
  <c r="Z139" i="5"/>
  <c r="AN139" i="5"/>
  <c r="AG140" i="5"/>
  <c r="AF140" i="5"/>
  <c r="B41" i="4"/>
  <c r="C41" i="4"/>
  <c r="C140" i="5"/>
  <c r="D41" i="4"/>
  <c r="E140" i="5"/>
  <c r="E41" i="4"/>
  <c r="F140" i="5"/>
  <c r="F41" i="4"/>
  <c r="H140" i="5"/>
  <c r="I140" i="5"/>
  <c r="H41" i="4"/>
  <c r="K140" i="5"/>
  <c r="L41" i="4"/>
  <c r="Q140" i="5"/>
  <c r="M41" i="4"/>
  <c r="R140" i="5"/>
  <c r="T140" i="5"/>
  <c r="U140" i="5"/>
  <c r="P41" i="4"/>
  <c r="W140" i="5"/>
  <c r="Q41" i="4"/>
  <c r="X140" i="5"/>
  <c r="S41" i="4"/>
  <c r="AA140" i="5"/>
  <c r="AI41" i="4"/>
  <c r="T41" i="4" a="1"/>
  <c r="T41" i="4"/>
  <c r="AC140" i="5"/>
  <c r="U41" i="4" a="1"/>
  <c r="U41" i="4"/>
  <c r="AD140" i="5"/>
  <c r="X41" i="4"/>
  <c r="AI140" i="5"/>
  <c r="Y41" i="4"/>
  <c r="AJ140" i="5"/>
  <c r="Z41" i="4"/>
  <c r="AL140" i="5"/>
  <c r="L140" i="5"/>
  <c r="N140" i="5"/>
  <c r="O140" i="5"/>
  <c r="Z140" i="5"/>
  <c r="AN140" i="5"/>
  <c r="AG141" i="5"/>
  <c r="AF141" i="5"/>
  <c r="C128" i="4"/>
  <c r="C141" i="5"/>
  <c r="D128" i="4"/>
  <c r="E141" i="5"/>
  <c r="E128" i="4"/>
  <c r="F141" i="5"/>
  <c r="F128" i="4"/>
  <c r="H141" i="5"/>
  <c r="I141" i="5"/>
  <c r="H128" i="4"/>
  <c r="K141" i="5"/>
  <c r="L128" i="4"/>
  <c r="Q141" i="5"/>
  <c r="M128" i="4"/>
  <c r="R141" i="5"/>
  <c r="T141" i="5"/>
  <c r="O128" i="4"/>
  <c r="U141" i="5"/>
  <c r="P128" i="4"/>
  <c r="W141" i="5"/>
  <c r="Q128" i="4"/>
  <c r="X141" i="5"/>
  <c r="S128" i="4"/>
  <c r="AA141" i="5"/>
  <c r="AI128" i="4"/>
  <c r="T128" i="4" a="1"/>
  <c r="T128" i="4"/>
  <c r="AC141" i="5"/>
  <c r="U128" i="4" a="1"/>
  <c r="U128" i="4"/>
  <c r="AD141" i="5"/>
  <c r="X128" i="4"/>
  <c r="AI141" i="5"/>
  <c r="Y128" i="4"/>
  <c r="AJ141" i="5"/>
  <c r="Z128" i="4"/>
  <c r="AL141" i="5"/>
  <c r="L141" i="5"/>
  <c r="N141" i="5"/>
  <c r="O141" i="5"/>
  <c r="Z141" i="5"/>
  <c r="AN141" i="5"/>
  <c r="O142" i="5"/>
  <c r="K142" i="5"/>
  <c r="AG142" i="5"/>
  <c r="AF142" i="5"/>
  <c r="B111" i="4"/>
  <c r="C111" i="4"/>
  <c r="C142" i="5"/>
  <c r="D111" i="4"/>
  <c r="E142" i="5"/>
  <c r="I111" i="4"/>
  <c r="L142" i="5"/>
  <c r="J111" i="4"/>
  <c r="N142" i="5"/>
  <c r="L111" i="4"/>
  <c r="Q142" i="5"/>
  <c r="M111" i="4"/>
  <c r="R142" i="5"/>
  <c r="T142" i="5"/>
  <c r="U142" i="5"/>
  <c r="P111" i="4"/>
  <c r="W142" i="5"/>
  <c r="Q111" i="4"/>
  <c r="X142" i="5"/>
  <c r="AA142" i="5"/>
  <c r="AI111" i="4"/>
  <c r="T111" i="4" a="1"/>
  <c r="T111" i="4"/>
  <c r="AC142" i="5"/>
  <c r="U111" i="4" a="1"/>
  <c r="U111" i="4"/>
  <c r="AD142" i="5"/>
  <c r="X111" i="4"/>
  <c r="AI142" i="5"/>
  <c r="Y111" i="4"/>
  <c r="AJ142" i="5"/>
  <c r="Z111" i="4"/>
  <c r="AL142" i="5"/>
  <c r="F142" i="5"/>
  <c r="H142" i="5"/>
  <c r="I142" i="5"/>
  <c r="Z142" i="5"/>
  <c r="AN142" i="5"/>
  <c r="AG143" i="5"/>
  <c r="AF143" i="5"/>
  <c r="C156" i="4"/>
  <c r="C143" i="5"/>
  <c r="D156" i="4"/>
  <c r="E143" i="5"/>
  <c r="H156" i="4"/>
  <c r="K143" i="5"/>
  <c r="L156" i="4"/>
  <c r="Q143" i="5"/>
  <c r="M156" i="4"/>
  <c r="R143" i="5"/>
  <c r="T143" i="5"/>
  <c r="U143" i="5"/>
  <c r="P156" i="4"/>
  <c r="W143" i="5"/>
  <c r="Q156" i="4"/>
  <c r="X143" i="5"/>
  <c r="S156" i="4"/>
  <c r="AA143" i="5"/>
  <c r="AI156" i="4"/>
  <c r="T156" i="4" a="1"/>
  <c r="T156" i="4"/>
  <c r="AC143" i="5"/>
  <c r="U156" i="4" a="1"/>
  <c r="U156" i="4"/>
  <c r="AD143" i="5"/>
  <c r="X156" i="4"/>
  <c r="AI143" i="5"/>
  <c r="Y156" i="4"/>
  <c r="AJ143" i="5"/>
  <c r="Z156" i="4"/>
  <c r="AL143" i="5"/>
  <c r="F143" i="5"/>
  <c r="H143" i="5"/>
  <c r="I143" i="5"/>
  <c r="L143" i="5"/>
  <c r="N143" i="5"/>
  <c r="O143" i="5"/>
  <c r="Z143" i="5"/>
  <c r="AN143" i="5"/>
  <c r="O144" i="5"/>
  <c r="H224" i="4"/>
  <c r="K144" i="5"/>
  <c r="AG144" i="5"/>
  <c r="AF144" i="5"/>
  <c r="C224" i="4"/>
  <c r="C144" i="5"/>
  <c r="D224" i="4"/>
  <c r="E144" i="5"/>
  <c r="E224" i="4"/>
  <c r="F144" i="5"/>
  <c r="F224" i="4"/>
  <c r="H144" i="5"/>
  <c r="I144" i="5"/>
  <c r="I30" i="2"/>
  <c r="I224" i="4"/>
  <c r="L144" i="5"/>
  <c r="J30" i="2"/>
  <c r="J224" i="4"/>
  <c r="N144" i="5"/>
  <c r="L224" i="4"/>
  <c r="Q144" i="5"/>
  <c r="M224" i="4"/>
  <c r="R144" i="5"/>
  <c r="T144" i="5"/>
  <c r="O224" i="4"/>
  <c r="U144" i="5"/>
  <c r="P224" i="4"/>
  <c r="W144" i="5"/>
  <c r="Q224" i="4"/>
  <c r="X144" i="5"/>
  <c r="AA144" i="5"/>
  <c r="AI224" i="4"/>
  <c r="T224" i="4" a="1"/>
  <c r="T224" i="4"/>
  <c r="AC144" i="5"/>
  <c r="U224" i="4" a="1"/>
  <c r="U224" i="4"/>
  <c r="AD144" i="5"/>
  <c r="X224" i="4"/>
  <c r="AI144" i="5"/>
  <c r="Y224" i="4"/>
  <c r="AJ144" i="5"/>
  <c r="Z224" i="4"/>
  <c r="AL144" i="5"/>
  <c r="Z144" i="5"/>
  <c r="AN144" i="5"/>
  <c r="AG145" i="5"/>
  <c r="AF145" i="5"/>
  <c r="B67" i="4"/>
  <c r="C67" i="4"/>
  <c r="C145" i="5"/>
  <c r="D67" i="4"/>
  <c r="E145" i="5"/>
  <c r="E67" i="4"/>
  <c r="F145" i="5"/>
  <c r="F67" i="4"/>
  <c r="H145" i="5"/>
  <c r="I145" i="5"/>
  <c r="H67" i="4"/>
  <c r="K145" i="5"/>
  <c r="L67" i="4"/>
  <c r="Q145" i="5"/>
  <c r="M67" i="4"/>
  <c r="R145" i="5"/>
  <c r="T145" i="5"/>
  <c r="O67" i="4"/>
  <c r="U145" i="5"/>
  <c r="P67" i="4"/>
  <c r="W145" i="5"/>
  <c r="Q67" i="4"/>
  <c r="X145" i="5"/>
  <c r="S67" i="4"/>
  <c r="AA145" i="5"/>
  <c r="AI67" i="4"/>
  <c r="T67" i="4" a="1"/>
  <c r="T67" i="4"/>
  <c r="AC145" i="5"/>
  <c r="U67" i="4" a="1"/>
  <c r="U67" i="4"/>
  <c r="AD145" i="5"/>
  <c r="X67" i="4"/>
  <c r="AI145" i="5"/>
  <c r="Y67" i="4"/>
  <c r="AJ145" i="5"/>
  <c r="Z67" i="4"/>
  <c r="AL145" i="5"/>
  <c r="L145" i="5"/>
  <c r="N145" i="5"/>
  <c r="O145" i="5"/>
  <c r="Z145" i="5"/>
  <c r="AN145" i="5"/>
  <c r="AG146" i="5"/>
  <c r="AF146" i="5"/>
  <c r="B55" i="4"/>
  <c r="C55" i="4"/>
  <c r="C146" i="5"/>
  <c r="D55" i="4"/>
  <c r="E146" i="5"/>
  <c r="E55" i="4"/>
  <c r="F146" i="5"/>
  <c r="F55" i="4"/>
  <c r="H146" i="5"/>
  <c r="I146" i="5"/>
  <c r="H55" i="4"/>
  <c r="K146" i="5"/>
  <c r="L55" i="4"/>
  <c r="Q146" i="5"/>
  <c r="M55" i="4"/>
  <c r="R146" i="5"/>
  <c r="T146" i="5"/>
  <c r="O55" i="4"/>
  <c r="U146" i="5"/>
  <c r="P55" i="4"/>
  <c r="W146" i="5"/>
  <c r="Q55" i="4"/>
  <c r="X146" i="5"/>
  <c r="S55" i="4"/>
  <c r="AA146" i="5"/>
  <c r="AI55" i="4"/>
  <c r="T55" i="4" a="1"/>
  <c r="T55" i="4"/>
  <c r="AC146" i="5"/>
  <c r="U55" i="4" a="1"/>
  <c r="U55" i="4"/>
  <c r="AD146" i="5"/>
  <c r="X55" i="4"/>
  <c r="AI146" i="5"/>
  <c r="Y55" i="4"/>
  <c r="AJ146" i="5"/>
  <c r="Z55" i="4"/>
  <c r="AL146" i="5"/>
  <c r="L146" i="5"/>
  <c r="N146" i="5"/>
  <c r="O146" i="5"/>
  <c r="Z146" i="5"/>
  <c r="AN146" i="5"/>
  <c r="O147" i="5"/>
  <c r="K147" i="5"/>
  <c r="AG147" i="5"/>
  <c r="AF147" i="5"/>
  <c r="B223" i="4"/>
  <c r="C223" i="4"/>
  <c r="C147" i="5"/>
  <c r="D223" i="4"/>
  <c r="E147" i="5"/>
  <c r="I223" i="4"/>
  <c r="L147" i="5"/>
  <c r="J223" i="4"/>
  <c r="N147" i="5"/>
  <c r="L223" i="4"/>
  <c r="Q147" i="5"/>
  <c r="M223" i="4"/>
  <c r="R147" i="5"/>
  <c r="T147" i="5"/>
  <c r="U147" i="5"/>
  <c r="P223" i="4"/>
  <c r="W147" i="5"/>
  <c r="Q223" i="4"/>
  <c r="X147" i="5"/>
  <c r="AA147" i="5"/>
  <c r="AI223" i="4"/>
  <c r="T223" i="4" a="1"/>
  <c r="T223" i="4"/>
  <c r="AC147" i="5"/>
  <c r="U223" i="4" a="1"/>
  <c r="U223" i="4"/>
  <c r="AD147" i="5"/>
  <c r="X223" i="4"/>
  <c r="AI147" i="5"/>
  <c r="Y223" i="4"/>
  <c r="AJ147" i="5"/>
  <c r="Z223" i="4"/>
  <c r="AL147" i="5"/>
  <c r="F147" i="5"/>
  <c r="H147" i="5"/>
  <c r="I147" i="5"/>
  <c r="Z147" i="5"/>
  <c r="AN147" i="5"/>
  <c r="O148" i="5"/>
  <c r="K148" i="5"/>
  <c r="AG148" i="5"/>
  <c r="AF148" i="5"/>
  <c r="B99" i="4"/>
  <c r="C99" i="4"/>
  <c r="C148" i="5"/>
  <c r="D99" i="4"/>
  <c r="E148" i="5"/>
  <c r="E99" i="4"/>
  <c r="F148" i="5"/>
  <c r="F99" i="4"/>
  <c r="H148" i="5"/>
  <c r="I148" i="5"/>
  <c r="I99" i="4"/>
  <c r="L148" i="5"/>
  <c r="J99" i="4"/>
  <c r="N148" i="5"/>
  <c r="L99" i="4"/>
  <c r="Q148" i="5"/>
  <c r="M99" i="4"/>
  <c r="R148" i="5"/>
  <c r="T148" i="5"/>
  <c r="U148" i="5"/>
  <c r="P99" i="4"/>
  <c r="W148" i="5"/>
  <c r="Q99" i="4"/>
  <c r="X148" i="5"/>
  <c r="S99" i="4"/>
  <c r="AA148" i="5"/>
  <c r="AI99" i="4"/>
  <c r="T99" i="4" a="1"/>
  <c r="T99" i="4"/>
  <c r="AC148" i="5"/>
  <c r="U99" i="4" a="1"/>
  <c r="U99" i="4"/>
  <c r="AD148" i="5"/>
  <c r="X99" i="4"/>
  <c r="AI148" i="5"/>
  <c r="Y99" i="4"/>
  <c r="AJ148" i="5"/>
  <c r="Z99" i="4"/>
  <c r="AL148" i="5"/>
  <c r="Z148" i="5"/>
  <c r="AN148" i="5"/>
  <c r="B193" i="4"/>
  <c r="S193" i="4"/>
  <c r="AA149" i="5"/>
  <c r="P193" i="4"/>
  <c r="W149" i="5"/>
  <c r="AG149" i="5"/>
  <c r="AF149" i="5"/>
  <c r="C193" i="4"/>
  <c r="C149" i="5"/>
  <c r="D193" i="4"/>
  <c r="E149" i="5"/>
  <c r="K149" i="5"/>
  <c r="L193" i="4"/>
  <c r="Q149" i="5"/>
  <c r="U149" i="5"/>
  <c r="Q193" i="4"/>
  <c r="X149" i="5"/>
  <c r="R193" i="4"/>
  <c r="Z149" i="5"/>
  <c r="AI193" i="4"/>
  <c r="T193" i="4" a="1"/>
  <c r="T193" i="4"/>
  <c r="AC149" i="5"/>
  <c r="U193" i="4" a="1"/>
  <c r="U193" i="4"/>
  <c r="AD149" i="5"/>
  <c r="X193" i="4"/>
  <c r="AI149" i="5"/>
  <c r="Y193" i="4"/>
  <c r="AJ149" i="5"/>
  <c r="Z193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249" i="4"/>
  <c r="C249" i="4"/>
  <c r="C150" i="5"/>
  <c r="D249" i="4"/>
  <c r="E150" i="5"/>
  <c r="E249" i="4"/>
  <c r="F150" i="5"/>
  <c r="F249" i="4"/>
  <c r="H150" i="5"/>
  <c r="I150" i="5"/>
  <c r="H249" i="4"/>
  <c r="K150" i="5"/>
  <c r="L249" i="4"/>
  <c r="Q150" i="5"/>
  <c r="M249" i="4"/>
  <c r="R150" i="5"/>
  <c r="T150" i="5"/>
  <c r="O249" i="4"/>
  <c r="U150" i="5"/>
  <c r="P249" i="4"/>
  <c r="W150" i="5"/>
  <c r="Q249" i="4"/>
  <c r="X150" i="5"/>
  <c r="AA150" i="5"/>
  <c r="AI249" i="4"/>
  <c r="T249" i="4" a="1"/>
  <c r="T249" i="4"/>
  <c r="AC150" i="5"/>
  <c r="U249" i="4" a="1"/>
  <c r="U249" i="4"/>
  <c r="AD150" i="5"/>
  <c r="X249" i="4"/>
  <c r="AI150" i="5"/>
  <c r="Y249" i="4"/>
  <c r="AJ150" i="5"/>
  <c r="Z249" i="4"/>
  <c r="AL150" i="5"/>
  <c r="L150" i="5"/>
  <c r="N150" i="5"/>
  <c r="O150" i="5"/>
  <c r="Z150" i="5"/>
  <c r="AN150" i="5"/>
  <c r="O151" i="5"/>
  <c r="B237" i="4"/>
  <c r="H237" i="4"/>
  <c r="K151" i="5"/>
  <c r="AG151" i="5"/>
  <c r="AF151" i="5"/>
  <c r="C237" i="4"/>
  <c r="C151" i="5"/>
  <c r="D237" i="4"/>
  <c r="E151" i="5"/>
  <c r="I40" i="2"/>
  <c r="I237" i="4"/>
  <c r="L151" i="5"/>
  <c r="J40" i="2"/>
  <c r="J237" i="4"/>
  <c r="N151" i="5"/>
  <c r="L237" i="4"/>
  <c r="Q151" i="5"/>
  <c r="M237" i="4"/>
  <c r="R151" i="5"/>
  <c r="T151" i="5"/>
  <c r="U151" i="5"/>
  <c r="P237" i="4"/>
  <c r="W151" i="5"/>
  <c r="Q237" i="4"/>
  <c r="X151" i="5"/>
  <c r="S237" i="4"/>
  <c r="AA151" i="5"/>
  <c r="AI237" i="4"/>
  <c r="T237" i="4" a="1"/>
  <c r="T237" i="4"/>
  <c r="AC151" i="5"/>
  <c r="U237" i="4" a="1"/>
  <c r="U237" i="4"/>
  <c r="AD151" i="5"/>
  <c r="X237" i="4"/>
  <c r="AI151" i="5"/>
  <c r="Y237" i="4"/>
  <c r="AJ151" i="5"/>
  <c r="Z237" i="4"/>
  <c r="AL151" i="5"/>
  <c r="F151" i="5"/>
  <c r="H151" i="5"/>
  <c r="I151" i="5"/>
  <c r="Z151" i="5"/>
  <c r="AN151" i="5"/>
  <c r="S34" i="2"/>
  <c r="B129" i="4"/>
  <c r="S129" i="4"/>
  <c r="AA152" i="5"/>
  <c r="P34" i="2"/>
  <c r="P129" i="4"/>
  <c r="W152" i="5"/>
  <c r="AG152" i="5"/>
  <c r="AF152" i="5"/>
  <c r="C34" i="2"/>
  <c r="C129" i="4"/>
  <c r="C152" i="5"/>
  <c r="D34" i="2"/>
  <c r="D129" i="4"/>
  <c r="E152" i="5"/>
  <c r="E34" i="2"/>
  <c r="E129" i="4"/>
  <c r="F152" i="5"/>
  <c r="F34" i="2"/>
  <c r="F129" i="4"/>
  <c r="H152" i="5"/>
  <c r="I152" i="5"/>
  <c r="K152" i="5"/>
  <c r="L34" i="2"/>
  <c r="L129" i="4"/>
  <c r="Q152" i="5"/>
  <c r="M34" i="2"/>
  <c r="M129" i="4"/>
  <c r="R152" i="5"/>
  <c r="T152" i="5"/>
  <c r="O34" i="2"/>
  <c r="O129" i="4"/>
  <c r="U152" i="5"/>
  <c r="Q34" i="2"/>
  <c r="Q129" i="4"/>
  <c r="X152" i="5"/>
  <c r="R34" i="2"/>
  <c r="R35" i="2"/>
  <c r="R129" i="4"/>
  <c r="Z152" i="5"/>
  <c r="AI129" i="4"/>
  <c r="T129" i="4" a="1"/>
  <c r="T129" i="4"/>
  <c r="AC152" i="5"/>
  <c r="U129" i="4" a="1"/>
  <c r="U129" i="4"/>
  <c r="AD152" i="5"/>
  <c r="X34" i="2"/>
  <c r="X129" i="4"/>
  <c r="AI152" i="5"/>
  <c r="Y34" i="2"/>
  <c r="Y129" i="4"/>
  <c r="AJ152" i="5"/>
  <c r="Z34" i="2"/>
  <c r="Z129" i="4"/>
  <c r="AL152" i="5"/>
  <c r="L152" i="5"/>
  <c r="N152" i="5"/>
  <c r="O152" i="5"/>
  <c r="AN152" i="5"/>
  <c r="O153" i="5"/>
  <c r="B267" i="4"/>
  <c r="H267" i="4"/>
  <c r="K153" i="5"/>
  <c r="AG153" i="5"/>
  <c r="AF153" i="5"/>
  <c r="C267" i="4"/>
  <c r="C153" i="5"/>
  <c r="D267" i="4"/>
  <c r="E153" i="5"/>
  <c r="I267" i="4"/>
  <c r="L153" i="5"/>
  <c r="J267" i="4"/>
  <c r="N153" i="5"/>
  <c r="L267" i="4"/>
  <c r="Q153" i="5"/>
  <c r="M267" i="4"/>
  <c r="R153" i="5"/>
  <c r="T153" i="5"/>
  <c r="U153" i="5"/>
  <c r="P267" i="4"/>
  <c r="W153" i="5"/>
  <c r="Q267" i="4"/>
  <c r="X153" i="5"/>
  <c r="S267" i="4"/>
  <c r="AA153" i="5"/>
  <c r="AI267" i="4"/>
  <c r="T267" i="4" a="1"/>
  <c r="T267" i="4"/>
  <c r="AC153" i="5"/>
  <c r="U267" i="4" a="1"/>
  <c r="U267" i="4"/>
  <c r="AD153" i="5"/>
  <c r="X267" i="4"/>
  <c r="AI153" i="5"/>
  <c r="Y267" i="4"/>
  <c r="AJ153" i="5"/>
  <c r="Z267" i="4"/>
  <c r="AL153" i="5"/>
  <c r="F153" i="5"/>
  <c r="H153" i="5"/>
  <c r="I153" i="5"/>
  <c r="Z153" i="5"/>
  <c r="AN153" i="5"/>
  <c r="AG154" i="5"/>
  <c r="AF154" i="5"/>
  <c r="B225" i="4"/>
  <c r="C225" i="4"/>
  <c r="C154" i="5"/>
  <c r="D225" i="4"/>
  <c r="E154" i="5"/>
  <c r="H225" i="4"/>
  <c r="K154" i="5"/>
  <c r="L225" i="4"/>
  <c r="Q154" i="5"/>
  <c r="M225" i="4"/>
  <c r="R154" i="5"/>
  <c r="T154" i="5"/>
  <c r="O225" i="4"/>
  <c r="U154" i="5"/>
  <c r="P225" i="4"/>
  <c r="W154" i="5"/>
  <c r="Q225" i="4"/>
  <c r="X154" i="5"/>
  <c r="AA154" i="5"/>
  <c r="AI225" i="4"/>
  <c r="T225" i="4" a="1"/>
  <c r="T225" i="4"/>
  <c r="AC154" i="5"/>
  <c r="U225" i="4" a="1"/>
  <c r="U225" i="4"/>
  <c r="AD154" i="5"/>
  <c r="X225" i="4"/>
  <c r="AI154" i="5"/>
  <c r="Y225" i="4"/>
  <c r="AJ154" i="5"/>
  <c r="Z225" i="4"/>
  <c r="AL154" i="5"/>
  <c r="F154" i="5"/>
  <c r="H154" i="5"/>
  <c r="I154" i="5"/>
  <c r="L154" i="5"/>
  <c r="N154" i="5"/>
  <c r="O154" i="5"/>
  <c r="Z154" i="5"/>
  <c r="AN154" i="5"/>
  <c r="AG155" i="5"/>
  <c r="AF155" i="5"/>
  <c r="B112" i="4"/>
  <c r="C112" i="4"/>
  <c r="C155" i="5"/>
  <c r="D112" i="4"/>
  <c r="E155" i="5"/>
  <c r="E112" i="4"/>
  <c r="F155" i="5"/>
  <c r="F112" i="4"/>
  <c r="H155" i="5"/>
  <c r="I155" i="5"/>
  <c r="H112" i="4"/>
  <c r="K155" i="5"/>
  <c r="L112" i="4"/>
  <c r="Q155" i="5"/>
  <c r="M112" i="4"/>
  <c r="R155" i="5"/>
  <c r="T155" i="5"/>
  <c r="O112" i="4"/>
  <c r="U155" i="5"/>
  <c r="P112" i="4"/>
  <c r="W155" i="5"/>
  <c r="Q112" i="4"/>
  <c r="X155" i="5"/>
  <c r="S112" i="4"/>
  <c r="AA155" i="5"/>
  <c r="AI112" i="4"/>
  <c r="T112" i="4" a="1"/>
  <c r="T112" i="4"/>
  <c r="AC155" i="5"/>
  <c r="U112" i="4" a="1"/>
  <c r="U112" i="4"/>
  <c r="AD155" i="5"/>
  <c r="X112" i="4"/>
  <c r="AI155" i="5"/>
  <c r="Y112" i="4"/>
  <c r="AJ155" i="5"/>
  <c r="Z112" i="4"/>
  <c r="AL155" i="5"/>
  <c r="L155" i="5"/>
  <c r="N155" i="5"/>
  <c r="O155" i="5"/>
  <c r="Z155" i="5"/>
  <c r="AN155" i="5"/>
  <c r="AA156" i="5"/>
  <c r="B205" i="4"/>
  <c r="P205" i="4"/>
  <c r="W156" i="5"/>
  <c r="O156" i="5"/>
  <c r="H205" i="4"/>
  <c r="K156" i="5"/>
  <c r="AG156" i="5"/>
  <c r="AF156" i="5"/>
  <c r="C205" i="4"/>
  <c r="C156" i="5"/>
  <c r="D205" i="4"/>
  <c r="E156" i="5"/>
  <c r="I205" i="4"/>
  <c r="L156" i="5"/>
  <c r="J205" i="4"/>
  <c r="N156" i="5"/>
  <c r="L205" i="4"/>
  <c r="Q156" i="5"/>
  <c r="M205" i="4"/>
  <c r="R156" i="5"/>
  <c r="T156" i="5"/>
  <c r="O205" i="4"/>
  <c r="U156" i="5"/>
  <c r="Q205" i="4"/>
  <c r="X156" i="5"/>
  <c r="R40" i="2"/>
  <c r="R205" i="4"/>
  <c r="Z156" i="5"/>
  <c r="AI205" i="4"/>
  <c r="T205" i="4" a="1"/>
  <c r="T205" i="4"/>
  <c r="AC156" i="5"/>
  <c r="U205" i="4" a="1"/>
  <c r="U205" i="4"/>
  <c r="AD156" i="5"/>
  <c r="X205" i="4"/>
  <c r="AI156" i="5"/>
  <c r="Y205" i="4"/>
  <c r="AJ156" i="5"/>
  <c r="Z205" i="4"/>
  <c r="AL156" i="5"/>
  <c r="F156" i="5"/>
  <c r="H156" i="5"/>
  <c r="I156" i="5"/>
  <c r="AN156" i="5"/>
  <c r="AG157" i="5"/>
  <c r="AF157" i="5"/>
  <c r="B194" i="4"/>
  <c r="C194" i="4"/>
  <c r="C157" i="5"/>
  <c r="D194" i="4"/>
  <c r="E157" i="5"/>
  <c r="H194" i="4"/>
  <c r="K157" i="5"/>
  <c r="L194" i="4"/>
  <c r="Q157" i="5"/>
  <c r="M194" i="4"/>
  <c r="R157" i="5"/>
  <c r="T157" i="5"/>
  <c r="U157" i="5"/>
  <c r="P194" i="4"/>
  <c r="W157" i="5"/>
  <c r="Q194" i="4"/>
  <c r="X157" i="5"/>
  <c r="S194" i="4"/>
  <c r="AA157" i="5"/>
  <c r="AI194" i="4"/>
  <c r="T194" i="4" a="1"/>
  <c r="T194" i="4"/>
  <c r="AC157" i="5"/>
  <c r="U194" i="4" a="1"/>
  <c r="U194" i="4"/>
  <c r="AD157" i="5"/>
  <c r="X194" i="4"/>
  <c r="AI157" i="5"/>
  <c r="Y194" i="4"/>
  <c r="AJ157" i="5"/>
  <c r="Z194" i="4"/>
  <c r="AL157" i="5"/>
  <c r="F157" i="5"/>
  <c r="H157" i="5"/>
  <c r="I157" i="5"/>
  <c r="L157" i="5"/>
  <c r="N157" i="5"/>
  <c r="O157" i="5"/>
  <c r="Z157" i="5"/>
  <c r="AN157" i="5"/>
  <c r="AG158" i="5"/>
  <c r="AF158" i="5"/>
  <c r="B86" i="4"/>
  <c r="C86" i="4"/>
  <c r="C158" i="5"/>
  <c r="D86" i="4"/>
  <c r="E158" i="5"/>
  <c r="E86" i="4"/>
  <c r="F158" i="5"/>
  <c r="F86" i="4"/>
  <c r="H158" i="5"/>
  <c r="I158" i="5"/>
  <c r="H86" i="4"/>
  <c r="K158" i="5"/>
  <c r="L86" i="4"/>
  <c r="Q158" i="5"/>
  <c r="M86" i="4"/>
  <c r="R158" i="5"/>
  <c r="T158" i="5"/>
  <c r="O86" i="4"/>
  <c r="U158" i="5"/>
  <c r="P86" i="4"/>
  <c r="W158" i="5"/>
  <c r="Q86" i="4"/>
  <c r="X158" i="5"/>
  <c r="S86" i="4"/>
  <c r="AA158" i="5"/>
  <c r="AI86" i="4"/>
  <c r="T86" i="4" a="1"/>
  <c r="T86" i="4"/>
  <c r="AC158" i="5"/>
  <c r="U86" i="4" a="1"/>
  <c r="U86" i="4"/>
  <c r="AD158" i="5"/>
  <c r="X86" i="4"/>
  <c r="AI158" i="5"/>
  <c r="Y86" i="4"/>
  <c r="AJ158" i="5"/>
  <c r="Z86" i="4"/>
  <c r="AL158" i="5"/>
  <c r="L158" i="5"/>
  <c r="N158" i="5"/>
  <c r="O158" i="5"/>
  <c r="Z158" i="5"/>
  <c r="AN158" i="5"/>
  <c r="AG159" i="5"/>
  <c r="AF159" i="5"/>
  <c r="B68" i="4"/>
  <c r="C68" i="4"/>
  <c r="C159" i="5"/>
  <c r="D68" i="4"/>
  <c r="E159" i="5"/>
  <c r="E68" i="4"/>
  <c r="F159" i="5"/>
  <c r="F68" i="4"/>
  <c r="H159" i="5"/>
  <c r="I159" i="5"/>
  <c r="H68" i="4"/>
  <c r="K159" i="5"/>
  <c r="L68" i="4"/>
  <c r="Q159" i="5"/>
  <c r="M68" i="4"/>
  <c r="R159" i="5"/>
  <c r="T159" i="5"/>
  <c r="O68" i="4"/>
  <c r="U159" i="5"/>
  <c r="P68" i="4"/>
  <c r="W159" i="5"/>
  <c r="Q68" i="4"/>
  <c r="X159" i="5"/>
  <c r="S68" i="4"/>
  <c r="AA159" i="5"/>
  <c r="AI68" i="4"/>
  <c r="T68" i="4" a="1"/>
  <c r="T68" i="4"/>
  <c r="AC159" i="5"/>
  <c r="U68" i="4" a="1"/>
  <c r="U68" i="4"/>
  <c r="AD159" i="5"/>
  <c r="X68" i="4"/>
  <c r="AI159" i="5"/>
  <c r="Y68" i="4"/>
  <c r="AJ159" i="5"/>
  <c r="Z68" i="4"/>
  <c r="AL159" i="5"/>
  <c r="L159" i="5"/>
  <c r="N159" i="5"/>
  <c r="O159" i="5"/>
  <c r="Z159" i="5"/>
  <c r="AN159" i="5"/>
  <c r="AG160" i="5"/>
  <c r="AF160" i="5"/>
  <c r="B69" i="4"/>
  <c r="C69" i="4"/>
  <c r="C160" i="5"/>
  <c r="D69" i="4"/>
  <c r="E160" i="5"/>
  <c r="E69" i="4"/>
  <c r="F160" i="5"/>
  <c r="F69" i="4"/>
  <c r="H160" i="5"/>
  <c r="I160" i="5"/>
  <c r="H69" i="4"/>
  <c r="K160" i="5"/>
  <c r="L69" i="4"/>
  <c r="Q160" i="5"/>
  <c r="M69" i="4"/>
  <c r="R160" i="5"/>
  <c r="T160" i="5"/>
  <c r="O69" i="4"/>
  <c r="U160" i="5"/>
  <c r="P69" i="4"/>
  <c r="W160" i="5"/>
  <c r="Q69" i="4"/>
  <c r="X160" i="5"/>
  <c r="S69" i="4"/>
  <c r="AA160" i="5"/>
  <c r="AI69" i="4"/>
  <c r="T69" i="4" a="1"/>
  <c r="T69" i="4"/>
  <c r="AC160" i="5"/>
  <c r="U69" i="4" a="1"/>
  <c r="U69" i="4"/>
  <c r="AD160" i="5"/>
  <c r="X69" i="4"/>
  <c r="AI160" i="5"/>
  <c r="Y69" i="4"/>
  <c r="AJ160" i="5"/>
  <c r="Z69" i="4"/>
  <c r="AL160" i="5"/>
  <c r="L160" i="5"/>
  <c r="N160" i="5"/>
  <c r="O160" i="5"/>
  <c r="Z160" i="5"/>
  <c r="AN160" i="5"/>
  <c r="AG161" i="5"/>
  <c r="AF161" i="5"/>
  <c r="B295" i="4"/>
  <c r="C295" i="4"/>
  <c r="C161" i="5"/>
  <c r="D295" i="4"/>
  <c r="E161" i="5"/>
  <c r="H295" i="4"/>
  <c r="K161" i="5"/>
  <c r="L295" i="4"/>
  <c r="Q161" i="5"/>
  <c r="M295" i="4"/>
  <c r="R161" i="5"/>
  <c r="N27" i="2"/>
  <c r="N295" i="4"/>
  <c r="T161" i="5"/>
  <c r="O295" i="4"/>
  <c r="U161" i="5"/>
  <c r="P295" i="4"/>
  <c r="W161" i="5"/>
  <c r="Q295" i="4"/>
  <c r="X161" i="5"/>
  <c r="AA161" i="5"/>
  <c r="AI295" i="4"/>
  <c r="T295" i="4" a="1"/>
  <c r="T295" i="4"/>
  <c r="AC161" i="5"/>
  <c r="U295" i="4" a="1"/>
  <c r="U295" i="4"/>
  <c r="AD161" i="5"/>
  <c r="X295" i="4"/>
  <c r="AI161" i="5"/>
  <c r="Y295" i="4"/>
  <c r="AJ161" i="5"/>
  <c r="Z295" i="4"/>
  <c r="AL161" i="5"/>
  <c r="F161" i="5"/>
  <c r="H161" i="5"/>
  <c r="I161" i="5"/>
  <c r="L161" i="5"/>
  <c r="N161" i="5"/>
  <c r="O161" i="5"/>
  <c r="Z161" i="5"/>
  <c r="AN161" i="5"/>
  <c r="AG162" i="5"/>
  <c r="AF162" i="5"/>
  <c r="B167" i="4"/>
  <c r="C167" i="4"/>
  <c r="C162" i="5"/>
  <c r="D167" i="4"/>
  <c r="E162" i="5"/>
  <c r="H167" i="4"/>
  <c r="K162" i="5"/>
  <c r="L167" i="4"/>
  <c r="Q162" i="5"/>
  <c r="M167" i="4"/>
  <c r="R162" i="5"/>
  <c r="T162" i="5"/>
  <c r="U162" i="5"/>
  <c r="P167" i="4"/>
  <c r="W162" i="5"/>
  <c r="Q167" i="4"/>
  <c r="X162" i="5"/>
  <c r="AA162" i="5"/>
  <c r="AI167" i="4"/>
  <c r="T167" i="4" a="1"/>
  <c r="T167" i="4"/>
  <c r="AC162" i="5"/>
  <c r="U167" i="4" a="1"/>
  <c r="U167" i="4"/>
  <c r="AD162" i="5"/>
  <c r="Y167" i="4"/>
  <c r="AJ162" i="5"/>
  <c r="Z167" i="4"/>
  <c r="AL162" i="5"/>
  <c r="F162" i="5"/>
  <c r="H162" i="5"/>
  <c r="I162" i="5"/>
  <c r="L162" i="5"/>
  <c r="N162" i="5"/>
  <c r="O162" i="5"/>
  <c r="Z162" i="5"/>
  <c r="AN162" i="5"/>
  <c r="AG163" i="5"/>
  <c r="AF163" i="5"/>
  <c r="B206" i="4"/>
  <c r="C206" i="4"/>
  <c r="C163" i="5"/>
  <c r="D206" i="4"/>
  <c r="E163" i="5"/>
  <c r="H206" i="4"/>
  <c r="K163" i="5"/>
  <c r="L206" i="4"/>
  <c r="Q163" i="5"/>
  <c r="M206" i="4"/>
  <c r="R163" i="5"/>
  <c r="T163" i="5"/>
  <c r="O206" i="4"/>
  <c r="U163" i="5"/>
  <c r="P206" i="4"/>
  <c r="W163" i="5"/>
  <c r="Q206" i="4"/>
  <c r="X163" i="5"/>
  <c r="S206" i="4"/>
  <c r="AA163" i="5"/>
  <c r="AI206" i="4"/>
  <c r="T206" i="4" a="1"/>
  <c r="T206" i="4"/>
  <c r="AC163" i="5"/>
  <c r="U206" i="4" a="1"/>
  <c r="U206" i="4"/>
  <c r="AD163" i="5"/>
  <c r="X206" i="4"/>
  <c r="AI163" i="5"/>
  <c r="Y206" i="4"/>
  <c r="AJ163" i="5"/>
  <c r="Z206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59" i="4"/>
  <c r="C59" i="4"/>
  <c r="C164" i="5"/>
  <c r="D59" i="4"/>
  <c r="E164" i="5"/>
  <c r="E59" i="4"/>
  <c r="F164" i="5"/>
  <c r="F59" i="4"/>
  <c r="H164" i="5"/>
  <c r="I164" i="5"/>
  <c r="I18" i="2"/>
  <c r="I59" i="4"/>
  <c r="L164" i="5"/>
  <c r="J18" i="2"/>
  <c r="J59" i="4"/>
  <c r="N164" i="5"/>
  <c r="L59" i="4"/>
  <c r="Q164" i="5"/>
  <c r="M59" i="4"/>
  <c r="R164" i="5"/>
  <c r="T164" i="5"/>
  <c r="O59" i="4"/>
  <c r="U164" i="5"/>
  <c r="P59" i="4"/>
  <c r="W164" i="5"/>
  <c r="Q59" i="4"/>
  <c r="X164" i="5"/>
  <c r="S59" i="4"/>
  <c r="AA164" i="5"/>
  <c r="AI59" i="4"/>
  <c r="T59" i="4" a="1"/>
  <c r="T59" i="4"/>
  <c r="AC164" i="5"/>
  <c r="U59" i="4" a="1"/>
  <c r="U59" i="4"/>
  <c r="AD164" i="5"/>
  <c r="X59" i="4"/>
  <c r="AI164" i="5"/>
  <c r="Y59" i="4"/>
  <c r="AJ164" i="5"/>
  <c r="Z59" i="4"/>
  <c r="AL164" i="5"/>
  <c r="Z164" i="5"/>
  <c r="AN164" i="5"/>
  <c r="O165" i="5"/>
  <c r="B60" i="4"/>
  <c r="H60" i="4"/>
  <c r="K165" i="5"/>
  <c r="AG165" i="5"/>
  <c r="AF165" i="5"/>
  <c r="C60" i="4"/>
  <c r="C165" i="5"/>
  <c r="D60" i="4"/>
  <c r="E165" i="5"/>
  <c r="E15" i="2"/>
  <c r="E60" i="4"/>
  <c r="F165" i="5"/>
  <c r="F15" i="2"/>
  <c r="F60" i="4"/>
  <c r="H165" i="5"/>
  <c r="I165" i="5"/>
  <c r="L165" i="5"/>
  <c r="J15" i="2"/>
  <c r="J60" i="4"/>
  <c r="N165" i="5"/>
  <c r="L60" i="4"/>
  <c r="Q165" i="5"/>
  <c r="M60" i="4"/>
  <c r="R165" i="5"/>
  <c r="T165" i="5"/>
  <c r="O60" i="4"/>
  <c r="U165" i="5"/>
  <c r="P60" i="4"/>
  <c r="W165" i="5"/>
  <c r="Q60" i="4"/>
  <c r="X165" i="5"/>
  <c r="S60" i="4"/>
  <c r="AA165" i="5"/>
  <c r="AI60" i="4"/>
  <c r="T60" i="4" a="1"/>
  <c r="T60" i="4"/>
  <c r="AC165" i="5"/>
  <c r="U60" i="4" a="1"/>
  <c r="U60" i="4"/>
  <c r="AD165" i="5"/>
  <c r="X60" i="4"/>
  <c r="AI165" i="5"/>
  <c r="Y60" i="4"/>
  <c r="AJ165" i="5"/>
  <c r="Z60" i="4"/>
  <c r="AL165" i="5"/>
  <c r="Z165" i="5"/>
  <c r="AN165" i="5"/>
  <c r="O166" i="5"/>
  <c r="B61" i="4"/>
  <c r="H61" i="4"/>
  <c r="K166" i="5"/>
  <c r="AG166" i="5"/>
  <c r="AF166" i="5"/>
  <c r="C61" i="4"/>
  <c r="C166" i="5"/>
  <c r="D61" i="4"/>
  <c r="E166" i="5"/>
  <c r="E61" i="4"/>
  <c r="F166" i="5"/>
  <c r="F61" i="4"/>
  <c r="H166" i="5"/>
  <c r="I166" i="5"/>
  <c r="I16" i="2"/>
  <c r="I61" i="4"/>
  <c r="L166" i="5"/>
  <c r="J16" i="2"/>
  <c r="J61" i="4"/>
  <c r="N166" i="5"/>
  <c r="L61" i="4"/>
  <c r="Q166" i="5"/>
  <c r="M61" i="4"/>
  <c r="R166" i="5"/>
  <c r="T166" i="5"/>
  <c r="O61" i="4"/>
  <c r="U166" i="5"/>
  <c r="P61" i="4"/>
  <c r="W166" i="5"/>
  <c r="Q61" i="4"/>
  <c r="X166" i="5"/>
  <c r="AA166" i="5"/>
  <c r="AI61" i="4"/>
  <c r="T61" i="4" a="1"/>
  <c r="T61" i="4"/>
  <c r="AC166" i="5"/>
  <c r="U61" i="4" a="1"/>
  <c r="U61" i="4"/>
  <c r="AD166" i="5"/>
  <c r="AI166" i="5"/>
  <c r="Y61" i="4"/>
  <c r="AJ166" i="5"/>
  <c r="Z61" i="4"/>
  <c r="AL166" i="5"/>
  <c r="Z166" i="5"/>
  <c r="AN166" i="5"/>
  <c r="AG167" i="5"/>
  <c r="AF167" i="5"/>
  <c r="B100" i="4"/>
  <c r="C100" i="4"/>
  <c r="C167" i="5"/>
  <c r="D100" i="4"/>
  <c r="E167" i="5"/>
  <c r="K167" i="5"/>
  <c r="L100" i="4"/>
  <c r="Q167" i="5"/>
  <c r="M100" i="4"/>
  <c r="R167" i="5"/>
  <c r="T167" i="5"/>
  <c r="U167" i="5"/>
  <c r="P100" i="4"/>
  <c r="W167" i="5"/>
  <c r="Q100" i="4"/>
  <c r="X167" i="5"/>
  <c r="S100" i="4"/>
  <c r="AA167" i="5"/>
  <c r="AI100" i="4"/>
  <c r="T100" i="4" a="1"/>
  <c r="T100" i="4"/>
  <c r="AC167" i="5"/>
  <c r="U100" i="4" a="1"/>
  <c r="U100" i="4"/>
  <c r="AD167" i="5"/>
  <c r="X100" i="4"/>
  <c r="AI167" i="5"/>
  <c r="Y100" i="4"/>
  <c r="AJ167" i="5"/>
  <c r="Z100" i="4"/>
  <c r="AL167" i="5"/>
  <c r="F167" i="5"/>
  <c r="H167" i="5"/>
  <c r="I167" i="5"/>
  <c r="L167" i="5"/>
  <c r="N167" i="5"/>
  <c r="O167" i="5"/>
  <c r="Z167" i="5"/>
  <c r="AN167" i="5"/>
  <c r="AG168" i="5"/>
  <c r="AF168" i="5"/>
  <c r="B70" i="4"/>
  <c r="C70" i="4"/>
  <c r="C168" i="5"/>
  <c r="D70" i="4"/>
  <c r="E168" i="5"/>
  <c r="K168" i="5"/>
  <c r="L70" i="4"/>
  <c r="Q168" i="5"/>
  <c r="M70" i="4"/>
  <c r="R168" i="5"/>
  <c r="T168" i="5"/>
  <c r="U168" i="5"/>
  <c r="P70" i="4"/>
  <c r="W168" i="5"/>
  <c r="Q70" i="4"/>
  <c r="X168" i="5"/>
  <c r="S70" i="4"/>
  <c r="AA168" i="5"/>
  <c r="AI70" i="4"/>
  <c r="T70" i="4" a="1"/>
  <c r="T70" i="4"/>
  <c r="AC168" i="5"/>
  <c r="U70" i="4" a="1"/>
  <c r="U70" i="4"/>
  <c r="AD168" i="5"/>
  <c r="X70" i="4"/>
  <c r="AI168" i="5"/>
  <c r="Y70" i="4"/>
  <c r="AJ168" i="5"/>
  <c r="Z70" i="4"/>
  <c r="AL168" i="5"/>
  <c r="F168" i="5"/>
  <c r="H168" i="5"/>
  <c r="I168" i="5"/>
  <c r="L168" i="5"/>
  <c r="N168" i="5"/>
  <c r="O168" i="5"/>
  <c r="Z168" i="5"/>
  <c r="AN168" i="5"/>
  <c r="AG169" i="5"/>
  <c r="AF169" i="5"/>
  <c r="B101" i="4"/>
  <c r="C101" i="4"/>
  <c r="C169" i="5"/>
  <c r="E169" i="5"/>
  <c r="K169" i="5"/>
  <c r="L101" i="4"/>
  <c r="Q169" i="5"/>
  <c r="M101" i="4"/>
  <c r="R169" i="5"/>
  <c r="T169" i="5"/>
  <c r="O101" i="4"/>
  <c r="U169" i="5"/>
  <c r="P101" i="4"/>
  <c r="W169" i="5"/>
  <c r="Q101" i="4"/>
  <c r="X169" i="5"/>
  <c r="S101" i="4"/>
  <c r="AA169" i="5"/>
  <c r="AI101" i="4"/>
  <c r="T101" i="4" a="1"/>
  <c r="T101" i="4"/>
  <c r="AC169" i="5"/>
  <c r="U101" i="4" a="1"/>
  <c r="U101" i="4"/>
  <c r="AD169" i="5"/>
  <c r="X101" i="4"/>
  <c r="AI169" i="5"/>
  <c r="Y101" i="4"/>
  <c r="AJ169" i="5"/>
  <c r="Z101" i="4"/>
  <c r="AL169" i="5"/>
  <c r="F169" i="5"/>
  <c r="H169" i="5"/>
  <c r="I169" i="5"/>
  <c r="L169" i="5"/>
  <c r="N169" i="5"/>
  <c r="O169" i="5"/>
  <c r="Z169" i="5"/>
  <c r="AN169" i="5"/>
  <c r="AG170" i="5"/>
  <c r="AF170" i="5"/>
  <c r="B71" i="4"/>
  <c r="C71" i="4"/>
  <c r="C170" i="5"/>
  <c r="D71" i="4"/>
  <c r="E170" i="5"/>
  <c r="H71" i="4"/>
  <c r="K170" i="5"/>
  <c r="L71" i="4"/>
  <c r="Q170" i="5"/>
  <c r="M71" i="4"/>
  <c r="R170" i="5"/>
  <c r="T170" i="5"/>
  <c r="O71" i="4"/>
  <c r="U170" i="5"/>
  <c r="P71" i="4"/>
  <c r="W170" i="5"/>
  <c r="Q71" i="4"/>
  <c r="X170" i="5"/>
  <c r="S71" i="4"/>
  <c r="AA170" i="5"/>
  <c r="AI71" i="4"/>
  <c r="T71" i="4" a="1"/>
  <c r="T71" i="4"/>
  <c r="AC170" i="5"/>
  <c r="U71" i="4" a="1"/>
  <c r="U71" i="4"/>
  <c r="AD170" i="5"/>
  <c r="X71" i="4"/>
  <c r="AI170" i="5"/>
  <c r="Y71" i="4"/>
  <c r="AJ170" i="5"/>
  <c r="Z71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72" i="4"/>
  <c r="C72" i="4"/>
  <c r="C172" i="5"/>
  <c r="D72" i="4"/>
  <c r="E172" i="5"/>
  <c r="K172" i="5"/>
  <c r="L72" i="4"/>
  <c r="Q172" i="5"/>
  <c r="M72" i="4"/>
  <c r="R172" i="5"/>
  <c r="T172" i="5"/>
  <c r="U172" i="5"/>
  <c r="P72" i="4"/>
  <c r="W172" i="5"/>
  <c r="Q72" i="4"/>
  <c r="X172" i="5"/>
  <c r="AA172" i="5"/>
  <c r="AI72" i="4"/>
  <c r="T72" i="4" a="1"/>
  <c r="T72" i="4"/>
  <c r="AC172" i="5"/>
  <c r="U72" i="4" a="1"/>
  <c r="U72" i="4"/>
  <c r="AD172" i="5"/>
  <c r="AI172" i="5"/>
  <c r="Y72" i="4"/>
  <c r="AJ172" i="5"/>
  <c r="Z72" i="4"/>
  <c r="AL172" i="5"/>
  <c r="F172" i="5"/>
  <c r="H172" i="5"/>
  <c r="I172" i="5"/>
  <c r="L172" i="5"/>
  <c r="N172" i="5"/>
  <c r="O172" i="5"/>
  <c r="Z172" i="5"/>
  <c r="AN172" i="5"/>
  <c r="B7" i="4"/>
  <c r="S7" i="4"/>
  <c r="AA173" i="5"/>
  <c r="P7" i="4"/>
  <c r="W173" i="5"/>
  <c r="O173" i="5"/>
  <c r="K173" i="5"/>
  <c r="AG173" i="5"/>
  <c r="AF173" i="5"/>
  <c r="C7" i="4"/>
  <c r="C173" i="5"/>
  <c r="D7" i="4"/>
  <c r="E173" i="5"/>
  <c r="E7" i="4"/>
  <c r="F173" i="5"/>
  <c r="F7" i="4"/>
  <c r="H173" i="5"/>
  <c r="I173" i="5"/>
  <c r="L7" i="4"/>
  <c r="Q173" i="5"/>
  <c r="M7" i="4"/>
  <c r="R173" i="5"/>
  <c r="T173" i="5"/>
  <c r="O7" i="4"/>
  <c r="U173" i="5"/>
  <c r="Q7" i="4"/>
  <c r="X173" i="5"/>
  <c r="R18" i="2"/>
  <c r="R7" i="4"/>
  <c r="Z173" i="5"/>
  <c r="AI7" i="4"/>
  <c r="T7" i="4" a="1"/>
  <c r="T7" i="4"/>
  <c r="AC173" i="5"/>
  <c r="U7" i="4" a="1"/>
  <c r="U7" i="4"/>
  <c r="AD173" i="5"/>
  <c r="X7" i="4"/>
  <c r="AI173" i="5"/>
  <c r="Y7" i="4"/>
  <c r="AJ173" i="5"/>
  <c r="Z7" i="4"/>
  <c r="AL173" i="5"/>
  <c r="AN173" i="5"/>
  <c r="B8" i="4"/>
  <c r="S8" i="4"/>
  <c r="AA174" i="5"/>
  <c r="P8" i="4"/>
  <c r="W174" i="5"/>
  <c r="O174" i="5"/>
  <c r="H2" i="2"/>
  <c r="H8" i="4"/>
  <c r="K174" i="5"/>
  <c r="AG174" i="5"/>
  <c r="AF174" i="5"/>
  <c r="C8" i="4"/>
  <c r="C174" i="5"/>
  <c r="D8" i="4"/>
  <c r="E174" i="5"/>
  <c r="E2" i="2"/>
  <c r="E8" i="4"/>
  <c r="F174" i="5"/>
  <c r="F2" i="2"/>
  <c r="F8" i="4"/>
  <c r="H174" i="5"/>
  <c r="I174" i="5"/>
  <c r="I2" i="2"/>
  <c r="I8" i="4"/>
  <c r="L174" i="5"/>
  <c r="J2" i="2"/>
  <c r="J8" i="4"/>
  <c r="N174" i="5"/>
  <c r="L8" i="4"/>
  <c r="Q174" i="5"/>
  <c r="M8" i="4"/>
  <c r="R174" i="5"/>
  <c r="T174" i="5"/>
  <c r="U174" i="5"/>
  <c r="Q8" i="4"/>
  <c r="X174" i="5"/>
  <c r="R2" i="2"/>
  <c r="R8" i="4"/>
  <c r="Z174" i="5"/>
  <c r="AI8" i="4"/>
  <c r="T8" i="4" a="1"/>
  <c r="T8" i="4"/>
  <c r="AC174" i="5"/>
  <c r="U8" i="4" a="1"/>
  <c r="U8" i="4"/>
  <c r="AD174" i="5"/>
  <c r="X8" i="4"/>
  <c r="AI174" i="5"/>
  <c r="Y8" i="4"/>
  <c r="AJ174" i="5"/>
  <c r="Z8" i="4"/>
  <c r="AL174" i="5"/>
  <c r="AN174" i="5"/>
  <c r="AA175" i="5"/>
  <c r="P102" i="4"/>
  <c r="W175" i="5"/>
  <c r="O175" i="5"/>
  <c r="K175" i="5"/>
  <c r="AG175" i="5"/>
  <c r="AF175" i="5"/>
  <c r="C102" i="4"/>
  <c r="C175" i="5"/>
  <c r="D102" i="4"/>
  <c r="E175" i="5"/>
  <c r="L175" i="5"/>
  <c r="N175" i="5"/>
  <c r="L102" i="4"/>
  <c r="Q175" i="5"/>
  <c r="O102" i="4"/>
  <c r="U175" i="5"/>
  <c r="Q102" i="4"/>
  <c r="X175" i="5"/>
  <c r="R102" i="4"/>
  <c r="Z175" i="5"/>
  <c r="AI102" i="4"/>
  <c r="T102" i="4" a="1"/>
  <c r="T102" i="4"/>
  <c r="AC175" i="5"/>
  <c r="AD175" i="5"/>
  <c r="X102" i="4"/>
  <c r="AI175" i="5"/>
  <c r="Y102" i="4"/>
  <c r="AJ175" i="5"/>
  <c r="Z102" i="4"/>
  <c r="AL175" i="5"/>
  <c r="F175" i="5"/>
  <c r="R175" i="5"/>
  <c r="T175" i="5"/>
  <c r="H175" i="5"/>
  <c r="I175" i="5"/>
  <c r="AN175" i="5"/>
  <c r="AA176" i="5"/>
  <c r="P73" i="4"/>
  <c r="W176" i="5"/>
  <c r="O176" i="5"/>
  <c r="K176" i="5"/>
  <c r="AG176" i="5"/>
  <c r="AF176" i="5"/>
  <c r="C73" i="4"/>
  <c r="C176" i="5"/>
  <c r="D73" i="4"/>
  <c r="E176" i="5"/>
  <c r="L176" i="5"/>
  <c r="N176" i="5"/>
  <c r="L73" i="4"/>
  <c r="Q176" i="5"/>
  <c r="O73" i="4"/>
  <c r="U176" i="5"/>
  <c r="Q73" i="4"/>
  <c r="X176" i="5"/>
  <c r="R73" i="4"/>
  <c r="Z176" i="5"/>
  <c r="AI73" i="4"/>
  <c r="T73" i="4" a="1"/>
  <c r="T73" i="4"/>
  <c r="AC176" i="5"/>
  <c r="AD176" i="5"/>
  <c r="X73" i="4"/>
  <c r="AI176" i="5"/>
  <c r="Y73" i="4"/>
  <c r="AJ176" i="5"/>
  <c r="Z73" i="4"/>
  <c r="AL176" i="5"/>
  <c r="F176" i="5"/>
  <c r="R176" i="5"/>
  <c r="T176" i="5"/>
  <c r="H176" i="5"/>
  <c r="I176" i="5"/>
  <c r="AN176" i="5"/>
  <c r="AA177" i="5"/>
  <c r="P74" i="4"/>
  <c r="W177" i="5"/>
  <c r="O177" i="5"/>
  <c r="H74" i="4"/>
  <c r="K177" i="5"/>
  <c r="AG177" i="5"/>
  <c r="AF177" i="5"/>
  <c r="C74" i="4"/>
  <c r="C177" i="5"/>
  <c r="D74" i="4"/>
  <c r="E177" i="5"/>
  <c r="L177" i="5"/>
  <c r="J74" i="4"/>
  <c r="N177" i="5"/>
  <c r="L74" i="4"/>
  <c r="Q177" i="5"/>
  <c r="M74" i="4"/>
  <c r="R177" i="5"/>
  <c r="T177" i="5"/>
  <c r="O74" i="4"/>
  <c r="U177" i="5"/>
  <c r="Q74" i="4"/>
  <c r="X177" i="5"/>
  <c r="R74" i="4"/>
  <c r="Z177" i="5"/>
  <c r="AI74" i="4"/>
  <c r="T74" i="4" a="1"/>
  <c r="T74" i="4"/>
  <c r="AC177" i="5"/>
  <c r="AD177" i="5"/>
  <c r="X74" i="4"/>
  <c r="AI177" i="5"/>
  <c r="Y74" i="4"/>
  <c r="AJ177" i="5"/>
  <c r="Z74" i="4"/>
  <c r="AL177" i="5"/>
  <c r="F177" i="5"/>
  <c r="H177" i="5"/>
  <c r="I177" i="5"/>
  <c r="AN177" i="5"/>
  <c r="AG178" i="5"/>
  <c r="AF178" i="5"/>
  <c r="B130" i="4"/>
  <c r="C130" i="4"/>
  <c r="C178" i="5"/>
  <c r="D130" i="4"/>
  <c r="E178" i="5"/>
  <c r="H130" i="4"/>
  <c r="K178" i="5"/>
  <c r="L130" i="4"/>
  <c r="Q178" i="5"/>
  <c r="M130" i="4"/>
  <c r="R178" i="5"/>
  <c r="T178" i="5"/>
  <c r="U178" i="5"/>
  <c r="P130" i="4"/>
  <c r="W178" i="5"/>
  <c r="Q130" i="4"/>
  <c r="X178" i="5"/>
  <c r="S130" i="4"/>
  <c r="AA178" i="5"/>
  <c r="AI130" i="4"/>
  <c r="T130" i="4" a="1"/>
  <c r="T130" i="4"/>
  <c r="AC178" i="5"/>
  <c r="U130" i="4" a="1"/>
  <c r="U130" i="4"/>
  <c r="AD178" i="5"/>
  <c r="X130" i="4"/>
  <c r="AI178" i="5"/>
  <c r="Y130" i="4"/>
  <c r="AJ178" i="5"/>
  <c r="Z130" i="4"/>
  <c r="AL178" i="5"/>
  <c r="F178" i="5"/>
  <c r="L178" i="5"/>
  <c r="N178" i="5"/>
  <c r="O178" i="5"/>
  <c r="Z178" i="5"/>
  <c r="H178" i="5"/>
  <c r="I178" i="5"/>
  <c r="AN178" i="5"/>
  <c r="AG179" i="5"/>
  <c r="AF179" i="5"/>
  <c r="B195" i="4"/>
  <c r="C195" i="4"/>
  <c r="C179" i="5"/>
  <c r="D195" i="4"/>
  <c r="E179" i="5"/>
  <c r="E195" i="4"/>
  <c r="F179" i="5"/>
  <c r="F195" i="4"/>
  <c r="H179" i="5"/>
  <c r="I179" i="5"/>
  <c r="H195" i="4"/>
  <c r="K179" i="5"/>
  <c r="L195" i="4"/>
  <c r="Q179" i="5"/>
  <c r="M195" i="4"/>
  <c r="R179" i="5"/>
  <c r="T179" i="5"/>
  <c r="O195" i="4"/>
  <c r="U179" i="5"/>
  <c r="P195" i="4"/>
  <c r="W179" i="5"/>
  <c r="Q195" i="4"/>
  <c r="X179" i="5"/>
  <c r="S195" i="4"/>
  <c r="AA179" i="5"/>
  <c r="AI195" i="4"/>
  <c r="T195" i="4" a="1"/>
  <c r="T195" i="4"/>
  <c r="AC179" i="5"/>
  <c r="U195" i="4" a="1"/>
  <c r="U195" i="4"/>
  <c r="AD179" i="5"/>
  <c r="X195" i="4"/>
  <c r="AI179" i="5"/>
  <c r="Y195" i="4"/>
  <c r="AJ179" i="5"/>
  <c r="Z195" i="4"/>
  <c r="AL179" i="5"/>
  <c r="L179" i="5"/>
  <c r="N179" i="5"/>
  <c r="O179" i="5"/>
  <c r="Z179" i="5"/>
  <c r="AN179" i="5"/>
  <c r="B56" i="4"/>
  <c r="S56" i="4"/>
  <c r="AA180" i="5"/>
  <c r="P56" i="4"/>
  <c r="W180" i="5"/>
  <c r="O180" i="5"/>
  <c r="K180" i="5"/>
  <c r="AG180" i="5"/>
  <c r="AF180" i="5"/>
  <c r="C56" i="4"/>
  <c r="C180" i="5"/>
  <c r="D56" i="4"/>
  <c r="E180" i="5"/>
  <c r="E56" i="4"/>
  <c r="F180" i="5"/>
  <c r="F56" i="4"/>
  <c r="H180" i="5"/>
  <c r="I180" i="5"/>
  <c r="I56" i="4"/>
  <c r="L180" i="5"/>
  <c r="J56" i="4"/>
  <c r="N180" i="5"/>
  <c r="L56" i="4"/>
  <c r="Q180" i="5"/>
  <c r="M56" i="4"/>
  <c r="R180" i="5"/>
  <c r="T180" i="5"/>
  <c r="U180" i="5"/>
  <c r="Q56" i="4"/>
  <c r="X180" i="5"/>
  <c r="R56" i="4"/>
  <c r="Z180" i="5"/>
  <c r="AI56" i="4"/>
  <c r="T56" i="4" a="1"/>
  <c r="T56" i="4"/>
  <c r="AC180" i="5"/>
  <c r="U56" i="4" a="1"/>
  <c r="U56" i="4"/>
  <c r="AD180" i="5"/>
  <c r="AI180" i="5"/>
  <c r="Y56" i="4"/>
  <c r="AJ180" i="5"/>
  <c r="Z56" i="4"/>
  <c r="AL180" i="5"/>
  <c r="AN180" i="5"/>
  <c r="B9" i="4"/>
  <c r="S9" i="4"/>
  <c r="AA181" i="5"/>
  <c r="P9" i="4"/>
  <c r="W181" i="5"/>
  <c r="O181" i="5"/>
  <c r="H9" i="4"/>
  <c r="K181" i="5"/>
  <c r="AG181" i="5"/>
  <c r="AF181" i="5"/>
  <c r="C9" i="4"/>
  <c r="C181" i="5"/>
  <c r="D9" i="4"/>
  <c r="E181" i="5"/>
  <c r="E9" i="4"/>
  <c r="F181" i="5"/>
  <c r="F9" i="4"/>
  <c r="H181" i="5"/>
  <c r="I181" i="5"/>
  <c r="I22" i="2"/>
  <c r="I9" i="4"/>
  <c r="L181" i="5"/>
  <c r="J22" i="2"/>
  <c r="J9" i="4"/>
  <c r="N181" i="5"/>
  <c r="L9" i="4"/>
  <c r="Q181" i="5"/>
  <c r="M9" i="4"/>
  <c r="R181" i="5"/>
  <c r="T181" i="5"/>
  <c r="U181" i="5"/>
  <c r="Q9" i="4"/>
  <c r="X181" i="5"/>
  <c r="R22" i="2"/>
  <c r="R9" i="4"/>
  <c r="Z181" i="5"/>
  <c r="AI9" i="4"/>
  <c r="T9" i="4" a="1"/>
  <c r="T9" i="4"/>
  <c r="AC181" i="5"/>
  <c r="U9" i="4" a="1"/>
  <c r="U9" i="4"/>
  <c r="AD181" i="5"/>
  <c r="X9" i="4"/>
  <c r="AI181" i="5"/>
  <c r="Y9" i="4"/>
  <c r="AJ181" i="5"/>
  <c r="Z9" i="4"/>
  <c r="AL181" i="5"/>
  <c r="AN181" i="5"/>
  <c r="B43" i="4"/>
  <c r="S43" i="4"/>
  <c r="AA182" i="5"/>
  <c r="P43" i="4"/>
  <c r="W182" i="5"/>
  <c r="O182" i="5"/>
  <c r="H43" i="4"/>
  <c r="K182" i="5"/>
  <c r="AG182" i="5"/>
  <c r="AF182" i="5"/>
  <c r="C43" i="4"/>
  <c r="C182" i="5"/>
  <c r="D43" i="4"/>
  <c r="E182" i="5"/>
  <c r="E43" i="4"/>
  <c r="F182" i="5"/>
  <c r="F43" i="4"/>
  <c r="H182" i="5"/>
  <c r="I182" i="5"/>
  <c r="I43" i="4"/>
  <c r="L182" i="5"/>
  <c r="J43" i="4"/>
  <c r="N182" i="5"/>
  <c r="L43" i="4"/>
  <c r="Q182" i="5"/>
  <c r="M43" i="4"/>
  <c r="R182" i="5"/>
  <c r="T182" i="5"/>
  <c r="U182" i="5"/>
  <c r="Q43" i="4"/>
  <c r="X182" i="5"/>
  <c r="R43" i="4"/>
  <c r="Z182" i="5"/>
  <c r="AI43" i="4"/>
  <c r="T43" i="4" a="1"/>
  <c r="T43" i="4"/>
  <c r="AC182" i="5"/>
  <c r="U43" i="4" a="1"/>
  <c r="U43" i="4"/>
  <c r="AD182" i="5"/>
  <c r="AI182" i="5"/>
  <c r="Y43" i="4"/>
  <c r="AJ182" i="5"/>
  <c r="Z43" i="4"/>
  <c r="AL182" i="5"/>
  <c r="AN182" i="5"/>
  <c r="B6" i="4"/>
  <c r="S6" i="4"/>
  <c r="AA183" i="5"/>
  <c r="P6" i="4"/>
  <c r="W183" i="5"/>
  <c r="O183" i="5"/>
  <c r="K183" i="5"/>
  <c r="AG183" i="5"/>
  <c r="AF183" i="5"/>
  <c r="C6" i="4"/>
  <c r="C183" i="5"/>
  <c r="D6" i="4"/>
  <c r="E183" i="5"/>
  <c r="E6" i="4"/>
  <c r="F183" i="5"/>
  <c r="F6" i="4"/>
  <c r="H183" i="5"/>
  <c r="I183" i="5"/>
  <c r="I6" i="4"/>
  <c r="L183" i="5"/>
  <c r="J6" i="4"/>
  <c r="N183" i="5"/>
  <c r="L6" i="4"/>
  <c r="Q183" i="5"/>
  <c r="M6" i="4"/>
  <c r="R183" i="5"/>
  <c r="T183" i="5"/>
  <c r="U183" i="5"/>
  <c r="Q6" i="4"/>
  <c r="X183" i="5"/>
  <c r="R6" i="4"/>
  <c r="Z183" i="5"/>
  <c r="AI6" i="4"/>
  <c r="T6" i="4" a="1"/>
  <c r="T6" i="4"/>
  <c r="AC183" i="5"/>
  <c r="U6" i="4" a="1"/>
  <c r="U6" i="4"/>
  <c r="AD183" i="5"/>
  <c r="X6" i="4"/>
  <c r="AI183" i="5"/>
  <c r="Y6" i="4"/>
  <c r="AJ183" i="5"/>
  <c r="Z6" i="4"/>
  <c r="AL183" i="5"/>
  <c r="AN183" i="5"/>
  <c r="B10" i="4"/>
  <c r="S10" i="4"/>
  <c r="AA184" i="5"/>
  <c r="P10" i="4"/>
  <c r="W184" i="5"/>
  <c r="O184" i="5"/>
  <c r="K184" i="5"/>
  <c r="AG184" i="5"/>
  <c r="AF184" i="5"/>
  <c r="C10" i="4"/>
  <c r="C184" i="5"/>
  <c r="D10" i="4"/>
  <c r="E184" i="5"/>
  <c r="E10" i="4"/>
  <c r="F184" i="5"/>
  <c r="F10" i="4"/>
  <c r="H184" i="5"/>
  <c r="I184" i="5"/>
  <c r="I10" i="4"/>
  <c r="L184" i="5"/>
  <c r="J10" i="4"/>
  <c r="N184" i="5"/>
  <c r="L10" i="4"/>
  <c r="Q184" i="5"/>
  <c r="M10" i="4"/>
  <c r="R184" i="5"/>
  <c r="T184" i="5"/>
  <c r="U184" i="5"/>
  <c r="Q10" i="4"/>
  <c r="X184" i="5"/>
  <c r="R10" i="4"/>
  <c r="Z184" i="5"/>
  <c r="AI10" i="4"/>
  <c r="T10" i="4" a="1"/>
  <c r="T10" i="4"/>
  <c r="AC184" i="5"/>
  <c r="U10" i="4" a="1"/>
  <c r="U10" i="4"/>
  <c r="AD184" i="5"/>
  <c r="X10" i="4"/>
  <c r="AI184" i="5"/>
  <c r="Y10" i="4"/>
  <c r="AJ184" i="5"/>
  <c r="Z10" i="4"/>
  <c r="AL184" i="5"/>
  <c r="AN184" i="5"/>
  <c r="S11" i="4"/>
  <c r="AA185" i="5"/>
  <c r="P11" i="4"/>
  <c r="W185" i="5"/>
  <c r="O185" i="5"/>
  <c r="H11" i="4"/>
  <c r="K185" i="5"/>
  <c r="AG185" i="5"/>
  <c r="AF185" i="5"/>
  <c r="C11" i="4"/>
  <c r="C185" i="5"/>
  <c r="D11" i="4"/>
  <c r="E185" i="5"/>
  <c r="E11" i="4"/>
  <c r="F185" i="5"/>
  <c r="F11" i="4"/>
  <c r="H185" i="5"/>
  <c r="I185" i="5"/>
  <c r="I11" i="4"/>
  <c r="L185" i="5"/>
  <c r="J11" i="4"/>
  <c r="N185" i="5"/>
  <c r="L11" i="4"/>
  <c r="Q185" i="5"/>
  <c r="M11" i="4"/>
  <c r="R185" i="5"/>
  <c r="T185" i="5"/>
  <c r="O11" i="4"/>
  <c r="U185" i="5"/>
  <c r="Q11" i="4"/>
  <c r="X185" i="5"/>
  <c r="R11" i="4"/>
  <c r="Z185" i="5"/>
  <c r="AI11" i="4"/>
  <c r="T11" i="4" a="1"/>
  <c r="T11" i="4"/>
  <c r="AC185" i="5"/>
  <c r="U11" i="4" a="1"/>
  <c r="U11" i="4"/>
  <c r="AD185" i="5"/>
  <c r="AI185" i="5"/>
  <c r="Y11" i="4"/>
  <c r="AJ185" i="5"/>
  <c r="Z11" i="4"/>
  <c r="AL185" i="5"/>
  <c r="AN185" i="5"/>
  <c r="S12" i="4"/>
  <c r="AA186" i="5"/>
  <c r="P12" i="4"/>
  <c r="W186" i="5"/>
  <c r="O186" i="5"/>
  <c r="K186" i="5"/>
  <c r="AG186" i="5"/>
  <c r="AF186" i="5"/>
  <c r="C12" i="4"/>
  <c r="C186" i="5"/>
  <c r="D12" i="4"/>
  <c r="E186" i="5"/>
  <c r="E12" i="4"/>
  <c r="F186" i="5"/>
  <c r="F12" i="4"/>
  <c r="H186" i="5"/>
  <c r="I186" i="5"/>
  <c r="I12" i="4"/>
  <c r="L186" i="5"/>
  <c r="J12" i="4"/>
  <c r="N186" i="5"/>
  <c r="L12" i="4"/>
  <c r="Q186" i="5"/>
  <c r="M12" i="4"/>
  <c r="R186" i="5"/>
  <c r="T186" i="5"/>
  <c r="U186" i="5"/>
  <c r="Q12" i="4"/>
  <c r="X186" i="5"/>
  <c r="R12" i="4"/>
  <c r="Z186" i="5"/>
  <c r="AI12" i="4"/>
  <c r="T12" i="4" a="1"/>
  <c r="T12" i="4"/>
  <c r="AC186" i="5"/>
  <c r="U12" i="4" a="1"/>
  <c r="U12" i="4"/>
  <c r="AD186" i="5"/>
  <c r="X12" i="4"/>
  <c r="AI186" i="5"/>
  <c r="Y12" i="4"/>
  <c r="AJ186" i="5"/>
  <c r="Z12" i="4"/>
  <c r="AL186" i="5"/>
  <c r="AN186" i="5"/>
  <c r="S13" i="4"/>
  <c r="AA187" i="5"/>
  <c r="P13" i="4"/>
  <c r="W187" i="5"/>
  <c r="O187" i="5"/>
  <c r="K187" i="5"/>
  <c r="AG187" i="5"/>
  <c r="AF187" i="5"/>
  <c r="C13" i="4"/>
  <c r="C187" i="5"/>
  <c r="D13" i="4"/>
  <c r="E187" i="5"/>
  <c r="E13" i="4"/>
  <c r="F187" i="5"/>
  <c r="F13" i="4"/>
  <c r="H187" i="5"/>
  <c r="I187" i="5"/>
  <c r="I34" i="2"/>
  <c r="I13" i="4"/>
  <c r="L187" i="5"/>
  <c r="J34" i="2"/>
  <c r="J13" i="4"/>
  <c r="N187" i="5"/>
  <c r="L13" i="4"/>
  <c r="Q187" i="5"/>
  <c r="M13" i="4"/>
  <c r="R187" i="5"/>
  <c r="T187" i="5"/>
  <c r="U187" i="5"/>
  <c r="Q13" i="4"/>
  <c r="X187" i="5"/>
  <c r="R13" i="4"/>
  <c r="Z187" i="5"/>
  <c r="AI13" i="4"/>
  <c r="T13" i="4" a="1"/>
  <c r="T13" i="4"/>
  <c r="AC187" i="5"/>
  <c r="U13" i="4" a="1"/>
  <c r="U13" i="4"/>
  <c r="AD187" i="5"/>
  <c r="AI187" i="5"/>
  <c r="Y13" i="4"/>
  <c r="AJ187" i="5"/>
  <c r="Z13" i="4"/>
  <c r="AL187" i="5"/>
  <c r="AN187" i="5"/>
  <c r="AA188" i="5"/>
  <c r="P87" i="4"/>
  <c r="W188" i="5"/>
  <c r="O188" i="5"/>
  <c r="K188" i="5"/>
  <c r="AG188" i="5"/>
  <c r="AF188" i="5"/>
  <c r="C87" i="4"/>
  <c r="C188" i="5"/>
  <c r="D87" i="4"/>
  <c r="E188" i="5"/>
  <c r="L188" i="5"/>
  <c r="N188" i="5"/>
  <c r="L87" i="4"/>
  <c r="Q188" i="5"/>
  <c r="O87" i="4"/>
  <c r="U188" i="5"/>
  <c r="Q87" i="4"/>
  <c r="X188" i="5"/>
  <c r="R87" i="4"/>
  <c r="Z188" i="5"/>
  <c r="AI87" i="4"/>
  <c r="T87" i="4" a="1"/>
  <c r="T87" i="4"/>
  <c r="AC188" i="5"/>
  <c r="AD188" i="5"/>
  <c r="X87" i="4"/>
  <c r="AI188" i="5"/>
  <c r="Y87" i="4"/>
  <c r="AJ188" i="5"/>
  <c r="Z87" i="4"/>
  <c r="AL188" i="5"/>
  <c r="R188" i="5"/>
  <c r="T188" i="5"/>
  <c r="F188" i="5"/>
  <c r="H188" i="5"/>
  <c r="I188" i="5"/>
  <c r="AN188" i="5"/>
  <c r="AG189" i="5"/>
  <c r="AF189" i="5"/>
  <c r="C161" i="4"/>
  <c r="C189" i="5"/>
  <c r="D161" i="4"/>
  <c r="E189" i="5"/>
  <c r="K189" i="5"/>
  <c r="L161" i="4"/>
  <c r="Q189" i="5"/>
  <c r="M161" i="4"/>
  <c r="R189" i="5"/>
  <c r="T189" i="5"/>
  <c r="O161" i="4"/>
  <c r="U189" i="5"/>
  <c r="P161" i="4"/>
  <c r="W189" i="5"/>
  <c r="Q161" i="4"/>
  <c r="X189" i="5"/>
  <c r="S161" i="4"/>
  <c r="AA189" i="5"/>
  <c r="AI161" i="4"/>
  <c r="T161" i="4" a="1"/>
  <c r="T161" i="4"/>
  <c r="AC189" i="5"/>
  <c r="U161" i="4" a="1"/>
  <c r="U161" i="4"/>
  <c r="AD189" i="5"/>
  <c r="X161" i="4"/>
  <c r="AI189" i="5"/>
  <c r="Y161" i="4"/>
  <c r="AJ189" i="5"/>
  <c r="Z161" i="4"/>
  <c r="AL189" i="5"/>
  <c r="F189" i="5"/>
  <c r="H189" i="5"/>
  <c r="I189" i="5"/>
  <c r="L189" i="5"/>
  <c r="N189" i="5"/>
  <c r="O189" i="5"/>
  <c r="Z189" i="5"/>
  <c r="AN189" i="5"/>
  <c r="AG190" i="5"/>
  <c r="AF190" i="5"/>
  <c r="C162" i="4"/>
  <c r="C190" i="5"/>
  <c r="T190" i="5"/>
  <c r="O162" i="4"/>
  <c r="U190" i="5"/>
  <c r="P162" i="4"/>
  <c r="W190" i="5"/>
  <c r="Q162" i="4"/>
  <c r="X190" i="5"/>
  <c r="AA190" i="5"/>
  <c r="AI162" i="4"/>
  <c r="T162" i="4" a="1"/>
  <c r="T162" i="4"/>
  <c r="AC190" i="5"/>
  <c r="U162" i="4" a="1"/>
  <c r="U162" i="4"/>
  <c r="AD190" i="5"/>
  <c r="X162" i="4"/>
  <c r="AI190" i="5"/>
  <c r="Y162" i="4"/>
  <c r="AJ190" i="5"/>
  <c r="Z162" i="4"/>
  <c r="AL190" i="5"/>
  <c r="F190" i="5"/>
  <c r="H190" i="5"/>
  <c r="I190" i="5"/>
  <c r="L190" i="5"/>
  <c r="N190" i="5"/>
  <c r="O190" i="5"/>
  <c r="Z190" i="5"/>
  <c r="AN190" i="5"/>
  <c r="AG191" i="5"/>
  <c r="AF191" i="5"/>
  <c r="C163" i="4"/>
  <c r="C191" i="5"/>
  <c r="T191" i="5"/>
  <c r="O163" i="4"/>
  <c r="U191" i="5"/>
  <c r="P163" i="4"/>
  <c r="W191" i="5"/>
  <c r="Q163" i="4"/>
  <c r="X191" i="5"/>
  <c r="AA191" i="5"/>
  <c r="AI163" i="4"/>
  <c r="T163" i="4" a="1"/>
  <c r="T163" i="4"/>
  <c r="AC191" i="5"/>
  <c r="U163" i="4" a="1"/>
  <c r="U163" i="4"/>
  <c r="AD191" i="5"/>
  <c r="X163" i="4"/>
  <c r="AI191" i="5"/>
  <c r="Y163" i="4"/>
  <c r="AJ191" i="5"/>
  <c r="Z163" i="4"/>
  <c r="AL191" i="5"/>
  <c r="F191" i="5"/>
  <c r="H191" i="5"/>
  <c r="I191" i="5"/>
  <c r="L191" i="5"/>
  <c r="N191" i="5"/>
  <c r="O191" i="5"/>
  <c r="Z191" i="5"/>
  <c r="AN191" i="5"/>
  <c r="AG192" i="5"/>
  <c r="AF192" i="5"/>
  <c r="C145" i="4"/>
  <c r="C192" i="5"/>
  <c r="D145" i="4"/>
  <c r="E192" i="5"/>
  <c r="H145" i="4"/>
  <c r="K192" i="5"/>
  <c r="L145" i="4"/>
  <c r="Q192" i="5"/>
  <c r="M145" i="4"/>
  <c r="R192" i="5"/>
  <c r="T192" i="5"/>
  <c r="O145" i="4"/>
  <c r="U192" i="5"/>
  <c r="P145" i="4"/>
  <c r="W192" i="5"/>
  <c r="Q145" i="4"/>
  <c r="X192" i="5"/>
  <c r="AA192" i="5"/>
  <c r="AI145" i="4"/>
  <c r="T145" i="4" a="1"/>
  <c r="T145" i="4"/>
  <c r="AC192" i="5"/>
  <c r="U145" i="4" a="1"/>
  <c r="U145" i="4"/>
  <c r="AD192" i="5"/>
  <c r="X145" i="4"/>
  <c r="AI192" i="5"/>
  <c r="Y145" i="4"/>
  <c r="AJ192" i="5"/>
  <c r="Z145" i="4"/>
  <c r="AL192" i="5"/>
  <c r="F192" i="5"/>
  <c r="H192" i="5"/>
  <c r="I192" i="5"/>
  <c r="L192" i="5"/>
  <c r="N192" i="5"/>
  <c r="O192" i="5"/>
  <c r="Z192" i="5"/>
  <c r="AN192" i="5"/>
  <c r="AG193" i="5"/>
  <c r="AF193" i="5"/>
  <c r="B196" i="4"/>
  <c r="C196" i="4"/>
  <c r="C193" i="5"/>
  <c r="D196" i="4"/>
  <c r="E193" i="5"/>
  <c r="H196" i="4"/>
  <c r="K193" i="5"/>
  <c r="L196" i="4"/>
  <c r="Q193" i="5"/>
  <c r="M196" i="4"/>
  <c r="R193" i="5"/>
  <c r="T193" i="5"/>
  <c r="U193" i="5"/>
  <c r="P196" i="4"/>
  <c r="W193" i="5"/>
  <c r="Q196" i="4"/>
  <c r="X193" i="5"/>
  <c r="S196" i="4"/>
  <c r="AA193" i="5"/>
  <c r="AI196" i="4"/>
  <c r="T196" i="4" a="1"/>
  <c r="T196" i="4"/>
  <c r="AC193" i="5"/>
  <c r="U196" i="4" a="1"/>
  <c r="U196" i="4"/>
  <c r="AD193" i="5"/>
  <c r="X196" i="4"/>
  <c r="AI193" i="5"/>
  <c r="Y196" i="4"/>
  <c r="AJ193" i="5"/>
  <c r="Z196" i="4"/>
  <c r="AL193" i="5"/>
  <c r="F193" i="5"/>
  <c r="H193" i="5"/>
  <c r="I193" i="5"/>
  <c r="L193" i="5"/>
  <c r="N193" i="5"/>
  <c r="O193" i="5"/>
  <c r="Z193" i="5"/>
  <c r="AN193" i="5"/>
  <c r="AG194" i="5"/>
  <c r="AF194" i="5"/>
  <c r="B229" i="4"/>
  <c r="C229" i="4"/>
  <c r="C194" i="5"/>
  <c r="D229" i="4"/>
  <c r="E194" i="5"/>
  <c r="K194" i="5"/>
  <c r="L229" i="4"/>
  <c r="Q194" i="5"/>
  <c r="M229" i="4"/>
  <c r="R194" i="5"/>
  <c r="T194" i="5"/>
  <c r="O229" i="4"/>
  <c r="U194" i="5"/>
  <c r="P229" i="4"/>
  <c r="W194" i="5"/>
  <c r="Q229" i="4"/>
  <c r="X194" i="5"/>
  <c r="S229" i="4"/>
  <c r="AA194" i="5"/>
  <c r="AI229" i="4"/>
  <c r="T229" i="4" a="1"/>
  <c r="T229" i="4"/>
  <c r="AC194" i="5"/>
  <c r="U229" i="4" a="1"/>
  <c r="U229" i="4"/>
  <c r="AD194" i="5"/>
  <c r="X229" i="4"/>
  <c r="AI194" i="5"/>
  <c r="Y229" i="4"/>
  <c r="AJ194" i="5"/>
  <c r="Z229" i="4"/>
  <c r="AL194" i="5"/>
  <c r="F194" i="5"/>
  <c r="H194" i="5"/>
  <c r="I194" i="5"/>
  <c r="L194" i="5"/>
  <c r="N194" i="5"/>
  <c r="O194" i="5"/>
  <c r="Z194" i="5"/>
  <c r="AN194" i="5"/>
  <c r="AG195" i="5"/>
  <c r="AF195" i="5"/>
  <c r="B170" i="4"/>
  <c r="C170" i="4"/>
  <c r="C195" i="5"/>
  <c r="D170" i="4"/>
  <c r="E195" i="5"/>
  <c r="K195" i="5"/>
  <c r="L170" i="4"/>
  <c r="Q195" i="5"/>
  <c r="M170" i="4"/>
  <c r="R195" i="5"/>
  <c r="T195" i="5"/>
  <c r="O170" i="4"/>
  <c r="U195" i="5"/>
  <c r="P170" i="4"/>
  <c r="W195" i="5"/>
  <c r="Q170" i="4"/>
  <c r="X195" i="5"/>
  <c r="S170" i="4"/>
  <c r="AA195" i="5"/>
  <c r="AI170" i="4"/>
  <c r="T170" i="4" a="1"/>
  <c r="T170" i="4"/>
  <c r="AC195" i="5"/>
  <c r="U170" i="4" a="1"/>
  <c r="U170" i="4"/>
  <c r="AD195" i="5"/>
  <c r="X170" i="4"/>
  <c r="AI195" i="5"/>
  <c r="Y170" i="4"/>
  <c r="AJ195" i="5"/>
  <c r="Z170" i="4"/>
  <c r="AL195" i="5"/>
  <c r="F195" i="5"/>
  <c r="H195" i="5"/>
  <c r="I195" i="5"/>
  <c r="L195" i="5"/>
  <c r="N195" i="5"/>
  <c r="O195" i="5"/>
  <c r="Z195" i="5"/>
  <c r="AN195" i="5"/>
  <c r="AG196" i="5"/>
  <c r="AF196" i="5"/>
  <c r="C232" i="4"/>
  <c r="C196" i="5"/>
  <c r="T196" i="5"/>
  <c r="O232" i="4"/>
  <c r="U196" i="5"/>
  <c r="P232" i="4"/>
  <c r="W196" i="5"/>
  <c r="Q232" i="4"/>
  <c r="X196" i="5"/>
  <c r="S232" i="4"/>
  <c r="AA196" i="5"/>
  <c r="AI232" i="4"/>
  <c r="T232" i="4" a="1"/>
  <c r="T232" i="4"/>
  <c r="AC196" i="5"/>
  <c r="U232" i="4" a="1"/>
  <c r="U232" i="4"/>
  <c r="AD196" i="5"/>
  <c r="X232" i="4"/>
  <c r="AI196" i="5"/>
  <c r="Y232" i="4"/>
  <c r="AJ196" i="5"/>
  <c r="Z232" i="4"/>
  <c r="AL196" i="5"/>
  <c r="L196" i="5"/>
  <c r="N196" i="5"/>
  <c r="O196" i="5"/>
  <c r="Z196" i="5"/>
  <c r="AN196" i="5"/>
  <c r="AG197" i="5"/>
  <c r="AF197" i="5"/>
  <c r="C239" i="4"/>
  <c r="C197" i="5"/>
  <c r="D239" i="4"/>
  <c r="E197" i="5"/>
  <c r="H239" i="4"/>
  <c r="K197" i="5"/>
  <c r="I239" i="4"/>
  <c r="L197" i="5"/>
  <c r="J239" i="4"/>
  <c r="N197" i="5"/>
  <c r="O197" i="5"/>
  <c r="L239" i="4"/>
  <c r="Q197" i="5"/>
  <c r="M239" i="4"/>
  <c r="R197" i="5"/>
  <c r="T197" i="5"/>
  <c r="O239" i="4"/>
  <c r="U197" i="5"/>
  <c r="P239" i="4"/>
  <c r="W197" i="5"/>
  <c r="Q239" i="4"/>
  <c r="X197" i="5"/>
  <c r="S239" i="4"/>
  <c r="AA197" i="5"/>
  <c r="AI239" i="4"/>
  <c r="T239" i="4" a="1"/>
  <c r="T239" i="4"/>
  <c r="AC197" i="5"/>
  <c r="U239" i="4" a="1"/>
  <c r="U239" i="4"/>
  <c r="AD197" i="5"/>
  <c r="X239" i="4"/>
  <c r="AI197" i="5"/>
  <c r="Y239" i="4"/>
  <c r="AJ197" i="5"/>
  <c r="Z239" i="4"/>
  <c r="AL197" i="5"/>
  <c r="Z197" i="5"/>
  <c r="AN197" i="5"/>
  <c r="AG198" i="5"/>
  <c r="AF198" i="5"/>
  <c r="C263" i="4"/>
  <c r="C198" i="5"/>
  <c r="D263" i="4"/>
  <c r="E198" i="5"/>
  <c r="E263" i="4"/>
  <c r="F198" i="5"/>
  <c r="F263" i="4"/>
  <c r="H198" i="5"/>
  <c r="H263" i="4"/>
  <c r="K198" i="5"/>
  <c r="L263" i="4"/>
  <c r="Q198" i="5"/>
  <c r="M263" i="4"/>
  <c r="R198" i="5"/>
  <c r="T198" i="5"/>
  <c r="O263" i="4"/>
  <c r="U198" i="5"/>
  <c r="P263" i="4"/>
  <c r="W198" i="5"/>
  <c r="Q263" i="4"/>
  <c r="X198" i="5"/>
  <c r="S263" i="4"/>
  <c r="AA198" i="5"/>
  <c r="AI263" i="4"/>
  <c r="T263" i="4" a="1"/>
  <c r="T263" i="4"/>
  <c r="AC198" i="5"/>
  <c r="U263" i="4" a="1"/>
  <c r="U263" i="4"/>
  <c r="AD198" i="5"/>
  <c r="X263" i="4"/>
  <c r="AI198" i="5"/>
  <c r="Y263" i="4"/>
  <c r="AJ198" i="5"/>
  <c r="Z263" i="4"/>
  <c r="AL198" i="5"/>
  <c r="L198" i="5"/>
  <c r="N198" i="5"/>
  <c r="O198" i="5"/>
  <c r="Z198" i="5"/>
  <c r="AN198" i="5"/>
  <c r="AG199" i="5"/>
  <c r="AF199" i="5"/>
  <c r="B75" i="4"/>
  <c r="C75" i="4"/>
  <c r="C199" i="5"/>
  <c r="E199" i="5"/>
  <c r="F199" i="5"/>
  <c r="H199" i="5"/>
  <c r="I199" i="5"/>
  <c r="H75" i="4"/>
  <c r="K199" i="5"/>
  <c r="L75" i="4"/>
  <c r="Q199" i="5"/>
  <c r="M75" i="4"/>
  <c r="R199" i="5"/>
  <c r="T199" i="5"/>
  <c r="O75" i="4"/>
  <c r="U199" i="5"/>
  <c r="P75" i="4"/>
  <c r="W199" i="5"/>
  <c r="Q75" i="4"/>
  <c r="X199" i="5"/>
  <c r="S75" i="4"/>
  <c r="AA199" i="5"/>
  <c r="AI75" i="4"/>
  <c r="T75" i="4" a="1"/>
  <c r="T75" i="4"/>
  <c r="AC199" i="5"/>
  <c r="U75" i="4" a="1"/>
  <c r="U75" i="4"/>
  <c r="AD199" i="5"/>
  <c r="X75" i="4"/>
  <c r="AI199" i="5"/>
  <c r="Y75" i="4"/>
  <c r="AJ199" i="5"/>
  <c r="Z75" i="4"/>
  <c r="AL199" i="5"/>
  <c r="L199" i="5"/>
  <c r="N199" i="5"/>
  <c r="O199" i="5"/>
  <c r="Z199" i="5"/>
  <c r="AN199" i="5"/>
  <c r="AG200" i="5"/>
  <c r="AF200" i="5"/>
  <c r="B214" i="4"/>
  <c r="C214" i="4"/>
  <c r="C200" i="5"/>
  <c r="D214" i="4"/>
  <c r="E200" i="5"/>
  <c r="L214" i="4"/>
  <c r="Q200" i="5"/>
  <c r="M214" i="4"/>
  <c r="R200" i="5"/>
  <c r="T200" i="5"/>
  <c r="O214" i="4"/>
  <c r="U200" i="5"/>
  <c r="P214" i="4"/>
  <c r="W200" i="5"/>
  <c r="Q214" i="4"/>
  <c r="X200" i="5"/>
  <c r="S214" i="4"/>
  <c r="AA200" i="5"/>
  <c r="AI214" i="4"/>
  <c r="T214" i="4" a="1"/>
  <c r="T214" i="4"/>
  <c r="AC200" i="5"/>
  <c r="U214" i="4" a="1"/>
  <c r="U214" i="4"/>
  <c r="AD200" i="5"/>
  <c r="X214" i="4"/>
  <c r="AI200" i="5"/>
  <c r="Y214" i="4"/>
  <c r="AJ200" i="5"/>
  <c r="Z214" i="4"/>
  <c r="AL200" i="5"/>
  <c r="L200" i="5"/>
  <c r="N200" i="5"/>
  <c r="O200" i="5"/>
  <c r="F200" i="5"/>
  <c r="H200" i="5"/>
  <c r="I200" i="5"/>
  <c r="Z200" i="5"/>
  <c r="AN200" i="5"/>
  <c r="AG201" i="5"/>
  <c r="AF201" i="5"/>
  <c r="C133" i="4"/>
  <c r="C201" i="5"/>
  <c r="D133" i="4"/>
  <c r="E201" i="5"/>
  <c r="K201" i="5"/>
  <c r="L133" i="4"/>
  <c r="Q201" i="5"/>
  <c r="M133" i="4"/>
  <c r="R201" i="5"/>
  <c r="N35" i="2"/>
  <c r="N133" i="4"/>
  <c r="T201" i="5"/>
  <c r="O133" i="4"/>
  <c r="U201" i="5"/>
  <c r="P133" i="4"/>
  <c r="W201" i="5"/>
  <c r="Q133" i="4"/>
  <c r="X201" i="5"/>
  <c r="S133" i="4"/>
  <c r="AA201" i="5"/>
  <c r="AI133" i="4"/>
  <c r="T133" i="4" a="1"/>
  <c r="T133" i="4"/>
  <c r="AC201" i="5"/>
  <c r="U133" i="4" a="1"/>
  <c r="U133" i="4"/>
  <c r="AD201" i="5"/>
  <c r="X133" i="4"/>
  <c r="AI201" i="5"/>
  <c r="Y133" i="4"/>
  <c r="AJ201" i="5"/>
  <c r="Z133" i="4"/>
  <c r="AL201" i="5"/>
  <c r="L201" i="5"/>
  <c r="N201" i="5"/>
  <c r="O201" i="5"/>
  <c r="F201" i="5"/>
  <c r="H201" i="5"/>
  <c r="I201" i="5"/>
  <c r="Z201" i="5"/>
  <c r="AN201" i="5"/>
  <c r="AG202" i="5"/>
  <c r="AF202" i="5"/>
  <c r="C134" i="4"/>
  <c r="C202" i="5"/>
  <c r="D134" i="4"/>
  <c r="E202" i="5"/>
  <c r="K202" i="5"/>
  <c r="I35" i="2"/>
  <c r="I31" i="2"/>
  <c r="I134" i="4"/>
  <c r="L202" i="5"/>
  <c r="J35" i="2"/>
  <c r="J31" i="2"/>
  <c r="J134" i="4"/>
  <c r="N202" i="5"/>
  <c r="O202" i="5"/>
  <c r="L134" i="4"/>
  <c r="Q202" i="5"/>
  <c r="M134" i="4"/>
  <c r="R202" i="5"/>
  <c r="N31" i="2"/>
  <c r="N134" i="4"/>
  <c r="T202" i="5"/>
  <c r="O134" i="4"/>
  <c r="U202" i="5"/>
  <c r="P134" i="4"/>
  <c r="W202" i="5"/>
  <c r="Q134" i="4"/>
  <c r="X202" i="5"/>
  <c r="S134" i="4"/>
  <c r="AA202" i="5"/>
  <c r="AI134" i="4"/>
  <c r="T134" i="4" a="1"/>
  <c r="T134" i="4"/>
  <c r="AC202" i="5"/>
  <c r="U134" i="4" a="1"/>
  <c r="U134" i="4"/>
  <c r="AD202" i="5"/>
  <c r="X134" i="4"/>
  <c r="AI202" i="5"/>
  <c r="Y134" i="4"/>
  <c r="AJ202" i="5"/>
  <c r="Z134" i="4"/>
  <c r="AL202" i="5"/>
  <c r="F202" i="5"/>
  <c r="H202" i="5"/>
  <c r="I202" i="5"/>
  <c r="Z202" i="5"/>
  <c r="AN202" i="5"/>
  <c r="AG203" i="5"/>
  <c r="AF203" i="5"/>
  <c r="C135" i="4"/>
  <c r="C203" i="5"/>
  <c r="D135" i="4"/>
  <c r="E203" i="5"/>
  <c r="K203" i="5"/>
  <c r="L135" i="4"/>
  <c r="Q203" i="5"/>
  <c r="M135" i="4"/>
  <c r="R203" i="5"/>
  <c r="N135" i="4"/>
  <c r="T203" i="5"/>
  <c r="O135" i="4"/>
  <c r="U203" i="5"/>
  <c r="P135" i="4"/>
  <c r="W203" i="5"/>
  <c r="Q135" i="4"/>
  <c r="X203" i="5"/>
  <c r="S135" i="4"/>
  <c r="AA203" i="5"/>
  <c r="AI135" i="4"/>
  <c r="T135" i="4" a="1"/>
  <c r="T135" i="4"/>
  <c r="AC203" i="5"/>
  <c r="U135" i="4" a="1"/>
  <c r="U135" i="4"/>
  <c r="AD203" i="5"/>
  <c r="X135" i="4"/>
  <c r="AI203" i="5"/>
  <c r="Y135" i="4"/>
  <c r="AJ203" i="5"/>
  <c r="Z135" i="4"/>
  <c r="AL203" i="5"/>
  <c r="L203" i="5"/>
  <c r="N203" i="5"/>
  <c r="O203" i="5"/>
  <c r="F203" i="5"/>
  <c r="H203" i="5"/>
  <c r="I203" i="5"/>
  <c r="Z203" i="5"/>
  <c r="AN203" i="5"/>
  <c r="AG204" i="5"/>
  <c r="AF204" i="5"/>
  <c r="C136" i="4"/>
  <c r="C204" i="5"/>
  <c r="D136" i="4"/>
  <c r="E204" i="5"/>
  <c r="K204" i="5"/>
  <c r="L136" i="4"/>
  <c r="Q204" i="5"/>
  <c r="M136" i="4"/>
  <c r="R204" i="5"/>
  <c r="T204" i="5"/>
  <c r="U204" i="5"/>
  <c r="P136" i="4"/>
  <c r="W204" i="5"/>
  <c r="Q136" i="4"/>
  <c r="X204" i="5"/>
  <c r="S136" i="4"/>
  <c r="AA204" i="5"/>
  <c r="AI136" i="4"/>
  <c r="T136" i="4" a="1"/>
  <c r="T136" i="4"/>
  <c r="AC204" i="5"/>
  <c r="U136" i="4" a="1"/>
  <c r="U136" i="4"/>
  <c r="AD204" i="5"/>
  <c r="X136" i="4"/>
  <c r="AI204" i="5"/>
  <c r="Y136" i="4"/>
  <c r="AJ204" i="5"/>
  <c r="Z136" i="4"/>
  <c r="AL204" i="5"/>
  <c r="L204" i="5"/>
  <c r="N204" i="5"/>
  <c r="O204" i="5"/>
  <c r="F204" i="5"/>
  <c r="H204" i="5"/>
  <c r="I204" i="5"/>
  <c r="Z204" i="5"/>
  <c r="AN204" i="5"/>
  <c r="AG205" i="5"/>
  <c r="AF205" i="5"/>
  <c r="C137" i="4"/>
  <c r="C205" i="5"/>
  <c r="D137" i="4"/>
  <c r="E205" i="5"/>
  <c r="K205" i="5"/>
  <c r="I137" i="4"/>
  <c r="L205" i="5"/>
  <c r="J137" i="4"/>
  <c r="N205" i="5"/>
  <c r="O205" i="5"/>
  <c r="L137" i="4"/>
  <c r="Q205" i="5"/>
  <c r="M137" i="4"/>
  <c r="R205" i="5"/>
  <c r="N34" i="2"/>
  <c r="N137" i="4"/>
  <c r="T205" i="5"/>
  <c r="O137" i="4"/>
  <c r="U205" i="5"/>
  <c r="P137" i="4"/>
  <c r="W205" i="5"/>
  <c r="Q137" i="4"/>
  <c r="X205" i="5"/>
  <c r="S137" i="4"/>
  <c r="AA205" i="5"/>
  <c r="AI137" i="4"/>
  <c r="T137" i="4" a="1"/>
  <c r="T137" i="4"/>
  <c r="AC205" i="5"/>
  <c r="U137" i="4" a="1"/>
  <c r="U137" i="4"/>
  <c r="AD205" i="5"/>
  <c r="X137" i="4"/>
  <c r="AI205" i="5"/>
  <c r="Y137" i="4"/>
  <c r="AJ205" i="5"/>
  <c r="Z137" i="4"/>
  <c r="AL205" i="5"/>
  <c r="F205" i="5"/>
  <c r="H205" i="5"/>
  <c r="I205" i="5"/>
  <c r="Z205" i="5"/>
  <c r="AN205" i="5"/>
  <c r="AG206" i="5"/>
  <c r="AF206" i="5"/>
  <c r="C33" i="2"/>
  <c r="C138" i="4"/>
  <c r="C206" i="5"/>
  <c r="D33" i="2"/>
  <c r="D138" i="4"/>
  <c r="E206" i="5"/>
  <c r="K206" i="5"/>
  <c r="L33" i="2"/>
  <c r="L138" i="4"/>
  <c r="Q206" i="5"/>
  <c r="M33" i="2"/>
  <c r="M138" i="4"/>
  <c r="R206" i="5"/>
  <c r="N33" i="2"/>
  <c r="N138" i="4"/>
  <c r="T206" i="5"/>
  <c r="O33" i="2"/>
  <c r="O138" i="4"/>
  <c r="U206" i="5"/>
  <c r="P33" i="2"/>
  <c r="P138" i="4"/>
  <c r="W206" i="5"/>
  <c r="Q33" i="2"/>
  <c r="Q138" i="4"/>
  <c r="X206" i="5"/>
  <c r="S33" i="2"/>
  <c r="S138" i="4"/>
  <c r="AA206" i="5"/>
  <c r="AI138" i="4"/>
  <c r="T138" i="4" a="1"/>
  <c r="T138" i="4"/>
  <c r="AC206" i="5"/>
  <c r="U138" i="4" a="1"/>
  <c r="U138" i="4"/>
  <c r="AD206" i="5"/>
  <c r="X33" i="2"/>
  <c r="X138" i="4"/>
  <c r="AI206" i="5"/>
  <c r="Y33" i="2"/>
  <c r="Y138" i="4"/>
  <c r="AJ206" i="5"/>
  <c r="Z33" i="2"/>
  <c r="Z138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215" i="4"/>
  <c r="C215" i="4"/>
  <c r="C207" i="5"/>
  <c r="D37" i="2"/>
  <c r="D215" i="4"/>
  <c r="E207" i="5"/>
  <c r="H37" i="2"/>
  <c r="H215" i="4"/>
  <c r="K207" i="5"/>
  <c r="I37" i="2"/>
  <c r="I215" i="4"/>
  <c r="L207" i="5"/>
  <c r="J37" i="2"/>
  <c r="J215" i="4"/>
  <c r="N207" i="5"/>
  <c r="O207" i="5"/>
  <c r="L37" i="2"/>
  <c r="L215" i="4"/>
  <c r="Q207" i="5"/>
  <c r="M37" i="2"/>
  <c r="M215" i="4"/>
  <c r="R207" i="5"/>
  <c r="N37" i="2"/>
  <c r="N215" i="4"/>
  <c r="T207" i="5"/>
  <c r="O37" i="2"/>
  <c r="O215" i="4"/>
  <c r="U207" i="5"/>
  <c r="P37" i="2"/>
  <c r="P215" i="4"/>
  <c r="W207" i="5"/>
  <c r="Q37" i="2"/>
  <c r="Q215" i="4"/>
  <c r="X207" i="5"/>
  <c r="S37" i="2"/>
  <c r="S215" i="4"/>
  <c r="AA207" i="5"/>
  <c r="X37" i="2"/>
  <c r="X215" i="4"/>
  <c r="AI207" i="5"/>
  <c r="Y37" i="2"/>
  <c r="Y215" i="4"/>
  <c r="AJ207" i="5"/>
  <c r="Z37" i="2"/>
  <c r="Z215" i="4"/>
  <c r="AL207" i="5"/>
  <c r="F207" i="5"/>
  <c r="H207" i="5"/>
  <c r="I207" i="5"/>
  <c r="Z207" i="5"/>
  <c r="AN207" i="5"/>
  <c r="AG208" i="5"/>
  <c r="AF208" i="5"/>
  <c r="C76" i="4"/>
  <c r="C208" i="5"/>
  <c r="D76" i="4"/>
  <c r="E208" i="5"/>
  <c r="H76" i="4"/>
  <c r="K208" i="5"/>
  <c r="L76" i="4"/>
  <c r="Q208" i="5"/>
  <c r="M76" i="4"/>
  <c r="R208" i="5"/>
  <c r="T208" i="5"/>
  <c r="O76" i="4"/>
  <c r="U208" i="5"/>
  <c r="P76" i="4"/>
  <c r="W208" i="5"/>
  <c r="Q76" i="4"/>
  <c r="X208" i="5"/>
  <c r="S76" i="4"/>
  <c r="AA208" i="5"/>
  <c r="AI76" i="4"/>
  <c r="T76" i="4" a="1"/>
  <c r="T76" i="4"/>
  <c r="AC208" i="5"/>
  <c r="U76" i="4" a="1"/>
  <c r="U76" i="4"/>
  <c r="AD208" i="5"/>
  <c r="X76" i="4"/>
  <c r="AI208" i="5"/>
  <c r="Y76" i="4"/>
  <c r="AJ208" i="5"/>
  <c r="Z76" i="4"/>
  <c r="AL208" i="5"/>
  <c r="F208" i="5"/>
  <c r="H208" i="5"/>
  <c r="I208" i="5"/>
  <c r="L208" i="5"/>
  <c r="N208" i="5"/>
  <c r="O208" i="5"/>
  <c r="Z208" i="5"/>
  <c r="AN208" i="5"/>
  <c r="AG209" i="5"/>
  <c r="AF209" i="5"/>
  <c r="C77" i="4"/>
  <c r="C209" i="5"/>
  <c r="D77" i="4"/>
  <c r="E209" i="5"/>
  <c r="E77" i="4"/>
  <c r="F209" i="5"/>
  <c r="F77" i="4"/>
  <c r="H209" i="5"/>
  <c r="I209" i="5"/>
  <c r="H77" i="4"/>
  <c r="K209" i="5"/>
  <c r="L77" i="4"/>
  <c r="Q209" i="5"/>
  <c r="M77" i="4"/>
  <c r="R209" i="5"/>
  <c r="T209" i="5"/>
  <c r="O77" i="4"/>
  <c r="U209" i="5"/>
  <c r="P77" i="4"/>
  <c r="W209" i="5"/>
  <c r="Q77" i="4"/>
  <c r="X209" i="5"/>
  <c r="S77" i="4"/>
  <c r="AA209" i="5"/>
  <c r="AI77" i="4"/>
  <c r="T77" i="4" a="1"/>
  <c r="T77" i="4"/>
  <c r="AC209" i="5"/>
  <c r="U77" i="4" a="1"/>
  <c r="U77" i="4"/>
  <c r="AD209" i="5"/>
  <c r="X77" i="4"/>
  <c r="AI209" i="5"/>
  <c r="Y77" i="4"/>
  <c r="AJ209" i="5"/>
  <c r="Z77" i="4"/>
  <c r="AL209" i="5"/>
  <c r="L209" i="5"/>
  <c r="N209" i="5"/>
  <c r="O209" i="5"/>
  <c r="Z209" i="5"/>
  <c r="AN209" i="5"/>
  <c r="AG210" i="5"/>
  <c r="AF210" i="5"/>
  <c r="B78" i="4"/>
  <c r="C78" i="4"/>
  <c r="C210" i="5"/>
  <c r="D78" i="4"/>
  <c r="E210" i="5"/>
  <c r="E78" i="4"/>
  <c r="F210" i="5"/>
  <c r="F78" i="4"/>
  <c r="H210" i="5"/>
  <c r="I210" i="5"/>
  <c r="H78" i="4"/>
  <c r="K210" i="5"/>
  <c r="L78" i="4"/>
  <c r="Q210" i="5"/>
  <c r="M78" i="4"/>
  <c r="R210" i="5"/>
  <c r="N78" i="4"/>
  <c r="T210" i="5"/>
  <c r="O78" i="4"/>
  <c r="U210" i="5"/>
  <c r="P78" i="4"/>
  <c r="W210" i="5"/>
  <c r="Q78" i="4"/>
  <c r="X210" i="5"/>
  <c r="S78" i="4"/>
  <c r="AA210" i="5"/>
  <c r="AC210" i="5"/>
  <c r="AD210" i="5"/>
  <c r="X78" i="4"/>
  <c r="AI210" i="5"/>
  <c r="Y78" i="4"/>
  <c r="AJ210" i="5"/>
  <c r="Z78" i="4"/>
  <c r="AL210" i="5"/>
  <c r="L210" i="5"/>
  <c r="N210" i="5"/>
  <c r="O210" i="5"/>
  <c r="Z210" i="5"/>
  <c r="AN210" i="5"/>
  <c r="AG211" i="5"/>
  <c r="AF211" i="5"/>
  <c r="C117" i="4"/>
  <c r="C211" i="5"/>
  <c r="D117" i="4"/>
  <c r="E211" i="5"/>
  <c r="E117" i="4"/>
  <c r="F211" i="5"/>
  <c r="F117" i="4"/>
  <c r="H211" i="5"/>
  <c r="I211" i="5"/>
  <c r="H117" i="4"/>
  <c r="K211" i="5"/>
  <c r="L117" i="4"/>
  <c r="Q211" i="5"/>
  <c r="M117" i="4"/>
  <c r="R211" i="5"/>
  <c r="T211" i="5"/>
  <c r="O117" i="4"/>
  <c r="U211" i="5"/>
  <c r="P117" i="4"/>
  <c r="W211" i="5"/>
  <c r="Q117" i="4"/>
  <c r="X211" i="5"/>
  <c r="S117" i="4"/>
  <c r="AA211" i="5"/>
  <c r="AI117" i="4"/>
  <c r="T117" i="4" a="1"/>
  <c r="T117" i="4"/>
  <c r="AC211" i="5"/>
  <c r="U117" i="4" a="1"/>
  <c r="U117" i="4"/>
  <c r="AD211" i="5"/>
  <c r="X117" i="4"/>
  <c r="AI211" i="5"/>
  <c r="Y117" i="4"/>
  <c r="AJ211" i="5"/>
  <c r="Z117" i="4"/>
  <c r="AL211" i="5"/>
  <c r="L211" i="5"/>
  <c r="N211" i="5"/>
  <c r="O211" i="5"/>
  <c r="Z211" i="5"/>
  <c r="AN211" i="5"/>
  <c r="AG212" i="5"/>
  <c r="AF212" i="5"/>
  <c r="C103" i="4"/>
  <c r="C212" i="5"/>
  <c r="D103" i="4"/>
  <c r="E212" i="5"/>
  <c r="E103" i="4"/>
  <c r="F212" i="5"/>
  <c r="F103" i="4"/>
  <c r="H212" i="5"/>
  <c r="I212" i="5"/>
  <c r="H103" i="4"/>
  <c r="K212" i="5"/>
  <c r="L103" i="4"/>
  <c r="Q212" i="5"/>
  <c r="M103" i="4"/>
  <c r="R212" i="5"/>
  <c r="T212" i="5"/>
  <c r="U212" i="5"/>
  <c r="P103" i="4"/>
  <c r="W212" i="5"/>
  <c r="Q103" i="4"/>
  <c r="X212" i="5"/>
  <c r="S103" i="4"/>
  <c r="AA212" i="5"/>
  <c r="AI103" i="4"/>
  <c r="T103" i="4" a="1"/>
  <c r="T103" i="4"/>
  <c r="AC212" i="5"/>
  <c r="U103" i="4" a="1"/>
  <c r="U103" i="4"/>
  <c r="AD212" i="5"/>
  <c r="X103" i="4"/>
  <c r="AI212" i="5"/>
  <c r="Y103" i="4"/>
  <c r="AJ212" i="5"/>
  <c r="Z103" i="4"/>
  <c r="AL212" i="5"/>
  <c r="L212" i="5"/>
  <c r="N212" i="5"/>
  <c r="O212" i="5"/>
  <c r="Z212" i="5"/>
  <c r="AN212" i="5"/>
  <c r="AG213" i="5"/>
  <c r="AF213" i="5"/>
  <c r="C88" i="4"/>
  <c r="C213" i="5"/>
  <c r="D88" i="4"/>
  <c r="E213" i="5"/>
  <c r="E88" i="4"/>
  <c r="F213" i="5"/>
  <c r="F88" i="4"/>
  <c r="H213" i="5"/>
  <c r="I213" i="5"/>
  <c r="H88" i="4"/>
  <c r="K213" i="5"/>
  <c r="L88" i="4"/>
  <c r="Q213" i="5"/>
  <c r="M88" i="4"/>
  <c r="R213" i="5"/>
  <c r="T213" i="5"/>
  <c r="O88" i="4"/>
  <c r="U213" i="5"/>
  <c r="P88" i="4"/>
  <c r="W213" i="5"/>
  <c r="Q88" i="4"/>
  <c r="X213" i="5"/>
  <c r="S88" i="4"/>
  <c r="AA213" i="5"/>
  <c r="AI88" i="4"/>
  <c r="T88" i="4" a="1"/>
  <c r="T88" i="4"/>
  <c r="AC213" i="5"/>
  <c r="U88" i="4" a="1"/>
  <c r="U88" i="4"/>
  <c r="AD213" i="5"/>
  <c r="X88" i="4"/>
  <c r="AI213" i="5"/>
  <c r="Y88" i="4"/>
  <c r="AJ213" i="5"/>
  <c r="Z88" i="4"/>
  <c r="AL213" i="5"/>
  <c r="L213" i="5"/>
  <c r="N213" i="5"/>
  <c r="O213" i="5"/>
  <c r="Z213" i="5"/>
  <c r="AN213" i="5"/>
  <c r="AG214" i="5"/>
  <c r="AF214" i="5"/>
  <c r="B79" i="4"/>
  <c r="C79" i="4"/>
  <c r="C214" i="5"/>
  <c r="D79" i="4"/>
  <c r="E214" i="5"/>
  <c r="E79" i="4"/>
  <c r="F214" i="5"/>
  <c r="F79" i="4"/>
  <c r="H214" i="5"/>
  <c r="I214" i="5"/>
  <c r="H79" i="4"/>
  <c r="K214" i="5"/>
  <c r="L79" i="4"/>
  <c r="Q214" i="5"/>
  <c r="M79" i="4"/>
  <c r="R214" i="5"/>
  <c r="T214" i="5"/>
  <c r="O79" i="4"/>
  <c r="U214" i="5"/>
  <c r="P79" i="4"/>
  <c r="W214" i="5"/>
  <c r="Q79" i="4"/>
  <c r="X214" i="5"/>
  <c r="S79" i="4"/>
  <c r="AA214" i="5"/>
  <c r="AI79" i="4"/>
  <c r="T79" i="4" a="1"/>
  <c r="T79" i="4"/>
  <c r="AC214" i="5"/>
  <c r="U79" i="4" a="1"/>
  <c r="U79" i="4"/>
  <c r="AD214" i="5"/>
  <c r="X79" i="4"/>
  <c r="AI214" i="5"/>
  <c r="Y79" i="4"/>
  <c r="AJ214" i="5"/>
  <c r="Z79" i="4"/>
  <c r="AL214" i="5"/>
  <c r="L214" i="5"/>
  <c r="N214" i="5"/>
  <c r="O214" i="5"/>
  <c r="Z214" i="5"/>
  <c r="AN214" i="5"/>
  <c r="O215" i="5"/>
  <c r="B119" i="4"/>
  <c r="H119" i="4"/>
  <c r="K215" i="5"/>
  <c r="AG215" i="5"/>
  <c r="AF215" i="5"/>
  <c r="C119" i="4"/>
  <c r="C215" i="5"/>
  <c r="D119" i="4"/>
  <c r="E215" i="5"/>
  <c r="E119" i="4"/>
  <c r="F215" i="5"/>
  <c r="F119" i="4"/>
  <c r="H215" i="5"/>
  <c r="I215" i="5"/>
  <c r="I119" i="4"/>
  <c r="L215" i="5"/>
  <c r="J119" i="4"/>
  <c r="N215" i="5"/>
  <c r="L119" i="4"/>
  <c r="Q215" i="5"/>
  <c r="M119" i="4"/>
  <c r="R215" i="5"/>
  <c r="N119" i="4"/>
  <c r="T215" i="5"/>
  <c r="O119" i="4"/>
  <c r="U215" i="5"/>
  <c r="P119" i="4"/>
  <c r="W215" i="5"/>
  <c r="Q119" i="4"/>
  <c r="X215" i="5"/>
  <c r="S119" i="4"/>
  <c r="AA215" i="5"/>
  <c r="AI119" i="4"/>
  <c r="T119" i="4" a="1"/>
  <c r="T119" i="4"/>
  <c r="AC215" i="5"/>
  <c r="U119" i="4" a="1"/>
  <c r="U119" i="4"/>
  <c r="AD215" i="5"/>
  <c r="X119" i="4"/>
  <c r="AI215" i="5"/>
  <c r="Y119" i="4"/>
  <c r="AJ215" i="5"/>
  <c r="Z119" i="4"/>
  <c r="AL215" i="5"/>
  <c r="Z215" i="5"/>
  <c r="AN215" i="5"/>
  <c r="O216" i="5"/>
  <c r="B120" i="4"/>
  <c r="H120" i="4"/>
  <c r="K216" i="5"/>
  <c r="AG216" i="5"/>
  <c r="AF216" i="5"/>
  <c r="C120" i="4"/>
  <c r="C216" i="5"/>
  <c r="D120" i="4"/>
  <c r="E216" i="5"/>
  <c r="E120" i="4"/>
  <c r="F216" i="5"/>
  <c r="F120" i="4"/>
  <c r="H216" i="5"/>
  <c r="I216" i="5"/>
  <c r="L120" i="4"/>
  <c r="Q216" i="5"/>
  <c r="M120" i="4"/>
  <c r="R216" i="5"/>
  <c r="T216" i="5"/>
  <c r="O120" i="4"/>
  <c r="U216" i="5"/>
  <c r="P120" i="4"/>
  <c r="W216" i="5"/>
  <c r="Q120" i="4"/>
  <c r="X216" i="5"/>
  <c r="S120" i="4"/>
  <c r="AA216" i="5"/>
  <c r="AI120" i="4"/>
  <c r="T120" i="4" a="1"/>
  <c r="T120" i="4"/>
  <c r="AC216" i="5"/>
  <c r="U120" i="4" a="1"/>
  <c r="U120" i="4"/>
  <c r="AD216" i="5"/>
  <c r="X120" i="4"/>
  <c r="AI216" i="5"/>
  <c r="Y120" i="4"/>
  <c r="AJ216" i="5"/>
  <c r="Z120" i="4"/>
  <c r="AL216" i="5"/>
  <c r="Z216" i="5"/>
  <c r="AN216" i="5"/>
  <c r="O217" i="5"/>
  <c r="B121" i="4"/>
  <c r="H121" i="4"/>
  <c r="K217" i="5"/>
  <c r="AG217" i="5"/>
  <c r="AF217" i="5"/>
  <c r="C121" i="4"/>
  <c r="C217" i="5"/>
  <c r="D121" i="4"/>
  <c r="E217" i="5"/>
  <c r="E121" i="4"/>
  <c r="F217" i="5"/>
  <c r="F121" i="4"/>
  <c r="H217" i="5"/>
  <c r="I217" i="5"/>
  <c r="I121" i="4"/>
  <c r="L217" i="5"/>
  <c r="J121" i="4"/>
  <c r="N217" i="5"/>
  <c r="L121" i="4"/>
  <c r="Q217" i="5"/>
  <c r="M121" i="4"/>
  <c r="R217" i="5"/>
  <c r="T217" i="5"/>
  <c r="O121" i="4"/>
  <c r="U217" i="5"/>
  <c r="P121" i="4"/>
  <c r="W217" i="5"/>
  <c r="Q121" i="4"/>
  <c r="X217" i="5"/>
  <c r="S121" i="4"/>
  <c r="AA217" i="5"/>
  <c r="AI121" i="4"/>
  <c r="T121" i="4" a="1"/>
  <c r="T121" i="4"/>
  <c r="AC217" i="5"/>
  <c r="U121" i="4" a="1"/>
  <c r="U121" i="4"/>
  <c r="AD217" i="5"/>
  <c r="X121" i="4"/>
  <c r="AI217" i="5"/>
  <c r="Y121" i="4"/>
  <c r="AJ217" i="5"/>
  <c r="Z121" i="4"/>
  <c r="AL217" i="5"/>
  <c r="Z217" i="5"/>
  <c r="AN217" i="5"/>
  <c r="AG218" i="5"/>
  <c r="AF218" i="5"/>
  <c r="B80" i="4"/>
  <c r="C80" i="4"/>
  <c r="C218" i="5"/>
  <c r="D80" i="4"/>
  <c r="E218" i="5"/>
  <c r="H80" i="4"/>
  <c r="K218" i="5"/>
  <c r="L80" i="4"/>
  <c r="Q218" i="5"/>
  <c r="M80" i="4"/>
  <c r="R218" i="5"/>
  <c r="N80" i="4"/>
  <c r="T218" i="5"/>
  <c r="O80" i="4"/>
  <c r="U218" i="5"/>
  <c r="P80" i="4"/>
  <c r="W218" i="5"/>
  <c r="Q80" i="4"/>
  <c r="X218" i="5"/>
  <c r="S80" i="4"/>
  <c r="AA218" i="5"/>
  <c r="AI80" i="4"/>
  <c r="T80" i="4" a="1"/>
  <c r="T80" i="4"/>
  <c r="AC218" i="5"/>
  <c r="U80" i="4" a="1"/>
  <c r="U80" i="4"/>
  <c r="AD218" i="5"/>
  <c r="X80" i="4"/>
  <c r="AI218" i="5"/>
  <c r="Y80" i="4"/>
  <c r="AJ218" i="5"/>
  <c r="Z80" i="4"/>
  <c r="AL218" i="5"/>
  <c r="F218" i="5"/>
  <c r="H218" i="5"/>
  <c r="I218" i="5"/>
  <c r="L218" i="5"/>
  <c r="N218" i="5"/>
  <c r="O218" i="5"/>
  <c r="Z218" i="5"/>
  <c r="AN218" i="5"/>
  <c r="AG219" i="5"/>
  <c r="AF219" i="5"/>
  <c r="C14" i="4"/>
  <c r="C219" i="5"/>
  <c r="D14" i="4"/>
  <c r="E219" i="5"/>
  <c r="E14" i="4"/>
  <c r="F219" i="5"/>
  <c r="F14" i="4"/>
  <c r="H219" i="5"/>
  <c r="I219" i="5"/>
  <c r="H14" i="4"/>
  <c r="K219" i="5"/>
  <c r="L14" i="4"/>
  <c r="Q219" i="5"/>
  <c r="M14" i="4"/>
  <c r="R219" i="5"/>
  <c r="T219" i="5"/>
  <c r="O14" i="4"/>
  <c r="U219" i="5"/>
  <c r="P14" i="4"/>
  <c r="W219" i="5"/>
  <c r="Q14" i="4"/>
  <c r="X219" i="5"/>
  <c r="AA219" i="5"/>
  <c r="AI14" i="4"/>
  <c r="T14" i="4" a="1"/>
  <c r="T14" i="4"/>
  <c r="AC219" i="5"/>
  <c r="U14" i="4" a="1"/>
  <c r="U14" i="4"/>
  <c r="AD219" i="5"/>
  <c r="X14" i="4"/>
  <c r="AI219" i="5"/>
  <c r="L219" i="5"/>
  <c r="N219" i="5"/>
  <c r="O219" i="5"/>
  <c r="Z219" i="5"/>
  <c r="AN219" i="5"/>
  <c r="AG220" i="5"/>
  <c r="AF220" i="5"/>
  <c r="C15" i="4"/>
  <c r="C220" i="5"/>
  <c r="D15" i="4"/>
  <c r="E220" i="5"/>
  <c r="E15" i="4"/>
  <c r="F220" i="5"/>
  <c r="F15" i="4"/>
  <c r="H220" i="5"/>
  <c r="I220" i="5"/>
  <c r="H15" i="4"/>
  <c r="K220" i="5"/>
  <c r="L15" i="4"/>
  <c r="Q220" i="5"/>
  <c r="M15" i="4"/>
  <c r="R220" i="5"/>
  <c r="T220" i="5"/>
  <c r="O15" i="4"/>
  <c r="U220" i="5"/>
  <c r="P15" i="4"/>
  <c r="W220" i="5"/>
  <c r="Q15" i="4"/>
  <c r="X220" i="5"/>
  <c r="S15" i="4"/>
  <c r="AA220" i="5"/>
  <c r="AI15" i="4"/>
  <c r="T15" i="4" a="1"/>
  <c r="T15" i="4"/>
  <c r="AC220" i="5"/>
  <c r="U15" i="4" a="1"/>
  <c r="U15" i="4"/>
  <c r="AD220" i="5"/>
  <c r="X15" i="4"/>
  <c r="AI220" i="5"/>
  <c r="Y15" i="4"/>
  <c r="AJ220" i="5"/>
  <c r="Z15" i="4"/>
  <c r="AL220" i="5"/>
  <c r="L220" i="5"/>
  <c r="N220" i="5"/>
  <c r="O220" i="5"/>
  <c r="Z220" i="5"/>
  <c r="AN220" i="5"/>
  <c r="O221" i="5"/>
  <c r="B228" i="4"/>
  <c r="H228" i="4"/>
  <c r="K221" i="5"/>
  <c r="AG221" i="5"/>
  <c r="AF221" i="5"/>
  <c r="C228" i="4"/>
  <c r="C221" i="5"/>
  <c r="D228" i="4"/>
  <c r="E221" i="5"/>
  <c r="E228" i="4"/>
  <c r="F221" i="5"/>
  <c r="F228" i="4"/>
  <c r="H221" i="5"/>
  <c r="I221" i="5"/>
  <c r="I15" i="2"/>
  <c r="I228" i="4"/>
  <c r="L221" i="5"/>
  <c r="J228" i="4"/>
  <c r="N221" i="5"/>
  <c r="L228" i="4"/>
  <c r="Q221" i="5"/>
  <c r="M228" i="4"/>
  <c r="R221" i="5"/>
  <c r="T221" i="5"/>
  <c r="O228" i="4"/>
  <c r="U221" i="5"/>
  <c r="P228" i="4"/>
  <c r="W221" i="5"/>
  <c r="Q228" i="4"/>
  <c r="X221" i="5"/>
  <c r="S228" i="4"/>
  <c r="AA221" i="5"/>
  <c r="AI228" i="4"/>
  <c r="T228" i="4" a="1"/>
  <c r="T228" i="4"/>
  <c r="AC221" i="5"/>
  <c r="U228" i="4" a="1"/>
  <c r="U228" i="4"/>
  <c r="AD221" i="5"/>
  <c r="X228" i="4"/>
  <c r="AI221" i="5"/>
  <c r="Y228" i="4"/>
  <c r="AJ221" i="5"/>
  <c r="Z228" i="4"/>
  <c r="AL221" i="5"/>
  <c r="Z221" i="5"/>
  <c r="AN221" i="5"/>
  <c r="AG222" i="5"/>
  <c r="AF222" i="5"/>
  <c r="C44" i="4"/>
  <c r="C222" i="5"/>
  <c r="T222" i="5"/>
  <c r="O44" i="4"/>
  <c r="U222" i="5"/>
  <c r="P44" i="4"/>
  <c r="W222" i="5"/>
  <c r="Q44" i="4"/>
  <c r="X222" i="5"/>
  <c r="S44" i="4"/>
  <c r="AA222" i="5"/>
  <c r="AI44" i="4"/>
  <c r="T44" i="4" a="1"/>
  <c r="T44" i="4"/>
  <c r="AC222" i="5"/>
  <c r="U44" i="4" a="1"/>
  <c r="U44" i="4"/>
  <c r="AD222" i="5"/>
  <c r="AI222" i="5"/>
  <c r="Y44" i="4"/>
  <c r="AJ222" i="5"/>
  <c r="Z44" i="4"/>
  <c r="AL222" i="5"/>
  <c r="L222" i="5"/>
  <c r="N222" i="5"/>
  <c r="O222" i="5"/>
  <c r="Z222" i="5"/>
  <c r="AN222" i="5"/>
  <c r="AG223" i="5"/>
  <c r="AF223" i="5"/>
  <c r="B265" i="4"/>
  <c r="C265" i="4"/>
  <c r="C223" i="5"/>
  <c r="E223" i="5"/>
  <c r="K223" i="5"/>
  <c r="L265" i="4"/>
  <c r="Q223" i="5"/>
  <c r="M21" i="2"/>
  <c r="M265" i="4"/>
  <c r="R223" i="5"/>
  <c r="T223" i="5"/>
  <c r="O265" i="4"/>
  <c r="U223" i="5"/>
  <c r="P265" i="4"/>
  <c r="W223" i="5"/>
  <c r="X223" i="5"/>
  <c r="AA223" i="5"/>
  <c r="AI265" i="4"/>
  <c r="T265" i="4" a="1"/>
  <c r="T265" i="4"/>
  <c r="AC223" i="5"/>
  <c r="U265" i="4" a="1"/>
  <c r="U265" i="4"/>
  <c r="AD223" i="5"/>
  <c r="X265" i="4"/>
  <c r="AI223" i="5"/>
  <c r="Y265" i="4"/>
  <c r="AJ223" i="5"/>
  <c r="Z265" i="4"/>
  <c r="AL223" i="5"/>
  <c r="F223" i="5"/>
  <c r="H223" i="5"/>
  <c r="I223" i="5"/>
  <c r="L223" i="5"/>
  <c r="N223" i="5"/>
  <c r="O223" i="5"/>
  <c r="Z223" i="5"/>
  <c r="AN223" i="5"/>
  <c r="O224" i="5"/>
  <c r="B233" i="4"/>
  <c r="H233" i="4"/>
  <c r="K224" i="5"/>
  <c r="AG224" i="5"/>
  <c r="AF224" i="5"/>
  <c r="C233" i="4"/>
  <c r="C224" i="5"/>
  <c r="D233" i="4"/>
  <c r="E224" i="5"/>
  <c r="I233" i="4"/>
  <c r="L224" i="5"/>
  <c r="J233" i="4"/>
  <c r="N224" i="5"/>
  <c r="L233" i="4"/>
  <c r="Q224" i="5"/>
  <c r="M233" i="4"/>
  <c r="R224" i="5"/>
  <c r="T224" i="5"/>
  <c r="O233" i="4"/>
  <c r="U224" i="5"/>
  <c r="P233" i="4"/>
  <c r="W224" i="5"/>
  <c r="Q233" i="4"/>
  <c r="X224" i="5"/>
  <c r="AA224" i="5"/>
  <c r="AI233" i="4"/>
  <c r="T233" i="4" a="1"/>
  <c r="T233" i="4"/>
  <c r="AC224" i="5"/>
  <c r="U233" i="4" a="1"/>
  <c r="U233" i="4"/>
  <c r="AD224" i="5"/>
  <c r="X233" i="4"/>
  <c r="AI224" i="5"/>
  <c r="Y233" i="4"/>
  <c r="AJ224" i="5"/>
  <c r="Z233" i="4"/>
  <c r="AL224" i="5"/>
  <c r="F224" i="5"/>
  <c r="H224" i="5"/>
  <c r="I224" i="5"/>
  <c r="Z224" i="5"/>
  <c r="AN224" i="5"/>
  <c r="AG225" i="5"/>
  <c r="AF225" i="5"/>
  <c r="C184" i="4"/>
  <c r="C225" i="5"/>
  <c r="E29" i="2"/>
  <c r="F29" i="2"/>
  <c r="T225" i="5"/>
  <c r="O184" i="4"/>
  <c r="U225" i="5"/>
  <c r="P184" i="4"/>
  <c r="W225" i="5"/>
  <c r="S184" i="4"/>
  <c r="AA225" i="5"/>
  <c r="AI184" i="4"/>
  <c r="T184" i="4" a="1"/>
  <c r="T184" i="4"/>
  <c r="AC225" i="5"/>
  <c r="U184" i="4" a="1"/>
  <c r="U184" i="4"/>
  <c r="AD225" i="5"/>
  <c r="X184" i="4"/>
  <c r="AI225" i="5"/>
  <c r="Y184" i="4"/>
  <c r="AJ225" i="5"/>
  <c r="Z184" i="4"/>
  <c r="AL225" i="5"/>
  <c r="L225" i="5"/>
  <c r="N225" i="5"/>
  <c r="O225" i="5"/>
  <c r="X225" i="5"/>
  <c r="Z225" i="5"/>
  <c r="AN225" i="5"/>
  <c r="AG226" i="5"/>
  <c r="AF226" i="5"/>
  <c r="C261" i="4"/>
  <c r="C226" i="5"/>
  <c r="T226" i="5"/>
  <c r="U226" i="5"/>
  <c r="P261" i="4"/>
  <c r="W226" i="5"/>
  <c r="Q261" i="4"/>
  <c r="X226" i="5"/>
  <c r="R261" i="4"/>
  <c r="Z226" i="5"/>
  <c r="S261" i="4"/>
  <c r="AA226" i="5"/>
  <c r="AI261" i="4"/>
  <c r="T261" i="4" a="1"/>
  <c r="T261" i="4"/>
  <c r="AC226" i="5"/>
  <c r="U261" i="4" a="1"/>
  <c r="U261" i="4"/>
  <c r="AD226" i="5"/>
  <c r="X261" i="4"/>
  <c r="AI226" i="5"/>
  <c r="Y261" i="4"/>
  <c r="AJ226" i="5"/>
  <c r="Z261" i="4"/>
  <c r="AL226" i="5"/>
  <c r="AN226" i="5"/>
  <c r="AG227" i="5"/>
  <c r="AF227" i="5"/>
  <c r="B122" i="4"/>
  <c r="C122" i="4"/>
  <c r="C227" i="5"/>
  <c r="E227" i="5"/>
  <c r="H122" i="4"/>
  <c r="K227" i="5"/>
  <c r="L122" i="4"/>
  <c r="Q227" i="5"/>
  <c r="M122" i="4"/>
  <c r="R227" i="5"/>
  <c r="T227" i="5"/>
  <c r="O122" i="4"/>
  <c r="U227" i="5"/>
  <c r="P122" i="4"/>
  <c r="W227" i="5"/>
  <c r="X227" i="5"/>
  <c r="AA227" i="5"/>
  <c r="AI122" i="4"/>
  <c r="T122" i="4" a="1"/>
  <c r="T122" i="4"/>
  <c r="AC227" i="5"/>
  <c r="U122" i="4" a="1"/>
  <c r="U122" i="4"/>
  <c r="AD227" i="5"/>
  <c r="AI227" i="5"/>
  <c r="AJ227" i="5"/>
  <c r="Z122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198" i="4"/>
  <c r="C198" i="4"/>
  <c r="C228" i="5"/>
  <c r="D198" i="4"/>
  <c r="E228" i="5"/>
  <c r="E198" i="4"/>
  <c r="F228" i="5"/>
  <c r="F198" i="4"/>
  <c r="H228" i="5"/>
  <c r="I228" i="5"/>
  <c r="I19" i="2"/>
  <c r="I198" i="4"/>
  <c r="L228" i="5"/>
  <c r="J19" i="2"/>
  <c r="J198" i="4"/>
  <c r="N228" i="5"/>
  <c r="L198" i="4"/>
  <c r="Q228" i="5"/>
  <c r="M198" i="4"/>
  <c r="R228" i="5"/>
  <c r="T228" i="5"/>
  <c r="O198" i="4"/>
  <c r="U228" i="5"/>
  <c r="P198" i="4"/>
  <c r="W228" i="5"/>
  <c r="Q198" i="4"/>
  <c r="X228" i="5"/>
  <c r="S198" i="4"/>
  <c r="AA228" i="5"/>
  <c r="AI198" i="4"/>
  <c r="T198" i="4" a="1"/>
  <c r="T198" i="4"/>
  <c r="AC228" i="5"/>
  <c r="U198" i="4" a="1"/>
  <c r="U198" i="4"/>
  <c r="AD228" i="5"/>
  <c r="AI228" i="5"/>
  <c r="Y198" i="4"/>
  <c r="AJ228" i="5"/>
  <c r="Z198" i="4"/>
  <c r="AL228" i="5"/>
  <c r="Z228" i="5"/>
  <c r="AN228" i="5"/>
  <c r="AG229" i="5"/>
  <c r="AF229" i="5"/>
  <c r="B81" i="4"/>
  <c r="C81" i="4"/>
  <c r="C229" i="5"/>
  <c r="D81" i="4"/>
  <c r="E229" i="5"/>
  <c r="E81" i="4"/>
  <c r="F229" i="5"/>
  <c r="F81" i="4"/>
  <c r="H229" i="5"/>
  <c r="I229" i="5"/>
  <c r="H81" i="4"/>
  <c r="K229" i="5"/>
  <c r="L81" i="4"/>
  <c r="Q229" i="5"/>
  <c r="M81" i="4"/>
  <c r="R229" i="5"/>
  <c r="T229" i="5"/>
  <c r="O81" i="4"/>
  <c r="U229" i="5"/>
  <c r="P81" i="4"/>
  <c r="W229" i="5"/>
  <c r="Q81" i="4"/>
  <c r="X229" i="5"/>
  <c r="S81" i="4"/>
  <c r="AA229" i="5"/>
  <c r="AI81" i="4"/>
  <c r="T81" i="4" a="1"/>
  <c r="T81" i="4"/>
  <c r="AC229" i="5"/>
  <c r="U81" i="4" a="1"/>
  <c r="U81" i="4"/>
  <c r="AD229" i="5"/>
  <c r="X81" i="4"/>
  <c r="AI229" i="5"/>
  <c r="Y81" i="4"/>
  <c r="AJ229" i="5"/>
  <c r="Z81" i="4"/>
  <c r="AL229" i="5"/>
  <c r="L229" i="5"/>
  <c r="N229" i="5"/>
  <c r="O229" i="5"/>
  <c r="Z229" i="5"/>
  <c r="AN229" i="5"/>
  <c r="AG230" i="5"/>
  <c r="AF230" i="5"/>
  <c r="C113" i="4"/>
  <c r="C230" i="5"/>
  <c r="E24" i="2"/>
  <c r="F24" i="2"/>
  <c r="T230" i="5"/>
  <c r="U230" i="5"/>
  <c r="P113" i="4"/>
  <c r="W230" i="5"/>
  <c r="Q113" i="4"/>
  <c r="X230" i="5"/>
  <c r="S113" i="4"/>
  <c r="AA230" i="5"/>
  <c r="AI113" i="4"/>
  <c r="T113" i="4" a="1"/>
  <c r="T113" i="4"/>
  <c r="AC230" i="5"/>
  <c r="U113" i="4" a="1"/>
  <c r="U113" i="4"/>
  <c r="AD230" i="5"/>
  <c r="X113" i="4"/>
  <c r="AI230" i="5"/>
  <c r="Y113" i="4"/>
  <c r="AJ230" i="5"/>
  <c r="Z113" i="4"/>
  <c r="AL230" i="5"/>
  <c r="Z230" i="5"/>
  <c r="AN230" i="5"/>
  <c r="AG231" i="5"/>
  <c r="AF231" i="5"/>
  <c r="B207" i="4"/>
  <c r="C207" i="4"/>
  <c r="C231" i="5"/>
  <c r="D207" i="4"/>
  <c r="E231" i="5"/>
  <c r="H207" i="4"/>
  <c r="K231" i="5"/>
  <c r="L207" i="4"/>
  <c r="Q231" i="5"/>
  <c r="M207" i="4"/>
  <c r="R231" i="5"/>
  <c r="T231" i="5"/>
  <c r="O207" i="4"/>
  <c r="U231" i="5"/>
  <c r="P207" i="4"/>
  <c r="W231" i="5"/>
  <c r="Q207" i="4"/>
  <c r="X231" i="5"/>
  <c r="S207" i="4"/>
  <c r="AA231" i="5"/>
  <c r="AI207" i="4"/>
  <c r="T207" i="4" a="1"/>
  <c r="T207" i="4"/>
  <c r="AC231" i="5"/>
  <c r="U207" i="4" a="1"/>
  <c r="U207" i="4"/>
  <c r="AD231" i="5"/>
  <c r="X207" i="4"/>
  <c r="AI231" i="5"/>
  <c r="Y207" i="4"/>
  <c r="AJ231" i="5"/>
  <c r="Z207" i="4"/>
  <c r="AL231" i="5"/>
  <c r="L231" i="5"/>
  <c r="N231" i="5"/>
  <c r="O231" i="5"/>
  <c r="F231" i="5"/>
  <c r="H231" i="5"/>
  <c r="I231" i="5"/>
  <c r="Z231" i="5"/>
  <c r="AN231" i="5"/>
  <c r="AG232" i="5"/>
  <c r="AF232" i="5"/>
  <c r="B62" i="4"/>
  <c r="C62" i="4"/>
  <c r="C232" i="5"/>
  <c r="D62" i="4"/>
  <c r="E232" i="5"/>
  <c r="H62" i="4"/>
  <c r="K232" i="5"/>
  <c r="L62" i="4"/>
  <c r="Q232" i="5"/>
  <c r="M62" i="4"/>
  <c r="R232" i="5"/>
  <c r="T232" i="5"/>
  <c r="O62" i="4"/>
  <c r="U232" i="5"/>
  <c r="P62" i="4"/>
  <c r="W232" i="5"/>
  <c r="Q62" i="4"/>
  <c r="X232" i="5"/>
  <c r="S62" i="4"/>
  <c r="AA232" i="5"/>
  <c r="AI62" i="4"/>
  <c r="T62" i="4" a="1"/>
  <c r="T62" i="4"/>
  <c r="AC232" i="5"/>
  <c r="U62" i="4" a="1"/>
  <c r="U62" i="4"/>
  <c r="AD232" i="5"/>
  <c r="X62" i="4"/>
  <c r="AI232" i="5"/>
  <c r="Y62" i="4"/>
  <c r="AJ232" i="5"/>
  <c r="Z62" i="4"/>
  <c r="AL232" i="5"/>
  <c r="L232" i="5"/>
  <c r="N232" i="5"/>
  <c r="O232" i="5"/>
  <c r="F232" i="5"/>
  <c r="H232" i="5"/>
  <c r="I232" i="5"/>
  <c r="Z232" i="5"/>
  <c r="AN232" i="5"/>
  <c r="S140" i="4"/>
  <c r="AA233" i="5"/>
  <c r="P140" i="4"/>
  <c r="W233" i="5"/>
  <c r="AG233" i="5"/>
  <c r="AF233" i="5"/>
  <c r="C140" i="4"/>
  <c r="C233" i="5"/>
  <c r="D140" i="4"/>
  <c r="E233" i="5"/>
  <c r="K233" i="5"/>
  <c r="L140" i="4"/>
  <c r="Q233" i="5"/>
  <c r="M140" i="4"/>
  <c r="R233" i="5"/>
  <c r="T233" i="5"/>
  <c r="U233" i="5"/>
  <c r="Q140" i="4"/>
  <c r="X233" i="5"/>
  <c r="R140" i="4"/>
  <c r="Z233" i="5"/>
  <c r="AI140" i="4"/>
  <c r="T140" i="4" a="1"/>
  <c r="T140" i="4"/>
  <c r="AC233" i="5"/>
  <c r="U140" i="4" a="1"/>
  <c r="U140" i="4"/>
  <c r="AD233" i="5"/>
  <c r="X140" i="4"/>
  <c r="AI233" i="5"/>
  <c r="Y140" i="4"/>
  <c r="AJ233" i="5"/>
  <c r="Z140" i="4"/>
  <c r="AL233" i="5"/>
  <c r="L233" i="5"/>
  <c r="N233" i="5"/>
  <c r="O233" i="5"/>
  <c r="F233" i="5"/>
  <c r="H233" i="5"/>
  <c r="I233" i="5"/>
  <c r="AN233" i="5"/>
  <c r="AG234" i="5"/>
  <c r="AF234" i="5"/>
  <c r="B141" i="4"/>
  <c r="C141" i="4"/>
  <c r="C234" i="5"/>
  <c r="D141" i="4"/>
  <c r="E234" i="5"/>
  <c r="K234" i="5"/>
  <c r="L141" i="4"/>
  <c r="Q234" i="5"/>
  <c r="M141" i="4"/>
  <c r="R234" i="5"/>
  <c r="T234" i="5"/>
  <c r="U234" i="5"/>
  <c r="P141" i="4"/>
  <c r="W234" i="5"/>
  <c r="Q141" i="4"/>
  <c r="X234" i="5"/>
  <c r="S141" i="4"/>
  <c r="AA234" i="5"/>
  <c r="AI141" i="4"/>
  <c r="T141" i="4" a="1"/>
  <c r="T141" i="4"/>
  <c r="AC234" i="5"/>
  <c r="U141" i="4" a="1"/>
  <c r="U141" i="4"/>
  <c r="AD234" i="5"/>
  <c r="X141" i="4"/>
  <c r="AI234" i="5"/>
  <c r="Y141" i="4"/>
  <c r="AJ234" i="5"/>
  <c r="Z141" i="4"/>
  <c r="AL234" i="5"/>
  <c r="F234" i="5"/>
  <c r="H234" i="5"/>
  <c r="I234" i="5"/>
  <c r="L234" i="5"/>
  <c r="N234" i="5"/>
  <c r="O234" i="5"/>
  <c r="Z234" i="5"/>
  <c r="AN234" i="5"/>
  <c r="AG235" i="5"/>
  <c r="AF235" i="5"/>
  <c r="C142" i="4"/>
  <c r="C235" i="5"/>
  <c r="D142" i="4"/>
  <c r="E235" i="5"/>
  <c r="K235" i="5"/>
  <c r="L142" i="4"/>
  <c r="Q235" i="5"/>
  <c r="M142" i="4"/>
  <c r="R235" i="5"/>
  <c r="T235" i="5"/>
  <c r="U235" i="5"/>
  <c r="P142" i="4"/>
  <c r="W235" i="5"/>
  <c r="Q142" i="4"/>
  <c r="X235" i="5"/>
  <c r="S142" i="4"/>
  <c r="AA235" i="5"/>
  <c r="AI142" i="4"/>
  <c r="T142" i="4" a="1"/>
  <c r="T142" i="4"/>
  <c r="AC235" i="5"/>
  <c r="U142" i="4" a="1"/>
  <c r="U142" i="4"/>
  <c r="AD235" i="5"/>
  <c r="X142" i="4"/>
  <c r="AI235" i="5"/>
  <c r="Y142" i="4"/>
  <c r="AJ235" i="5"/>
  <c r="Z142" i="4"/>
  <c r="AL235" i="5"/>
  <c r="F235" i="5"/>
  <c r="H235" i="5"/>
  <c r="I235" i="5"/>
  <c r="L235" i="5"/>
  <c r="N235" i="5"/>
  <c r="O235" i="5"/>
  <c r="Z235" i="5"/>
  <c r="AN235" i="5"/>
  <c r="AG236" i="5"/>
  <c r="AF236" i="5"/>
  <c r="C165" i="4"/>
  <c r="C236" i="5"/>
  <c r="D165" i="4"/>
  <c r="E236" i="5"/>
  <c r="K236" i="5"/>
  <c r="L165" i="4"/>
  <c r="Q236" i="5"/>
  <c r="M165" i="4"/>
  <c r="R236" i="5"/>
  <c r="T236" i="5"/>
  <c r="U236" i="5"/>
  <c r="P165" i="4"/>
  <c r="W236" i="5"/>
  <c r="Q165" i="4"/>
  <c r="X236" i="5"/>
  <c r="S165" i="4"/>
  <c r="AA236" i="5"/>
  <c r="AI165" i="4"/>
  <c r="T165" i="4" a="1"/>
  <c r="T165" i="4"/>
  <c r="AC236" i="5"/>
  <c r="U165" i="4" a="1"/>
  <c r="U165" i="4"/>
  <c r="AD236" i="5"/>
  <c r="X165" i="4"/>
  <c r="AI236" i="5"/>
  <c r="Y165" i="4"/>
  <c r="AJ236" i="5"/>
  <c r="Z165" i="4"/>
  <c r="AL236" i="5"/>
  <c r="F236" i="5"/>
  <c r="H236" i="5"/>
  <c r="I236" i="5"/>
  <c r="L236" i="5"/>
  <c r="N236" i="5"/>
  <c r="O236" i="5"/>
  <c r="Z236" i="5"/>
  <c r="AN236" i="5"/>
  <c r="AG237" i="5"/>
  <c r="AF237" i="5"/>
  <c r="B143" i="4"/>
  <c r="C143" i="4"/>
  <c r="C237" i="5"/>
  <c r="D143" i="4"/>
  <c r="E237" i="5"/>
  <c r="K237" i="5"/>
  <c r="L143" i="4"/>
  <c r="Q237" i="5"/>
  <c r="M143" i="4"/>
  <c r="R237" i="5"/>
  <c r="T237" i="5"/>
  <c r="U237" i="5"/>
  <c r="P143" i="4"/>
  <c r="W237" i="5"/>
  <c r="Q143" i="4"/>
  <c r="X237" i="5"/>
  <c r="S143" i="4"/>
  <c r="AA237" i="5"/>
  <c r="AI143" i="4"/>
  <c r="T143" i="4" a="1"/>
  <c r="T143" i="4"/>
  <c r="AC237" i="5"/>
  <c r="U143" i="4" a="1"/>
  <c r="U143" i="4"/>
  <c r="AD237" i="5"/>
  <c r="X143" i="4"/>
  <c r="AI237" i="5"/>
  <c r="Y143" i="4"/>
  <c r="AJ237" i="5"/>
  <c r="Z143" i="4"/>
  <c r="AL237" i="5"/>
  <c r="F237" i="5"/>
  <c r="H237" i="5"/>
  <c r="I237" i="5"/>
  <c r="L237" i="5"/>
  <c r="N237" i="5"/>
  <c r="O237" i="5"/>
  <c r="Z237" i="5"/>
  <c r="AN237" i="5"/>
  <c r="AG238" i="5"/>
  <c r="AF238" i="5"/>
  <c r="C123" i="4"/>
  <c r="C238" i="5"/>
  <c r="D123" i="4"/>
  <c r="E238" i="5"/>
  <c r="K238" i="5"/>
  <c r="L123" i="4"/>
  <c r="Q238" i="5"/>
  <c r="M123" i="4"/>
  <c r="R238" i="5"/>
  <c r="T238" i="5"/>
  <c r="U238" i="5"/>
  <c r="P123" i="4"/>
  <c r="W238" i="5"/>
  <c r="Q123" i="4"/>
  <c r="X238" i="5"/>
  <c r="S123" i="4"/>
  <c r="AA238" i="5"/>
  <c r="AI123" i="4"/>
  <c r="T123" i="4" a="1"/>
  <c r="T123" i="4"/>
  <c r="AC238" i="5"/>
  <c r="U123" i="4" a="1"/>
  <c r="U123" i="4"/>
  <c r="AD238" i="5"/>
  <c r="X123" i="4"/>
  <c r="AI238" i="5"/>
  <c r="Y123" i="4"/>
  <c r="AJ238" i="5"/>
  <c r="Z123" i="4"/>
  <c r="AL238" i="5"/>
  <c r="F238" i="5"/>
  <c r="H238" i="5"/>
  <c r="I238" i="5"/>
  <c r="L238" i="5"/>
  <c r="N238" i="5"/>
  <c r="O238" i="5"/>
  <c r="Z238" i="5"/>
  <c r="AN238" i="5"/>
  <c r="AG239" i="5"/>
  <c r="AF239" i="5"/>
  <c r="B106" i="4"/>
  <c r="C106" i="4"/>
  <c r="C239" i="5"/>
  <c r="D106" i="4"/>
  <c r="E239" i="5"/>
  <c r="E106" i="4"/>
  <c r="F239" i="5"/>
  <c r="F106" i="4"/>
  <c r="H239" i="5"/>
  <c r="I239" i="5"/>
  <c r="K239" i="5"/>
  <c r="L106" i="4"/>
  <c r="Q239" i="5"/>
  <c r="M106" i="4"/>
  <c r="R239" i="5"/>
  <c r="T239" i="5"/>
  <c r="O106" i="4"/>
  <c r="U239" i="5"/>
  <c r="P106" i="4"/>
  <c r="W239" i="5"/>
  <c r="Q106" i="4"/>
  <c r="X239" i="5"/>
  <c r="S106" i="4"/>
  <c r="AA239" i="5"/>
  <c r="AI106" i="4"/>
  <c r="T106" i="4" a="1"/>
  <c r="T106" i="4"/>
  <c r="AC239" i="5"/>
  <c r="U106" i="4" a="1"/>
  <c r="U106" i="4"/>
  <c r="AD239" i="5"/>
  <c r="X106" i="4"/>
  <c r="AI239" i="5"/>
  <c r="Y106" i="4"/>
  <c r="AJ239" i="5"/>
  <c r="Z106" i="4"/>
  <c r="AL239" i="5"/>
  <c r="L239" i="5"/>
  <c r="N239" i="5"/>
  <c r="O239" i="5"/>
  <c r="Z239" i="5"/>
  <c r="AN239" i="5"/>
  <c r="AG240" i="5"/>
  <c r="AF240" i="5"/>
  <c r="C157" i="4"/>
  <c r="C240" i="5"/>
  <c r="E21" i="2"/>
  <c r="F21" i="2"/>
  <c r="T240" i="5"/>
  <c r="O157" i="4"/>
  <c r="U240" i="5"/>
  <c r="P157" i="4"/>
  <c r="W240" i="5"/>
  <c r="S157" i="4"/>
  <c r="AA240" i="5"/>
  <c r="AI157" i="4"/>
  <c r="T157" i="4" a="1"/>
  <c r="T157" i="4"/>
  <c r="AC240" i="5"/>
  <c r="U157" i="4" a="1"/>
  <c r="U157" i="4"/>
  <c r="AD240" i="5"/>
  <c r="X157" i="4"/>
  <c r="AI240" i="5"/>
  <c r="Y157" i="4"/>
  <c r="AJ240" i="5"/>
  <c r="Z157" i="4"/>
  <c r="AL240" i="5"/>
  <c r="X240" i="5"/>
  <c r="Z240" i="5"/>
  <c r="AN240" i="5"/>
  <c r="AG241" i="5"/>
  <c r="AF241" i="5"/>
  <c r="B216" i="4"/>
  <c r="C216" i="4"/>
  <c r="C241" i="5"/>
  <c r="D216" i="4"/>
  <c r="E241" i="5"/>
  <c r="H216" i="4"/>
  <c r="K241" i="5"/>
  <c r="L216" i="4"/>
  <c r="Q241" i="5"/>
  <c r="M216" i="4"/>
  <c r="R241" i="5"/>
  <c r="T241" i="5"/>
  <c r="U241" i="5"/>
  <c r="P216" i="4"/>
  <c r="W241" i="5"/>
  <c r="Q216" i="4"/>
  <c r="X241" i="5"/>
  <c r="AA241" i="5"/>
  <c r="AI216" i="4"/>
  <c r="T216" i="4" a="1"/>
  <c r="T216" i="4"/>
  <c r="AC241" i="5"/>
  <c r="U216" i="4" a="1"/>
  <c r="U216" i="4"/>
  <c r="AD241" i="5"/>
  <c r="Y216" i="4"/>
  <c r="AJ241" i="5"/>
  <c r="Z216" i="4"/>
  <c r="AL241" i="5"/>
  <c r="F241" i="5"/>
  <c r="H241" i="5"/>
  <c r="I241" i="5"/>
  <c r="L241" i="5"/>
  <c r="N241" i="5"/>
  <c r="O241" i="5"/>
  <c r="Z241" i="5"/>
  <c r="AN241" i="5"/>
  <c r="AG242" i="5"/>
  <c r="AF242" i="5"/>
  <c r="B186" i="4"/>
  <c r="C186" i="4"/>
  <c r="C242" i="5"/>
  <c r="D186" i="4"/>
  <c r="E242" i="5"/>
  <c r="H186" i="4"/>
  <c r="K242" i="5"/>
  <c r="L186" i="4"/>
  <c r="Q242" i="5"/>
  <c r="M186" i="4"/>
  <c r="R242" i="5"/>
  <c r="T242" i="5"/>
  <c r="O186" i="4"/>
  <c r="U242" i="5"/>
  <c r="P186" i="4"/>
  <c r="W242" i="5"/>
  <c r="Q186" i="4"/>
  <c r="X242" i="5"/>
  <c r="AA242" i="5"/>
  <c r="AI186" i="4"/>
  <c r="T186" i="4" a="1"/>
  <c r="T186" i="4"/>
  <c r="AC242" i="5"/>
  <c r="U186" i="4" a="1"/>
  <c r="U186" i="4"/>
  <c r="AD242" i="5"/>
  <c r="AI242" i="5"/>
  <c r="Y186" i="4"/>
  <c r="AJ242" i="5"/>
  <c r="Z186" i="4"/>
  <c r="AL242" i="5"/>
  <c r="F242" i="5"/>
  <c r="H242" i="5"/>
  <c r="I242" i="5"/>
  <c r="L242" i="5"/>
  <c r="N242" i="5"/>
  <c r="O242" i="5"/>
  <c r="Z242" i="5"/>
  <c r="AN242" i="5"/>
  <c r="AG243" i="5"/>
  <c r="AF243" i="5"/>
  <c r="B210" i="4"/>
  <c r="C210" i="4"/>
  <c r="C243" i="5"/>
  <c r="D210" i="4"/>
  <c r="E243" i="5"/>
  <c r="H210" i="4"/>
  <c r="K243" i="5"/>
  <c r="L210" i="4"/>
  <c r="Q243" i="5"/>
  <c r="M210" i="4"/>
  <c r="R243" i="5"/>
  <c r="T243" i="5"/>
  <c r="O210" i="4"/>
  <c r="U243" i="5"/>
  <c r="P210" i="4"/>
  <c r="W243" i="5"/>
  <c r="Q210" i="4"/>
  <c r="X243" i="5"/>
  <c r="AA243" i="5"/>
  <c r="AI210" i="4"/>
  <c r="T210" i="4" a="1"/>
  <c r="T210" i="4"/>
  <c r="AC243" i="5"/>
  <c r="U210" i="4" a="1"/>
  <c r="U210" i="4"/>
  <c r="AD243" i="5"/>
  <c r="AI243" i="5"/>
  <c r="Y210" i="4"/>
  <c r="AJ243" i="5"/>
  <c r="Z210" i="4"/>
  <c r="AL243" i="5"/>
  <c r="F243" i="5"/>
  <c r="H243" i="5"/>
  <c r="I243" i="5"/>
  <c r="L243" i="5"/>
  <c r="N243" i="5"/>
  <c r="O243" i="5"/>
  <c r="Z243" i="5"/>
  <c r="AN243" i="5"/>
  <c r="AG244" i="5"/>
  <c r="AF244" i="5"/>
  <c r="B187" i="4"/>
  <c r="C187" i="4"/>
  <c r="C244" i="5"/>
  <c r="D187" i="4"/>
  <c r="E244" i="5"/>
  <c r="H187" i="4"/>
  <c r="K244" i="5"/>
  <c r="L187" i="4"/>
  <c r="Q244" i="5"/>
  <c r="M187" i="4"/>
  <c r="R244" i="5"/>
  <c r="T244" i="5"/>
  <c r="U244" i="5"/>
  <c r="P187" i="4"/>
  <c r="W244" i="5"/>
  <c r="Q187" i="4"/>
  <c r="X244" i="5"/>
  <c r="AA244" i="5"/>
  <c r="AI187" i="4"/>
  <c r="T187" i="4" a="1"/>
  <c r="T187" i="4"/>
  <c r="AC244" i="5"/>
  <c r="U187" i="4" a="1"/>
  <c r="U187" i="4"/>
  <c r="AD244" i="5"/>
  <c r="X187" i="4"/>
  <c r="AI244" i="5"/>
  <c r="Y187" i="4"/>
  <c r="AJ244" i="5"/>
  <c r="Z187" i="4"/>
  <c r="AL244" i="5"/>
  <c r="F244" i="5"/>
  <c r="H244" i="5"/>
  <c r="I244" i="5"/>
  <c r="L244" i="5"/>
  <c r="N244" i="5"/>
  <c r="O244" i="5"/>
  <c r="Z244" i="5"/>
  <c r="AN244" i="5"/>
  <c r="AG245" i="5"/>
  <c r="AF245" i="5"/>
  <c r="B217" i="4"/>
  <c r="C217" i="4"/>
  <c r="C245" i="5"/>
  <c r="D217" i="4"/>
  <c r="E245" i="5"/>
  <c r="H217" i="4"/>
  <c r="K245" i="5"/>
  <c r="L217" i="4"/>
  <c r="Q245" i="5"/>
  <c r="M217" i="4"/>
  <c r="R245" i="5"/>
  <c r="T245" i="5"/>
  <c r="U245" i="5"/>
  <c r="P217" i="4"/>
  <c r="W245" i="5"/>
  <c r="Q217" i="4"/>
  <c r="X245" i="5"/>
  <c r="AA245" i="5"/>
  <c r="AI217" i="4"/>
  <c r="T217" i="4" a="1"/>
  <c r="T217" i="4"/>
  <c r="AC245" i="5"/>
  <c r="U217" i="4" a="1"/>
  <c r="U217" i="4"/>
  <c r="AD245" i="5"/>
  <c r="X217" i="4"/>
  <c r="AI245" i="5"/>
  <c r="Y217" i="4"/>
  <c r="AJ245" i="5"/>
  <c r="Z217" i="4"/>
  <c r="AL245" i="5"/>
  <c r="F245" i="5"/>
  <c r="H245" i="5"/>
  <c r="I245" i="5"/>
  <c r="L245" i="5"/>
  <c r="N245" i="5"/>
  <c r="O245" i="5"/>
  <c r="Z245" i="5"/>
  <c r="AN245" i="5"/>
  <c r="AG246" i="5"/>
  <c r="AF246" i="5"/>
  <c r="B218" i="4"/>
  <c r="C218" i="4"/>
  <c r="C246" i="5"/>
  <c r="D218" i="4"/>
  <c r="E246" i="5"/>
  <c r="H218" i="4"/>
  <c r="K246" i="5"/>
  <c r="L218" i="4"/>
  <c r="Q246" i="5"/>
  <c r="M218" i="4"/>
  <c r="R246" i="5"/>
  <c r="T246" i="5"/>
  <c r="U246" i="5"/>
  <c r="P218" i="4"/>
  <c r="W246" i="5"/>
  <c r="Q218" i="4"/>
  <c r="X246" i="5"/>
  <c r="AA246" i="5"/>
  <c r="AI218" i="4"/>
  <c r="T218" i="4" a="1"/>
  <c r="T218" i="4"/>
  <c r="AC246" i="5"/>
  <c r="U218" i="4" a="1"/>
  <c r="U218" i="4"/>
  <c r="AD246" i="5"/>
  <c r="X218" i="4"/>
  <c r="AI246" i="5"/>
  <c r="Y218" i="4"/>
  <c r="AJ246" i="5"/>
  <c r="Z218" i="4"/>
  <c r="AL246" i="5"/>
  <c r="F246" i="5"/>
  <c r="H246" i="5"/>
  <c r="I246" i="5"/>
  <c r="L246" i="5"/>
  <c r="N246" i="5"/>
  <c r="O246" i="5"/>
  <c r="Z246" i="5"/>
  <c r="AN246" i="5"/>
  <c r="AG247" i="5"/>
  <c r="AF247" i="5"/>
  <c r="C219" i="4"/>
  <c r="C247" i="5"/>
  <c r="D219" i="4"/>
  <c r="E247" i="5"/>
  <c r="K247" i="5"/>
  <c r="L219" i="4"/>
  <c r="Q247" i="5"/>
  <c r="M219" i="4"/>
  <c r="R247" i="5"/>
  <c r="T247" i="5"/>
  <c r="U247" i="5"/>
  <c r="P219" i="4"/>
  <c r="W247" i="5"/>
  <c r="Q219" i="4"/>
  <c r="X247" i="5"/>
  <c r="AA247" i="5"/>
  <c r="AI219" i="4"/>
  <c r="T219" i="4" a="1"/>
  <c r="T219" i="4"/>
  <c r="AC247" i="5"/>
  <c r="U219" i="4" a="1"/>
  <c r="U219" i="4"/>
  <c r="AD247" i="5"/>
  <c r="X219" i="4"/>
  <c r="AI247" i="5"/>
  <c r="Y219" i="4"/>
  <c r="AJ247" i="5"/>
  <c r="Z219" i="4"/>
  <c r="AL247" i="5"/>
  <c r="F247" i="5"/>
  <c r="H247" i="5"/>
  <c r="I247" i="5"/>
  <c r="L247" i="5"/>
  <c r="N247" i="5"/>
  <c r="O247" i="5"/>
  <c r="Z247" i="5"/>
  <c r="AN247" i="5"/>
  <c r="AG248" i="5"/>
  <c r="AF248" i="5"/>
  <c r="B246" i="4"/>
  <c r="C246" i="4"/>
  <c r="C248" i="5"/>
  <c r="D246" i="4"/>
  <c r="E248" i="5"/>
  <c r="H33" i="2"/>
  <c r="H246" i="4"/>
  <c r="K248" i="5"/>
  <c r="L246" i="4"/>
  <c r="Q248" i="5"/>
  <c r="M246" i="4"/>
  <c r="R248" i="5"/>
  <c r="T248" i="5"/>
  <c r="O246" i="4"/>
  <c r="U248" i="5"/>
  <c r="P246" i="4"/>
  <c r="W248" i="5"/>
  <c r="Q246" i="4"/>
  <c r="X248" i="5"/>
  <c r="S246" i="4"/>
  <c r="AA248" i="5"/>
  <c r="AI246" i="4"/>
  <c r="T246" i="4" a="1"/>
  <c r="T246" i="4"/>
  <c r="AC248" i="5"/>
  <c r="U246" i="4" a="1"/>
  <c r="U246" i="4"/>
  <c r="AD248" i="5"/>
  <c r="X246" i="4"/>
  <c r="AI248" i="5"/>
  <c r="Y246" i="4"/>
  <c r="AJ248" i="5"/>
  <c r="Z246" i="4"/>
  <c r="AL248" i="5"/>
  <c r="F248" i="5"/>
  <c r="H248" i="5"/>
  <c r="I248" i="5"/>
  <c r="L248" i="5"/>
  <c r="N248" i="5"/>
  <c r="O248" i="5"/>
  <c r="Z248" i="5"/>
  <c r="AN248" i="5"/>
  <c r="AG249" i="5"/>
  <c r="AF249" i="5"/>
  <c r="B82" i="4"/>
  <c r="C82" i="4"/>
  <c r="C249" i="5"/>
  <c r="D82" i="4"/>
  <c r="E249" i="5"/>
  <c r="H82" i="4"/>
  <c r="K249" i="5"/>
  <c r="L82" i="4"/>
  <c r="Q249" i="5"/>
  <c r="M82" i="4"/>
  <c r="R249" i="5"/>
  <c r="T249" i="5"/>
  <c r="O82" i="4"/>
  <c r="U249" i="5"/>
  <c r="P82" i="4"/>
  <c r="W249" i="5"/>
  <c r="Q82" i="4"/>
  <c r="X249" i="5"/>
  <c r="S82" i="4"/>
  <c r="AA249" i="5"/>
  <c r="AI82" i="4"/>
  <c r="T82" i="4" a="1"/>
  <c r="T82" i="4"/>
  <c r="AC249" i="5"/>
  <c r="U82" i="4" a="1"/>
  <c r="U82" i="4"/>
  <c r="AD249" i="5"/>
  <c r="X82" i="4"/>
  <c r="AI249" i="5"/>
  <c r="Y82" i="4"/>
  <c r="AJ249" i="5"/>
  <c r="Z82" i="4"/>
  <c r="AL249" i="5"/>
  <c r="F249" i="5"/>
  <c r="H249" i="5"/>
  <c r="I249" i="5"/>
  <c r="L249" i="5"/>
  <c r="N249" i="5"/>
  <c r="O249" i="5"/>
  <c r="Z249" i="5"/>
  <c r="AN249" i="5"/>
  <c r="AG250" i="5"/>
  <c r="AF250" i="5"/>
  <c r="B230" i="4"/>
  <c r="C230" i="4"/>
  <c r="C250" i="5"/>
  <c r="D230" i="4"/>
  <c r="E250" i="5"/>
  <c r="K250" i="5"/>
  <c r="L230" i="4"/>
  <c r="Q250" i="5"/>
  <c r="M230" i="4"/>
  <c r="R250" i="5"/>
  <c r="T250" i="5"/>
  <c r="O230" i="4"/>
  <c r="U250" i="5"/>
  <c r="P230" i="4"/>
  <c r="W250" i="5"/>
  <c r="Q230" i="4"/>
  <c r="X250" i="5"/>
  <c r="S230" i="4"/>
  <c r="AA250" i="5"/>
  <c r="AI230" i="4"/>
  <c r="T230" i="4" a="1"/>
  <c r="T230" i="4"/>
  <c r="AC250" i="5"/>
  <c r="U230" i="4" a="1"/>
  <c r="U230" i="4"/>
  <c r="AD250" i="5"/>
  <c r="X230" i="4"/>
  <c r="AI250" i="5"/>
  <c r="Y230" i="4"/>
  <c r="AJ250" i="5"/>
  <c r="Z230" i="4"/>
  <c r="AL250" i="5"/>
  <c r="F250" i="5"/>
  <c r="H250" i="5"/>
  <c r="I250" i="5"/>
  <c r="L250" i="5"/>
  <c r="N250" i="5"/>
  <c r="O250" i="5"/>
  <c r="Z250" i="5"/>
  <c r="AN250" i="5"/>
  <c r="AG251" i="5"/>
  <c r="AF251" i="5"/>
  <c r="B48" i="4"/>
  <c r="C48" i="4"/>
  <c r="C251" i="5"/>
  <c r="D48" i="4"/>
  <c r="E251" i="5"/>
  <c r="K251" i="5"/>
  <c r="L48" i="4"/>
  <c r="Q251" i="5"/>
  <c r="M48" i="4"/>
  <c r="R251" i="5"/>
  <c r="T251" i="5"/>
  <c r="U251" i="5"/>
  <c r="P48" i="4"/>
  <c r="W251" i="5"/>
  <c r="Q48" i="4"/>
  <c r="X251" i="5"/>
  <c r="AA251" i="5"/>
  <c r="AI48" i="4"/>
  <c r="T48" i="4" a="1"/>
  <c r="T48" i="4"/>
  <c r="AC251" i="5"/>
  <c r="U48" i="4" a="1"/>
  <c r="U48" i="4"/>
  <c r="AD251" i="5"/>
  <c r="X48" i="4"/>
  <c r="AI251" i="5"/>
  <c r="Y48" i="4"/>
  <c r="AJ251" i="5"/>
  <c r="Z48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5" i="4"/>
  <c r="C5" i="4"/>
  <c r="C252" i="5"/>
  <c r="D5" i="4"/>
  <c r="E252" i="5"/>
  <c r="I5" i="4"/>
  <c r="L252" i="5"/>
  <c r="J5" i="4"/>
  <c r="N252" i="5"/>
  <c r="L5" i="4"/>
  <c r="Q252" i="5"/>
  <c r="M5" i="4"/>
  <c r="R252" i="5"/>
  <c r="T252" i="5"/>
  <c r="U252" i="5"/>
  <c r="P5" i="4"/>
  <c r="W252" i="5"/>
  <c r="Q5" i="4"/>
  <c r="X252" i="5"/>
  <c r="S5" i="4"/>
  <c r="AA252" i="5"/>
  <c r="AI5" i="4"/>
  <c r="T5" i="4" a="1"/>
  <c r="T5" i="4"/>
  <c r="AC252" i="5"/>
  <c r="U5" i="4" a="1"/>
  <c r="U5" i="4"/>
  <c r="AD252" i="5"/>
  <c r="X5" i="4"/>
  <c r="AI252" i="5"/>
  <c r="Y5" i="4"/>
  <c r="AJ252" i="5"/>
  <c r="Z5" i="4"/>
  <c r="AL252" i="5"/>
  <c r="F252" i="5"/>
  <c r="H252" i="5"/>
  <c r="I252" i="5"/>
  <c r="Z252" i="5"/>
  <c r="AN252" i="5"/>
  <c r="AG253" i="5"/>
  <c r="AF253" i="5"/>
  <c r="C289" i="4"/>
  <c r="C253" i="5"/>
  <c r="T253" i="5"/>
  <c r="U253" i="5"/>
  <c r="P289" i="4"/>
  <c r="W253" i="5"/>
  <c r="Q289" i="4"/>
  <c r="X253" i="5"/>
  <c r="AA253" i="5"/>
  <c r="AI289" i="4"/>
  <c r="T289" i="4" a="1"/>
  <c r="T289" i="4"/>
  <c r="AC253" i="5"/>
  <c r="U289" i="4" a="1"/>
  <c r="U289" i="4"/>
  <c r="AD253" i="5"/>
  <c r="X289" i="4"/>
  <c r="AI253" i="5"/>
  <c r="Y289" i="4"/>
  <c r="AJ253" i="5"/>
  <c r="Z289" i="4"/>
  <c r="AL253" i="5"/>
  <c r="Z253" i="5"/>
  <c r="AN253" i="5"/>
  <c r="O254" i="5"/>
  <c r="B275" i="4"/>
  <c r="H275" i="4"/>
  <c r="K254" i="5"/>
  <c r="AG254" i="5"/>
  <c r="AF254" i="5"/>
  <c r="C275" i="4"/>
  <c r="C254" i="5"/>
  <c r="D275" i="4"/>
  <c r="E254" i="5"/>
  <c r="I275" i="4"/>
  <c r="L254" i="5"/>
  <c r="J275" i="4"/>
  <c r="N254" i="5"/>
  <c r="L275" i="4"/>
  <c r="Q254" i="5"/>
  <c r="M275" i="4"/>
  <c r="R254" i="5"/>
  <c r="T254" i="5"/>
  <c r="O275" i="4"/>
  <c r="U254" i="5"/>
  <c r="P275" i="4"/>
  <c r="W254" i="5"/>
  <c r="Q275" i="4"/>
  <c r="X254" i="5"/>
  <c r="AA254" i="5"/>
  <c r="AI275" i="4"/>
  <c r="T275" i="4" a="1"/>
  <c r="T275" i="4"/>
  <c r="AC254" i="5"/>
  <c r="U275" i="4" a="1"/>
  <c r="U275" i="4"/>
  <c r="AD254" i="5"/>
  <c r="X275" i="4"/>
  <c r="AI254" i="5"/>
  <c r="Y275" i="4"/>
  <c r="AJ254" i="5"/>
  <c r="Z275" i="4"/>
  <c r="AL254" i="5"/>
  <c r="F254" i="5"/>
  <c r="H254" i="5"/>
  <c r="I254" i="5"/>
  <c r="Z254" i="5"/>
  <c r="AN254" i="5"/>
  <c r="AG255" i="5"/>
  <c r="AF255" i="5"/>
  <c r="B285" i="4"/>
  <c r="C285" i="4"/>
  <c r="C255" i="5"/>
  <c r="D285" i="4"/>
  <c r="E255" i="5"/>
  <c r="H285" i="4"/>
  <c r="K255" i="5"/>
  <c r="L285" i="4"/>
  <c r="Q255" i="5"/>
  <c r="M285" i="4"/>
  <c r="R255" i="5"/>
  <c r="T255" i="5"/>
  <c r="O285" i="4"/>
  <c r="U255" i="5"/>
  <c r="W255" i="5"/>
  <c r="Q285" i="4"/>
  <c r="X255" i="5"/>
  <c r="AA255" i="5"/>
  <c r="AI285" i="4"/>
  <c r="T285" i="4" a="1"/>
  <c r="T285" i="4"/>
  <c r="AC255" i="5"/>
  <c r="U285" i="4" a="1"/>
  <c r="U285" i="4"/>
  <c r="AD255" i="5"/>
  <c r="X285" i="4"/>
  <c r="AI255" i="5"/>
  <c r="Y285" i="4"/>
  <c r="AJ255" i="5"/>
  <c r="Z285" i="4"/>
  <c r="AL255" i="5"/>
  <c r="F255" i="5"/>
  <c r="H255" i="5"/>
  <c r="I255" i="5"/>
  <c r="L255" i="5"/>
  <c r="N255" i="5"/>
  <c r="O255" i="5"/>
  <c r="Z255" i="5"/>
  <c r="AN255" i="5"/>
  <c r="AG256" i="5"/>
  <c r="AF256" i="5"/>
  <c r="B281" i="4"/>
  <c r="C281" i="4"/>
  <c r="C256" i="5"/>
  <c r="D281" i="4"/>
  <c r="E256" i="5"/>
  <c r="K256" i="5"/>
  <c r="L281" i="4"/>
  <c r="Q256" i="5"/>
  <c r="M281" i="4"/>
  <c r="R256" i="5"/>
  <c r="T256" i="5"/>
  <c r="U256" i="5"/>
  <c r="W256" i="5"/>
  <c r="Q281" i="4"/>
  <c r="X256" i="5"/>
  <c r="AA256" i="5"/>
  <c r="AI281" i="4"/>
  <c r="T281" i="4" a="1"/>
  <c r="T281" i="4"/>
  <c r="AC256" i="5"/>
  <c r="U281" i="4" a="1"/>
  <c r="U281" i="4"/>
  <c r="AD256" i="5"/>
  <c r="X281" i="4"/>
  <c r="AI256" i="5"/>
  <c r="Y281" i="4"/>
  <c r="AJ256" i="5"/>
  <c r="Z281" i="4"/>
  <c r="AL256" i="5"/>
  <c r="F256" i="5"/>
  <c r="H256" i="5"/>
  <c r="I256" i="5"/>
  <c r="L256" i="5"/>
  <c r="N256" i="5"/>
  <c r="O256" i="5"/>
  <c r="Z256" i="5"/>
  <c r="AN256" i="5"/>
  <c r="AG257" i="5"/>
  <c r="AF257" i="5"/>
  <c r="B118" i="4"/>
  <c r="C118" i="4"/>
  <c r="C257" i="5"/>
  <c r="D118" i="4"/>
  <c r="E257" i="5"/>
  <c r="H118" i="4"/>
  <c r="K257" i="5"/>
  <c r="L118" i="4"/>
  <c r="Q257" i="5"/>
  <c r="M118" i="4"/>
  <c r="R257" i="5"/>
  <c r="T257" i="5"/>
  <c r="O118" i="4"/>
  <c r="U257" i="5"/>
  <c r="P118" i="4"/>
  <c r="W257" i="5"/>
  <c r="Q118" i="4"/>
  <c r="X257" i="5"/>
  <c r="S118" i="4"/>
  <c r="AA257" i="5"/>
  <c r="AI118" i="4"/>
  <c r="T118" i="4" a="1"/>
  <c r="T118" i="4"/>
  <c r="AC257" i="5"/>
  <c r="U118" i="4" a="1"/>
  <c r="U118" i="4"/>
  <c r="AD257" i="5"/>
  <c r="X118" i="4"/>
  <c r="AI257" i="5"/>
  <c r="Y118" i="4"/>
  <c r="AJ257" i="5"/>
  <c r="Z118" i="4"/>
  <c r="AL257" i="5"/>
  <c r="F257" i="5"/>
  <c r="H257" i="5"/>
  <c r="I257" i="5"/>
  <c r="L257" i="5"/>
  <c r="N257" i="5"/>
  <c r="O257" i="5"/>
  <c r="Z257" i="5"/>
  <c r="AN257" i="5"/>
  <c r="AG258" i="5"/>
  <c r="AF258" i="5"/>
  <c r="B24" i="4"/>
  <c r="C24" i="4"/>
  <c r="C258" i="5"/>
  <c r="D24" i="4"/>
  <c r="E258" i="5"/>
  <c r="K258" i="5"/>
  <c r="L24" i="4"/>
  <c r="Q258" i="5"/>
  <c r="M24" i="4"/>
  <c r="R258" i="5"/>
  <c r="T258" i="5"/>
  <c r="U258" i="5"/>
  <c r="P24" i="4"/>
  <c r="W258" i="5"/>
  <c r="Q24" i="4"/>
  <c r="X258" i="5"/>
  <c r="S24" i="4"/>
  <c r="AA258" i="5"/>
  <c r="AI24" i="4"/>
  <c r="T24" i="4" a="1"/>
  <c r="T24" i="4"/>
  <c r="AC258" i="5"/>
  <c r="U24" i="4" a="1"/>
  <c r="U24" i="4"/>
  <c r="AD258" i="5"/>
  <c r="X24" i="4"/>
  <c r="AI258" i="5"/>
  <c r="Y24" i="4"/>
  <c r="AJ258" i="5"/>
  <c r="Z24" i="4"/>
  <c r="AL258" i="5"/>
  <c r="F258" i="5"/>
  <c r="H258" i="5"/>
  <c r="I258" i="5"/>
  <c r="L258" i="5"/>
  <c r="N258" i="5"/>
  <c r="O258" i="5"/>
  <c r="Z258" i="5"/>
  <c r="AN258" i="5"/>
  <c r="AG259" i="5"/>
  <c r="AF259" i="5"/>
  <c r="B25" i="4"/>
  <c r="C25" i="4"/>
  <c r="C259" i="5"/>
  <c r="D25" i="4"/>
  <c r="E259" i="5"/>
  <c r="K259" i="5"/>
  <c r="L25" i="4"/>
  <c r="Q259" i="5"/>
  <c r="M25" i="4"/>
  <c r="R259" i="5"/>
  <c r="T259" i="5"/>
  <c r="U259" i="5"/>
  <c r="P25" i="4"/>
  <c r="W259" i="5"/>
  <c r="Q25" i="4"/>
  <c r="X259" i="5"/>
  <c r="S25" i="4"/>
  <c r="AA259" i="5"/>
  <c r="AI25" i="4"/>
  <c r="T25" i="4" a="1"/>
  <c r="T25" i="4"/>
  <c r="AC259" i="5"/>
  <c r="U25" i="4" a="1"/>
  <c r="U25" i="4"/>
  <c r="AD259" i="5"/>
  <c r="X25" i="4"/>
  <c r="AI259" i="5"/>
  <c r="Y25" i="4"/>
  <c r="AJ259" i="5"/>
  <c r="Z25" i="4"/>
  <c r="AL259" i="5"/>
  <c r="F259" i="5"/>
  <c r="H259" i="5"/>
  <c r="I259" i="5"/>
  <c r="L259" i="5"/>
  <c r="N259" i="5"/>
  <c r="O259" i="5"/>
  <c r="Z259" i="5"/>
  <c r="AN259" i="5"/>
  <c r="AG260" i="5"/>
  <c r="AF260" i="5"/>
  <c r="B27" i="4"/>
  <c r="C27" i="4"/>
  <c r="C260" i="5"/>
  <c r="D27" i="4"/>
  <c r="E260" i="5"/>
  <c r="K260" i="5"/>
  <c r="L27" i="4"/>
  <c r="Q260" i="5"/>
  <c r="M27" i="4"/>
  <c r="R260" i="5"/>
  <c r="N27" i="4"/>
  <c r="T260" i="5"/>
  <c r="O2" i="2"/>
  <c r="O27" i="4"/>
  <c r="U260" i="5"/>
  <c r="P27" i="4"/>
  <c r="W260" i="5"/>
  <c r="Q27" i="4"/>
  <c r="X260" i="5"/>
  <c r="S27" i="4"/>
  <c r="AA260" i="5"/>
  <c r="AI27" i="4"/>
  <c r="T27" i="4" a="1"/>
  <c r="T27" i="4"/>
  <c r="AC260" i="5"/>
  <c r="U27" i="4" a="1"/>
  <c r="U27" i="4"/>
  <c r="AD260" i="5"/>
  <c r="X27" i="4"/>
  <c r="AI260" i="5"/>
  <c r="Y27" i="4"/>
  <c r="AJ260" i="5"/>
  <c r="Z27" i="4"/>
  <c r="AL260" i="5"/>
  <c r="F260" i="5"/>
  <c r="H260" i="5"/>
  <c r="I260" i="5"/>
  <c r="L260" i="5"/>
  <c r="N260" i="5"/>
  <c r="O260" i="5"/>
  <c r="Z260" i="5"/>
  <c r="AN260" i="5"/>
  <c r="AG261" i="5"/>
  <c r="AF261" i="5"/>
  <c r="C34" i="4"/>
  <c r="C261" i="5"/>
  <c r="D34" i="4"/>
  <c r="E261" i="5"/>
  <c r="K261" i="5"/>
  <c r="L34" i="4"/>
  <c r="Q261" i="5"/>
  <c r="M34" i="4"/>
  <c r="R261" i="5"/>
  <c r="T261" i="5"/>
  <c r="U261" i="5"/>
  <c r="P34" i="4"/>
  <c r="W261" i="5"/>
  <c r="Q34" i="4"/>
  <c r="X261" i="5"/>
  <c r="S34" i="4"/>
  <c r="AA261" i="5"/>
  <c r="AI34" i="4"/>
  <c r="T34" i="4" a="1"/>
  <c r="T34" i="4"/>
  <c r="AC261" i="5"/>
  <c r="U34" i="4" a="1"/>
  <c r="U34" i="4"/>
  <c r="AD261" i="5"/>
  <c r="X34" i="4"/>
  <c r="AI261" i="5"/>
  <c r="Y34" i="4"/>
  <c r="AJ261" i="5"/>
  <c r="Z34" i="4"/>
  <c r="AL261" i="5"/>
  <c r="F261" i="5"/>
  <c r="H261" i="5"/>
  <c r="I261" i="5"/>
  <c r="L261" i="5"/>
  <c r="N261" i="5"/>
  <c r="O261" i="5"/>
  <c r="Z261" i="5"/>
  <c r="AN261" i="5"/>
  <c r="AG262" i="5"/>
  <c r="AF262" i="5"/>
  <c r="C282" i="4"/>
  <c r="C262" i="5"/>
  <c r="N282" i="4"/>
  <c r="T262" i="5"/>
  <c r="O282" i="4"/>
  <c r="U262" i="5"/>
  <c r="P282" i="4"/>
  <c r="W262" i="5"/>
  <c r="Q282" i="4"/>
  <c r="X262" i="5"/>
  <c r="AA262" i="5"/>
  <c r="AI282" i="4"/>
  <c r="T282" i="4" a="1"/>
  <c r="T282" i="4"/>
  <c r="AC262" i="5"/>
  <c r="U282" i="4" a="1"/>
  <c r="U282" i="4"/>
  <c r="AD262" i="5"/>
  <c r="X282" i="4"/>
  <c r="AI262" i="5"/>
  <c r="Y282" i="4"/>
  <c r="AJ262" i="5"/>
  <c r="Z282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3" i="4"/>
  <c r="C3" i="4"/>
  <c r="C263" i="5"/>
  <c r="D3" i="4"/>
  <c r="E263" i="5"/>
  <c r="E3" i="4"/>
  <c r="F263" i="5"/>
  <c r="F3" i="4"/>
  <c r="H263" i="5"/>
  <c r="I263" i="5"/>
  <c r="I3" i="4"/>
  <c r="L263" i="5"/>
  <c r="J3" i="4"/>
  <c r="N263" i="5"/>
  <c r="L3" i="4"/>
  <c r="Q263" i="5"/>
  <c r="M3" i="4"/>
  <c r="R263" i="5"/>
  <c r="N3" i="4"/>
  <c r="T263" i="5"/>
  <c r="U263" i="5"/>
  <c r="P3" i="4"/>
  <c r="W263" i="5"/>
  <c r="Q3" i="4"/>
  <c r="X263" i="5"/>
  <c r="S3" i="4"/>
  <c r="AA263" i="5"/>
  <c r="AI3" i="4"/>
  <c r="T3" i="4" a="1"/>
  <c r="T3" i="4"/>
  <c r="AC263" i="5"/>
  <c r="U3" i="4" a="1"/>
  <c r="U3" i="4"/>
  <c r="AD263" i="5"/>
  <c r="AI263" i="5"/>
  <c r="Y3" i="4"/>
  <c r="AJ263" i="5"/>
  <c r="Z3" i="4"/>
  <c r="AL263" i="5"/>
  <c r="Z263" i="5"/>
  <c r="AN263" i="5"/>
  <c r="AG264" i="5"/>
  <c r="AF264" i="5"/>
  <c r="B17" i="4"/>
  <c r="C17" i="4"/>
  <c r="C264" i="5"/>
  <c r="D17" i="4"/>
  <c r="E264" i="5"/>
  <c r="H17" i="4"/>
  <c r="K264" i="5"/>
  <c r="I17" i="4"/>
  <c r="L264" i="5"/>
  <c r="J17" i="4"/>
  <c r="N264" i="5"/>
  <c r="O264" i="5"/>
  <c r="L17" i="4"/>
  <c r="Q264" i="5"/>
  <c r="M17" i="4"/>
  <c r="R264" i="5"/>
  <c r="N17" i="4"/>
  <c r="T264" i="5"/>
  <c r="O17" i="4"/>
  <c r="U264" i="5"/>
  <c r="P17" i="4"/>
  <c r="W264" i="5"/>
  <c r="Q17" i="4"/>
  <c r="X264" i="5"/>
  <c r="S17" i="4"/>
  <c r="AA264" i="5"/>
  <c r="AI17" i="4"/>
  <c r="T17" i="4" a="1"/>
  <c r="T17" i="4"/>
  <c r="AC264" i="5"/>
  <c r="U17" i="4" a="1"/>
  <c r="U17" i="4"/>
  <c r="AD264" i="5"/>
  <c r="X17" i="4"/>
  <c r="AI264" i="5"/>
  <c r="Y17" i="4"/>
  <c r="AJ264" i="5"/>
  <c r="Z17" i="4"/>
  <c r="AL264" i="5"/>
  <c r="F264" i="5"/>
  <c r="H264" i="5"/>
  <c r="I264" i="5"/>
  <c r="Z264" i="5"/>
  <c r="AN264" i="5"/>
  <c r="AG265" i="5"/>
  <c r="AF265" i="5"/>
  <c r="B18" i="4"/>
  <c r="C18" i="4"/>
  <c r="C265" i="5"/>
  <c r="D18" i="4"/>
  <c r="E265" i="5"/>
  <c r="K265" i="5"/>
  <c r="I18" i="4"/>
  <c r="L265" i="5"/>
  <c r="J18" i="4"/>
  <c r="N265" i="5"/>
  <c r="O265" i="5"/>
  <c r="L18" i="4"/>
  <c r="Q265" i="5"/>
  <c r="M18" i="4"/>
  <c r="R265" i="5"/>
  <c r="N18" i="4"/>
  <c r="T265" i="5"/>
  <c r="U265" i="5"/>
  <c r="P18" i="4"/>
  <c r="W265" i="5"/>
  <c r="Q18" i="4"/>
  <c r="X265" i="5"/>
  <c r="S18" i="4"/>
  <c r="AA265" i="5"/>
  <c r="AI18" i="4"/>
  <c r="T18" i="4" a="1"/>
  <c r="T18" i="4"/>
  <c r="AC265" i="5"/>
  <c r="U18" i="4" a="1"/>
  <c r="U18" i="4"/>
  <c r="AD265" i="5"/>
  <c r="X18" i="4"/>
  <c r="AI265" i="5"/>
  <c r="Y18" i="4"/>
  <c r="AJ265" i="5"/>
  <c r="Z18" i="4"/>
  <c r="AL265" i="5"/>
  <c r="F265" i="5"/>
  <c r="H265" i="5"/>
  <c r="I265" i="5"/>
  <c r="Z265" i="5"/>
  <c r="AN265" i="5"/>
  <c r="AG266" i="5"/>
  <c r="AF266" i="5"/>
  <c r="B21" i="4"/>
  <c r="C21" i="4"/>
  <c r="C266" i="5"/>
  <c r="D21" i="4"/>
  <c r="E266" i="5"/>
  <c r="K266" i="5"/>
  <c r="L21" i="4"/>
  <c r="Q266" i="5"/>
  <c r="M21" i="4"/>
  <c r="R266" i="5"/>
  <c r="N21" i="4"/>
  <c r="T266" i="5"/>
  <c r="U266" i="5"/>
  <c r="P21" i="4"/>
  <c r="W266" i="5"/>
  <c r="Q21" i="4"/>
  <c r="X266" i="5"/>
  <c r="S21" i="4"/>
  <c r="AA266" i="5"/>
  <c r="AI21" i="4"/>
  <c r="T21" i="4" a="1"/>
  <c r="T21" i="4"/>
  <c r="AC266" i="5"/>
  <c r="U21" i="4" a="1"/>
  <c r="U21" i="4"/>
  <c r="AD266" i="5"/>
  <c r="X21" i="4"/>
  <c r="AI266" i="5"/>
  <c r="Y21" i="4"/>
  <c r="AJ266" i="5"/>
  <c r="Z21" i="4"/>
  <c r="AL266" i="5"/>
  <c r="F266" i="5"/>
  <c r="L266" i="5"/>
  <c r="N266" i="5"/>
  <c r="O266" i="5"/>
  <c r="H266" i="5"/>
  <c r="I266" i="5"/>
  <c r="Z266" i="5"/>
  <c r="AN266" i="5"/>
  <c r="AG267" i="5"/>
  <c r="AF267" i="5"/>
  <c r="B65" i="4"/>
  <c r="C65" i="4"/>
  <c r="C267" i="5"/>
  <c r="D65" i="4"/>
  <c r="E267" i="5"/>
  <c r="E65" i="4"/>
  <c r="F267" i="5"/>
  <c r="F65" i="4"/>
  <c r="H267" i="5"/>
  <c r="I267" i="5"/>
  <c r="H65" i="4"/>
  <c r="K267" i="5"/>
  <c r="L65" i="4"/>
  <c r="Q267" i="5"/>
  <c r="M65" i="4"/>
  <c r="R267" i="5"/>
  <c r="N65" i="4"/>
  <c r="T267" i="5"/>
  <c r="O65" i="4"/>
  <c r="U267" i="5"/>
  <c r="P65" i="4"/>
  <c r="W267" i="5"/>
  <c r="Q65" i="4"/>
  <c r="X267" i="5"/>
  <c r="S65" i="4"/>
  <c r="AA267" i="5"/>
  <c r="AI65" i="4"/>
  <c r="T65" i="4" a="1"/>
  <c r="T65" i="4"/>
  <c r="AC267" i="5"/>
  <c r="U65" i="4" a="1"/>
  <c r="U65" i="4"/>
  <c r="AD267" i="5"/>
  <c r="X65" i="4"/>
  <c r="AI267" i="5"/>
  <c r="Y65" i="4"/>
  <c r="AJ267" i="5"/>
  <c r="Z65" i="4"/>
  <c r="AL267" i="5"/>
  <c r="L267" i="5"/>
  <c r="N267" i="5"/>
  <c r="O267" i="5"/>
  <c r="Z267" i="5"/>
  <c r="AN267" i="5"/>
  <c r="O268" i="5"/>
  <c r="H190" i="4"/>
  <c r="K268" i="5"/>
  <c r="AG268" i="5"/>
  <c r="AF268" i="5"/>
  <c r="C190" i="4"/>
  <c r="C268" i="5"/>
  <c r="D190" i="4"/>
  <c r="E268" i="5"/>
  <c r="I190" i="4"/>
  <c r="L268" i="5"/>
  <c r="J190" i="4"/>
  <c r="N268" i="5"/>
  <c r="L190" i="4"/>
  <c r="Q268" i="5"/>
  <c r="M190" i="4"/>
  <c r="R268" i="5"/>
  <c r="T268" i="5"/>
  <c r="O190" i="4"/>
  <c r="U268" i="5"/>
  <c r="P190" i="4"/>
  <c r="W268" i="5"/>
  <c r="Q190" i="4"/>
  <c r="X268" i="5"/>
  <c r="S190" i="4"/>
  <c r="AA268" i="5"/>
  <c r="AI190" i="4"/>
  <c r="T190" i="4" a="1"/>
  <c r="T190" i="4"/>
  <c r="AC268" i="5"/>
  <c r="U190" i="4" a="1"/>
  <c r="U190" i="4"/>
  <c r="AD268" i="5"/>
  <c r="X190" i="4"/>
  <c r="AI268" i="5"/>
  <c r="Y190" i="4"/>
  <c r="AJ268" i="5"/>
  <c r="Z190" i="4"/>
  <c r="AL268" i="5"/>
  <c r="F268" i="5"/>
  <c r="H268" i="5"/>
  <c r="I268" i="5"/>
  <c r="Z268" i="5"/>
  <c r="AN268" i="5"/>
  <c r="B109" i="4"/>
  <c r="S109" i="4"/>
  <c r="AA269" i="5"/>
  <c r="P109" i="4"/>
  <c r="W269" i="5"/>
  <c r="AG269" i="5"/>
  <c r="AF269" i="5"/>
  <c r="C109" i="4"/>
  <c r="C269" i="5"/>
  <c r="D109" i="4"/>
  <c r="E269" i="5"/>
  <c r="E109" i="4"/>
  <c r="F269" i="5"/>
  <c r="F109" i="4"/>
  <c r="H269" i="5"/>
  <c r="I269" i="5"/>
  <c r="K269" i="5"/>
  <c r="L109" i="4"/>
  <c r="Q269" i="5"/>
  <c r="M109" i="4"/>
  <c r="R269" i="5"/>
  <c r="T269" i="5"/>
  <c r="U269" i="5"/>
  <c r="Q109" i="4"/>
  <c r="X269" i="5"/>
  <c r="R109" i="4"/>
  <c r="Z269" i="5"/>
  <c r="AI109" i="4"/>
  <c r="T109" i="4" a="1"/>
  <c r="T109" i="4"/>
  <c r="AC269" i="5"/>
  <c r="U109" i="4" a="1"/>
  <c r="U109" i="4"/>
  <c r="AD269" i="5"/>
  <c r="X109" i="4"/>
  <c r="AI269" i="5"/>
  <c r="Y109" i="4"/>
  <c r="AJ269" i="5"/>
  <c r="Z109" i="4"/>
  <c r="AL269" i="5"/>
  <c r="L269" i="5"/>
  <c r="N269" i="5"/>
  <c r="O269" i="5"/>
  <c r="AN269" i="5"/>
  <c r="B277" i="4"/>
  <c r="S277" i="4"/>
  <c r="AA270" i="5"/>
  <c r="P277" i="4"/>
  <c r="W270" i="5"/>
  <c r="AG270" i="5"/>
  <c r="AF270" i="5"/>
  <c r="C277" i="4"/>
  <c r="C270" i="5"/>
  <c r="D277" i="4"/>
  <c r="E270" i="5"/>
  <c r="E277" i="4"/>
  <c r="F270" i="5"/>
  <c r="F277" i="4"/>
  <c r="H270" i="5"/>
  <c r="I270" i="5"/>
  <c r="K270" i="5"/>
  <c r="L277" i="4"/>
  <c r="Q270" i="5"/>
  <c r="O277" i="4"/>
  <c r="U270" i="5"/>
  <c r="Q277" i="4"/>
  <c r="X270" i="5"/>
  <c r="R277" i="4"/>
  <c r="Z270" i="5"/>
  <c r="AI277" i="4"/>
  <c r="T277" i="4" a="1"/>
  <c r="T277" i="4"/>
  <c r="AC270" i="5"/>
  <c r="U277" i="4" a="1"/>
  <c r="U277" i="4"/>
  <c r="AD270" i="5"/>
  <c r="X277" i="4"/>
  <c r="AI270" i="5"/>
  <c r="Y277" i="4"/>
  <c r="AJ270" i="5"/>
  <c r="Z277" i="4"/>
  <c r="AL270" i="5"/>
  <c r="L270" i="5"/>
  <c r="N270" i="5"/>
  <c r="O270" i="5"/>
  <c r="R270" i="5"/>
  <c r="AN270" i="5"/>
  <c r="O271" i="5"/>
  <c r="H221" i="4"/>
  <c r="K271" i="5"/>
  <c r="AG271" i="5"/>
  <c r="AF271" i="5"/>
  <c r="C221" i="4"/>
  <c r="C271" i="5"/>
  <c r="D221" i="4"/>
  <c r="E271" i="5"/>
  <c r="E221" i="4"/>
  <c r="F271" i="5"/>
  <c r="F221" i="4"/>
  <c r="H271" i="5"/>
  <c r="I271" i="5"/>
  <c r="I221" i="4"/>
  <c r="L271" i="5"/>
  <c r="J221" i="4"/>
  <c r="N271" i="5"/>
  <c r="L221" i="4"/>
  <c r="Q271" i="5"/>
  <c r="M221" i="4"/>
  <c r="R271" i="5"/>
  <c r="N221" i="4"/>
  <c r="T271" i="5"/>
  <c r="O221" i="4"/>
  <c r="U271" i="5"/>
  <c r="P221" i="4"/>
  <c r="W271" i="5"/>
  <c r="Q221" i="4"/>
  <c r="X271" i="5"/>
  <c r="S221" i="4"/>
  <c r="AA271" i="5"/>
  <c r="AI221" i="4"/>
  <c r="T221" i="4" a="1"/>
  <c r="T221" i="4"/>
  <c r="AC271" i="5"/>
  <c r="U221" i="4" a="1"/>
  <c r="U221" i="4"/>
  <c r="AD271" i="5"/>
  <c r="X221" i="4"/>
  <c r="AI271" i="5"/>
  <c r="Y221" i="4"/>
  <c r="AJ271" i="5"/>
  <c r="Z221" i="4"/>
  <c r="AL271" i="5"/>
  <c r="Z271" i="5"/>
  <c r="AN271" i="5"/>
  <c r="O272" i="5"/>
  <c r="B199" i="4"/>
  <c r="H199" i="4"/>
  <c r="K272" i="5"/>
  <c r="AG272" i="5"/>
  <c r="AF272" i="5"/>
  <c r="C199" i="4"/>
  <c r="C272" i="5"/>
  <c r="D199" i="4"/>
  <c r="E272" i="5"/>
  <c r="E199" i="4"/>
  <c r="F272" i="5"/>
  <c r="F199" i="4"/>
  <c r="H272" i="5"/>
  <c r="I272" i="5"/>
  <c r="I43" i="2"/>
  <c r="I199" i="4"/>
  <c r="L272" i="5"/>
  <c r="J43" i="2"/>
  <c r="J199" i="4"/>
  <c r="N272" i="5"/>
  <c r="L199" i="4"/>
  <c r="Q272" i="5"/>
  <c r="M199" i="4"/>
  <c r="R272" i="5"/>
  <c r="T272" i="5"/>
  <c r="O199" i="4"/>
  <c r="U272" i="5"/>
  <c r="W272" i="5"/>
  <c r="Q199" i="4"/>
  <c r="X272" i="5"/>
  <c r="AA272" i="5"/>
  <c r="AI199" i="4"/>
  <c r="T199" i="4" a="1"/>
  <c r="T199" i="4"/>
  <c r="AC272" i="5"/>
  <c r="U199" i="4" a="1"/>
  <c r="U199" i="4"/>
  <c r="AD272" i="5"/>
  <c r="X199" i="4"/>
  <c r="AI272" i="5"/>
  <c r="Y199" i="4"/>
  <c r="AJ272" i="5"/>
  <c r="Z199" i="4"/>
  <c r="AL272" i="5"/>
  <c r="Z272" i="5"/>
  <c r="AN272" i="5"/>
  <c r="AG273" i="5"/>
  <c r="AF273" i="5"/>
  <c r="B213" i="4"/>
  <c r="C213" i="4"/>
  <c r="C273" i="5"/>
  <c r="D213" i="4"/>
  <c r="E273" i="5"/>
  <c r="H213" i="4"/>
  <c r="K273" i="5"/>
  <c r="L213" i="4"/>
  <c r="Q273" i="5"/>
  <c r="M213" i="4"/>
  <c r="R273" i="5"/>
  <c r="T273" i="5"/>
  <c r="O213" i="4"/>
  <c r="U273" i="5"/>
  <c r="P213" i="4"/>
  <c r="W273" i="5"/>
  <c r="Q213" i="4"/>
  <c r="X273" i="5"/>
  <c r="S213" i="4"/>
  <c r="AA273" i="5"/>
  <c r="AI213" i="4"/>
  <c r="T213" i="4" a="1"/>
  <c r="T213" i="4"/>
  <c r="AC273" i="5"/>
  <c r="U213" i="4" a="1"/>
  <c r="U213" i="4"/>
  <c r="AD273" i="5"/>
  <c r="X213" i="4"/>
  <c r="AI273" i="5"/>
  <c r="Y213" i="4"/>
  <c r="AJ273" i="5"/>
  <c r="Z213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C211" i="4"/>
  <c r="C274" i="5"/>
  <c r="D211" i="4"/>
  <c r="E274" i="5"/>
  <c r="L274" i="5"/>
  <c r="N274" i="5"/>
  <c r="L211" i="4"/>
  <c r="Q274" i="5"/>
  <c r="M211" i="4"/>
  <c r="R274" i="5"/>
  <c r="N211" i="4"/>
  <c r="T274" i="5"/>
  <c r="U274" i="5"/>
  <c r="P211" i="4"/>
  <c r="W274" i="5"/>
  <c r="X274" i="5"/>
  <c r="AA274" i="5"/>
  <c r="AI211" i="4"/>
  <c r="T211" i="4" a="1"/>
  <c r="T211" i="4"/>
  <c r="AC274" i="5"/>
  <c r="U211" i="4" a="1"/>
  <c r="U211" i="4"/>
  <c r="AD274" i="5"/>
  <c r="X211" i="4"/>
  <c r="AI274" i="5"/>
  <c r="Y211" i="4"/>
  <c r="AJ274" i="5"/>
  <c r="Z211" i="4"/>
  <c r="AL274" i="5"/>
  <c r="F274" i="5"/>
  <c r="H274" i="5"/>
  <c r="I274" i="5"/>
  <c r="Z274" i="5"/>
  <c r="AN274" i="5"/>
  <c r="AG275" i="5"/>
  <c r="AF275" i="5"/>
  <c r="C240" i="4"/>
  <c r="C275" i="5"/>
  <c r="D240" i="4"/>
  <c r="E275" i="5"/>
  <c r="H240" i="4"/>
  <c r="K275" i="5"/>
  <c r="L240" i="4"/>
  <c r="Q275" i="5"/>
  <c r="M240" i="4"/>
  <c r="R275" i="5"/>
  <c r="N240" i="4"/>
  <c r="T275" i="5"/>
  <c r="U275" i="5"/>
  <c r="P240" i="4"/>
  <c r="W275" i="5"/>
  <c r="Q240" i="4"/>
  <c r="X275" i="5"/>
  <c r="AA275" i="5"/>
  <c r="AI240" i="4"/>
  <c r="T240" i="4" a="1"/>
  <c r="T240" i="4"/>
  <c r="AC275" i="5"/>
  <c r="U240" i="4" a="1"/>
  <c r="U240" i="4"/>
  <c r="AD275" i="5"/>
  <c r="Y240" i="4"/>
  <c r="AJ275" i="5"/>
  <c r="Z240" i="4"/>
  <c r="AL275" i="5"/>
  <c r="F275" i="5"/>
  <c r="L275" i="5"/>
  <c r="N275" i="5"/>
  <c r="O275" i="5"/>
  <c r="H275" i="5"/>
  <c r="I275" i="5"/>
  <c r="Z275" i="5"/>
  <c r="AN275" i="5"/>
  <c r="O276" i="5"/>
  <c r="B236" i="4"/>
  <c r="H236" i="4"/>
  <c r="K276" i="5"/>
  <c r="AG276" i="5"/>
  <c r="AF276" i="5"/>
  <c r="C236" i="4"/>
  <c r="C276" i="5"/>
  <c r="D236" i="4"/>
  <c r="E276" i="5"/>
  <c r="E236" i="4"/>
  <c r="F276" i="5"/>
  <c r="F236" i="4"/>
  <c r="H276" i="5"/>
  <c r="I276" i="5"/>
  <c r="I236" i="4"/>
  <c r="L276" i="5"/>
  <c r="J236" i="4"/>
  <c r="N276" i="5"/>
  <c r="L236" i="4"/>
  <c r="Q276" i="5"/>
  <c r="M236" i="4"/>
  <c r="R276" i="5"/>
  <c r="N236" i="4"/>
  <c r="T276" i="5"/>
  <c r="O236" i="4"/>
  <c r="U276" i="5"/>
  <c r="P236" i="4"/>
  <c r="W276" i="5"/>
  <c r="Q236" i="4"/>
  <c r="X276" i="5"/>
  <c r="AA276" i="5"/>
  <c r="AI236" i="4"/>
  <c r="T236" i="4" a="1"/>
  <c r="T236" i="4"/>
  <c r="AC276" i="5"/>
  <c r="U236" i="4" a="1"/>
  <c r="U236" i="4"/>
  <c r="AD276" i="5"/>
  <c r="X236" i="4"/>
  <c r="AI276" i="5"/>
  <c r="Y236" i="4"/>
  <c r="AJ276" i="5"/>
  <c r="Z236" i="4"/>
  <c r="AL276" i="5"/>
  <c r="Z276" i="5"/>
  <c r="AN276" i="5"/>
  <c r="AG277" i="5"/>
  <c r="AF277" i="5"/>
  <c r="C241" i="4"/>
  <c r="C277" i="5"/>
  <c r="D241" i="4"/>
  <c r="E277" i="5"/>
  <c r="H241" i="4"/>
  <c r="K277" i="5"/>
  <c r="L241" i="4"/>
  <c r="Q277" i="5"/>
  <c r="M241" i="4"/>
  <c r="R277" i="5"/>
  <c r="N241" i="4"/>
  <c r="T277" i="5"/>
  <c r="U277" i="5"/>
  <c r="P241" i="4"/>
  <c r="W277" i="5"/>
  <c r="Q241" i="4"/>
  <c r="X277" i="5"/>
  <c r="AA277" i="5"/>
  <c r="AI241" i="4"/>
  <c r="T241" i="4" a="1"/>
  <c r="T241" i="4"/>
  <c r="AC277" i="5"/>
  <c r="U241" i="4" a="1"/>
  <c r="U241" i="4"/>
  <c r="AD277" i="5"/>
  <c r="X241" i="4"/>
  <c r="AI277" i="5"/>
  <c r="Y241" i="4"/>
  <c r="AJ277" i="5"/>
  <c r="Z241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280" i="4"/>
  <c r="C278" i="5"/>
  <c r="D280" i="4"/>
  <c r="E278" i="5"/>
  <c r="I280" i="4"/>
  <c r="L278" i="5"/>
  <c r="J280" i="4"/>
  <c r="N278" i="5"/>
  <c r="L280" i="4"/>
  <c r="Q278" i="5"/>
  <c r="M280" i="4"/>
  <c r="R278" i="5"/>
  <c r="N280" i="4"/>
  <c r="T278" i="5"/>
  <c r="O280" i="4"/>
  <c r="U278" i="5"/>
  <c r="P280" i="4"/>
  <c r="W278" i="5"/>
  <c r="Q280" i="4"/>
  <c r="X278" i="5"/>
  <c r="S280" i="4"/>
  <c r="AA278" i="5"/>
  <c r="AI280" i="4"/>
  <c r="T280" i="4" a="1"/>
  <c r="T280" i="4"/>
  <c r="AC278" i="5"/>
  <c r="U280" i="4" a="1"/>
  <c r="U280" i="4"/>
  <c r="AD278" i="5"/>
  <c r="AI278" i="5"/>
  <c r="Y280" i="4"/>
  <c r="AJ278" i="5"/>
  <c r="Z280" i="4"/>
  <c r="AL278" i="5"/>
  <c r="F278" i="5"/>
  <c r="H278" i="5"/>
  <c r="I278" i="5"/>
  <c r="Z278" i="5"/>
  <c r="AN278" i="5"/>
  <c r="AG279" i="5"/>
  <c r="AF279" i="5"/>
  <c r="B177" i="4"/>
  <c r="C177" i="4"/>
  <c r="C279" i="5"/>
  <c r="D177" i="4"/>
  <c r="E279" i="5"/>
  <c r="H177" i="4"/>
  <c r="K279" i="5"/>
  <c r="L177" i="4"/>
  <c r="Q279" i="5"/>
  <c r="M177" i="4"/>
  <c r="R279" i="5"/>
  <c r="T279" i="5"/>
  <c r="O177" i="4"/>
  <c r="U279" i="5"/>
  <c r="P177" i="4"/>
  <c r="W279" i="5"/>
  <c r="Q177" i="4"/>
  <c r="X279" i="5"/>
  <c r="S177" i="4"/>
  <c r="AA279" i="5"/>
  <c r="AI177" i="4"/>
  <c r="T177" i="4" a="1"/>
  <c r="T177" i="4"/>
  <c r="AC279" i="5"/>
  <c r="U177" i="4" a="1"/>
  <c r="U177" i="4"/>
  <c r="AD279" i="5"/>
  <c r="X177" i="4"/>
  <c r="AI279" i="5"/>
  <c r="Y177" i="4"/>
  <c r="AJ279" i="5"/>
  <c r="Z177" i="4"/>
  <c r="AL279" i="5"/>
  <c r="F279" i="5"/>
  <c r="H279" i="5"/>
  <c r="I279" i="5"/>
  <c r="L279" i="5"/>
  <c r="N279" i="5"/>
  <c r="O279" i="5"/>
  <c r="Z279" i="5"/>
  <c r="AN279" i="5"/>
  <c r="AG280" i="5"/>
  <c r="AF280" i="5"/>
  <c r="C168" i="4"/>
  <c r="C280" i="5"/>
  <c r="T280" i="5"/>
  <c r="O168" i="4"/>
  <c r="U280" i="5"/>
  <c r="P168" i="4"/>
  <c r="W280" i="5"/>
  <c r="Q168" i="4"/>
  <c r="X280" i="5"/>
  <c r="AA280" i="5"/>
  <c r="AI168" i="4"/>
  <c r="T168" i="4" a="1"/>
  <c r="T168" i="4"/>
  <c r="AC280" i="5"/>
  <c r="U168" i="4" a="1"/>
  <c r="U168" i="4"/>
  <c r="AD280" i="5"/>
  <c r="X168" i="4"/>
  <c r="AI280" i="5"/>
  <c r="Y168" i="4"/>
  <c r="AJ280" i="5"/>
  <c r="Z168" i="4"/>
  <c r="AL280" i="5"/>
  <c r="F280" i="5"/>
  <c r="H280" i="5"/>
  <c r="I280" i="5"/>
  <c r="L280" i="5"/>
  <c r="N280" i="5"/>
  <c r="O280" i="5"/>
  <c r="Z280" i="5"/>
  <c r="AN280" i="5"/>
  <c r="AG281" i="5"/>
  <c r="AF281" i="5"/>
  <c r="C181" i="4"/>
  <c r="C281" i="5"/>
  <c r="D181" i="4"/>
  <c r="E281" i="5"/>
  <c r="H181" i="4"/>
  <c r="K281" i="5"/>
  <c r="L181" i="4"/>
  <c r="Q281" i="5"/>
  <c r="M181" i="4"/>
  <c r="R281" i="5"/>
  <c r="T281" i="5"/>
  <c r="O181" i="4"/>
  <c r="U281" i="5"/>
  <c r="P181" i="4"/>
  <c r="W281" i="5"/>
  <c r="Q181" i="4"/>
  <c r="X281" i="5"/>
  <c r="S181" i="4"/>
  <c r="AA281" i="5"/>
  <c r="AI181" i="4"/>
  <c r="T181" i="4" a="1"/>
  <c r="T181" i="4"/>
  <c r="AC281" i="5"/>
  <c r="U181" i="4" a="1"/>
  <c r="U181" i="4"/>
  <c r="AD281" i="5"/>
  <c r="X181" i="4"/>
  <c r="AI281" i="5"/>
  <c r="Y181" i="4"/>
  <c r="AJ281" i="5"/>
  <c r="Z181" i="4"/>
  <c r="AL281" i="5"/>
  <c r="F281" i="5"/>
  <c r="H281" i="5"/>
  <c r="I281" i="5"/>
  <c r="L281" i="5"/>
  <c r="N281" i="5"/>
  <c r="O281" i="5"/>
  <c r="Z281" i="5"/>
  <c r="AN281" i="5"/>
  <c r="AG282" i="5"/>
  <c r="AF282" i="5"/>
  <c r="C169" i="4"/>
  <c r="C282" i="5"/>
  <c r="D169" i="4"/>
  <c r="E282" i="5"/>
  <c r="H169" i="4"/>
  <c r="K282" i="5"/>
  <c r="L169" i="4"/>
  <c r="Q282" i="5"/>
  <c r="M169" i="4"/>
  <c r="R282" i="5"/>
  <c r="T282" i="5"/>
  <c r="O169" i="4"/>
  <c r="U282" i="5"/>
  <c r="P169" i="4"/>
  <c r="W282" i="5"/>
  <c r="Q169" i="4"/>
  <c r="X282" i="5"/>
  <c r="S169" i="4"/>
  <c r="AA282" i="5"/>
  <c r="AI169" i="4"/>
  <c r="T169" i="4" a="1"/>
  <c r="T169" i="4"/>
  <c r="AC282" i="5"/>
  <c r="U169" i="4" a="1"/>
  <c r="U169" i="4"/>
  <c r="AD282" i="5"/>
  <c r="X169" i="4"/>
  <c r="AI282" i="5"/>
  <c r="Y169" i="4"/>
  <c r="AJ282" i="5"/>
  <c r="Z169" i="4"/>
  <c r="AL282" i="5"/>
  <c r="F282" i="5"/>
  <c r="H282" i="5"/>
  <c r="I282" i="5"/>
  <c r="L282" i="5"/>
  <c r="N282" i="5"/>
  <c r="O282" i="5"/>
  <c r="Z282" i="5"/>
  <c r="AN282" i="5"/>
  <c r="AG283" i="5"/>
  <c r="AF283" i="5"/>
  <c r="C131" i="4"/>
  <c r="C283" i="5"/>
  <c r="D131" i="4"/>
  <c r="E283" i="5"/>
  <c r="K283" i="5"/>
  <c r="L131" i="4"/>
  <c r="Q283" i="5"/>
  <c r="M131" i="4"/>
  <c r="R283" i="5"/>
  <c r="N131" i="4"/>
  <c r="T283" i="5"/>
  <c r="U283" i="5"/>
  <c r="P131" i="4"/>
  <c r="W283" i="5"/>
  <c r="Q131" i="4"/>
  <c r="X283" i="5"/>
  <c r="S131" i="4"/>
  <c r="AA283" i="5"/>
  <c r="AI131" i="4"/>
  <c r="T131" i="4" a="1"/>
  <c r="T131" i="4"/>
  <c r="AC283" i="5"/>
  <c r="U131" i="4" a="1"/>
  <c r="U131" i="4"/>
  <c r="AD283" i="5"/>
  <c r="X131" i="4"/>
  <c r="AI283" i="5"/>
  <c r="Y131" i="4"/>
  <c r="AJ283" i="5"/>
  <c r="Z131" i="4"/>
  <c r="AL283" i="5"/>
  <c r="F283" i="5"/>
  <c r="H283" i="5"/>
  <c r="I283" i="5"/>
  <c r="L283" i="5"/>
  <c r="N283" i="5"/>
  <c r="O283" i="5"/>
  <c r="Z283" i="5"/>
  <c r="AN283" i="5"/>
  <c r="AG284" i="5"/>
  <c r="AF284" i="5"/>
  <c r="C132" i="4"/>
  <c r="C284" i="5"/>
  <c r="D132" i="4"/>
  <c r="E284" i="5"/>
  <c r="K284" i="5"/>
  <c r="L132" i="4"/>
  <c r="Q284" i="5"/>
  <c r="M132" i="4"/>
  <c r="R284" i="5"/>
  <c r="N132" i="4"/>
  <c r="T284" i="5"/>
  <c r="U284" i="5"/>
  <c r="P132" i="4"/>
  <c r="W284" i="5"/>
  <c r="Q132" i="4"/>
  <c r="X284" i="5"/>
  <c r="S132" i="4"/>
  <c r="AA284" i="5"/>
  <c r="AI132" i="4"/>
  <c r="T132" i="4" a="1"/>
  <c r="T132" i="4"/>
  <c r="AC284" i="5"/>
  <c r="U132" i="4" a="1"/>
  <c r="U132" i="4"/>
  <c r="AD284" i="5"/>
  <c r="X132" i="4"/>
  <c r="AI284" i="5"/>
  <c r="Y132" i="4"/>
  <c r="AJ284" i="5"/>
  <c r="Z132" i="4"/>
  <c r="AL284" i="5"/>
  <c r="F284" i="5"/>
  <c r="H284" i="5"/>
  <c r="I284" i="5"/>
  <c r="L284" i="5"/>
  <c r="N284" i="5"/>
  <c r="O284" i="5"/>
  <c r="Z284" i="5"/>
  <c r="AN284" i="5"/>
  <c r="AG285" i="5"/>
  <c r="AF285" i="5"/>
  <c r="B197" i="4"/>
  <c r="C197" i="4"/>
  <c r="C285" i="5"/>
  <c r="D197" i="4"/>
  <c r="E285" i="5"/>
  <c r="H197" i="4"/>
  <c r="K285" i="5"/>
  <c r="L197" i="4"/>
  <c r="Q285" i="5"/>
  <c r="M197" i="4"/>
  <c r="R285" i="5"/>
  <c r="T285" i="5"/>
  <c r="O197" i="4"/>
  <c r="U285" i="5"/>
  <c r="P197" i="4"/>
  <c r="W285" i="5"/>
  <c r="Q197" i="4"/>
  <c r="X285" i="5"/>
  <c r="S197" i="4"/>
  <c r="AA285" i="5"/>
  <c r="AI197" i="4"/>
  <c r="T197" i="4" a="1"/>
  <c r="T197" i="4"/>
  <c r="AC285" i="5"/>
  <c r="U197" i="4" a="1"/>
  <c r="U197" i="4"/>
  <c r="AD285" i="5"/>
  <c r="X197" i="4"/>
  <c r="AI285" i="5"/>
  <c r="Y197" i="4"/>
  <c r="AJ285" i="5"/>
  <c r="Z197" i="4"/>
  <c r="AL285" i="5"/>
  <c r="F285" i="5"/>
  <c r="H285" i="5"/>
  <c r="I285" i="5"/>
  <c r="L285" i="5"/>
  <c r="N285" i="5"/>
  <c r="O285" i="5"/>
  <c r="Z285" i="5"/>
  <c r="AN285" i="5"/>
  <c r="AG286" i="5"/>
  <c r="AF286" i="5"/>
  <c r="B200" i="4"/>
  <c r="C200" i="4"/>
  <c r="C286" i="5"/>
  <c r="D200" i="4"/>
  <c r="E286" i="5"/>
  <c r="H200" i="4"/>
  <c r="K286" i="5"/>
  <c r="L200" i="4"/>
  <c r="Q286" i="5"/>
  <c r="M200" i="4"/>
  <c r="R286" i="5"/>
  <c r="T286" i="5"/>
  <c r="O200" i="4"/>
  <c r="U286" i="5"/>
  <c r="P200" i="4"/>
  <c r="W286" i="5"/>
  <c r="Q200" i="4"/>
  <c r="X286" i="5"/>
  <c r="S200" i="4"/>
  <c r="AA286" i="5"/>
  <c r="AI200" i="4"/>
  <c r="T200" i="4" a="1"/>
  <c r="T200" i="4"/>
  <c r="AC286" i="5"/>
  <c r="U200" i="4" a="1"/>
  <c r="U200" i="4"/>
  <c r="AD286" i="5"/>
  <c r="X200" i="4"/>
  <c r="AI286" i="5"/>
  <c r="Y200" i="4"/>
  <c r="AJ286" i="5"/>
  <c r="Z200" i="4"/>
  <c r="AL286" i="5"/>
  <c r="F286" i="5"/>
  <c r="H286" i="5"/>
  <c r="I286" i="5"/>
  <c r="L286" i="5"/>
  <c r="N286" i="5"/>
  <c r="O286" i="5"/>
  <c r="Z286" i="5"/>
  <c r="AN286" i="5"/>
  <c r="AG287" i="5"/>
  <c r="AF287" i="5"/>
  <c r="C171" i="4"/>
  <c r="C287" i="5"/>
  <c r="T287" i="5"/>
  <c r="O171" i="4"/>
  <c r="U287" i="5"/>
  <c r="P171" i="4"/>
  <c r="W287" i="5"/>
  <c r="Q171" i="4"/>
  <c r="X287" i="5"/>
  <c r="S171" i="4"/>
  <c r="AA287" i="5"/>
  <c r="AI171" i="4"/>
  <c r="T171" i="4" a="1"/>
  <c r="T171" i="4"/>
  <c r="AC287" i="5"/>
  <c r="U171" i="4" a="1"/>
  <c r="U171" i="4"/>
  <c r="AD287" i="5"/>
  <c r="X171" i="4"/>
  <c r="AI287" i="5"/>
  <c r="Y171" i="4"/>
  <c r="AJ287" i="5"/>
  <c r="Z171" i="4"/>
  <c r="AL287" i="5"/>
  <c r="Z287" i="5"/>
  <c r="AN287" i="5"/>
  <c r="AG288" i="5"/>
  <c r="AF288" i="5"/>
  <c r="C146" i="4"/>
  <c r="C288" i="5"/>
  <c r="D146" i="4"/>
  <c r="E288" i="5"/>
  <c r="H146" i="4"/>
  <c r="K288" i="5"/>
  <c r="L146" i="4"/>
  <c r="Q288" i="5"/>
  <c r="M146" i="4"/>
  <c r="R288" i="5"/>
  <c r="T288" i="5"/>
  <c r="O146" i="4"/>
  <c r="U288" i="5"/>
  <c r="P146" i="4"/>
  <c r="W288" i="5"/>
  <c r="Q146" i="4"/>
  <c r="X288" i="5"/>
  <c r="S146" i="4"/>
  <c r="AA288" i="5"/>
  <c r="AI146" i="4"/>
  <c r="T146" i="4" a="1"/>
  <c r="T146" i="4"/>
  <c r="AC288" i="5"/>
  <c r="U146" i="4" a="1"/>
  <c r="U146" i="4"/>
  <c r="AD288" i="5"/>
  <c r="X146" i="4"/>
  <c r="AI288" i="5"/>
  <c r="Y146" i="4"/>
  <c r="AJ288" i="5"/>
  <c r="Z146" i="4"/>
  <c r="AL288" i="5"/>
  <c r="F288" i="5"/>
  <c r="H288" i="5"/>
  <c r="I288" i="5"/>
  <c r="L288" i="5"/>
  <c r="N288" i="5"/>
  <c r="O288" i="5"/>
  <c r="Z288" i="5"/>
  <c r="AN288" i="5"/>
  <c r="AG289" i="5"/>
  <c r="AF289" i="5"/>
  <c r="C164" i="4"/>
  <c r="C289" i="5"/>
  <c r="D164" i="4"/>
  <c r="E289" i="5"/>
  <c r="H164" i="4"/>
  <c r="K289" i="5"/>
  <c r="L164" i="4"/>
  <c r="Q289" i="5"/>
  <c r="M164" i="4"/>
  <c r="R289" i="5"/>
  <c r="T289" i="5"/>
  <c r="O164" i="4"/>
  <c r="U289" i="5"/>
  <c r="P164" i="4"/>
  <c r="W289" i="5"/>
  <c r="Q164" i="4"/>
  <c r="X289" i="5"/>
  <c r="S164" i="4"/>
  <c r="AA289" i="5"/>
  <c r="AI164" i="4"/>
  <c r="T164" i="4" a="1"/>
  <c r="T164" i="4"/>
  <c r="AC289" i="5"/>
  <c r="U164" i="4" a="1"/>
  <c r="U164" i="4"/>
  <c r="AD289" i="5"/>
  <c r="X164" i="4"/>
  <c r="AI289" i="5"/>
  <c r="Y164" i="4"/>
  <c r="AJ289" i="5"/>
  <c r="Z164" i="4"/>
  <c r="AL289" i="5"/>
  <c r="F289" i="5"/>
  <c r="H289" i="5"/>
  <c r="I289" i="5"/>
  <c r="L289" i="5"/>
  <c r="N289" i="5"/>
  <c r="O289" i="5"/>
  <c r="Z289" i="5"/>
  <c r="AN289" i="5"/>
  <c r="AG290" i="5"/>
  <c r="AF290" i="5"/>
  <c r="C284" i="4"/>
  <c r="C290" i="5"/>
  <c r="D284" i="4"/>
  <c r="E290" i="5"/>
  <c r="H284" i="4"/>
  <c r="K290" i="5"/>
  <c r="L284" i="4"/>
  <c r="Q290" i="5"/>
  <c r="M284" i="4"/>
  <c r="R290" i="5"/>
  <c r="T290" i="5"/>
  <c r="O284" i="4"/>
  <c r="U290" i="5"/>
  <c r="P284" i="4"/>
  <c r="W290" i="5"/>
  <c r="Q284" i="4"/>
  <c r="X290" i="5"/>
  <c r="S284" i="4"/>
  <c r="AA290" i="5"/>
  <c r="AI284" i="4"/>
  <c r="T284" i="4" a="1"/>
  <c r="T284" i="4"/>
  <c r="AC290" i="5"/>
  <c r="U284" i="4" a="1"/>
  <c r="U284" i="4"/>
  <c r="AD290" i="5"/>
  <c r="X284" i="4"/>
  <c r="AI290" i="5"/>
  <c r="Y284" i="4"/>
  <c r="AJ290" i="5"/>
  <c r="Z284" i="4"/>
  <c r="AL290" i="5"/>
  <c r="F290" i="5"/>
  <c r="H290" i="5"/>
  <c r="I290" i="5"/>
  <c r="L290" i="5"/>
  <c r="N290" i="5"/>
  <c r="O290" i="5"/>
  <c r="Z290" i="5"/>
  <c r="AN290" i="5"/>
  <c r="B172" i="4"/>
  <c r="S172" i="4"/>
  <c r="AA291" i="5"/>
  <c r="P172" i="4"/>
  <c r="W291" i="5"/>
  <c r="AG291" i="5"/>
  <c r="AF291" i="5"/>
  <c r="C172" i="4"/>
  <c r="C291" i="5"/>
  <c r="D172" i="4"/>
  <c r="E291" i="5"/>
  <c r="H172" i="4"/>
  <c r="K291" i="5"/>
  <c r="L172" i="4"/>
  <c r="Q291" i="5"/>
  <c r="M172" i="4"/>
  <c r="R291" i="5"/>
  <c r="N172" i="4"/>
  <c r="T291" i="5"/>
  <c r="O172" i="4"/>
  <c r="U291" i="5"/>
  <c r="Q172" i="4"/>
  <c r="X291" i="5"/>
  <c r="R39" i="2"/>
  <c r="R172" i="4"/>
  <c r="Z291" i="5"/>
  <c r="AI172" i="4"/>
  <c r="T172" i="4" a="1"/>
  <c r="T172" i="4"/>
  <c r="AC291" i="5"/>
  <c r="U172" i="4" a="1"/>
  <c r="U172" i="4"/>
  <c r="AD291" i="5"/>
  <c r="X172" i="4"/>
  <c r="AI291" i="5"/>
  <c r="Y172" i="4"/>
  <c r="AJ291" i="5"/>
  <c r="Z172" i="4"/>
  <c r="AL291" i="5"/>
  <c r="F291" i="5"/>
  <c r="H291" i="5"/>
  <c r="I291" i="5"/>
  <c r="L291" i="5"/>
  <c r="N291" i="5"/>
  <c r="O291" i="5"/>
  <c r="AN291" i="5"/>
  <c r="AG292" i="5"/>
  <c r="AF292" i="5"/>
  <c r="B182" i="4"/>
  <c r="C182" i="4"/>
  <c r="C292" i="5"/>
  <c r="D182" i="4"/>
  <c r="E292" i="5"/>
  <c r="H182" i="4"/>
  <c r="K292" i="5"/>
  <c r="L182" i="4"/>
  <c r="Q292" i="5"/>
  <c r="M182" i="4"/>
  <c r="R292" i="5"/>
  <c r="N182" i="4"/>
  <c r="T292" i="5"/>
  <c r="O182" i="4"/>
  <c r="U292" i="5"/>
  <c r="P182" i="4"/>
  <c r="W292" i="5"/>
  <c r="Q182" i="4"/>
  <c r="X292" i="5"/>
  <c r="S182" i="4"/>
  <c r="AA292" i="5"/>
  <c r="AI182" i="4"/>
  <c r="T182" i="4" a="1"/>
  <c r="T182" i="4"/>
  <c r="AC292" i="5"/>
  <c r="U182" i="4" a="1"/>
  <c r="U182" i="4"/>
  <c r="AD292" i="5"/>
  <c r="X182" i="4"/>
  <c r="AI292" i="5"/>
  <c r="Y182" i="4"/>
  <c r="AJ292" i="5"/>
  <c r="Z182" i="4"/>
  <c r="AL292" i="5"/>
  <c r="F292" i="5"/>
  <c r="H292" i="5"/>
  <c r="I292" i="5"/>
  <c r="L292" i="5"/>
  <c r="N292" i="5"/>
  <c r="O292" i="5"/>
  <c r="Z292" i="5"/>
  <c r="AN292" i="5"/>
  <c r="AG293" i="5"/>
  <c r="AF293" i="5"/>
  <c r="B245" i="4"/>
  <c r="C245" i="4"/>
  <c r="C293" i="5"/>
  <c r="D245" i="4"/>
  <c r="E293" i="5"/>
  <c r="K293" i="5"/>
  <c r="L245" i="4"/>
  <c r="Q293" i="5"/>
  <c r="M245" i="4"/>
  <c r="R293" i="5"/>
  <c r="T293" i="5"/>
  <c r="U293" i="5"/>
  <c r="P245" i="4"/>
  <c r="W293" i="5"/>
  <c r="Q245" i="4"/>
  <c r="X293" i="5"/>
  <c r="S245" i="4"/>
  <c r="AA293" i="5"/>
  <c r="AI245" i="4"/>
  <c r="T245" i="4" a="1"/>
  <c r="T245" i="4"/>
  <c r="AC293" i="5"/>
  <c r="U245" i="4" a="1"/>
  <c r="U245" i="4"/>
  <c r="AD293" i="5"/>
  <c r="X245" i="4"/>
  <c r="AI293" i="5"/>
  <c r="Y245" i="4"/>
  <c r="AJ293" i="5"/>
  <c r="Z245" i="4"/>
  <c r="AL293" i="5"/>
  <c r="F293" i="5"/>
  <c r="H293" i="5"/>
  <c r="I293" i="5"/>
  <c r="L293" i="5"/>
  <c r="N293" i="5"/>
  <c r="O293" i="5"/>
  <c r="Z293" i="5"/>
  <c r="AN293" i="5"/>
  <c r="AG294" i="5"/>
  <c r="AF294" i="5"/>
  <c r="B173" i="4"/>
  <c r="C173" i="4"/>
  <c r="C294" i="5"/>
  <c r="D173" i="4"/>
  <c r="E294" i="5"/>
  <c r="H173" i="4"/>
  <c r="K294" i="5"/>
  <c r="L173" i="4"/>
  <c r="Q294" i="5"/>
  <c r="M173" i="4"/>
  <c r="R294" i="5"/>
  <c r="T294" i="5"/>
  <c r="O173" i="4"/>
  <c r="U294" i="5"/>
  <c r="P173" i="4"/>
  <c r="W294" i="5"/>
  <c r="Q173" i="4"/>
  <c r="X294" i="5"/>
  <c r="S173" i="4"/>
  <c r="AA294" i="5"/>
  <c r="AI173" i="4"/>
  <c r="T173" i="4" a="1"/>
  <c r="T173" i="4"/>
  <c r="AC294" i="5"/>
  <c r="U173" i="4" a="1"/>
  <c r="U173" i="4"/>
  <c r="AD294" i="5"/>
  <c r="X173" i="4"/>
  <c r="AI294" i="5"/>
  <c r="F294" i="5"/>
  <c r="H294" i="5"/>
  <c r="I294" i="5"/>
  <c r="L294" i="5"/>
  <c r="N294" i="5"/>
  <c r="O294" i="5"/>
  <c r="Z294" i="5"/>
  <c r="AN294" i="5"/>
  <c r="AG295" i="5"/>
  <c r="AF295" i="5"/>
  <c r="B174" i="4"/>
  <c r="C174" i="4"/>
  <c r="C295" i="5"/>
  <c r="D174" i="4"/>
  <c r="E295" i="5"/>
  <c r="H174" i="4"/>
  <c r="K295" i="5"/>
  <c r="L174" i="4"/>
  <c r="Q295" i="5"/>
  <c r="M174" i="4"/>
  <c r="R295" i="5"/>
  <c r="T295" i="5"/>
  <c r="O174" i="4"/>
  <c r="U295" i="5"/>
  <c r="P174" i="4"/>
  <c r="W295" i="5"/>
  <c r="Q174" i="4"/>
  <c r="X295" i="5"/>
  <c r="S174" i="4"/>
  <c r="AA295" i="5"/>
  <c r="AI174" i="4"/>
  <c r="T174" i="4" a="1"/>
  <c r="T174" i="4"/>
  <c r="AC295" i="5"/>
  <c r="U174" i="4" a="1"/>
  <c r="U174" i="4"/>
  <c r="AD295" i="5"/>
  <c r="X174" i="4"/>
  <c r="AI295" i="5"/>
  <c r="F295" i="5"/>
  <c r="H295" i="5"/>
  <c r="I295" i="5"/>
  <c r="L295" i="5"/>
  <c r="N295" i="5"/>
  <c r="O295" i="5"/>
  <c r="Z295" i="5"/>
  <c r="AN295" i="5"/>
  <c r="AG296" i="5"/>
  <c r="AF296" i="5"/>
  <c r="B208" i="4"/>
  <c r="C208" i="4"/>
  <c r="C296" i="5"/>
  <c r="D208" i="4"/>
  <c r="E296" i="5"/>
  <c r="H208" i="4"/>
  <c r="K296" i="5"/>
  <c r="L208" i="4"/>
  <c r="Q296" i="5"/>
  <c r="M208" i="4"/>
  <c r="R296" i="5"/>
  <c r="T296" i="5"/>
  <c r="O208" i="4"/>
  <c r="U296" i="5"/>
  <c r="P208" i="4"/>
  <c r="W296" i="5"/>
  <c r="Q208" i="4"/>
  <c r="X296" i="5"/>
  <c r="S208" i="4"/>
  <c r="AA296" i="5"/>
  <c r="AI208" i="4"/>
  <c r="T208" i="4" a="1"/>
  <c r="T208" i="4"/>
  <c r="AC296" i="5"/>
  <c r="U208" i="4" a="1"/>
  <c r="U208" i="4"/>
  <c r="AD296" i="5"/>
  <c r="X208" i="4"/>
  <c r="AI296" i="5"/>
  <c r="Y208" i="4"/>
  <c r="AJ296" i="5"/>
  <c r="Z208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299" i="4"/>
  <c r="V299" i="4"/>
  <c r="AF299" i="5"/>
  <c r="C45" i="2"/>
  <c r="C299" i="4"/>
  <c r="C299" i="5"/>
  <c r="D299" i="4"/>
  <c r="E299" i="5"/>
  <c r="I299" i="4"/>
  <c r="L299" i="5"/>
  <c r="J299" i="4"/>
  <c r="N299" i="5"/>
  <c r="L299" i="4"/>
  <c r="Q299" i="5"/>
  <c r="M299" i="4"/>
  <c r="R299" i="5"/>
  <c r="N45" i="2"/>
  <c r="N299" i="4"/>
  <c r="T299" i="5"/>
  <c r="O45" i="2"/>
  <c r="O299" i="4"/>
  <c r="U299" i="5"/>
  <c r="P45" i="2"/>
  <c r="P299" i="4"/>
  <c r="W299" i="5"/>
  <c r="Q45" i="2"/>
  <c r="Q299" i="4"/>
  <c r="X299" i="5"/>
  <c r="AA299" i="5"/>
  <c r="T45" i="2"/>
  <c r="T299" i="4"/>
  <c r="AC299" i="5"/>
  <c r="U45" i="2"/>
  <c r="U299" i="4"/>
  <c r="AD299" i="5"/>
  <c r="X45" i="2"/>
  <c r="X299" i="4"/>
  <c r="AI299" i="5"/>
  <c r="Y45" i="2"/>
  <c r="Y299" i="4"/>
  <c r="AJ299" i="5"/>
  <c r="Z45" i="2"/>
  <c r="Z299" i="4"/>
  <c r="AL299" i="5"/>
  <c r="F299" i="5"/>
  <c r="H299" i="5"/>
  <c r="I299" i="5"/>
  <c r="Z299" i="5"/>
  <c r="AN299" i="5"/>
  <c r="AG300" i="5"/>
  <c r="V300" i="4"/>
  <c r="AF300" i="5"/>
  <c r="C300" i="4"/>
  <c r="C300" i="5"/>
  <c r="N300" i="4"/>
  <c r="T300" i="5"/>
  <c r="O300" i="4"/>
  <c r="U300" i="5"/>
  <c r="P300" i="4"/>
  <c r="W300" i="5"/>
  <c r="Q300" i="4"/>
  <c r="X300" i="5"/>
  <c r="AA300" i="5"/>
  <c r="T300" i="4"/>
  <c r="AC300" i="5"/>
  <c r="U300" i="4"/>
  <c r="AD300" i="5"/>
  <c r="X300" i="4"/>
  <c r="AI300" i="5"/>
  <c r="Y300" i="4"/>
  <c r="AJ300" i="5"/>
  <c r="Z300" i="4"/>
  <c r="AL300" i="5"/>
  <c r="F300" i="5"/>
  <c r="H300" i="5"/>
  <c r="I300" i="5"/>
  <c r="Z300" i="5"/>
  <c r="AN300" i="5"/>
  <c r="O301" i="5"/>
  <c r="K301" i="5"/>
  <c r="AG301" i="5"/>
  <c r="V46" i="2"/>
  <c r="B301" i="4"/>
  <c r="V301" i="4"/>
  <c r="AF301" i="5"/>
  <c r="C46" i="2"/>
  <c r="C301" i="4"/>
  <c r="C301" i="5"/>
  <c r="D46" i="2"/>
  <c r="D301" i="4"/>
  <c r="E301" i="5"/>
  <c r="I46" i="2"/>
  <c r="I301" i="4"/>
  <c r="L301" i="5"/>
  <c r="J46" i="2"/>
  <c r="J301" i="4"/>
  <c r="N301" i="5"/>
  <c r="L46" i="2"/>
  <c r="L301" i="4"/>
  <c r="Q301" i="5"/>
  <c r="M46" i="2"/>
  <c r="M301" i="4"/>
  <c r="R301" i="5"/>
  <c r="N46" i="2"/>
  <c r="N301" i="4"/>
  <c r="T301" i="5"/>
  <c r="O46" i="2"/>
  <c r="O301" i="4"/>
  <c r="U301" i="5"/>
  <c r="P46" i="2"/>
  <c r="P301" i="4"/>
  <c r="W301" i="5"/>
  <c r="Q46" i="2"/>
  <c r="Q301" i="4"/>
  <c r="X301" i="5"/>
  <c r="AA301" i="5"/>
  <c r="T46" i="2"/>
  <c r="T301" i="4"/>
  <c r="AC301" i="5"/>
  <c r="U46" i="2"/>
  <c r="U301" i="4"/>
  <c r="AD301" i="5"/>
  <c r="X46" i="2"/>
  <c r="X301" i="4"/>
  <c r="AI301" i="5"/>
  <c r="Y46" i="2"/>
  <c r="Y301" i="4"/>
  <c r="AJ301" i="5"/>
  <c r="Z46" i="2"/>
  <c r="Z301" i="4"/>
  <c r="AL301" i="5"/>
  <c r="F301" i="5"/>
  <c r="H301" i="5"/>
  <c r="I301" i="5"/>
  <c r="Z301" i="5"/>
  <c r="AN301" i="5"/>
  <c r="O302" i="5"/>
  <c r="K302" i="5"/>
  <c r="AG302" i="5"/>
  <c r="B302" i="4"/>
  <c r="V302" i="4"/>
  <c r="AF302" i="5"/>
  <c r="C302" i="4"/>
  <c r="C302" i="5"/>
  <c r="D302" i="4"/>
  <c r="E302" i="5"/>
  <c r="I302" i="4"/>
  <c r="L302" i="5"/>
  <c r="J302" i="4"/>
  <c r="N302" i="5"/>
  <c r="L302" i="4"/>
  <c r="Q302" i="5"/>
  <c r="M302" i="4"/>
  <c r="R302" i="5"/>
  <c r="N302" i="4"/>
  <c r="T302" i="5"/>
  <c r="O302" i="4"/>
  <c r="U302" i="5"/>
  <c r="P302" i="4"/>
  <c r="W302" i="5"/>
  <c r="Q302" i="4"/>
  <c r="X302" i="5"/>
  <c r="AA302" i="5"/>
  <c r="T302" i="4"/>
  <c r="AC302" i="5"/>
  <c r="U302" i="4"/>
  <c r="AD302" i="5"/>
  <c r="X302" i="4"/>
  <c r="AI302" i="5"/>
  <c r="Y302" i="4"/>
  <c r="AJ302" i="5"/>
  <c r="Z302" i="4"/>
  <c r="AL302" i="5"/>
  <c r="F302" i="5"/>
  <c r="H302" i="5"/>
  <c r="I302" i="5"/>
  <c r="Z302" i="5"/>
  <c r="AN302" i="5"/>
  <c r="O303" i="5"/>
  <c r="K303" i="5"/>
  <c r="AG303" i="5"/>
  <c r="V49" i="2"/>
  <c r="V303" i="4"/>
  <c r="AF303" i="5"/>
  <c r="C49" i="2"/>
  <c r="C303" i="4"/>
  <c r="C303" i="5"/>
  <c r="D49" i="2"/>
  <c r="D303" i="4"/>
  <c r="E303" i="5"/>
  <c r="I49" i="2"/>
  <c r="I303" i="4"/>
  <c r="L303" i="5"/>
  <c r="J49" i="2"/>
  <c r="J303" i="4"/>
  <c r="N303" i="5"/>
  <c r="L49" i="2"/>
  <c r="L303" i="4"/>
  <c r="Q303" i="5"/>
  <c r="M49" i="2"/>
  <c r="M303" i="4"/>
  <c r="R303" i="5"/>
  <c r="N49" i="2"/>
  <c r="N303" i="4"/>
  <c r="T303" i="5"/>
  <c r="O49" i="2"/>
  <c r="O303" i="4"/>
  <c r="U303" i="5"/>
  <c r="P49" i="2"/>
  <c r="P303" i="4"/>
  <c r="W303" i="5"/>
  <c r="Q49" i="2"/>
  <c r="Q303" i="4"/>
  <c r="X303" i="5"/>
  <c r="AA303" i="5"/>
  <c r="X49" i="2"/>
  <c r="X303" i="4"/>
  <c r="AI303" i="5"/>
  <c r="Y49" i="2"/>
  <c r="Y303" i="4"/>
  <c r="AJ303" i="5"/>
  <c r="Z49" i="2"/>
  <c r="Z303" i="4"/>
  <c r="AL303" i="5"/>
  <c r="F303" i="5"/>
  <c r="H303" i="5"/>
  <c r="I303" i="5"/>
  <c r="Z303" i="5"/>
  <c r="AN303" i="5"/>
  <c r="O304" i="5"/>
  <c r="K304" i="5"/>
  <c r="AG304" i="5"/>
  <c r="V47" i="2"/>
  <c r="B308" i="4"/>
  <c r="V308" i="4"/>
  <c r="AF304" i="5"/>
  <c r="C47" i="2"/>
  <c r="C308" i="4"/>
  <c r="C304" i="5"/>
  <c r="D47" i="2"/>
  <c r="D308" i="4"/>
  <c r="E304" i="5"/>
  <c r="I47" i="2"/>
  <c r="I308" i="4"/>
  <c r="L304" i="5"/>
  <c r="J47" i="2"/>
  <c r="J308" i="4"/>
  <c r="N304" i="5"/>
  <c r="L47" i="2"/>
  <c r="L308" i="4"/>
  <c r="Q304" i="5"/>
  <c r="M47" i="2"/>
  <c r="M308" i="4"/>
  <c r="R304" i="5"/>
  <c r="N47" i="2"/>
  <c r="N308" i="4"/>
  <c r="T304" i="5"/>
  <c r="O47" i="2"/>
  <c r="O308" i="4"/>
  <c r="U304" i="5"/>
  <c r="P47" i="2"/>
  <c r="P308" i="4"/>
  <c r="W304" i="5"/>
  <c r="Q47" i="2"/>
  <c r="Q308" i="4"/>
  <c r="X304" i="5"/>
  <c r="AA304" i="5"/>
  <c r="AC304" i="5"/>
  <c r="AD304" i="5"/>
  <c r="X47" i="2"/>
  <c r="X308" i="4"/>
  <c r="AI304" i="5"/>
  <c r="Y47" i="2"/>
  <c r="Y308" i="4"/>
  <c r="AJ304" i="5"/>
  <c r="Z47" i="2"/>
  <c r="Z308" i="4"/>
  <c r="AL304" i="5"/>
  <c r="F304" i="5"/>
  <c r="H304" i="5"/>
  <c r="I304" i="5"/>
  <c r="Z304" i="5"/>
  <c r="AN304" i="5"/>
  <c r="O305" i="5"/>
  <c r="K305" i="5"/>
  <c r="AG305" i="5"/>
  <c r="B304" i="4"/>
  <c r="V304" i="4"/>
  <c r="AF305" i="5"/>
  <c r="C304" i="4"/>
  <c r="C305" i="5"/>
  <c r="D304" i="4"/>
  <c r="E305" i="5"/>
  <c r="I304" i="4"/>
  <c r="L305" i="5"/>
  <c r="J304" i="4"/>
  <c r="N305" i="5"/>
  <c r="L304" i="4"/>
  <c r="Q305" i="5"/>
  <c r="M304" i="4"/>
  <c r="R305" i="5"/>
  <c r="N304" i="4"/>
  <c r="T305" i="5"/>
  <c r="O304" i="4"/>
  <c r="U305" i="5"/>
  <c r="P304" i="4"/>
  <c r="W305" i="5"/>
  <c r="Q304" i="4"/>
  <c r="X305" i="5"/>
  <c r="AA305" i="5"/>
  <c r="T304" i="4"/>
  <c r="AC305" i="5"/>
  <c r="AD305" i="5"/>
  <c r="X304" i="4"/>
  <c r="AI305" i="5"/>
  <c r="Y304" i="4"/>
  <c r="AJ305" i="5"/>
  <c r="Z304" i="4"/>
  <c r="AL305" i="5"/>
  <c r="F305" i="5"/>
  <c r="H305" i="5"/>
  <c r="I305" i="5"/>
  <c r="Z305" i="5"/>
  <c r="AN305" i="5"/>
  <c r="O306" i="5"/>
  <c r="K306" i="5"/>
  <c r="AG306" i="5"/>
  <c r="V48" i="2"/>
  <c r="V305" i="4"/>
  <c r="AF306" i="5"/>
  <c r="C48" i="2"/>
  <c r="C305" i="4"/>
  <c r="C306" i="5"/>
  <c r="D305" i="4"/>
  <c r="E306" i="5"/>
  <c r="I305" i="4"/>
  <c r="L306" i="5"/>
  <c r="J305" i="4"/>
  <c r="N306" i="5"/>
  <c r="L305" i="4"/>
  <c r="Q306" i="5"/>
  <c r="M305" i="4"/>
  <c r="R306" i="5"/>
  <c r="N48" i="2"/>
  <c r="N305" i="4"/>
  <c r="T306" i="5"/>
  <c r="O48" i="2"/>
  <c r="O305" i="4"/>
  <c r="U306" i="5"/>
  <c r="P48" i="2"/>
  <c r="P305" i="4"/>
  <c r="W306" i="5"/>
  <c r="Q48" i="2"/>
  <c r="Q305" i="4"/>
  <c r="X306" i="5"/>
  <c r="AA306" i="5"/>
  <c r="X48" i="2"/>
  <c r="X305" i="4"/>
  <c r="AI306" i="5"/>
  <c r="Y48" i="2"/>
  <c r="Y305" i="4"/>
  <c r="AJ306" i="5"/>
  <c r="Z48" i="2"/>
  <c r="Z305" i="4"/>
  <c r="AL306" i="5"/>
  <c r="F306" i="5"/>
  <c r="H306" i="5"/>
  <c r="I306" i="5"/>
  <c r="Z306" i="5"/>
  <c r="AN306" i="5"/>
  <c r="O307" i="5"/>
  <c r="K307" i="5"/>
  <c r="AG307" i="5"/>
  <c r="B306" i="4"/>
  <c r="V306" i="4"/>
  <c r="AF307" i="5"/>
  <c r="C306" i="4"/>
  <c r="C307" i="5"/>
  <c r="D306" i="4"/>
  <c r="E307" i="5"/>
  <c r="I306" i="4"/>
  <c r="L307" i="5"/>
  <c r="J306" i="4"/>
  <c r="N307" i="5"/>
  <c r="L306" i="4"/>
  <c r="Q307" i="5"/>
  <c r="M306" i="4"/>
  <c r="R307" i="5"/>
  <c r="N306" i="4"/>
  <c r="T307" i="5"/>
  <c r="O306" i="4"/>
  <c r="U307" i="5"/>
  <c r="P306" i="4"/>
  <c r="W307" i="5"/>
  <c r="Q306" i="4"/>
  <c r="X307" i="5"/>
  <c r="AA307" i="5"/>
  <c r="T306" i="4"/>
  <c r="AC307" i="5"/>
  <c r="AD307" i="5"/>
  <c r="X306" i="4"/>
  <c r="AI307" i="5"/>
  <c r="Y306" i="4"/>
  <c r="AJ307" i="5"/>
  <c r="Z306" i="4"/>
  <c r="AL307" i="5"/>
  <c r="F307" i="5"/>
  <c r="H307" i="5"/>
  <c r="I307" i="5"/>
  <c r="Z307" i="5"/>
  <c r="AN307" i="5"/>
  <c r="O308" i="5"/>
  <c r="K308" i="5"/>
  <c r="AG308" i="5"/>
  <c r="V307" i="4"/>
  <c r="AF308" i="5"/>
  <c r="C307" i="4"/>
  <c r="C308" i="5"/>
  <c r="D307" i="4"/>
  <c r="E308" i="5"/>
  <c r="I307" i="4"/>
  <c r="L308" i="5"/>
  <c r="J307" i="4"/>
  <c r="N308" i="5"/>
  <c r="L307" i="4"/>
  <c r="Q308" i="5"/>
  <c r="M307" i="4"/>
  <c r="R308" i="5"/>
  <c r="N307" i="4"/>
  <c r="T308" i="5"/>
  <c r="O307" i="4"/>
  <c r="U308" i="5"/>
  <c r="P307" i="4"/>
  <c r="W308" i="5"/>
  <c r="Q307" i="4"/>
  <c r="X308" i="5"/>
  <c r="AA308" i="5"/>
  <c r="X307" i="4"/>
  <c r="AI308" i="5"/>
  <c r="Y307" i="4"/>
  <c r="AJ308" i="5"/>
  <c r="Z307" i="4"/>
  <c r="AL308" i="5"/>
  <c r="F308" i="5"/>
  <c r="H308" i="5"/>
  <c r="I308" i="5"/>
  <c r="Z308" i="5"/>
  <c r="AN308" i="5"/>
  <c r="O309" i="5"/>
  <c r="K309" i="5"/>
  <c r="AG309" i="5"/>
  <c r="B309" i="4"/>
  <c r="V309" i="4"/>
  <c r="AF309" i="5"/>
  <c r="C309" i="4"/>
  <c r="C309" i="5"/>
  <c r="D309" i="4"/>
  <c r="E309" i="5"/>
  <c r="I309" i="4"/>
  <c r="L309" i="5"/>
  <c r="J309" i="4"/>
  <c r="N309" i="5"/>
  <c r="L309" i="4"/>
  <c r="Q309" i="5"/>
  <c r="M309" i="4"/>
  <c r="R309" i="5"/>
  <c r="N309" i="4"/>
  <c r="T309" i="5"/>
  <c r="O309" i="4"/>
  <c r="U309" i="5"/>
  <c r="P309" i="4"/>
  <c r="W309" i="5"/>
  <c r="Q309" i="4"/>
  <c r="X309" i="5"/>
  <c r="AA309" i="5"/>
  <c r="AC309" i="5"/>
  <c r="AD309" i="5"/>
  <c r="X309" i="4"/>
  <c r="AI309" i="5"/>
  <c r="Y309" i="4"/>
  <c r="AJ309" i="5"/>
  <c r="Z309" i="4"/>
  <c r="AL309" i="5"/>
  <c r="F309" i="5"/>
  <c r="H309" i="5"/>
  <c r="I309" i="5"/>
  <c r="Z309" i="5"/>
  <c r="AN309" i="5"/>
  <c r="AG310" i="5"/>
  <c r="V313" i="4"/>
  <c r="AF310" i="5"/>
  <c r="C313" i="4"/>
  <c r="C310" i="5"/>
  <c r="N313" i="4"/>
  <c r="T310" i="5"/>
  <c r="O313" i="4"/>
  <c r="U310" i="5"/>
  <c r="P313" i="4"/>
  <c r="W310" i="5"/>
  <c r="Q313" i="4"/>
  <c r="X310" i="5"/>
  <c r="AA310" i="5"/>
  <c r="AC310" i="5"/>
  <c r="AD310" i="5"/>
  <c r="X313" i="4"/>
  <c r="AI310" i="5"/>
  <c r="Y313" i="4"/>
  <c r="AJ310" i="5"/>
  <c r="Z313" i="4"/>
  <c r="AL310" i="5"/>
  <c r="F310" i="5"/>
  <c r="H310" i="5"/>
  <c r="I310" i="5"/>
  <c r="Z310" i="5"/>
  <c r="AN310" i="5"/>
  <c r="O311" i="5"/>
  <c r="K311" i="5"/>
  <c r="AG311" i="5"/>
  <c r="B314" i="4"/>
  <c r="V314" i="4"/>
  <c r="AF311" i="5"/>
  <c r="C314" i="4"/>
  <c r="C311" i="5"/>
  <c r="D314" i="4"/>
  <c r="E311" i="5"/>
  <c r="I314" i="4"/>
  <c r="L311" i="5"/>
  <c r="J314" i="4"/>
  <c r="N311" i="5"/>
  <c r="L314" i="4"/>
  <c r="Q311" i="5"/>
  <c r="M314" i="4"/>
  <c r="R311" i="5"/>
  <c r="N314" i="4"/>
  <c r="T311" i="5"/>
  <c r="O314" i="4"/>
  <c r="U311" i="5"/>
  <c r="P314" i="4"/>
  <c r="W311" i="5"/>
  <c r="Q314" i="4"/>
  <c r="X311" i="5"/>
  <c r="AA311" i="5"/>
  <c r="AC311" i="5"/>
  <c r="AD311" i="5"/>
  <c r="X314" i="4"/>
  <c r="AI311" i="5"/>
  <c r="Y314" i="4"/>
  <c r="AJ311" i="5"/>
  <c r="Z314" i="4"/>
  <c r="AL311" i="5"/>
  <c r="F311" i="5"/>
  <c r="H311" i="5"/>
  <c r="I311" i="5"/>
  <c r="Z311" i="5"/>
  <c r="AN311" i="5"/>
  <c r="O312" i="5"/>
  <c r="K312" i="5"/>
  <c r="AG312" i="5"/>
  <c r="B310" i="4"/>
  <c r="V310" i="4"/>
  <c r="AF312" i="5"/>
  <c r="C310" i="4"/>
  <c r="C312" i="5"/>
  <c r="D310" i="4"/>
  <c r="E312" i="5"/>
  <c r="I310" i="4"/>
  <c r="L312" i="5"/>
  <c r="J310" i="4"/>
  <c r="N312" i="5"/>
  <c r="L310" i="4"/>
  <c r="Q312" i="5"/>
  <c r="M310" i="4"/>
  <c r="R312" i="5"/>
  <c r="N310" i="4"/>
  <c r="T312" i="5"/>
  <c r="O310" i="4"/>
  <c r="U312" i="5"/>
  <c r="P310" i="4"/>
  <c r="W312" i="5"/>
  <c r="Q310" i="4"/>
  <c r="X312" i="5"/>
  <c r="AA312" i="5"/>
  <c r="AC312" i="5"/>
  <c r="AD312" i="5"/>
  <c r="X310" i="4"/>
  <c r="AI312" i="5"/>
  <c r="Y310" i="4"/>
  <c r="AJ312" i="5"/>
  <c r="Z310" i="4"/>
  <c r="AL312" i="5"/>
  <c r="F312" i="5"/>
  <c r="H312" i="5"/>
  <c r="I312" i="5"/>
  <c r="Z312" i="5"/>
  <c r="AN312" i="5"/>
  <c r="O313" i="5"/>
  <c r="K313" i="5"/>
  <c r="AG313" i="5"/>
  <c r="B311" i="4"/>
  <c r="V311" i="4"/>
  <c r="AF313" i="5"/>
  <c r="C311" i="4"/>
  <c r="C313" i="5"/>
  <c r="D311" i="4"/>
  <c r="E313" i="5"/>
  <c r="I311" i="4"/>
  <c r="L313" i="5"/>
  <c r="J311" i="4"/>
  <c r="N313" i="5"/>
  <c r="L311" i="4"/>
  <c r="Q313" i="5"/>
  <c r="M311" i="4"/>
  <c r="R313" i="5"/>
  <c r="N311" i="4"/>
  <c r="T313" i="5"/>
  <c r="O311" i="4"/>
  <c r="U313" i="5"/>
  <c r="P311" i="4"/>
  <c r="W313" i="5"/>
  <c r="Q311" i="4"/>
  <c r="X313" i="5"/>
  <c r="AA313" i="5"/>
  <c r="AC313" i="5"/>
  <c r="AD313" i="5"/>
  <c r="X311" i="4"/>
  <c r="AI313" i="5"/>
  <c r="Y311" i="4"/>
  <c r="AJ313" i="5"/>
  <c r="Z311" i="4"/>
  <c r="AL313" i="5"/>
  <c r="F313" i="5"/>
  <c r="H313" i="5"/>
  <c r="I313" i="5"/>
  <c r="Z313" i="5"/>
  <c r="AN313" i="5"/>
  <c r="O314" i="5"/>
  <c r="K314" i="5"/>
  <c r="AG314" i="5"/>
  <c r="B312" i="4"/>
  <c r="V312" i="4"/>
  <c r="AF314" i="5"/>
  <c r="C312" i="4"/>
  <c r="C314" i="5"/>
  <c r="D312" i="4"/>
  <c r="E314" i="5"/>
  <c r="I312" i="4"/>
  <c r="L314" i="5"/>
  <c r="J312" i="4"/>
  <c r="N314" i="5"/>
  <c r="L312" i="4"/>
  <c r="Q314" i="5"/>
  <c r="M312" i="4"/>
  <c r="R314" i="5"/>
  <c r="N312" i="4"/>
  <c r="T314" i="5"/>
  <c r="O312" i="4"/>
  <c r="U314" i="5"/>
  <c r="P312" i="4"/>
  <c r="W314" i="5"/>
  <c r="Q312" i="4"/>
  <c r="X314" i="5"/>
  <c r="AA314" i="5"/>
  <c r="AC314" i="5"/>
  <c r="AD314" i="5"/>
  <c r="X312" i="4"/>
  <c r="AI314" i="5"/>
  <c r="Y312" i="4"/>
  <c r="AJ314" i="5"/>
  <c r="Z312" i="4"/>
  <c r="AL314" i="5"/>
  <c r="F314" i="5"/>
  <c r="H314" i="5"/>
  <c r="I314" i="5"/>
  <c r="Z314" i="5"/>
  <c r="AN314" i="5"/>
  <c r="O315" i="5"/>
  <c r="K315" i="5"/>
  <c r="AG315" i="5"/>
  <c r="B346" i="4"/>
  <c r="V346" i="4"/>
  <c r="AF315" i="5"/>
  <c r="C315" i="5"/>
  <c r="D346" i="4"/>
  <c r="E315" i="5"/>
  <c r="I315" i="5"/>
  <c r="I346" i="4"/>
  <c r="L315" i="5"/>
  <c r="J346" i="4"/>
  <c r="N315" i="5"/>
  <c r="L346" i="4"/>
  <c r="Q315" i="5"/>
  <c r="M346" i="4"/>
  <c r="R315" i="5"/>
  <c r="N346" i="4"/>
  <c r="T315" i="5"/>
  <c r="O346" i="4"/>
  <c r="U315" i="5"/>
  <c r="P346" i="4"/>
  <c r="W315" i="5"/>
  <c r="Q346" i="4"/>
  <c r="X315" i="5"/>
  <c r="AA315" i="5"/>
  <c r="AC315" i="5"/>
  <c r="AD315" i="5"/>
  <c r="X346" i="4"/>
  <c r="AI315" i="5"/>
  <c r="Y346" i="4"/>
  <c r="AJ315" i="5"/>
  <c r="AL315" i="5"/>
  <c r="Z315" i="5"/>
  <c r="AN315" i="5"/>
  <c r="O316" i="5"/>
  <c r="K316" i="5"/>
  <c r="AG316" i="5"/>
  <c r="B347" i="4"/>
  <c r="V347" i="4"/>
  <c r="AF316" i="5"/>
  <c r="C316" i="5"/>
  <c r="D347" i="4"/>
  <c r="E316" i="5"/>
  <c r="I316" i="5"/>
  <c r="I347" i="4"/>
  <c r="L316" i="5"/>
  <c r="J347" i="4"/>
  <c r="N316" i="5"/>
  <c r="L347" i="4"/>
  <c r="Q316" i="5"/>
  <c r="M347" i="4"/>
  <c r="R316" i="5"/>
  <c r="N347" i="4"/>
  <c r="T316" i="5"/>
  <c r="O347" i="4"/>
  <c r="U316" i="5"/>
  <c r="P347" i="4"/>
  <c r="W316" i="5"/>
  <c r="Q347" i="4"/>
  <c r="X316" i="5"/>
  <c r="AA316" i="5"/>
  <c r="AC316" i="5"/>
  <c r="AD316" i="5"/>
  <c r="X347" i="4"/>
  <c r="AI316" i="5"/>
  <c r="Y347" i="4"/>
  <c r="AJ316" i="5"/>
  <c r="AL316" i="5"/>
  <c r="Z316" i="5"/>
  <c r="AN316" i="5"/>
  <c r="O317" i="5"/>
  <c r="K317" i="5"/>
  <c r="AG317" i="5"/>
  <c r="B345" i="4"/>
  <c r="V345" i="4"/>
  <c r="AF317" i="5"/>
  <c r="C317" i="5"/>
  <c r="D345" i="4"/>
  <c r="E317" i="5"/>
  <c r="I317" i="5"/>
  <c r="I345" i="4"/>
  <c r="L317" i="5"/>
  <c r="J345" i="4"/>
  <c r="N317" i="5"/>
  <c r="L345" i="4"/>
  <c r="Q317" i="5"/>
  <c r="M345" i="4"/>
  <c r="R317" i="5"/>
  <c r="N345" i="4"/>
  <c r="T317" i="5"/>
  <c r="O345" i="4"/>
  <c r="U317" i="5"/>
  <c r="P345" i="4"/>
  <c r="W317" i="5"/>
  <c r="Q345" i="4"/>
  <c r="X317" i="5"/>
  <c r="AA317" i="5"/>
  <c r="AC317" i="5"/>
  <c r="AD317" i="5"/>
  <c r="X345" i="4"/>
  <c r="AI317" i="5"/>
  <c r="Y345" i="4"/>
  <c r="AJ317" i="5"/>
  <c r="AL317" i="5"/>
  <c r="Z317" i="5"/>
  <c r="AN317" i="5"/>
  <c r="O318" i="5"/>
  <c r="K318" i="5"/>
  <c r="AG318" i="5"/>
  <c r="B343" i="4"/>
  <c r="V343" i="4"/>
  <c r="AF318" i="5"/>
  <c r="C318" i="5"/>
  <c r="D343" i="4"/>
  <c r="E318" i="5"/>
  <c r="I318" i="5"/>
  <c r="I343" i="4"/>
  <c r="L318" i="5"/>
  <c r="J343" i="4"/>
  <c r="N318" i="5"/>
  <c r="L343" i="4"/>
  <c r="Q318" i="5"/>
  <c r="M343" i="4"/>
  <c r="R318" i="5"/>
  <c r="N343" i="4"/>
  <c r="T318" i="5"/>
  <c r="O343" i="4"/>
  <c r="U318" i="5"/>
  <c r="P343" i="4"/>
  <c r="W318" i="5"/>
  <c r="Q343" i="4"/>
  <c r="X318" i="5"/>
  <c r="AA318" i="5"/>
  <c r="AC318" i="5"/>
  <c r="AD318" i="5"/>
  <c r="X343" i="4"/>
  <c r="AI318" i="5"/>
  <c r="Y343" i="4"/>
  <c r="AJ318" i="5"/>
  <c r="AL318" i="5"/>
  <c r="Z318" i="5"/>
  <c r="AN318" i="5"/>
  <c r="O319" i="5"/>
  <c r="K319" i="5"/>
  <c r="AG319" i="5"/>
  <c r="B344" i="4"/>
  <c r="V344" i="4"/>
  <c r="AF319" i="5"/>
  <c r="C319" i="5"/>
  <c r="D344" i="4"/>
  <c r="E319" i="5"/>
  <c r="I319" i="5"/>
  <c r="I344" i="4"/>
  <c r="L319" i="5"/>
  <c r="J344" i="4"/>
  <c r="N319" i="5"/>
  <c r="L344" i="4"/>
  <c r="Q319" i="5"/>
  <c r="M344" i="4"/>
  <c r="R319" i="5"/>
  <c r="N344" i="4"/>
  <c r="T319" i="5"/>
  <c r="O344" i="4"/>
  <c r="U319" i="5"/>
  <c r="P344" i="4"/>
  <c r="W319" i="5"/>
  <c r="Q344" i="4"/>
  <c r="X319" i="5"/>
  <c r="AA319" i="5"/>
  <c r="AC319" i="5"/>
  <c r="AD319" i="5"/>
  <c r="X344" i="4"/>
  <c r="AI319" i="5"/>
  <c r="Y344" i="4"/>
  <c r="AJ319" i="5"/>
  <c r="AL319" i="5"/>
  <c r="Z319" i="5"/>
  <c r="AN319" i="5"/>
  <c r="O320" i="5"/>
  <c r="K320" i="5"/>
  <c r="AG320" i="5"/>
  <c r="B327" i="4"/>
  <c r="V327" i="4"/>
  <c r="AF320" i="5"/>
  <c r="C320" i="5"/>
  <c r="D327" i="4"/>
  <c r="E320" i="5"/>
  <c r="I327" i="4"/>
  <c r="L320" i="5"/>
  <c r="J327" i="4"/>
  <c r="N320" i="5"/>
  <c r="L327" i="4"/>
  <c r="Q320" i="5"/>
  <c r="M327" i="4"/>
  <c r="R320" i="5"/>
  <c r="N327" i="4"/>
  <c r="T320" i="5"/>
  <c r="O327" i="4"/>
  <c r="U320" i="5"/>
  <c r="P327" i="4"/>
  <c r="W320" i="5"/>
  <c r="Q327" i="4"/>
  <c r="X320" i="5"/>
  <c r="AA320" i="5"/>
  <c r="AC320" i="5"/>
  <c r="AD320" i="5"/>
  <c r="X327" i="4"/>
  <c r="AI320" i="5"/>
  <c r="Y327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42" i="4"/>
  <c r="D342" i="4"/>
  <c r="E321" i="5"/>
  <c r="I321" i="5"/>
  <c r="I342" i="4"/>
  <c r="L321" i="5"/>
  <c r="J342" i="4"/>
  <c r="N321" i="5"/>
  <c r="L342" i="4"/>
  <c r="Q321" i="5"/>
  <c r="M342" i="4"/>
  <c r="R321" i="5"/>
  <c r="N342" i="4"/>
  <c r="T321" i="5"/>
  <c r="O342" i="4"/>
  <c r="U321" i="5"/>
  <c r="P342" i="4"/>
  <c r="W321" i="5"/>
  <c r="Q342" i="4"/>
  <c r="X321" i="5"/>
  <c r="AA321" i="5"/>
  <c r="AC321" i="5"/>
  <c r="AD321" i="5"/>
  <c r="X342" i="4"/>
  <c r="AI321" i="5"/>
  <c r="Y342" i="4"/>
  <c r="AJ321" i="5"/>
  <c r="AL321" i="5"/>
  <c r="Z321" i="5"/>
  <c r="AN321" i="5"/>
  <c r="O322" i="5"/>
  <c r="K322" i="5"/>
  <c r="AG322" i="5"/>
  <c r="B328" i="4"/>
  <c r="V328" i="4"/>
  <c r="AF322" i="5"/>
  <c r="C322" i="5"/>
  <c r="D328" i="4"/>
  <c r="E322" i="5"/>
  <c r="I322" i="5"/>
  <c r="I328" i="4"/>
  <c r="L322" i="5"/>
  <c r="J328" i="4"/>
  <c r="N322" i="5"/>
  <c r="L328" i="4"/>
  <c r="Q322" i="5"/>
  <c r="M328" i="4"/>
  <c r="R322" i="5"/>
  <c r="N328" i="4"/>
  <c r="T322" i="5"/>
  <c r="O328" i="4"/>
  <c r="U322" i="5"/>
  <c r="P328" i="4"/>
  <c r="W322" i="5"/>
  <c r="Q328" i="4"/>
  <c r="X322" i="5"/>
  <c r="AA322" i="5"/>
  <c r="AC322" i="5"/>
  <c r="AD322" i="5"/>
  <c r="X328" i="4"/>
  <c r="AI322" i="5"/>
  <c r="Y328" i="4"/>
  <c r="AJ322" i="5"/>
  <c r="AL322" i="5"/>
  <c r="Z322" i="5"/>
  <c r="AN322" i="5"/>
  <c r="O323" i="5"/>
  <c r="K323" i="5"/>
  <c r="AG323" i="5"/>
  <c r="B329" i="4"/>
  <c r="V329" i="4"/>
  <c r="AF323" i="5"/>
  <c r="C323" i="5"/>
  <c r="D329" i="4"/>
  <c r="E323" i="5"/>
  <c r="I329" i="4"/>
  <c r="L323" i="5"/>
  <c r="J329" i="4"/>
  <c r="N323" i="5"/>
  <c r="L329" i="4"/>
  <c r="Q323" i="5"/>
  <c r="M329" i="4"/>
  <c r="R323" i="5"/>
  <c r="N329" i="4"/>
  <c r="T323" i="5"/>
  <c r="O329" i="4"/>
  <c r="U323" i="5"/>
  <c r="P329" i="4"/>
  <c r="W323" i="5"/>
  <c r="Q329" i="4"/>
  <c r="X323" i="5"/>
  <c r="AA323" i="5"/>
  <c r="AC323" i="5"/>
  <c r="AD323" i="5"/>
  <c r="X329" i="4"/>
  <c r="AI323" i="5"/>
  <c r="Y329" i="4"/>
  <c r="AJ323" i="5"/>
  <c r="AL323" i="5"/>
  <c r="F323" i="5"/>
  <c r="H323" i="5"/>
  <c r="I323" i="5"/>
  <c r="Z323" i="5"/>
  <c r="AN323" i="5"/>
  <c r="O324" i="5"/>
  <c r="K324" i="5"/>
  <c r="AG324" i="5"/>
  <c r="B330" i="4"/>
  <c r="V330" i="4"/>
  <c r="AF324" i="5"/>
  <c r="C324" i="5"/>
  <c r="D330" i="4"/>
  <c r="E324" i="5"/>
  <c r="I330" i="4"/>
  <c r="L324" i="5"/>
  <c r="J330" i="4"/>
  <c r="N324" i="5"/>
  <c r="L330" i="4"/>
  <c r="Q324" i="5"/>
  <c r="M330" i="4"/>
  <c r="R324" i="5"/>
  <c r="N330" i="4"/>
  <c r="T324" i="5"/>
  <c r="O330" i="4"/>
  <c r="U324" i="5"/>
  <c r="P330" i="4"/>
  <c r="W324" i="5"/>
  <c r="Q330" i="4"/>
  <c r="X324" i="5"/>
  <c r="AA324" i="5"/>
  <c r="AC324" i="5"/>
  <c r="AD324" i="5"/>
  <c r="X330" i="4"/>
  <c r="AI324" i="5"/>
  <c r="Y330" i="4"/>
  <c r="AJ324" i="5"/>
  <c r="AL324" i="5"/>
  <c r="F324" i="5"/>
  <c r="H324" i="5"/>
  <c r="I324" i="5"/>
  <c r="Z324" i="5"/>
  <c r="AN324" i="5"/>
  <c r="O325" i="5"/>
  <c r="K325" i="5"/>
  <c r="AG325" i="5"/>
  <c r="B331" i="4"/>
  <c r="V331" i="4"/>
  <c r="AF325" i="5"/>
  <c r="C325" i="5"/>
  <c r="D331" i="4"/>
  <c r="E325" i="5"/>
  <c r="I331" i="4"/>
  <c r="L325" i="5"/>
  <c r="J331" i="4"/>
  <c r="N325" i="5"/>
  <c r="L331" i="4"/>
  <c r="Q325" i="5"/>
  <c r="M331" i="4"/>
  <c r="R325" i="5"/>
  <c r="N331" i="4"/>
  <c r="T325" i="5"/>
  <c r="O331" i="4"/>
  <c r="U325" i="5"/>
  <c r="P331" i="4"/>
  <c r="W325" i="5"/>
  <c r="Q331" i="4"/>
  <c r="X325" i="5"/>
  <c r="AA325" i="5"/>
  <c r="AC325" i="5"/>
  <c r="AD325" i="5"/>
  <c r="X331" i="4"/>
  <c r="AI325" i="5"/>
  <c r="Y331" i="4"/>
  <c r="AJ325" i="5"/>
  <c r="AL325" i="5"/>
  <c r="F325" i="5"/>
  <c r="H325" i="5"/>
  <c r="I325" i="5"/>
  <c r="Z325" i="5"/>
  <c r="AN325" i="5"/>
  <c r="O326" i="5"/>
  <c r="K326" i="5"/>
  <c r="AG326" i="5"/>
  <c r="B332" i="4"/>
  <c r="V332" i="4"/>
  <c r="AF326" i="5"/>
  <c r="C326" i="5"/>
  <c r="D332" i="4"/>
  <c r="E326" i="5"/>
  <c r="I326" i="5"/>
  <c r="I332" i="4"/>
  <c r="L326" i="5"/>
  <c r="J332" i="4"/>
  <c r="N326" i="5"/>
  <c r="L332" i="4"/>
  <c r="Q326" i="5"/>
  <c r="M332" i="4"/>
  <c r="R326" i="5"/>
  <c r="N332" i="4"/>
  <c r="T326" i="5"/>
  <c r="O332" i="4"/>
  <c r="U326" i="5"/>
  <c r="P332" i="4"/>
  <c r="W326" i="5"/>
  <c r="Q332" i="4"/>
  <c r="X326" i="5"/>
  <c r="AA326" i="5"/>
  <c r="AC326" i="5"/>
  <c r="AD326" i="5"/>
  <c r="X332" i="4"/>
  <c r="AI326" i="5"/>
  <c r="Y332" i="4"/>
  <c r="AJ326" i="5"/>
  <c r="AL326" i="5"/>
  <c r="Z326" i="5"/>
  <c r="AN326" i="5"/>
  <c r="O327" i="5"/>
  <c r="K327" i="5"/>
  <c r="AG327" i="5"/>
  <c r="B341" i="4"/>
  <c r="AF327" i="5"/>
  <c r="C327" i="5"/>
  <c r="D341" i="4"/>
  <c r="E327" i="5"/>
  <c r="I327" i="5"/>
  <c r="I341" i="4"/>
  <c r="L327" i="5"/>
  <c r="J341" i="4"/>
  <c r="N327" i="5"/>
  <c r="L341" i="4"/>
  <c r="Q327" i="5"/>
  <c r="M341" i="4"/>
  <c r="R327" i="5"/>
  <c r="N341" i="4"/>
  <c r="T327" i="5"/>
  <c r="O341" i="4"/>
  <c r="U327" i="5"/>
  <c r="P341" i="4"/>
  <c r="W327" i="5"/>
  <c r="Q341" i="4"/>
  <c r="X327" i="5"/>
  <c r="AA327" i="5"/>
  <c r="AC327" i="5"/>
  <c r="AD327" i="5"/>
  <c r="X341" i="4"/>
  <c r="AI327" i="5"/>
  <c r="Z327" i="5"/>
  <c r="AN327" i="5"/>
  <c r="O328" i="5"/>
  <c r="K328" i="5"/>
  <c r="AG328" i="5"/>
  <c r="B333" i="4"/>
  <c r="V333" i="4"/>
  <c r="AF328" i="5"/>
  <c r="C328" i="5"/>
  <c r="D333" i="4"/>
  <c r="E328" i="5"/>
  <c r="I328" i="5"/>
  <c r="I333" i="4"/>
  <c r="L328" i="5"/>
  <c r="J333" i="4"/>
  <c r="N328" i="5"/>
  <c r="L333" i="4"/>
  <c r="Q328" i="5"/>
  <c r="M333" i="4"/>
  <c r="R328" i="5"/>
  <c r="N333" i="4"/>
  <c r="T328" i="5"/>
  <c r="O333" i="4"/>
  <c r="U328" i="5"/>
  <c r="P333" i="4"/>
  <c r="W328" i="5"/>
  <c r="Q333" i="4"/>
  <c r="X328" i="5"/>
  <c r="AA328" i="5"/>
  <c r="AC328" i="5"/>
  <c r="AD328" i="5"/>
  <c r="X333" i="4"/>
  <c r="AI328" i="5"/>
  <c r="Y333" i="4"/>
  <c r="AJ328" i="5"/>
  <c r="AL328" i="5"/>
  <c r="Z328" i="5"/>
  <c r="AN328" i="5"/>
  <c r="O329" i="5"/>
  <c r="K329" i="5"/>
  <c r="AG329" i="5"/>
  <c r="B323" i="4"/>
  <c r="V323" i="4"/>
  <c r="AF329" i="5"/>
  <c r="C329" i="5"/>
  <c r="D323" i="4"/>
  <c r="E329" i="5"/>
  <c r="I329" i="5"/>
  <c r="I323" i="4"/>
  <c r="L329" i="5"/>
  <c r="J323" i="4"/>
  <c r="N329" i="5"/>
  <c r="L323" i="4"/>
  <c r="Q329" i="5"/>
  <c r="M323" i="4"/>
  <c r="R329" i="5"/>
  <c r="N323" i="4"/>
  <c r="T329" i="5"/>
  <c r="O323" i="4"/>
  <c r="U329" i="5"/>
  <c r="P323" i="4"/>
  <c r="W329" i="5"/>
  <c r="Q323" i="4"/>
  <c r="X329" i="5"/>
  <c r="AA329" i="5"/>
  <c r="AC329" i="5"/>
  <c r="AD329" i="5"/>
  <c r="X323" i="4"/>
  <c r="AI329" i="5"/>
  <c r="Y323" i="4"/>
  <c r="AJ329" i="5"/>
  <c r="AL329" i="5"/>
  <c r="Z329" i="5"/>
  <c r="AN329" i="5"/>
  <c r="O330" i="5"/>
  <c r="K330" i="5"/>
  <c r="AG330" i="5"/>
  <c r="B334" i="4"/>
  <c r="V334" i="4"/>
  <c r="AF330" i="5"/>
  <c r="C330" i="5"/>
  <c r="D334" i="4"/>
  <c r="E330" i="5"/>
  <c r="I334" i="4"/>
  <c r="L330" i="5"/>
  <c r="J334" i="4"/>
  <c r="N330" i="5"/>
  <c r="L334" i="4"/>
  <c r="Q330" i="5"/>
  <c r="M334" i="4"/>
  <c r="R330" i="5"/>
  <c r="N334" i="4"/>
  <c r="T330" i="5"/>
  <c r="O334" i="4"/>
  <c r="U330" i="5"/>
  <c r="P334" i="4"/>
  <c r="W330" i="5"/>
  <c r="Q334" i="4"/>
  <c r="X330" i="5"/>
  <c r="AA330" i="5"/>
  <c r="AC330" i="5"/>
  <c r="AD330" i="5"/>
  <c r="X334" i="4"/>
  <c r="AI330" i="5"/>
  <c r="Y334" i="4"/>
  <c r="AJ330" i="5"/>
  <c r="AL330" i="5"/>
  <c r="F330" i="5"/>
  <c r="H330" i="5"/>
  <c r="I330" i="5"/>
  <c r="Z330" i="5"/>
  <c r="AN330" i="5"/>
  <c r="O331" i="5"/>
  <c r="K331" i="5"/>
  <c r="AG331" i="5"/>
  <c r="B315" i="4"/>
  <c r="V315" i="4"/>
  <c r="AF331" i="5"/>
  <c r="C331" i="5"/>
  <c r="D315" i="4"/>
  <c r="E331" i="5"/>
  <c r="I315" i="4"/>
  <c r="L331" i="5"/>
  <c r="J315" i="4"/>
  <c r="N331" i="5"/>
  <c r="L315" i="4"/>
  <c r="Q331" i="5"/>
  <c r="M315" i="4"/>
  <c r="R331" i="5"/>
  <c r="N315" i="4"/>
  <c r="T331" i="5"/>
  <c r="O315" i="4"/>
  <c r="U331" i="5"/>
  <c r="P315" i="4"/>
  <c r="W331" i="5"/>
  <c r="Q315" i="4"/>
  <c r="X331" i="5"/>
  <c r="AA331" i="5"/>
  <c r="AC331" i="5"/>
  <c r="AD331" i="5"/>
  <c r="X315" i="4"/>
  <c r="AI331" i="5"/>
  <c r="Y315" i="4"/>
  <c r="AJ331" i="5"/>
  <c r="AL331" i="5"/>
  <c r="F331" i="5"/>
  <c r="H331" i="5"/>
  <c r="I331" i="5"/>
  <c r="Z331" i="5"/>
  <c r="AN331" i="5"/>
  <c r="O332" i="5"/>
  <c r="K332" i="5"/>
  <c r="AG332" i="5"/>
  <c r="B324" i="4"/>
  <c r="V324" i="4"/>
  <c r="AF332" i="5"/>
  <c r="C332" i="5"/>
  <c r="D324" i="4"/>
  <c r="E332" i="5"/>
  <c r="I332" i="5"/>
  <c r="I324" i="4"/>
  <c r="L332" i="5"/>
  <c r="J324" i="4"/>
  <c r="N332" i="5"/>
  <c r="L324" i="4"/>
  <c r="Q332" i="5"/>
  <c r="M324" i="4"/>
  <c r="R332" i="5"/>
  <c r="N324" i="4"/>
  <c r="T332" i="5"/>
  <c r="O324" i="4"/>
  <c r="U332" i="5"/>
  <c r="P324" i="4"/>
  <c r="W332" i="5"/>
  <c r="Q324" i="4"/>
  <c r="X332" i="5"/>
  <c r="AA332" i="5"/>
  <c r="AC332" i="5"/>
  <c r="AD332" i="5"/>
  <c r="X324" i="4"/>
  <c r="AI332" i="5"/>
  <c r="Y324" i="4"/>
  <c r="AJ332" i="5"/>
  <c r="AL332" i="5"/>
  <c r="Z332" i="5"/>
  <c r="AN332" i="5"/>
  <c r="O333" i="5"/>
  <c r="K333" i="5"/>
  <c r="AG333" i="5"/>
  <c r="AF333" i="5"/>
  <c r="C333" i="5"/>
  <c r="B340" i="4"/>
  <c r="D340" i="4"/>
  <c r="E333" i="5"/>
  <c r="I333" i="5"/>
  <c r="I340" i="4"/>
  <c r="L333" i="5"/>
  <c r="J340" i="4"/>
  <c r="N333" i="5"/>
  <c r="L340" i="4"/>
  <c r="Q333" i="5"/>
  <c r="M340" i="4"/>
  <c r="R333" i="5"/>
  <c r="N340" i="4"/>
  <c r="T333" i="5"/>
  <c r="O340" i="4"/>
  <c r="U333" i="5"/>
  <c r="P340" i="4"/>
  <c r="W333" i="5"/>
  <c r="Q340" i="4"/>
  <c r="X333" i="5"/>
  <c r="AA333" i="5"/>
  <c r="AC333" i="5"/>
  <c r="AD333" i="5"/>
  <c r="X340" i="4"/>
  <c r="AI333" i="5"/>
  <c r="Y340" i="4"/>
  <c r="AJ333" i="5"/>
  <c r="AL333" i="5"/>
  <c r="Z333" i="5"/>
  <c r="AN333" i="5"/>
  <c r="O334" i="5"/>
  <c r="K334" i="5"/>
  <c r="AG334" i="5"/>
  <c r="B321" i="4"/>
  <c r="V321" i="4"/>
  <c r="AF334" i="5"/>
  <c r="C334" i="5"/>
  <c r="D321" i="4"/>
  <c r="E334" i="5"/>
  <c r="I334" i="5"/>
  <c r="I321" i="4"/>
  <c r="L334" i="5"/>
  <c r="J321" i="4"/>
  <c r="N334" i="5"/>
  <c r="L321" i="4"/>
  <c r="Q334" i="5"/>
  <c r="M321" i="4"/>
  <c r="R334" i="5"/>
  <c r="N321" i="4"/>
  <c r="T334" i="5"/>
  <c r="O321" i="4"/>
  <c r="U334" i="5"/>
  <c r="P321" i="4"/>
  <c r="W334" i="5"/>
  <c r="Q321" i="4"/>
  <c r="X334" i="5"/>
  <c r="AA334" i="5"/>
  <c r="AC334" i="5"/>
  <c r="AD334" i="5"/>
  <c r="X321" i="4"/>
  <c r="AI334" i="5"/>
  <c r="Y321" i="4"/>
  <c r="AJ334" i="5"/>
  <c r="AL334" i="5"/>
  <c r="Z334" i="5"/>
  <c r="AN334" i="5"/>
  <c r="O335" i="5"/>
  <c r="K335" i="5"/>
  <c r="AG335" i="5"/>
  <c r="B319" i="4"/>
  <c r="V319" i="4"/>
  <c r="AF335" i="5"/>
  <c r="C335" i="5"/>
  <c r="D319" i="4"/>
  <c r="E335" i="5"/>
  <c r="I335" i="5"/>
  <c r="I319" i="4"/>
  <c r="L335" i="5"/>
  <c r="J319" i="4"/>
  <c r="N335" i="5"/>
  <c r="L319" i="4"/>
  <c r="Q335" i="5"/>
  <c r="M319" i="4"/>
  <c r="R335" i="5"/>
  <c r="N319" i="4"/>
  <c r="T335" i="5"/>
  <c r="O319" i="4"/>
  <c r="U335" i="5"/>
  <c r="P319" i="4"/>
  <c r="W335" i="5"/>
  <c r="Q319" i="4"/>
  <c r="X335" i="5"/>
  <c r="AA335" i="5"/>
  <c r="AC335" i="5"/>
  <c r="AD335" i="5"/>
  <c r="X319" i="4"/>
  <c r="AI335" i="5"/>
  <c r="Y319" i="4"/>
  <c r="AJ335" i="5"/>
  <c r="AL335" i="5"/>
  <c r="Z335" i="5"/>
  <c r="AN335" i="5"/>
  <c r="O336" i="5"/>
  <c r="K336" i="5"/>
  <c r="AG336" i="5"/>
  <c r="B325" i="4"/>
  <c r="V325" i="4"/>
  <c r="AF336" i="5"/>
  <c r="C336" i="5"/>
  <c r="D325" i="4"/>
  <c r="E336" i="5"/>
  <c r="I325" i="4"/>
  <c r="L336" i="5"/>
  <c r="J325" i="4"/>
  <c r="N336" i="5"/>
  <c r="L325" i="4"/>
  <c r="Q336" i="5"/>
  <c r="M325" i="4"/>
  <c r="R336" i="5"/>
  <c r="N325" i="4"/>
  <c r="T336" i="5"/>
  <c r="O325" i="4"/>
  <c r="U336" i="5"/>
  <c r="P325" i="4"/>
  <c r="W336" i="5"/>
  <c r="Q325" i="4"/>
  <c r="X336" i="5"/>
  <c r="AA336" i="5"/>
  <c r="AC336" i="5"/>
  <c r="AD336" i="5"/>
  <c r="X325" i="4"/>
  <c r="AI336" i="5"/>
  <c r="Y325" i="4"/>
  <c r="AJ336" i="5"/>
  <c r="AL336" i="5"/>
  <c r="F336" i="5"/>
  <c r="H336" i="5"/>
  <c r="I336" i="5"/>
  <c r="Z336" i="5"/>
  <c r="AN336" i="5"/>
  <c r="O337" i="5"/>
  <c r="K337" i="5"/>
  <c r="AG337" i="5"/>
  <c r="B326" i="4"/>
  <c r="V326" i="4"/>
  <c r="AF337" i="5"/>
  <c r="C337" i="5"/>
  <c r="D326" i="4"/>
  <c r="E337" i="5"/>
  <c r="I337" i="5"/>
  <c r="I326" i="4"/>
  <c r="L337" i="5"/>
  <c r="J326" i="4"/>
  <c r="N337" i="5"/>
  <c r="L326" i="4"/>
  <c r="Q337" i="5"/>
  <c r="M326" i="4"/>
  <c r="R337" i="5"/>
  <c r="N326" i="4"/>
  <c r="T337" i="5"/>
  <c r="O326" i="4"/>
  <c r="U337" i="5"/>
  <c r="P326" i="4"/>
  <c r="W337" i="5"/>
  <c r="Q326" i="4"/>
  <c r="X337" i="5"/>
  <c r="AA337" i="5"/>
  <c r="AC337" i="5"/>
  <c r="AD337" i="5"/>
  <c r="X326" i="4"/>
  <c r="AI337" i="5"/>
  <c r="Y326" i="4"/>
  <c r="AJ337" i="5"/>
  <c r="AL337" i="5"/>
  <c r="Z337" i="5"/>
  <c r="AN337" i="5"/>
  <c r="O338" i="5"/>
  <c r="K338" i="5"/>
  <c r="AG338" i="5"/>
  <c r="B335" i="4"/>
  <c r="V335" i="4"/>
  <c r="AF338" i="5"/>
  <c r="C338" i="5"/>
  <c r="D335" i="4"/>
  <c r="E338" i="5"/>
  <c r="I335" i="4"/>
  <c r="L338" i="5"/>
  <c r="J335" i="4"/>
  <c r="N338" i="5"/>
  <c r="L335" i="4"/>
  <c r="Q338" i="5"/>
  <c r="M335" i="4"/>
  <c r="R338" i="5"/>
  <c r="N335" i="4"/>
  <c r="T338" i="5"/>
  <c r="O335" i="4"/>
  <c r="U338" i="5"/>
  <c r="P335" i="4"/>
  <c r="W338" i="5"/>
  <c r="Q335" i="4"/>
  <c r="X338" i="5"/>
  <c r="AA338" i="5"/>
  <c r="AC338" i="5"/>
  <c r="AD338" i="5"/>
  <c r="X335" i="4"/>
  <c r="AI338" i="5"/>
  <c r="Y335" i="4"/>
  <c r="AJ338" i="5"/>
  <c r="AL338" i="5"/>
  <c r="F338" i="5"/>
  <c r="H338" i="5"/>
  <c r="I338" i="5"/>
  <c r="Z338" i="5"/>
  <c r="AN338" i="5"/>
  <c r="O339" i="5"/>
  <c r="K339" i="5"/>
  <c r="AG339" i="5"/>
  <c r="B336" i="4"/>
  <c r="V336" i="4"/>
  <c r="AF339" i="5"/>
  <c r="C339" i="5"/>
  <c r="D336" i="4"/>
  <c r="E339" i="5"/>
  <c r="I339" i="5"/>
  <c r="I336" i="4"/>
  <c r="L339" i="5"/>
  <c r="J336" i="4"/>
  <c r="N339" i="5"/>
  <c r="L336" i="4"/>
  <c r="Q339" i="5"/>
  <c r="M336" i="4"/>
  <c r="R339" i="5"/>
  <c r="N336" i="4"/>
  <c r="T339" i="5"/>
  <c r="O336" i="4"/>
  <c r="U339" i="5"/>
  <c r="P336" i="4"/>
  <c r="W339" i="5"/>
  <c r="Q336" i="4"/>
  <c r="X339" i="5"/>
  <c r="AA339" i="5"/>
  <c r="AC339" i="5"/>
  <c r="AD339" i="5"/>
  <c r="X336" i="4"/>
  <c r="AI339" i="5"/>
  <c r="Y336" i="4"/>
  <c r="AJ339" i="5"/>
  <c r="AL339" i="5"/>
  <c r="Z339" i="5"/>
  <c r="AN339" i="5"/>
  <c r="O340" i="5"/>
  <c r="K340" i="5"/>
  <c r="AG340" i="5"/>
  <c r="B337" i="4"/>
  <c r="V337" i="4"/>
  <c r="AF340" i="5"/>
  <c r="C340" i="5"/>
  <c r="D337" i="4"/>
  <c r="E340" i="5"/>
  <c r="I337" i="4"/>
  <c r="L340" i="5"/>
  <c r="J337" i="4"/>
  <c r="N340" i="5"/>
  <c r="L337" i="4"/>
  <c r="Q340" i="5"/>
  <c r="M337" i="4"/>
  <c r="R340" i="5"/>
  <c r="N337" i="4"/>
  <c r="T340" i="5"/>
  <c r="O337" i="4"/>
  <c r="U340" i="5"/>
  <c r="P337" i="4"/>
  <c r="W340" i="5"/>
  <c r="Q337" i="4"/>
  <c r="X340" i="5"/>
  <c r="AA340" i="5"/>
  <c r="AC340" i="5"/>
  <c r="AD340" i="5"/>
  <c r="X337" i="4"/>
  <c r="AI340" i="5"/>
  <c r="Y337" i="4"/>
  <c r="AJ340" i="5"/>
  <c r="AL340" i="5"/>
  <c r="F340" i="5"/>
  <c r="H340" i="5"/>
  <c r="I340" i="5"/>
  <c r="Z340" i="5"/>
  <c r="AN340" i="5"/>
  <c r="O341" i="5"/>
  <c r="K341" i="5"/>
  <c r="AG341" i="5"/>
  <c r="B338" i="4"/>
  <c r="V338" i="4"/>
  <c r="AF341" i="5"/>
  <c r="C341" i="5"/>
  <c r="D338" i="4"/>
  <c r="E341" i="5"/>
  <c r="I341" i="5"/>
  <c r="I338" i="4"/>
  <c r="L341" i="5"/>
  <c r="J338" i="4"/>
  <c r="N341" i="5"/>
  <c r="L338" i="4"/>
  <c r="Q341" i="5"/>
  <c r="M338" i="4"/>
  <c r="R341" i="5"/>
  <c r="N338" i="4"/>
  <c r="T341" i="5"/>
  <c r="O338" i="4"/>
  <c r="U341" i="5"/>
  <c r="P338" i="4"/>
  <c r="W341" i="5"/>
  <c r="Q338" i="4"/>
  <c r="X341" i="5"/>
  <c r="AA341" i="5"/>
  <c r="AC341" i="5"/>
  <c r="AD341" i="5"/>
  <c r="X338" i="4"/>
  <c r="AI341" i="5"/>
  <c r="Y338" i="4"/>
  <c r="AJ341" i="5"/>
  <c r="AL341" i="5"/>
  <c r="Z341" i="5"/>
  <c r="AN341" i="5"/>
  <c r="O342" i="5"/>
  <c r="K342" i="5"/>
  <c r="AG342" i="5"/>
  <c r="B322" i="4"/>
  <c r="V322" i="4"/>
  <c r="AF342" i="5"/>
  <c r="C342" i="5"/>
  <c r="D322" i="4"/>
  <c r="E342" i="5"/>
  <c r="I342" i="5"/>
  <c r="I322" i="4"/>
  <c r="L342" i="5"/>
  <c r="J322" i="4"/>
  <c r="N342" i="5"/>
  <c r="L322" i="4"/>
  <c r="Q342" i="5"/>
  <c r="M322" i="4"/>
  <c r="R342" i="5"/>
  <c r="N322" i="4"/>
  <c r="T342" i="5"/>
  <c r="O322" i="4"/>
  <c r="U342" i="5"/>
  <c r="P322" i="4"/>
  <c r="W342" i="5"/>
  <c r="Q322" i="4"/>
  <c r="X342" i="5"/>
  <c r="AA342" i="5"/>
  <c r="AC342" i="5"/>
  <c r="AD342" i="5"/>
  <c r="X322" i="4"/>
  <c r="AI342" i="5"/>
  <c r="Y322" i="4"/>
  <c r="AJ342" i="5"/>
  <c r="AL342" i="5"/>
  <c r="Z342" i="5"/>
  <c r="AN342" i="5"/>
  <c r="O343" i="5"/>
  <c r="K343" i="5"/>
  <c r="AG343" i="5"/>
  <c r="B339" i="4"/>
  <c r="V339" i="4"/>
  <c r="AF343" i="5"/>
  <c r="C343" i="5"/>
  <c r="D339" i="4"/>
  <c r="E343" i="5"/>
  <c r="I343" i="5"/>
  <c r="I339" i="4"/>
  <c r="L343" i="5"/>
  <c r="J339" i="4"/>
  <c r="N343" i="5"/>
  <c r="L339" i="4"/>
  <c r="Q343" i="5"/>
  <c r="M339" i="4"/>
  <c r="R343" i="5"/>
  <c r="N339" i="4"/>
  <c r="T343" i="5"/>
  <c r="O339" i="4"/>
  <c r="U343" i="5"/>
  <c r="P339" i="4"/>
  <c r="W343" i="5"/>
  <c r="Q339" i="4"/>
  <c r="X343" i="5"/>
  <c r="AA343" i="5"/>
  <c r="AC343" i="5"/>
  <c r="AD343" i="5"/>
  <c r="X339" i="4"/>
  <c r="AI343" i="5"/>
  <c r="Y339" i="4"/>
  <c r="AJ343" i="5"/>
  <c r="AL343" i="5"/>
  <c r="Z343" i="5"/>
  <c r="AN343" i="5"/>
  <c r="O344" i="5"/>
  <c r="K344" i="5"/>
  <c r="AG344" i="5"/>
  <c r="B317" i="4"/>
  <c r="V317" i="4"/>
  <c r="AF344" i="5"/>
  <c r="C344" i="5"/>
  <c r="D317" i="4"/>
  <c r="E344" i="5"/>
  <c r="I317" i="4"/>
  <c r="L344" i="5"/>
  <c r="J317" i="4"/>
  <c r="N344" i="5"/>
  <c r="L317" i="4"/>
  <c r="Q344" i="5"/>
  <c r="M317" i="4"/>
  <c r="R344" i="5"/>
  <c r="N317" i="4"/>
  <c r="T344" i="5"/>
  <c r="O317" i="4"/>
  <c r="U344" i="5"/>
  <c r="P317" i="4"/>
  <c r="W344" i="5"/>
  <c r="Q317" i="4"/>
  <c r="X344" i="5"/>
  <c r="AA344" i="5"/>
  <c r="AC344" i="5"/>
  <c r="AD344" i="5"/>
  <c r="X317" i="4"/>
  <c r="AI344" i="5"/>
  <c r="Y317" i="4"/>
  <c r="AJ344" i="5"/>
  <c r="AL344" i="5"/>
  <c r="F344" i="5"/>
  <c r="H344" i="5"/>
  <c r="I344" i="5"/>
  <c r="Z344" i="5"/>
  <c r="AN344" i="5"/>
  <c r="O345" i="5"/>
  <c r="K345" i="5"/>
  <c r="AG345" i="5"/>
  <c r="B318" i="4"/>
  <c r="V318" i="4"/>
  <c r="AF345" i="5"/>
  <c r="C345" i="5"/>
  <c r="D318" i="4"/>
  <c r="E345" i="5"/>
  <c r="I318" i="4"/>
  <c r="L345" i="5"/>
  <c r="J318" i="4"/>
  <c r="N345" i="5"/>
  <c r="L318" i="4"/>
  <c r="Q345" i="5"/>
  <c r="M318" i="4"/>
  <c r="R345" i="5"/>
  <c r="N318" i="4"/>
  <c r="T345" i="5"/>
  <c r="O318" i="4"/>
  <c r="U345" i="5"/>
  <c r="P318" i="4"/>
  <c r="W345" i="5"/>
  <c r="Q318" i="4"/>
  <c r="X345" i="5"/>
  <c r="AA345" i="5"/>
  <c r="AC345" i="5"/>
  <c r="AD345" i="5"/>
  <c r="X318" i="4"/>
  <c r="AI345" i="5"/>
  <c r="Y318" i="4"/>
  <c r="AJ345" i="5"/>
  <c r="AL345" i="5"/>
  <c r="F345" i="5"/>
  <c r="H345" i="5"/>
  <c r="I345" i="5"/>
  <c r="Z345" i="5"/>
  <c r="AN345" i="5"/>
  <c r="O346" i="5"/>
  <c r="K346" i="5"/>
  <c r="AG346" i="5"/>
  <c r="B316" i="4"/>
  <c r="V316" i="4"/>
  <c r="AF346" i="5"/>
  <c r="C346" i="5"/>
  <c r="D316" i="4"/>
  <c r="E346" i="5"/>
  <c r="I316" i="4"/>
  <c r="L346" i="5"/>
  <c r="J316" i="4"/>
  <c r="N346" i="5"/>
  <c r="L316" i="4"/>
  <c r="Q346" i="5"/>
  <c r="M316" i="4"/>
  <c r="R346" i="5"/>
  <c r="N316" i="4"/>
  <c r="T346" i="5"/>
  <c r="O316" i="4"/>
  <c r="U346" i="5"/>
  <c r="P316" i="4"/>
  <c r="W346" i="5"/>
  <c r="Q316" i="4"/>
  <c r="X346" i="5"/>
  <c r="AA346" i="5"/>
  <c r="AC346" i="5"/>
  <c r="AD346" i="5"/>
  <c r="X316" i="4"/>
  <c r="AI346" i="5"/>
  <c r="Y316" i="4"/>
  <c r="AJ346" i="5"/>
  <c r="AL346" i="5"/>
  <c r="F346" i="5"/>
  <c r="H346" i="5"/>
  <c r="I346" i="5"/>
  <c r="Z346" i="5"/>
  <c r="AN346" i="5"/>
  <c r="O347" i="5"/>
  <c r="K347" i="5"/>
  <c r="AG347" i="5"/>
  <c r="B320" i="4"/>
  <c r="V320" i="4"/>
  <c r="AF347" i="5"/>
  <c r="C347" i="5"/>
  <c r="D320" i="4"/>
  <c r="E347" i="5"/>
  <c r="I347" i="5"/>
  <c r="I320" i="4"/>
  <c r="L347" i="5"/>
  <c r="J320" i="4"/>
  <c r="N347" i="5"/>
  <c r="L320" i="4"/>
  <c r="Q347" i="5"/>
  <c r="M320" i="4"/>
  <c r="R347" i="5"/>
  <c r="N320" i="4"/>
  <c r="T347" i="5"/>
  <c r="O320" i="4"/>
  <c r="U347" i="5"/>
  <c r="P320" i="4"/>
  <c r="W347" i="5"/>
  <c r="Q320" i="4"/>
  <c r="X347" i="5"/>
  <c r="AA347" i="5"/>
  <c r="AC347" i="5"/>
  <c r="AD347" i="5"/>
  <c r="X320" i="4"/>
  <c r="AI347" i="5"/>
  <c r="Y320" i="4"/>
  <c r="AJ347" i="5"/>
  <c r="AL347" i="5"/>
  <c r="Z347" i="5"/>
  <c r="AN347" i="5"/>
  <c r="K50" i="2"/>
  <c r="B349" i="4"/>
  <c r="K349" i="4"/>
  <c r="O348" i="5"/>
  <c r="H50" i="2"/>
  <c r="H349" i="4"/>
  <c r="K348" i="5"/>
  <c r="W50" i="2"/>
  <c r="W349" i="4"/>
  <c r="AG348" i="5"/>
  <c r="V50" i="2"/>
  <c r="V349" i="4"/>
  <c r="AF348" i="5"/>
  <c r="C50" i="2"/>
  <c r="C349" i="4"/>
  <c r="C348" i="5"/>
  <c r="D50" i="2"/>
  <c r="D349" i="4"/>
  <c r="E348" i="5"/>
  <c r="I50" i="2"/>
  <c r="I349" i="4"/>
  <c r="L348" i="5"/>
  <c r="J50" i="2"/>
  <c r="J349" i="4"/>
  <c r="N348" i="5"/>
  <c r="L50" i="2"/>
  <c r="L349" i="4"/>
  <c r="Q348" i="5"/>
  <c r="M50" i="2"/>
  <c r="M349" i="4"/>
  <c r="R348" i="5"/>
  <c r="N50" i="2"/>
  <c r="N349" i="4"/>
  <c r="T348" i="5"/>
  <c r="O50" i="2"/>
  <c r="O349" i="4"/>
  <c r="U348" i="5"/>
  <c r="P50" i="2"/>
  <c r="P349" i="4"/>
  <c r="W348" i="5"/>
  <c r="Q50" i="2"/>
  <c r="Q349" i="4"/>
  <c r="X348" i="5"/>
  <c r="S50" i="2"/>
  <c r="S349" i="4"/>
  <c r="AA348" i="5"/>
  <c r="T50" i="2"/>
  <c r="T349" i="4"/>
  <c r="AC348" i="5"/>
  <c r="U50" i="2"/>
  <c r="U349" i="4"/>
  <c r="AD348" i="5"/>
  <c r="X50" i="2"/>
  <c r="X349" i="4"/>
  <c r="AI348" i="5"/>
  <c r="Y50" i="2"/>
  <c r="Y349" i="4"/>
  <c r="AJ348" i="5"/>
  <c r="Z50" i="2"/>
  <c r="Z349" i="4"/>
  <c r="AL348" i="5"/>
  <c r="F348" i="5"/>
  <c r="H348" i="5"/>
  <c r="I348" i="5"/>
  <c r="Z348" i="5"/>
  <c r="AN348" i="5"/>
  <c r="B363" i="4"/>
  <c r="K51" i="2"/>
  <c r="K363" i="4"/>
  <c r="O349" i="5"/>
  <c r="H51" i="2"/>
  <c r="H363" i="4"/>
  <c r="K349" i="5"/>
  <c r="W51" i="2"/>
  <c r="W363" i="4"/>
  <c r="AG349" i="5"/>
  <c r="V51" i="2"/>
  <c r="V363" i="4"/>
  <c r="AF349" i="5"/>
  <c r="C51" i="2"/>
  <c r="C363" i="4"/>
  <c r="C349" i="5"/>
  <c r="D51" i="2"/>
  <c r="D363" i="4"/>
  <c r="E349" i="5"/>
  <c r="I51" i="2"/>
  <c r="I363" i="4"/>
  <c r="L349" i="5"/>
  <c r="J51" i="2"/>
  <c r="J363" i="4"/>
  <c r="N349" i="5"/>
  <c r="L51" i="2"/>
  <c r="L363" i="4"/>
  <c r="Q349" i="5"/>
  <c r="M51" i="2"/>
  <c r="M363" i="4"/>
  <c r="R349" i="5"/>
  <c r="N51" i="2"/>
  <c r="N363" i="4"/>
  <c r="T349" i="5"/>
  <c r="O51" i="2"/>
  <c r="O363" i="4"/>
  <c r="U349" i="5"/>
  <c r="P51" i="2"/>
  <c r="P363" i="4"/>
  <c r="W349" i="5"/>
  <c r="Q51" i="2"/>
  <c r="Q363" i="4"/>
  <c r="X349" i="5"/>
  <c r="S363" i="4"/>
  <c r="AA349" i="5"/>
  <c r="T51" i="2"/>
  <c r="T363" i="4"/>
  <c r="AC349" i="5"/>
  <c r="U51" i="2"/>
  <c r="U363" i="4"/>
  <c r="AD349" i="5"/>
  <c r="X51" i="2"/>
  <c r="X363" i="4"/>
  <c r="AI349" i="5"/>
  <c r="Y363" i="4"/>
  <c r="AJ349" i="5"/>
  <c r="Z51" i="2"/>
  <c r="Z363" i="4"/>
  <c r="AL349" i="5"/>
  <c r="F349" i="5"/>
  <c r="H349" i="5"/>
  <c r="I349" i="5"/>
  <c r="Z349" i="5"/>
  <c r="AN349" i="5"/>
  <c r="B364" i="4"/>
  <c r="K364" i="4"/>
  <c r="O350" i="5"/>
  <c r="H364" i="4"/>
  <c r="K350" i="5"/>
  <c r="W364" i="4"/>
  <c r="AG350" i="5"/>
  <c r="V364" i="4"/>
  <c r="AF350" i="5"/>
  <c r="C364" i="4"/>
  <c r="C350" i="5"/>
  <c r="D364" i="4"/>
  <c r="E350" i="5"/>
  <c r="I364" i="4"/>
  <c r="L350" i="5"/>
  <c r="J364" i="4"/>
  <c r="N350" i="5"/>
  <c r="L364" i="4"/>
  <c r="Q350" i="5"/>
  <c r="M364" i="4"/>
  <c r="R350" i="5"/>
  <c r="N364" i="4"/>
  <c r="T350" i="5"/>
  <c r="O364" i="4"/>
  <c r="U350" i="5"/>
  <c r="P364" i="4"/>
  <c r="W350" i="5"/>
  <c r="Q364" i="4"/>
  <c r="X350" i="5"/>
  <c r="S364" i="4"/>
  <c r="AA350" i="5"/>
  <c r="T364" i="4"/>
  <c r="AC350" i="5"/>
  <c r="U364" i="4"/>
  <c r="AD350" i="5"/>
  <c r="X364" i="4"/>
  <c r="AI350" i="5"/>
  <c r="Y364" i="4"/>
  <c r="AJ350" i="5"/>
  <c r="Z364" i="4"/>
  <c r="AL350" i="5"/>
  <c r="F350" i="5"/>
  <c r="H350" i="5"/>
  <c r="I350" i="5"/>
  <c r="Z350" i="5"/>
  <c r="AN350" i="5"/>
  <c r="B365" i="4"/>
  <c r="S365" i="4"/>
  <c r="AA351" i="5"/>
  <c r="P365" i="4"/>
  <c r="W351" i="5"/>
  <c r="K365" i="4"/>
  <c r="O351" i="5"/>
  <c r="H365" i="4"/>
  <c r="K351" i="5"/>
  <c r="W365" i="4"/>
  <c r="AG351" i="5"/>
  <c r="V365" i="4"/>
  <c r="AF351" i="5"/>
  <c r="C365" i="4"/>
  <c r="C351" i="5"/>
  <c r="D365" i="4"/>
  <c r="E351" i="5"/>
  <c r="I365" i="4"/>
  <c r="L351" i="5"/>
  <c r="J365" i="4"/>
  <c r="N351" i="5"/>
  <c r="L365" i="4"/>
  <c r="Q351" i="5"/>
  <c r="M365" i="4"/>
  <c r="R351" i="5"/>
  <c r="N365" i="4"/>
  <c r="T351" i="5"/>
  <c r="O365" i="4"/>
  <c r="U351" i="5"/>
  <c r="Q365" i="4"/>
  <c r="X351" i="5"/>
  <c r="R51" i="2"/>
  <c r="R365" i="4"/>
  <c r="Z351" i="5"/>
  <c r="T365" i="4"/>
  <c r="AC351" i="5"/>
  <c r="U365" i="4"/>
  <c r="AD351" i="5"/>
  <c r="X365" i="4"/>
  <c r="AI351" i="5"/>
  <c r="Y365" i="4"/>
  <c r="AJ351" i="5"/>
  <c r="Z365" i="4"/>
  <c r="AL351" i="5"/>
  <c r="F351" i="5"/>
  <c r="H351" i="5"/>
  <c r="I351" i="5"/>
  <c r="AN351" i="5"/>
  <c r="K350" i="4"/>
  <c r="O352" i="5"/>
  <c r="H350" i="4"/>
  <c r="K352" i="5"/>
  <c r="W350" i="4"/>
  <c r="AG352" i="5"/>
  <c r="V350" i="4"/>
  <c r="AF352" i="5"/>
  <c r="C350" i="4"/>
  <c r="C352" i="5"/>
  <c r="D350" i="4"/>
  <c r="E352" i="5"/>
  <c r="I350" i="4"/>
  <c r="L352" i="5"/>
  <c r="J350" i="4"/>
  <c r="N352" i="5"/>
  <c r="L350" i="4"/>
  <c r="Q352" i="5"/>
  <c r="M350" i="4"/>
  <c r="R352" i="5"/>
  <c r="N350" i="4"/>
  <c r="T352" i="5"/>
  <c r="O350" i="4"/>
  <c r="U352" i="5"/>
  <c r="P350" i="4"/>
  <c r="W352" i="5"/>
  <c r="Q350" i="4"/>
  <c r="X352" i="5"/>
  <c r="T350" i="4"/>
  <c r="AC352" i="5"/>
  <c r="U350" i="4"/>
  <c r="AD352" i="5"/>
  <c r="X350" i="4"/>
  <c r="AI352" i="5"/>
  <c r="Y350" i="4"/>
  <c r="AJ352" i="5"/>
  <c r="Z350" i="4"/>
  <c r="AL352" i="5"/>
  <c r="Z352" i="5"/>
  <c r="F352" i="5"/>
  <c r="H352" i="5"/>
  <c r="I352" i="5"/>
  <c r="AN352" i="5"/>
  <c r="B351" i="4"/>
  <c r="K351" i="4"/>
  <c r="O353" i="5"/>
  <c r="H351" i="4"/>
  <c r="K353" i="5"/>
  <c r="W351" i="4"/>
  <c r="AG353" i="5"/>
  <c r="V351" i="4"/>
  <c r="AF353" i="5"/>
  <c r="C351" i="4"/>
  <c r="C353" i="5"/>
  <c r="D351" i="4"/>
  <c r="E353" i="5"/>
  <c r="I351" i="4"/>
  <c r="L353" i="5"/>
  <c r="J351" i="4"/>
  <c r="N353" i="5"/>
  <c r="L351" i="4"/>
  <c r="Q353" i="5"/>
  <c r="M351" i="4"/>
  <c r="R353" i="5"/>
  <c r="N351" i="4"/>
  <c r="T353" i="5"/>
  <c r="O351" i="4"/>
  <c r="U353" i="5"/>
  <c r="P351" i="4"/>
  <c r="W353" i="5"/>
  <c r="Q351" i="4"/>
  <c r="X353" i="5"/>
  <c r="S351" i="4"/>
  <c r="T351" i="4"/>
  <c r="AC353" i="5"/>
  <c r="U351" i="4"/>
  <c r="AD353" i="5"/>
  <c r="X351" i="4"/>
  <c r="AI353" i="5"/>
  <c r="Y351" i="4"/>
  <c r="AJ353" i="5"/>
  <c r="Z351" i="4"/>
  <c r="AL353" i="5"/>
  <c r="Z353" i="5"/>
  <c r="F353" i="5"/>
  <c r="H353" i="5"/>
  <c r="I353" i="5"/>
  <c r="AN353" i="5"/>
  <c r="B366" i="4"/>
  <c r="K366" i="4"/>
  <c r="O354" i="5"/>
  <c r="H366" i="4"/>
  <c r="K354" i="5"/>
  <c r="W366" i="4"/>
  <c r="AG354" i="5"/>
  <c r="V366" i="4"/>
  <c r="AF354" i="5"/>
  <c r="C366" i="4"/>
  <c r="C354" i="5"/>
  <c r="D366" i="4"/>
  <c r="E354" i="5"/>
  <c r="I366" i="4"/>
  <c r="L354" i="5"/>
  <c r="J366" i="4"/>
  <c r="N354" i="5"/>
  <c r="L366" i="4"/>
  <c r="Q354" i="5"/>
  <c r="M366" i="4"/>
  <c r="R354" i="5"/>
  <c r="N366" i="4"/>
  <c r="T354" i="5"/>
  <c r="O366" i="4"/>
  <c r="U354" i="5"/>
  <c r="P366" i="4"/>
  <c r="W354" i="5"/>
  <c r="Q366" i="4"/>
  <c r="X354" i="5"/>
  <c r="S366" i="4"/>
  <c r="AA354" i="5"/>
  <c r="T366" i="4"/>
  <c r="AC354" i="5"/>
  <c r="U366" i="4"/>
  <c r="AD354" i="5"/>
  <c r="X366" i="4"/>
  <c r="AI354" i="5"/>
  <c r="Y366" i="4"/>
  <c r="AJ354" i="5"/>
  <c r="Z366" i="4"/>
  <c r="AL354" i="5"/>
  <c r="Z354" i="5"/>
  <c r="F354" i="5"/>
  <c r="H354" i="5"/>
  <c r="I354" i="5"/>
  <c r="AN354" i="5"/>
  <c r="B367" i="4"/>
  <c r="K367" i="4"/>
  <c r="O355" i="5"/>
  <c r="H367" i="4"/>
  <c r="K355" i="5"/>
  <c r="W367" i="4"/>
  <c r="AG355" i="5"/>
  <c r="V367" i="4"/>
  <c r="AF355" i="5"/>
  <c r="C367" i="4"/>
  <c r="C355" i="5"/>
  <c r="D367" i="4"/>
  <c r="E355" i="5"/>
  <c r="I367" i="4"/>
  <c r="L355" i="5"/>
  <c r="J367" i="4"/>
  <c r="N355" i="5"/>
  <c r="L367" i="4"/>
  <c r="Q355" i="5"/>
  <c r="M367" i="4"/>
  <c r="R355" i="5"/>
  <c r="N367" i="4"/>
  <c r="T355" i="5"/>
  <c r="O367" i="4"/>
  <c r="U355" i="5"/>
  <c r="P367" i="4"/>
  <c r="W355" i="5"/>
  <c r="Q367" i="4"/>
  <c r="X355" i="5"/>
  <c r="S367" i="4"/>
  <c r="AA355" i="5"/>
  <c r="T367" i="4"/>
  <c r="AC355" i="5"/>
  <c r="U367" i="4"/>
  <c r="AD355" i="5"/>
  <c r="X367" i="4"/>
  <c r="AI355" i="5"/>
  <c r="Y367" i="4"/>
  <c r="AJ355" i="5"/>
  <c r="Z355" i="5"/>
  <c r="F355" i="5"/>
  <c r="H355" i="5"/>
  <c r="I355" i="5"/>
  <c r="AN355" i="5"/>
  <c r="S368" i="4"/>
  <c r="P368" i="4"/>
  <c r="W356" i="5"/>
  <c r="K368" i="4"/>
  <c r="O356" i="5"/>
  <c r="H368" i="4"/>
  <c r="K356" i="5"/>
  <c r="W368" i="4"/>
  <c r="AG356" i="5"/>
  <c r="V368" i="4"/>
  <c r="AF356" i="5"/>
  <c r="C368" i="4"/>
  <c r="C356" i="5"/>
  <c r="D368" i="4"/>
  <c r="E356" i="5"/>
  <c r="I368" i="4"/>
  <c r="L356" i="5"/>
  <c r="J368" i="4"/>
  <c r="N356" i="5"/>
  <c r="L368" i="4"/>
  <c r="Q356" i="5"/>
  <c r="M368" i="4"/>
  <c r="R356" i="5"/>
  <c r="N368" i="4"/>
  <c r="T356" i="5"/>
  <c r="O368" i="4"/>
  <c r="U356" i="5"/>
  <c r="Q368" i="4"/>
  <c r="X356" i="5"/>
  <c r="R368" i="4"/>
  <c r="Z356" i="5"/>
  <c r="T368" i="4"/>
  <c r="AC356" i="5"/>
  <c r="U368" i="4"/>
  <c r="AD356" i="5"/>
  <c r="X368" i="4"/>
  <c r="AI356" i="5"/>
  <c r="F356" i="5"/>
  <c r="H356" i="5"/>
  <c r="I356" i="5"/>
  <c r="AN356" i="5"/>
  <c r="B348" i="4"/>
  <c r="K348" i="4"/>
  <c r="O357" i="5"/>
  <c r="H348" i="4"/>
  <c r="K357" i="5"/>
  <c r="W348" i="4"/>
  <c r="AG357" i="5"/>
  <c r="V348" i="4"/>
  <c r="AF357" i="5"/>
  <c r="C348" i="4"/>
  <c r="C357" i="5"/>
  <c r="D348" i="4"/>
  <c r="E357" i="5"/>
  <c r="I348" i="4"/>
  <c r="L357" i="5"/>
  <c r="J348" i="4"/>
  <c r="N357" i="5"/>
  <c r="L348" i="4"/>
  <c r="Q357" i="5"/>
  <c r="M348" i="4"/>
  <c r="R357" i="5"/>
  <c r="N348" i="4"/>
  <c r="T357" i="5"/>
  <c r="O348" i="4"/>
  <c r="U357" i="5"/>
  <c r="P348" i="4"/>
  <c r="W357" i="5"/>
  <c r="Q348" i="4"/>
  <c r="X357" i="5"/>
  <c r="S348" i="4"/>
  <c r="AA357" i="5"/>
  <c r="T348" i="4"/>
  <c r="AC357" i="5"/>
  <c r="U348" i="4"/>
  <c r="AD357" i="5"/>
  <c r="X348" i="4"/>
  <c r="AI357" i="5"/>
  <c r="Y348" i="4"/>
  <c r="AJ357" i="5"/>
  <c r="Z348" i="4"/>
  <c r="AL357" i="5"/>
  <c r="F357" i="5"/>
  <c r="H357" i="5"/>
  <c r="I357" i="5"/>
  <c r="Z357" i="5"/>
  <c r="AN357" i="5"/>
  <c r="B352" i="4"/>
  <c r="K352" i="4"/>
  <c r="O358" i="5"/>
  <c r="H352" i="4"/>
  <c r="K358" i="5"/>
  <c r="W352" i="4"/>
  <c r="AG358" i="5"/>
  <c r="V352" i="4"/>
  <c r="AF358" i="5"/>
  <c r="C352" i="4"/>
  <c r="C358" i="5"/>
  <c r="D352" i="4"/>
  <c r="E358" i="5"/>
  <c r="I352" i="4"/>
  <c r="L358" i="5"/>
  <c r="J352" i="4"/>
  <c r="N358" i="5"/>
  <c r="L352" i="4"/>
  <c r="Q358" i="5"/>
  <c r="M352" i="4"/>
  <c r="R358" i="5"/>
  <c r="N352" i="4"/>
  <c r="T358" i="5"/>
  <c r="O352" i="4"/>
  <c r="U358" i="5"/>
  <c r="P352" i="4"/>
  <c r="W358" i="5"/>
  <c r="Q352" i="4"/>
  <c r="X358" i="5"/>
  <c r="S352" i="4"/>
  <c r="AA358" i="5"/>
  <c r="T352" i="4"/>
  <c r="AC358" i="5"/>
  <c r="U352" i="4"/>
  <c r="AD358" i="5"/>
  <c r="X352" i="4"/>
  <c r="AI358" i="5"/>
  <c r="Y352" i="4"/>
  <c r="AJ358" i="5"/>
  <c r="Z352" i="4"/>
  <c r="AL358" i="5"/>
  <c r="F358" i="5"/>
  <c r="H358" i="5"/>
  <c r="I358" i="5"/>
  <c r="Z358" i="5"/>
  <c r="AN358" i="5"/>
  <c r="B353" i="4"/>
  <c r="K353" i="4"/>
  <c r="O359" i="5"/>
  <c r="H353" i="4"/>
  <c r="K359" i="5"/>
  <c r="W353" i="4"/>
  <c r="AG359" i="5"/>
  <c r="V353" i="4"/>
  <c r="AF359" i="5"/>
  <c r="C353" i="4"/>
  <c r="C359" i="5"/>
  <c r="D353" i="4"/>
  <c r="E359" i="5"/>
  <c r="I353" i="4"/>
  <c r="L359" i="5"/>
  <c r="J353" i="4"/>
  <c r="N359" i="5"/>
  <c r="L353" i="4"/>
  <c r="Q359" i="5"/>
  <c r="M353" i="4"/>
  <c r="R359" i="5"/>
  <c r="N353" i="4"/>
  <c r="T359" i="5"/>
  <c r="O353" i="4"/>
  <c r="U359" i="5"/>
  <c r="P353" i="4"/>
  <c r="W359" i="5"/>
  <c r="Q353" i="4"/>
  <c r="X359" i="5"/>
  <c r="S353" i="4"/>
  <c r="AA359" i="5"/>
  <c r="T353" i="4"/>
  <c r="AC359" i="5"/>
  <c r="U353" i="4"/>
  <c r="AD359" i="5"/>
  <c r="X353" i="4"/>
  <c r="AI359" i="5"/>
  <c r="Y353" i="4"/>
  <c r="AJ359" i="5"/>
  <c r="Z353" i="4"/>
  <c r="AL359" i="5"/>
  <c r="F359" i="5"/>
  <c r="H359" i="5"/>
  <c r="I359" i="5"/>
  <c r="Z359" i="5"/>
  <c r="AN359" i="5"/>
  <c r="B354" i="4"/>
  <c r="K354" i="4"/>
  <c r="O360" i="5"/>
  <c r="H354" i="4"/>
  <c r="K360" i="5"/>
  <c r="W354" i="4"/>
  <c r="AG360" i="5"/>
  <c r="V354" i="4"/>
  <c r="AF360" i="5"/>
  <c r="C354" i="4"/>
  <c r="C360" i="5"/>
  <c r="D354" i="4"/>
  <c r="E360" i="5"/>
  <c r="I354" i="4"/>
  <c r="L360" i="5"/>
  <c r="J354" i="4"/>
  <c r="N360" i="5"/>
  <c r="L354" i="4"/>
  <c r="Q360" i="5"/>
  <c r="M354" i="4"/>
  <c r="R360" i="5"/>
  <c r="N354" i="4"/>
  <c r="T360" i="5"/>
  <c r="O354" i="4"/>
  <c r="U360" i="5"/>
  <c r="P354" i="4"/>
  <c r="W360" i="5"/>
  <c r="Q354" i="4"/>
  <c r="X360" i="5"/>
  <c r="S354" i="4"/>
  <c r="AA360" i="5"/>
  <c r="T354" i="4"/>
  <c r="AC360" i="5"/>
  <c r="U354" i="4"/>
  <c r="AD360" i="5"/>
  <c r="X354" i="4"/>
  <c r="AI360" i="5"/>
  <c r="Y354" i="4"/>
  <c r="AJ360" i="5"/>
  <c r="Z354" i="4"/>
  <c r="AL360" i="5"/>
  <c r="F360" i="5"/>
  <c r="H360" i="5"/>
  <c r="I360" i="5"/>
  <c r="Z360" i="5"/>
  <c r="AN360" i="5"/>
  <c r="B355" i="4"/>
  <c r="K355" i="4"/>
  <c r="O361" i="5"/>
  <c r="H355" i="4"/>
  <c r="K361" i="5"/>
  <c r="W355" i="4"/>
  <c r="AG361" i="5"/>
  <c r="V355" i="4"/>
  <c r="AF361" i="5"/>
  <c r="C355" i="4"/>
  <c r="C361" i="5"/>
  <c r="D355" i="4"/>
  <c r="E361" i="5"/>
  <c r="I355" i="4"/>
  <c r="L361" i="5"/>
  <c r="J355" i="4"/>
  <c r="N361" i="5"/>
  <c r="L355" i="4"/>
  <c r="Q361" i="5"/>
  <c r="M355" i="4"/>
  <c r="R361" i="5"/>
  <c r="N355" i="4"/>
  <c r="T361" i="5"/>
  <c r="O355" i="4"/>
  <c r="U361" i="5"/>
  <c r="P355" i="4"/>
  <c r="W361" i="5"/>
  <c r="Q355" i="4"/>
  <c r="X361" i="5"/>
  <c r="S355" i="4"/>
  <c r="AA361" i="5"/>
  <c r="T355" i="4"/>
  <c r="AC361" i="5"/>
  <c r="U355" i="4"/>
  <c r="AD361" i="5"/>
  <c r="X355" i="4"/>
  <c r="AI361" i="5"/>
  <c r="Y355" i="4"/>
  <c r="AJ361" i="5"/>
  <c r="Z355" i="4"/>
  <c r="AL361" i="5"/>
  <c r="F361" i="5"/>
  <c r="H361" i="5"/>
  <c r="I361" i="5"/>
  <c r="Z361" i="5"/>
  <c r="AN361" i="5"/>
  <c r="B356" i="4"/>
  <c r="K356" i="4"/>
  <c r="O362" i="5"/>
  <c r="H356" i="4"/>
  <c r="K362" i="5"/>
  <c r="W356" i="4"/>
  <c r="AG362" i="5"/>
  <c r="V356" i="4"/>
  <c r="AF362" i="5"/>
  <c r="C356" i="4"/>
  <c r="C362" i="5"/>
  <c r="D356" i="4"/>
  <c r="E362" i="5"/>
  <c r="I356" i="4"/>
  <c r="L362" i="5"/>
  <c r="J356" i="4"/>
  <c r="N362" i="5"/>
  <c r="L356" i="4"/>
  <c r="Q362" i="5"/>
  <c r="M356" i="4"/>
  <c r="R362" i="5"/>
  <c r="N356" i="4"/>
  <c r="T362" i="5"/>
  <c r="O356" i="4"/>
  <c r="U362" i="5"/>
  <c r="P356" i="4"/>
  <c r="W362" i="5"/>
  <c r="Q356" i="4"/>
  <c r="X362" i="5"/>
  <c r="S356" i="4"/>
  <c r="AA362" i="5"/>
  <c r="T356" i="4"/>
  <c r="AC362" i="5"/>
  <c r="U356" i="4"/>
  <c r="AD362" i="5"/>
  <c r="X356" i="4"/>
  <c r="AI362" i="5"/>
  <c r="Y356" i="4"/>
  <c r="AJ362" i="5"/>
  <c r="Z356" i="4"/>
  <c r="AL362" i="5"/>
  <c r="F362" i="5"/>
  <c r="H362" i="5"/>
  <c r="I362" i="5"/>
  <c r="Z362" i="5"/>
  <c r="AN362" i="5"/>
  <c r="B357" i="4"/>
  <c r="K357" i="4"/>
  <c r="O363" i="5"/>
  <c r="H357" i="4"/>
  <c r="K363" i="5"/>
  <c r="W357" i="4"/>
  <c r="AG363" i="5"/>
  <c r="V357" i="4"/>
  <c r="AF363" i="5"/>
  <c r="C357" i="4"/>
  <c r="C363" i="5"/>
  <c r="D357" i="4"/>
  <c r="E363" i="5"/>
  <c r="I357" i="4"/>
  <c r="L363" i="5"/>
  <c r="J357" i="4"/>
  <c r="N363" i="5"/>
  <c r="L357" i="4"/>
  <c r="Q363" i="5"/>
  <c r="M357" i="4"/>
  <c r="R363" i="5"/>
  <c r="N357" i="4"/>
  <c r="T363" i="5"/>
  <c r="O357" i="4"/>
  <c r="U363" i="5"/>
  <c r="P357" i="4"/>
  <c r="W363" i="5"/>
  <c r="Q357" i="4"/>
  <c r="X363" i="5"/>
  <c r="S357" i="4"/>
  <c r="AA363" i="5"/>
  <c r="T357" i="4"/>
  <c r="AC363" i="5"/>
  <c r="U357" i="4"/>
  <c r="AD363" i="5"/>
  <c r="X357" i="4"/>
  <c r="AI363" i="5"/>
  <c r="Y357" i="4"/>
  <c r="AJ363" i="5"/>
  <c r="Z357" i="4"/>
  <c r="AL363" i="5"/>
  <c r="F363" i="5"/>
  <c r="H363" i="5"/>
  <c r="I363" i="5"/>
  <c r="Z363" i="5"/>
  <c r="AN363" i="5"/>
  <c r="B358" i="4"/>
  <c r="K358" i="4"/>
  <c r="O364" i="5"/>
  <c r="H358" i="4"/>
  <c r="K364" i="5"/>
  <c r="W358" i="4"/>
  <c r="AG364" i="5"/>
  <c r="V358" i="4"/>
  <c r="AF364" i="5"/>
  <c r="C358" i="4"/>
  <c r="C364" i="5"/>
  <c r="D358" i="4"/>
  <c r="E364" i="5"/>
  <c r="I358" i="4"/>
  <c r="L364" i="5"/>
  <c r="J358" i="4"/>
  <c r="N364" i="5"/>
  <c r="L358" i="4"/>
  <c r="Q364" i="5"/>
  <c r="M358" i="4"/>
  <c r="R364" i="5"/>
  <c r="N358" i="4"/>
  <c r="T364" i="5"/>
  <c r="O358" i="4"/>
  <c r="U364" i="5"/>
  <c r="P358" i="4"/>
  <c r="W364" i="5"/>
  <c r="Q358" i="4"/>
  <c r="X364" i="5"/>
  <c r="S358" i="4"/>
  <c r="AA364" i="5"/>
  <c r="T358" i="4"/>
  <c r="AC364" i="5"/>
  <c r="U358" i="4"/>
  <c r="AD364" i="5"/>
  <c r="X358" i="4"/>
  <c r="AI364" i="5"/>
  <c r="Y358" i="4"/>
  <c r="AJ364" i="5"/>
  <c r="Z358" i="4"/>
  <c r="AL364" i="5"/>
  <c r="F364" i="5"/>
  <c r="H364" i="5"/>
  <c r="I364" i="5"/>
  <c r="Z364" i="5"/>
  <c r="AN364" i="5"/>
  <c r="B359" i="4"/>
  <c r="K359" i="4"/>
  <c r="O365" i="5"/>
  <c r="H359" i="4"/>
  <c r="K365" i="5"/>
  <c r="W359" i="4"/>
  <c r="AG365" i="5"/>
  <c r="V359" i="4"/>
  <c r="AF365" i="5"/>
  <c r="C359" i="4"/>
  <c r="C365" i="5"/>
  <c r="D359" i="4"/>
  <c r="E365" i="5"/>
  <c r="I359" i="4"/>
  <c r="L365" i="5"/>
  <c r="J359" i="4"/>
  <c r="N365" i="5"/>
  <c r="L359" i="4"/>
  <c r="Q365" i="5"/>
  <c r="M359" i="4"/>
  <c r="R365" i="5"/>
  <c r="N359" i="4"/>
  <c r="T365" i="5"/>
  <c r="O359" i="4"/>
  <c r="U365" i="5"/>
  <c r="P359" i="4"/>
  <c r="W365" i="5"/>
  <c r="Q359" i="4"/>
  <c r="X365" i="5"/>
  <c r="S359" i="4"/>
  <c r="AA365" i="5"/>
  <c r="T359" i="4"/>
  <c r="AC365" i="5"/>
  <c r="U359" i="4"/>
  <c r="AD365" i="5"/>
  <c r="X359" i="4"/>
  <c r="AI365" i="5"/>
  <c r="Y359" i="4"/>
  <c r="AJ365" i="5"/>
  <c r="Z359" i="4"/>
  <c r="AL365" i="5"/>
  <c r="F365" i="5"/>
  <c r="H365" i="5"/>
  <c r="I365" i="5"/>
  <c r="Z365" i="5"/>
  <c r="AN365" i="5"/>
  <c r="B369" i="4"/>
  <c r="S369" i="4"/>
  <c r="AA366" i="5"/>
  <c r="P369" i="4"/>
  <c r="W366" i="5"/>
  <c r="K369" i="4"/>
  <c r="O366" i="5"/>
  <c r="H369" i="4"/>
  <c r="K366" i="5"/>
  <c r="W369" i="4"/>
  <c r="AG366" i="5"/>
  <c r="V369" i="4"/>
  <c r="AF366" i="5"/>
  <c r="C369" i="4"/>
  <c r="C366" i="5"/>
  <c r="D369" i="4"/>
  <c r="E366" i="5"/>
  <c r="I369" i="4"/>
  <c r="L366" i="5"/>
  <c r="J369" i="4"/>
  <c r="N366" i="5"/>
  <c r="L369" i="4"/>
  <c r="Q366" i="5"/>
  <c r="M369" i="4"/>
  <c r="R366" i="5"/>
  <c r="N369" i="4"/>
  <c r="T366" i="5"/>
  <c r="O369" i="4"/>
  <c r="U366" i="5"/>
  <c r="Q369" i="4"/>
  <c r="X366" i="5"/>
  <c r="R369" i="4"/>
  <c r="Z366" i="5"/>
  <c r="T369" i="4"/>
  <c r="AC366" i="5"/>
  <c r="U369" i="4"/>
  <c r="AD366" i="5"/>
  <c r="X369" i="4"/>
  <c r="AI366" i="5"/>
  <c r="F366" i="5"/>
  <c r="H366" i="5"/>
  <c r="I366" i="5"/>
  <c r="AN366" i="5"/>
  <c r="B360" i="4"/>
  <c r="K360" i="4"/>
  <c r="O367" i="5"/>
  <c r="H360" i="4"/>
  <c r="K367" i="5"/>
  <c r="W360" i="4"/>
  <c r="AG367" i="5"/>
  <c r="V360" i="4"/>
  <c r="AF367" i="5"/>
  <c r="C360" i="4"/>
  <c r="C367" i="5"/>
  <c r="D360" i="4"/>
  <c r="E367" i="5"/>
  <c r="I360" i="4"/>
  <c r="L367" i="5"/>
  <c r="J360" i="4"/>
  <c r="N367" i="5"/>
  <c r="L360" i="4"/>
  <c r="Q367" i="5"/>
  <c r="M360" i="4"/>
  <c r="R367" i="5"/>
  <c r="N360" i="4"/>
  <c r="T367" i="5"/>
  <c r="O360" i="4"/>
  <c r="U367" i="5"/>
  <c r="P360" i="4"/>
  <c r="W367" i="5"/>
  <c r="Q360" i="4"/>
  <c r="X367" i="5"/>
  <c r="S360" i="4"/>
  <c r="AA367" i="5"/>
  <c r="T360" i="4"/>
  <c r="AC367" i="5"/>
  <c r="U360" i="4"/>
  <c r="AD367" i="5"/>
  <c r="X360" i="4"/>
  <c r="AI367" i="5"/>
  <c r="Y360" i="4"/>
  <c r="AJ367" i="5"/>
  <c r="Z360" i="4"/>
  <c r="AL367" i="5"/>
  <c r="F367" i="5"/>
  <c r="H367" i="5"/>
  <c r="I367" i="5"/>
  <c r="Z367" i="5"/>
  <c r="AN367" i="5"/>
  <c r="B361" i="4"/>
  <c r="K361" i="4"/>
  <c r="O368" i="5"/>
  <c r="H361" i="4"/>
  <c r="K368" i="5"/>
  <c r="W361" i="4"/>
  <c r="AG368" i="5"/>
  <c r="V361" i="4"/>
  <c r="AF368" i="5"/>
  <c r="C361" i="4"/>
  <c r="C368" i="5"/>
  <c r="D361" i="4"/>
  <c r="E368" i="5"/>
  <c r="I361" i="4"/>
  <c r="L368" i="5"/>
  <c r="J361" i="4"/>
  <c r="N368" i="5"/>
  <c r="L361" i="4"/>
  <c r="Q368" i="5"/>
  <c r="M361" i="4"/>
  <c r="R368" i="5"/>
  <c r="N361" i="4"/>
  <c r="T368" i="5"/>
  <c r="O361" i="4"/>
  <c r="U368" i="5"/>
  <c r="P361" i="4"/>
  <c r="W368" i="5"/>
  <c r="Q361" i="4"/>
  <c r="X368" i="5"/>
  <c r="S361" i="4"/>
  <c r="AA368" i="5"/>
  <c r="T361" i="4"/>
  <c r="AC368" i="5"/>
  <c r="U361" i="4"/>
  <c r="AD368" i="5"/>
  <c r="X361" i="4"/>
  <c r="AI368" i="5"/>
  <c r="Y361" i="4"/>
  <c r="AJ368" i="5"/>
  <c r="Z361" i="4"/>
  <c r="AL368" i="5"/>
  <c r="F368" i="5"/>
  <c r="H368" i="5"/>
  <c r="I368" i="5"/>
  <c r="Z368" i="5"/>
  <c r="AN368" i="5"/>
  <c r="B362" i="4"/>
  <c r="K362" i="4"/>
  <c r="O369" i="5"/>
  <c r="H362" i="4"/>
  <c r="K369" i="5"/>
  <c r="W362" i="4"/>
  <c r="AG369" i="5"/>
  <c r="V362" i="4"/>
  <c r="AF369" i="5"/>
  <c r="C362" i="4"/>
  <c r="C369" i="5"/>
  <c r="D362" i="4"/>
  <c r="E369" i="5"/>
  <c r="I362" i="4"/>
  <c r="L369" i="5"/>
  <c r="J362" i="4"/>
  <c r="N369" i="5"/>
  <c r="L362" i="4"/>
  <c r="Q369" i="5"/>
  <c r="M362" i="4"/>
  <c r="R369" i="5"/>
  <c r="N362" i="4"/>
  <c r="T369" i="5"/>
  <c r="O362" i="4"/>
  <c r="U369" i="5"/>
  <c r="P362" i="4"/>
  <c r="W369" i="5"/>
  <c r="Q362" i="4"/>
  <c r="X369" i="5"/>
  <c r="S362" i="4"/>
  <c r="AA369" i="5"/>
  <c r="T362" i="4"/>
  <c r="AC369" i="5"/>
  <c r="U362" i="4"/>
  <c r="AD369" i="5"/>
  <c r="X362" i="4"/>
  <c r="AI369" i="5"/>
  <c r="Y362" i="4"/>
  <c r="AJ369" i="5"/>
  <c r="Z362" i="4"/>
  <c r="AL369" i="5"/>
  <c r="F369" i="5"/>
  <c r="H369" i="5"/>
  <c r="I369" i="5"/>
  <c r="Z369" i="5"/>
  <c r="AN369" i="5"/>
  <c r="B370" i="4"/>
  <c r="K370" i="4"/>
  <c r="O370" i="5"/>
  <c r="H370" i="4"/>
  <c r="K370" i="5"/>
  <c r="W370" i="4"/>
  <c r="AG370" i="5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F370" i="5"/>
  <c r="H370" i="5"/>
  <c r="I370" i="5"/>
  <c r="Z370" i="5"/>
  <c r="AN370" i="5"/>
  <c r="B371" i="4"/>
  <c r="K371" i="4"/>
  <c r="O371" i="5"/>
  <c r="H371" i="4"/>
  <c r="K371" i="5"/>
  <c r="W371" i="4"/>
  <c r="AG371" i="5"/>
  <c r="AF371" i="5"/>
  <c r="C371" i="4"/>
  <c r="C371" i="5"/>
  <c r="D371" i="4"/>
  <c r="E371" i="5"/>
  <c r="I371" i="4"/>
  <c r="L371" i="5"/>
  <c r="J371" i="4"/>
  <c r="N371" i="5"/>
  <c r="L371" i="4"/>
  <c r="Q371" i="5"/>
  <c r="M371" i="4"/>
  <c r="R371" i="5"/>
  <c r="N371" i="4"/>
  <c r="T371" i="5"/>
  <c r="O371" i="4"/>
  <c r="U371" i="5"/>
  <c r="P371" i="4"/>
  <c r="W371" i="5"/>
  <c r="Q371" i="4"/>
  <c r="X371" i="5"/>
  <c r="S371" i="4"/>
  <c r="AA371" i="5"/>
  <c r="T371" i="4"/>
  <c r="AC371" i="5"/>
  <c r="U371" i="4"/>
  <c r="AD371" i="5"/>
  <c r="X371" i="4"/>
  <c r="AI371" i="5"/>
  <c r="Y371" i="4"/>
  <c r="AJ371" i="5"/>
  <c r="Z371" i="4"/>
  <c r="AL371" i="5"/>
  <c r="F371" i="5"/>
  <c r="H371" i="5"/>
  <c r="I371" i="5"/>
  <c r="Z371" i="5"/>
  <c r="AN371" i="5"/>
  <c r="B372" i="4"/>
  <c r="K372" i="4"/>
  <c r="O372" i="5"/>
  <c r="H372" i="4"/>
  <c r="K372" i="5"/>
  <c r="W372" i="4"/>
  <c r="AG372" i="5"/>
  <c r="AF372" i="5"/>
  <c r="C372" i="4"/>
  <c r="C372" i="5"/>
  <c r="D372" i="4"/>
  <c r="E372" i="5"/>
  <c r="I372" i="4"/>
  <c r="L372" i="5"/>
  <c r="J372" i="4"/>
  <c r="N372" i="5"/>
  <c r="L372" i="4"/>
  <c r="Q372" i="5"/>
  <c r="M372" i="4"/>
  <c r="R372" i="5"/>
  <c r="N372" i="4"/>
  <c r="T372" i="5"/>
  <c r="O372" i="4"/>
  <c r="U372" i="5"/>
  <c r="P372" i="4"/>
  <c r="W372" i="5"/>
  <c r="Q372" i="4"/>
  <c r="X372" i="5"/>
  <c r="S372" i="4"/>
  <c r="AA372" i="5"/>
  <c r="T372" i="4"/>
  <c r="AC372" i="5"/>
  <c r="U372" i="4"/>
  <c r="AD372" i="5"/>
  <c r="X372" i="4"/>
  <c r="AI372" i="5"/>
  <c r="Y372" i="4"/>
  <c r="AJ372" i="5"/>
  <c r="Z372" i="4"/>
  <c r="AL372" i="5"/>
  <c r="F372" i="5"/>
  <c r="H372" i="5"/>
  <c r="I372" i="5"/>
  <c r="Z372" i="5"/>
  <c r="AN372" i="5"/>
  <c r="B373" i="4"/>
  <c r="K373" i="4"/>
  <c r="O373" i="5"/>
  <c r="H373" i="4"/>
  <c r="K373" i="5"/>
  <c r="W373" i="4"/>
  <c r="AG373" i="5"/>
  <c r="AF373" i="5"/>
  <c r="C373" i="4"/>
  <c r="C373" i="5"/>
  <c r="D373" i="4"/>
  <c r="E373" i="5"/>
  <c r="I373" i="4"/>
  <c r="L373" i="5"/>
  <c r="J373" i="4"/>
  <c r="N373" i="5"/>
  <c r="L373" i="4"/>
  <c r="Q373" i="5"/>
  <c r="M373" i="4"/>
  <c r="R373" i="5"/>
  <c r="N373" i="4"/>
  <c r="T373" i="5"/>
  <c r="O373" i="4"/>
  <c r="U373" i="5"/>
  <c r="P373" i="4"/>
  <c r="W373" i="5"/>
  <c r="Q373" i="4"/>
  <c r="X373" i="5"/>
  <c r="S373" i="4"/>
  <c r="AA373" i="5"/>
  <c r="T373" i="4"/>
  <c r="AC373" i="5"/>
  <c r="U373" i="4"/>
  <c r="AD373" i="5"/>
  <c r="X373" i="4"/>
  <c r="AI373" i="5"/>
  <c r="Y373" i="4"/>
  <c r="AJ373" i="5"/>
  <c r="Z373" i="4"/>
  <c r="AL373" i="5"/>
  <c r="F373" i="5"/>
  <c r="H373" i="5"/>
  <c r="I373" i="5"/>
  <c r="Z373" i="5"/>
  <c r="AN373" i="5"/>
  <c r="W374" i="4"/>
  <c r="AG374" i="5"/>
  <c r="AF374" i="5"/>
  <c r="C374" i="4"/>
  <c r="C374" i="5"/>
  <c r="N374" i="4"/>
  <c r="T374" i="5"/>
  <c r="O374" i="4"/>
  <c r="U374" i="5"/>
  <c r="P374" i="4"/>
  <c r="W374" i="5"/>
  <c r="Q374" i="4"/>
  <c r="X374" i="5"/>
  <c r="S374" i="4"/>
  <c r="AA374" i="5"/>
  <c r="T374" i="4"/>
  <c r="AC374" i="5"/>
  <c r="U374" i="4"/>
  <c r="AD374" i="5"/>
  <c r="X374" i="4"/>
  <c r="AI374" i="5"/>
  <c r="Y374" i="4"/>
  <c r="AJ374" i="5"/>
  <c r="Z374" i="4"/>
  <c r="AL374" i="5"/>
  <c r="F374" i="5"/>
  <c r="H374" i="5"/>
  <c r="I374" i="5"/>
  <c r="Z374" i="5"/>
  <c r="AN374" i="5"/>
  <c r="B375" i="4"/>
  <c r="K375" i="4"/>
  <c r="O375" i="5"/>
  <c r="H375" i="4"/>
  <c r="K375" i="5"/>
  <c r="W375" i="4"/>
  <c r="AG375" i="5"/>
  <c r="AF375" i="5"/>
  <c r="C375" i="4"/>
  <c r="C375" i="5"/>
  <c r="D375" i="4"/>
  <c r="E375" i="5"/>
  <c r="I375" i="4"/>
  <c r="L375" i="5"/>
  <c r="J375" i="4"/>
  <c r="N375" i="5"/>
  <c r="L375" i="4"/>
  <c r="Q375" i="5"/>
  <c r="M375" i="4"/>
  <c r="R375" i="5"/>
  <c r="N375" i="4"/>
  <c r="T375" i="5"/>
  <c r="O375" i="4"/>
  <c r="U375" i="5"/>
  <c r="P375" i="4"/>
  <c r="W375" i="5"/>
  <c r="Q375" i="4"/>
  <c r="X375" i="5"/>
  <c r="S375" i="4"/>
  <c r="AA375" i="5"/>
  <c r="T375" i="4"/>
  <c r="AC375" i="5"/>
  <c r="U375" i="4"/>
  <c r="AD375" i="5"/>
  <c r="X375" i="4"/>
  <c r="AI375" i="5"/>
  <c r="Y375" i="4"/>
  <c r="AJ375" i="5"/>
  <c r="Z375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7" i="4"/>
  <c r="K377" i="4"/>
  <c r="O377" i="5"/>
  <c r="H377" i="4"/>
  <c r="K377" i="5"/>
  <c r="W377" i="4"/>
  <c r="AG377" i="5"/>
  <c r="AF377" i="5"/>
  <c r="C377" i="4"/>
  <c r="C377" i="5"/>
  <c r="D377" i="4"/>
  <c r="E377" i="5"/>
  <c r="I377" i="4"/>
  <c r="L377" i="5"/>
  <c r="J377" i="4"/>
  <c r="N377" i="5"/>
  <c r="L377" i="4"/>
  <c r="Q377" i="5"/>
  <c r="M377" i="4"/>
  <c r="R377" i="5"/>
  <c r="N377" i="4"/>
  <c r="T377" i="5"/>
  <c r="O377" i="4"/>
  <c r="U377" i="5"/>
  <c r="P377" i="4"/>
  <c r="W377" i="5"/>
  <c r="Q377" i="4"/>
  <c r="X377" i="5"/>
  <c r="S377" i="4"/>
  <c r="AA377" i="5"/>
  <c r="T377" i="4"/>
  <c r="AC377" i="5"/>
  <c r="U377" i="4"/>
  <c r="AD377" i="5"/>
  <c r="X377" i="4"/>
  <c r="AI377" i="5"/>
  <c r="Y377" i="4"/>
  <c r="AJ377" i="5"/>
  <c r="Z377" i="4"/>
  <c r="AL377" i="5"/>
  <c r="F377" i="5"/>
  <c r="H377" i="5"/>
  <c r="I377" i="5"/>
  <c r="Z377" i="5"/>
  <c r="AN377" i="5"/>
  <c r="B379" i="4"/>
  <c r="K379" i="4"/>
  <c r="O378" i="5"/>
  <c r="H379" i="4"/>
  <c r="K378" i="5"/>
  <c r="W379" i="4"/>
  <c r="AG378" i="5"/>
  <c r="AF378" i="5"/>
  <c r="C379" i="4"/>
  <c r="C378" i="5"/>
  <c r="D379" i="4"/>
  <c r="E378" i="5"/>
  <c r="I379" i="4"/>
  <c r="L378" i="5"/>
  <c r="J379" i="4"/>
  <c r="N378" i="5"/>
  <c r="L379" i="4"/>
  <c r="Q378" i="5"/>
  <c r="M379" i="4"/>
  <c r="R378" i="5"/>
  <c r="N379" i="4"/>
  <c r="T378" i="5"/>
  <c r="O379" i="4"/>
  <c r="U378" i="5"/>
  <c r="P379" i="4"/>
  <c r="W378" i="5"/>
  <c r="Q379" i="4"/>
  <c r="X378" i="5"/>
  <c r="S379" i="4"/>
  <c r="AA378" i="5"/>
  <c r="T379" i="4"/>
  <c r="AC378" i="5"/>
  <c r="U379" i="4"/>
  <c r="AD378" i="5"/>
  <c r="X379" i="4"/>
  <c r="AI378" i="5"/>
  <c r="Y379" i="4"/>
  <c r="AJ378" i="5"/>
  <c r="Z379" i="4"/>
  <c r="AL378" i="5"/>
  <c r="F378" i="5"/>
  <c r="H378" i="5"/>
  <c r="I378" i="5"/>
  <c r="Z378" i="5"/>
  <c r="AN378" i="5"/>
  <c r="B378" i="4"/>
  <c r="K378" i="4"/>
  <c r="O379" i="5"/>
  <c r="H378" i="4"/>
  <c r="K379" i="5"/>
  <c r="W378" i="4"/>
  <c r="AG379" i="5"/>
  <c r="AF379" i="5"/>
  <c r="C378" i="4"/>
  <c r="C379" i="5"/>
  <c r="D378" i="4"/>
  <c r="E379" i="5"/>
  <c r="I378" i="4"/>
  <c r="L379" i="5"/>
  <c r="J378" i="4"/>
  <c r="N379" i="5"/>
  <c r="L378" i="4"/>
  <c r="Q379" i="5"/>
  <c r="M378" i="4"/>
  <c r="R379" i="5"/>
  <c r="N378" i="4"/>
  <c r="T379" i="5"/>
  <c r="O378" i="4"/>
  <c r="U379" i="5"/>
  <c r="P378" i="4"/>
  <c r="W379" i="5"/>
  <c r="Q378" i="4"/>
  <c r="X379" i="5"/>
  <c r="S378" i="4"/>
  <c r="AA379" i="5"/>
  <c r="T378" i="4"/>
  <c r="AC379" i="5"/>
  <c r="U378" i="4"/>
  <c r="AD379" i="5"/>
  <c r="X378" i="4"/>
  <c r="AI379" i="5"/>
  <c r="Y378" i="4"/>
  <c r="AJ379" i="5"/>
  <c r="Z378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6" i="4"/>
  <c r="P386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4" i="4"/>
  <c r="C384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89" i="4"/>
  <c r="P389" i="4"/>
  <c r="W387" i="5"/>
  <c r="O387" i="5"/>
  <c r="K387" i="5"/>
  <c r="AG387" i="5"/>
  <c r="AF387" i="5"/>
  <c r="C387" i="5"/>
  <c r="L387" i="5"/>
  <c r="N387" i="5"/>
  <c r="L389" i="4"/>
  <c r="Q387" i="5"/>
  <c r="U387" i="5"/>
  <c r="Q389" i="4"/>
  <c r="X387" i="5"/>
  <c r="R15" i="2"/>
  <c r="R389" i="4"/>
  <c r="Z387" i="5"/>
  <c r="AC387" i="5"/>
  <c r="AD387" i="5"/>
  <c r="X389" i="4"/>
  <c r="AI387" i="5"/>
  <c r="Y389" i="4"/>
  <c r="AJ387" i="5"/>
  <c r="AL387" i="5"/>
  <c r="F387" i="5"/>
  <c r="E387" i="5"/>
  <c r="H387" i="5"/>
  <c r="I387" i="5"/>
  <c r="R387" i="5"/>
  <c r="T387" i="5"/>
  <c r="AN387" i="5"/>
  <c r="AA388" i="5"/>
  <c r="B390" i="4"/>
  <c r="P390" i="4"/>
  <c r="W388" i="5"/>
  <c r="O388" i="5"/>
  <c r="K388" i="5"/>
  <c r="AG388" i="5"/>
  <c r="AF388" i="5"/>
  <c r="C388" i="5"/>
  <c r="L388" i="5"/>
  <c r="N388" i="5"/>
  <c r="L390" i="4"/>
  <c r="Q388" i="5"/>
  <c r="U388" i="5"/>
  <c r="Q390" i="4"/>
  <c r="X388" i="5"/>
  <c r="R390" i="4"/>
  <c r="Z388" i="5"/>
  <c r="AC388" i="5"/>
  <c r="AD388" i="5"/>
  <c r="X390" i="4"/>
  <c r="AI388" i="5"/>
  <c r="Y390" i="4"/>
  <c r="AJ388" i="5"/>
  <c r="AL388" i="5"/>
  <c r="F388" i="5"/>
  <c r="E388" i="5"/>
  <c r="H388" i="5"/>
  <c r="I388" i="5"/>
  <c r="R388" i="5"/>
  <c r="T388" i="5"/>
  <c r="AN388" i="5"/>
  <c r="AA389" i="5"/>
  <c r="B388" i="4"/>
  <c r="P388" i="4"/>
  <c r="W389" i="5"/>
  <c r="O389" i="5"/>
  <c r="K389" i="5"/>
  <c r="AG389" i="5"/>
  <c r="AF389" i="5"/>
  <c r="C389" i="5"/>
  <c r="L389" i="5"/>
  <c r="N389" i="5"/>
  <c r="L388" i="4"/>
  <c r="Q389" i="5"/>
  <c r="U389" i="5"/>
  <c r="Q388" i="4"/>
  <c r="X389" i="5"/>
  <c r="R388" i="4"/>
  <c r="Z389" i="5"/>
  <c r="AC389" i="5"/>
  <c r="AD389" i="5"/>
  <c r="X388" i="4"/>
  <c r="AI389" i="5"/>
  <c r="Y388" i="4"/>
  <c r="AJ389" i="5"/>
  <c r="AL389" i="5"/>
  <c r="F389" i="5"/>
  <c r="E389" i="5"/>
  <c r="H389" i="5"/>
  <c r="I389" i="5"/>
  <c r="R389" i="5"/>
  <c r="T389" i="5"/>
  <c r="AN389" i="5"/>
  <c r="AA390" i="5"/>
  <c r="B387" i="4"/>
  <c r="P387" i="4"/>
  <c r="W390" i="5"/>
  <c r="O390" i="5"/>
  <c r="K390" i="5"/>
  <c r="AG390" i="5"/>
  <c r="AF390" i="5"/>
  <c r="C390" i="5"/>
  <c r="L390" i="5"/>
  <c r="N390" i="5"/>
  <c r="L387" i="4"/>
  <c r="Q390" i="5"/>
  <c r="U390" i="5"/>
  <c r="Q387" i="4"/>
  <c r="X390" i="5"/>
  <c r="R387" i="4"/>
  <c r="Z390" i="5"/>
  <c r="AC390" i="5"/>
  <c r="AD390" i="5"/>
  <c r="X387" i="4"/>
  <c r="AI390" i="5"/>
  <c r="Y387" i="4"/>
  <c r="AJ390" i="5"/>
  <c r="F390" i="5"/>
  <c r="E390" i="5"/>
  <c r="H390" i="5"/>
  <c r="I390" i="5"/>
  <c r="R390" i="5"/>
  <c r="T390" i="5"/>
  <c r="AN390" i="5"/>
  <c r="AA391" i="5"/>
  <c r="B391" i="4"/>
  <c r="P391" i="4"/>
  <c r="W391" i="5"/>
  <c r="O391" i="5"/>
  <c r="K391" i="5"/>
  <c r="AG391" i="5"/>
  <c r="AF391" i="5"/>
  <c r="C391" i="5"/>
  <c r="L391" i="5"/>
  <c r="N391" i="5"/>
  <c r="L391" i="4"/>
  <c r="Q391" i="5"/>
  <c r="U391" i="5"/>
  <c r="Q391" i="4"/>
  <c r="X391" i="5"/>
  <c r="R13" i="2"/>
  <c r="R391" i="4"/>
  <c r="Z391" i="5"/>
  <c r="AC391" i="5"/>
  <c r="AD391" i="5"/>
  <c r="X391" i="4"/>
  <c r="AI391" i="5"/>
  <c r="Y391" i="4"/>
  <c r="AJ391" i="5"/>
  <c r="AL391" i="5"/>
  <c r="F391" i="5"/>
  <c r="E391" i="5"/>
  <c r="H391" i="5"/>
  <c r="I391" i="5"/>
  <c r="R391" i="5"/>
  <c r="T391" i="5"/>
  <c r="AN391" i="5"/>
  <c r="AA392" i="5"/>
  <c r="B392" i="4"/>
  <c r="P392" i="4"/>
  <c r="W392" i="5"/>
  <c r="O392" i="5"/>
  <c r="K392" i="5"/>
  <c r="AG392" i="5"/>
  <c r="AF392" i="5"/>
  <c r="C392" i="5"/>
  <c r="L392" i="5"/>
  <c r="N392" i="5"/>
  <c r="L392" i="4"/>
  <c r="Q392" i="5"/>
  <c r="U392" i="5"/>
  <c r="Q392" i="4"/>
  <c r="X392" i="5"/>
  <c r="R392" i="4"/>
  <c r="Z392" i="5"/>
  <c r="AC392" i="5"/>
  <c r="AD392" i="5"/>
  <c r="X392" i="4"/>
  <c r="AI392" i="5"/>
  <c r="Y392" i="4"/>
  <c r="AJ392" i="5"/>
  <c r="AL392" i="5"/>
  <c r="F392" i="5"/>
  <c r="E392" i="5"/>
  <c r="H392" i="5"/>
  <c r="I392" i="5"/>
  <c r="R392" i="5"/>
  <c r="T392" i="5"/>
  <c r="AN392" i="5"/>
  <c r="AA393" i="5"/>
  <c r="B393" i="4"/>
  <c r="P393" i="4"/>
  <c r="W393" i="5"/>
  <c r="O393" i="5"/>
  <c r="K393" i="5"/>
  <c r="AG393" i="5"/>
  <c r="AF393" i="5"/>
  <c r="C393" i="5"/>
  <c r="L393" i="5"/>
  <c r="N393" i="5"/>
  <c r="L393" i="4"/>
  <c r="Q393" i="5"/>
  <c r="U393" i="5"/>
  <c r="Q393" i="4"/>
  <c r="X393" i="5"/>
  <c r="R393" i="4"/>
  <c r="Z393" i="5"/>
  <c r="AC393" i="5"/>
  <c r="AD393" i="5"/>
  <c r="X393" i="4"/>
  <c r="AI393" i="5"/>
  <c r="Y393" i="4"/>
  <c r="AJ393" i="5"/>
  <c r="AL393" i="5"/>
  <c r="F393" i="5"/>
  <c r="E393" i="5"/>
  <c r="H393" i="5"/>
  <c r="I393" i="5"/>
  <c r="R393" i="5"/>
  <c r="T393" i="5"/>
  <c r="AN393" i="5"/>
  <c r="AA394" i="5"/>
  <c r="B394" i="4"/>
  <c r="P394" i="4"/>
  <c r="W394" i="5"/>
  <c r="O394" i="5"/>
  <c r="K394" i="5"/>
  <c r="AG394" i="5"/>
  <c r="AF394" i="5"/>
  <c r="C394" i="5"/>
  <c r="L394" i="5"/>
  <c r="N394" i="5"/>
  <c r="L394" i="4"/>
  <c r="Q394" i="5"/>
  <c r="U394" i="5"/>
  <c r="Q394" i="4"/>
  <c r="X394" i="5"/>
  <c r="R394" i="4"/>
  <c r="Z394" i="5"/>
  <c r="AC394" i="5"/>
  <c r="AD394" i="5"/>
  <c r="X394" i="4"/>
  <c r="AI394" i="5"/>
  <c r="Y394" i="4"/>
  <c r="AJ394" i="5"/>
  <c r="AL394" i="5"/>
  <c r="F394" i="5"/>
  <c r="E394" i="5"/>
  <c r="H394" i="5"/>
  <c r="I394" i="5"/>
  <c r="R394" i="5"/>
  <c r="T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AL395" i="5"/>
  <c r="F395" i="5"/>
  <c r="E395" i="5"/>
  <c r="H395" i="5"/>
  <c r="I395" i="5"/>
  <c r="R395" i="5"/>
  <c r="T395" i="5"/>
  <c r="AN395" i="5"/>
  <c r="AA396" i="5"/>
  <c r="B396" i="4"/>
  <c r="P396" i="4"/>
  <c r="W396" i="5"/>
  <c r="O396" i="5"/>
  <c r="K396" i="5"/>
  <c r="AG396" i="5"/>
  <c r="AF396" i="5"/>
  <c r="C396" i="5"/>
  <c r="L396" i="5"/>
  <c r="N396" i="5"/>
  <c r="L396" i="4"/>
  <c r="Q396" i="5"/>
  <c r="U396" i="5"/>
  <c r="Q396" i="4"/>
  <c r="X396" i="5"/>
  <c r="R396" i="4"/>
  <c r="Z396" i="5"/>
  <c r="AC396" i="5"/>
  <c r="AD396" i="5"/>
  <c r="X396" i="4"/>
  <c r="AI396" i="5"/>
  <c r="Y396" i="4"/>
  <c r="AJ396" i="5"/>
  <c r="AL396" i="5"/>
  <c r="F396" i="5"/>
  <c r="E396" i="5"/>
  <c r="H396" i="5"/>
  <c r="I396" i="5"/>
  <c r="R396" i="5"/>
  <c r="T396" i="5"/>
  <c r="AN396" i="5"/>
  <c r="AA397" i="5"/>
  <c r="B397" i="4"/>
  <c r="P397" i="4"/>
  <c r="W397" i="5"/>
  <c r="O397" i="5"/>
  <c r="K397" i="5"/>
  <c r="AG397" i="5"/>
  <c r="AF397" i="5"/>
  <c r="C397" i="5"/>
  <c r="L397" i="5"/>
  <c r="N397" i="5"/>
  <c r="L397" i="4"/>
  <c r="Q397" i="5"/>
  <c r="U397" i="5"/>
  <c r="Q397" i="4"/>
  <c r="X397" i="5"/>
  <c r="R397" i="4"/>
  <c r="Z397" i="5"/>
  <c r="AC397" i="5"/>
  <c r="AD397" i="5"/>
  <c r="X397" i="4"/>
  <c r="AI397" i="5"/>
  <c r="Y397" i="4"/>
  <c r="AJ397" i="5"/>
  <c r="AL397" i="5"/>
  <c r="F397" i="5"/>
  <c r="E397" i="5"/>
  <c r="H397" i="5"/>
  <c r="I397" i="5"/>
  <c r="R397" i="5"/>
  <c r="T397" i="5"/>
  <c r="AN397" i="5"/>
  <c r="AA398" i="5"/>
  <c r="B398" i="4"/>
  <c r="P398" i="4"/>
  <c r="W398" i="5"/>
  <c r="O398" i="5"/>
  <c r="K398" i="5"/>
  <c r="AG398" i="5"/>
  <c r="AF398" i="5"/>
  <c r="C398" i="5"/>
  <c r="L398" i="5"/>
  <c r="N398" i="5"/>
  <c r="L398" i="4"/>
  <c r="Q398" i="5"/>
  <c r="U398" i="5"/>
  <c r="Q398" i="4"/>
  <c r="X398" i="5"/>
  <c r="R27" i="2"/>
  <c r="R398" i="4"/>
  <c r="Z398" i="5"/>
  <c r="AC398" i="5"/>
  <c r="AD398" i="5"/>
  <c r="X398" i="4"/>
  <c r="AI398" i="5"/>
  <c r="Y398" i="4"/>
  <c r="AJ398" i="5"/>
  <c r="AL398" i="5"/>
  <c r="F398" i="5"/>
  <c r="E398" i="5"/>
  <c r="H398" i="5"/>
  <c r="I398" i="5"/>
  <c r="R398" i="5"/>
  <c r="T398" i="5"/>
  <c r="AN398" i="5"/>
  <c r="AA399" i="5"/>
  <c r="B399" i="4"/>
  <c r="P399" i="4"/>
  <c r="W399" i="5"/>
  <c r="O399" i="5"/>
  <c r="K399" i="5"/>
  <c r="AG399" i="5"/>
  <c r="AF399" i="5"/>
  <c r="C399" i="5"/>
  <c r="L399" i="5"/>
  <c r="N399" i="5"/>
  <c r="L399" i="4"/>
  <c r="Q399" i="5"/>
  <c r="U399" i="5"/>
  <c r="Q399" i="4"/>
  <c r="X399" i="5"/>
  <c r="R399" i="4"/>
  <c r="Z399" i="5"/>
  <c r="AC399" i="5"/>
  <c r="AD399" i="5"/>
  <c r="X399" i="4"/>
  <c r="AI399" i="5"/>
  <c r="Y399" i="4"/>
  <c r="AJ399" i="5"/>
  <c r="AL399" i="5"/>
  <c r="F399" i="5"/>
  <c r="E399" i="5"/>
  <c r="H399" i="5"/>
  <c r="I399" i="5"/>
  <c r="R399" i="5"/>
  <c r="T399" i="5"/>
  <c r="AN399" i="5"/>
  <c r="AA400" i="5"/>
  <c r="B400" i="4"/>
  <c r="P400" i="4"/>
  <c r="W400" i="5"/>
  <c r="O400" i="5"/>
  <c r="K400" i="5"/>
  <c r="AG400" i="5"/>
  <c r="AF400" i="5"/>
  <c r="C400" i="5"/>
  <c r="L400" i="5"/>
  <c r="N400" i="5"/>
  <c r="L400" i="4"/>
  <c r="Q400" i="5"/>
  <c r="U400" i="5"/>
  <c r="Q400" i="4"/>
  <c r="X400" i="5"/>
  <c r="R400" i="4"/>
  <c r="Z400" i="5"/>
  <c r="AC400" i="5"/>
  <c r="AD400" i="5"/>
  <c r="X400" i="4"/>
  <c r="AI400" i="5"/>
  <c r="Y400" i="4"/>
  <c r="AJ400" i="5"/>
  <c r="AL400" i="5"/>
  <c r="F400" i="5"/>
  <c r="E400" i="5"/>
  <c r="H400" i="5"/>
  <c r="I400" i="5"/>
  <c r="R400" i="5"/>
  <c r="T400" i="5"/>
  <c r="AN400" i="5"/>
  <c r="AA401" i="5"/>
  <c r="B411" i="4"/>
  <c r="P411" i="4"/>
  <c r="W401" i="5"/>
  <c r="O401" i="5"/>
  <c r="K401" i="5"/>
  <c r="AG401" i="5"/>
  <c r="AF401" i="5"/>
  <c r="C401" i="5"/>
  <c r="L401" i="5"/>
  <c r="N401" i="5"/>
  <c r="L411" i="4"/>
  <c r="Q401" i="5"/>
  <c r="U401" i="5"/>
  <c r="Q411" i="4"/>
  <c r="X401" i="5"/>
  <c r="R411" i="4"/>
  <c r="Z401" i="5"/>
  <c r="AC401" i="5"/>
  <c r="AD401" i="5"/>
  <c r="X411" i="4"/>
  <c r="AI401" i="5"/>
  <c r="Y411" i="4"/>
  <c r="AJ401" i="5"/>
  <c r="AL401" i="5"/>
  <c r="F401" i="5"/>
  <c r="E401" i="5"/>
  <c r="H401" i="5"/>
  <c r="I401" i="5"/>
  <c r="R401" i="5"/>
  <c r="T401" i="5"/>
  <c r="AN401" i="5"/>
  <c r="AA402" i="5"/>
  <c r="B401" i="4"/>
  <c r="P401" i="4"/>
  <c r="W402" i="5"/>
  <c r="O402" i="5"/>
  <c r="K402" i="5"/>
  <c r="AG402" i="5"/>
  <c r="AF402" i="5"/>
  <c r="C402" i="5"/>
  <c r="L402" i="5"/>
  <c r="N402" i="5"/>
  <c r="L401" i="4"/>
  <c r="Q402" i="5"/>
  <c r="U402" i="5"/>
  <c r="Q401" i="4"/>
  <c r="X402" i="5"/>
  <c r="R401" i="4"/>
  <c r="Z402" i="5"/>
  <c r="AC402" i="5"/>
  <c r="AD402" i="5"/>
  <c r="X401" i="4"/>
  <c r="AI402" i="5"/>
  <c r="Y401" i="4"/>
  <c r="AJ402" i="5"/>
  <c r="AL402" i="5"/>
  <c r="F402" i="5"/>
  <c r="E402" i="5"/>
  <c r="H402" i="5"/>
  <c r="I402" i="5"/>
  <c r="R402" i="5"/>
  <c r="T402" i="5"/>
  <c r="AN402" i="5"/>
  <c r="AA403" i="5"/>
  <c r="B402" i="4"/>
  <c r="P402" i="4"/>
  <c r="W403" i="5"/>
  <c r="O403" i="5"/>
  <c r="K403" i="5"/>
  <c r="AG403" i="5"/>
  <c r="AF403" i="5"/>
  <c r="C403" i="5"/>
  <c r="L403" i="5"/>
  <c r="N403" i="5"/>
  <c r="L402" i="4"/>
  <c r="Q403" i="5"/>
  <c r="U403" i="5"/>
  <c r="Q402" i="4"/>
  <c r="X403" i="5"/>
  <c r="R402" i="4"/>
  <c r="Z403" i="5"/>
  <c r="AC403" i="5"/>
  <c r="AD403" i="5"/>
  <c r="X402" i="4"/>
  <c r="AI403" i="5"/>
  <c r="Y402" i="4"/>
  <c r="AJ403" i="5"/>
  <c r="AL403" i="5"/>
  <c r="F403" i="5"/>
  <c r="E403" i="5"/>
  <c r="H403" i="5"/>
  <c r="I403" i="5"/>
  <c r="R403" i="5"/>
  <c r="T403" i="5"/>
  <c r="AN403" i="5"/>
  <c r="AA404" i="5"/>
  <c r="B403" i="4"/>
  <c r="P403" i="4"/>
  <c r="W404" i="5"/>
  <c r="O404" i="5"/>
  <c r="K404" i="5"/>
  <c r="AG404" i="5"/>
  <c r="AF404" i="5"/>
  <c r="C404" i="5"/>
  <c r="L404" i="5"/>
  <c r="N404" i="5"/>
  <c r="L403" i="4"/>
  <c r="Q404" i="5"/>
  <c r="U404" i="5"/>
  <c r="Q403" i="4"/>
  <c r="X404" i="5"/>
  <c r="R403" i="4"/>
  <c r="Z404" i="5"/>
  <c r="AC404" i="5"/>
  <c r="AD404" i="5"/>
  <c r="X403" i="4"/>
  <c r="AI404" i="5"/>
  <c r="Y403" i="4"/>
  <c r="AJ404" i="5"/>
  <c r="AL404" i="5"/>
  <c r="F404" i="5"/>
  <c r="E404" i="5"/>
  <c r="H404" i="5"/>
  <c r="I404" i="5"/>
  <c r="R404" i="5"/>
  <c r="T404" i="5"/>
  <c r="AN404" i="5"/>
  <c r="AA405" i="5"/>
  <c r="B404" i="4"/>
  <c r="P404" i="4"/>
  <c r="W405" i="5"/>
  <c r="O405" i="5"/>
  <c r="K405" i="5"/>
  <c r="AG405" i="5"/>
  <c r="AF405" i="5"/>
  <c r="C405" i="5"/>
  <c r="L405" i="5"/>
  <c r="N405" i="5"/>
  <c r="L404" i="4"/>
  <c r="Q405" i="5"/>
  <c r="U405" i="5"/>
  <c r="Q404" i="4"/>
  <c r="X405" i="5"/>
  <c r="R404" i="4"/>
  <c r="Z405" i="5"/>
  <c r="AC405" i="5"/>
  <c r="AD405" i="5"/>
  <c r="X404" i="4"/>
  <c r="AI405" i="5"/>
  <c r="Y404" i="4"/>
  <c r="AJ405" i="5"/>
  <c r="AL405" i="5"/>
  <c r="F405" i="5"/>
  <c r="E405" i="5"/>
  <c r="H405" i="5"/>
  <c r="I405" i="5"/>
  <c r="R405" i="5"/>
  <c r="T405" i="5"/>
  <c r="AN405" i="5"/>
  <c r="AA406" i="5"/>
  <c r="B405" i="4"/>
  <c r="P405" i="4"/>
  <c r="W406" i="5"/>
  <c r="O406" i="5"/>
  <c r="K406" i="5"/>
  <c r="AG406" i="5"/>
  <c r="AF406" i="5"/>
  <c r="C406" i="5"/>
  <c r="L406" i="5"/>
  <c r="N406" i="5"/>
  <c r="L405" i="4"/>
  <c r="Q406" i="5"/>
  <c r="U406" i="5"/>
  <c r="Q405" i="4"/>
  <c r="X406" i="5"/>
  <c r="R405" i="4"/>
  <c r="Z406" i="5"/>
  <c r="AC406" i="5"/>
  <c r="AD406" i="5"/>
  <c r="X405" i="4"/>
  <c r="AI406" i="5"/>
  <c r="Y405" i="4"/>
  <c r="AJ406" i="5"/>
  <c r="AL406" i="5"/>
  <c r="F406" i="5"/>
  <c r="E406" i="5"/>
  <c r="H406" i="5"/>
  <c r="I406" i="5"/>
  <c r="R406" i="5"/>
  <c r="T406" i="5"/>
  <c r="AN406" i="5"/>
  <c r="AA407" i="5"/>
  <c r="B406" i="4"/>
  <c r="P406" i="4"/>
  <c r="W407" i="5"/>
  <c r="O407" i="5"/>
  <c r="K407" i="5"/>
  <c r="AG407" i="5"/>
  <c r="AF407" i="5"/>
  <c r="C407" i="5"/>
  <c r="L407" i="5"/>
  <c r="N407" i="5"/>
  <c r="L406" i="4"/>
  <c r="Q407" i="5"/>
  <c r="U407" i="5"/>
  <c r="Q406" i="4"/>
  <c r="X407" i="5"/>
  <c r="R406" i="4"/>
  <c r="Z407" i="5"/>
  <c r="AC407" i="5"/>
  <c r="AD407" i="5"/>
  <c r="X406" i="4"/>
  <c r="AI407" i="5"/>
  <c r="Y406" i="4"/>
  <c r="AJ407" i="5"/>
  <c r="AL407" i="5"/>
  <c r="F407" i="5"/>
  <c r="E407" i="5"/>
  <c r="H407" i="5"/>
  <c r="I407" i="5"/>
  <c r="R407" i="5"/>
  <c r="T407" i="5"/>
  <c r="AN407" i="5"/>
  <c r="AA408" i="5"/>
  <c r="B407" i="4"/>
  <c r="P407" i="4"/>
  <c r="W408" i="5"/>
  <c r="O408" i="5"/>
  <c r="K408" i="5"/>
  <c r="AG408" i="5"/>
  <c r="AF408" i="5"/>
  <c r="C408" i="5"/>
  <c r="L408" i="5"/>
  <c r="N408" i="5"/>
  <c r="L407" i="4"/>
  <c r="Q408" i="5"/>
  <c r="U408" i="5"/>
  <c r="Q407" i="4"/>
  <c r="X408" i="5"/>
  <c r="R407" i="4"/>
  <c r="Z408" i="5"/>
  <c r="AC408" i="5"/>
  <c r="AD408" i="5"/>
  <c r="X407" i="4"/>
  <c r="AI408" i="5"/>
  <c r="Y407" i="4"/>
  <c r="AJ408" i="5"/>
  <c r="AL408" i="5"/>
  <c r="F408" i="5"/>
  <c r="E408" i="5"/>
  <c r="H408" i="5"/>
  <c r="I408" i="5"/>
  <c r="R408" i="5"/>
  <c r="T408" i="5"/>
  <c r="AN408" i="5"/>
  <c r="AA409" i="5"/>
  <c r="B408" i="4"/>
  <c r="P408" i="4"/>
  <c r="W409" i="5"/>
  <c r="O409" i="5"/>
  <c r="K409" i="5"/>
  <c r="AG409" i="5"/>
  <c r="AF409" i="5"/>
  <c r="C409" i="5"/>
  <c r="L409" i="5"/>
  <c r="N409" i="5"/>
  <c r="L408" i="4"/>
  <c r="Q409" i="5"/>
  <c r="U409" i="5"/>
  <c r="Q408" i="4"/>
  <c r="X409" i="5"/>
  <c r="R25" i="2"/>
  <c r="R408" i="4"/>
  <c r="Z409" i="5"/>
  <c r="AC409" i="5"/>
  <c r="AD409" i="5"/>
  <c r="X408" i="4"/>
  <c r="AI409" i="5"/>
  <c r="Y408" i="4"/>
  <c r="AJ409" i="5"/>
  <c r="AL409" i="5"/>
  <c r="F409" i="5"/>
  <c r="E409" i="5"/>
  <c r="H409" i="5"/>
  <c r="I409" i="5"/>
  <c r="R409" i="5"/>
  <c r="T409" i="5"/>
  <c r="AN409" i="5"/>
  <c r="AA410" i="5"/>
  <c r="B409" i="4"/>
  <c r="P409" i="4"/>
  <c r="W410" i="5"/>
  <c r="O410" i="5"/>
  <c r="K410" i="5"/>
  <c r="AG410" i="5"/>
  <c r="AF410" i="5"/>
  <c r="C410" i="5"/>
  <c r="L410" i="5"/>
  <c r="N410" i="5"/>
  <c r="L409" i="4"/>
  <c r="Q410" i="5"/>
  <c r="U410" i="5"/>
  <c r="Q409" i="4"/>
  <c r="X410" i="5"/>
  <c r="R409" i="4"/>
  <c r="Z410" i="5"/>
  <c r="AC410" i="5"/>
  <c r="AD410" i="5"/>
  <c r="X409" i="4"/>
  <c r="AI410" i="5"/>
  <c r="Y409" i="4"/>
  <c r="AJ410" i="5"/>
  <c r="AL410" i="5"/>
  <c r="F410" i="5"/>
  <c r="E410" i="5"/>
  <c r="H410" i="5"/>
  <c r="I410" i="5"/>
  <c r="R410" i="5"/>
  <c r="T410" i="5"/>
  <c r="AN410" i="5"/>
  <c r="AA411" i="5"/>
  <c r="B410" i="4"/>
  <c r="P410" i="4"/>
  <c r="W411" i="5"/>
  <c r="O411" i="5"/>
  <c r="K411" i="5"/>
  <c r="AG411" i="5"/>
  <c r="AF411" i="5"/>
  <c r="C411" i="5"/>
  <c r="L411" i="5"/>
  <c r="N411" i="5"/>
  <c r="L410" i="4"/>
  <c r="Q411" i="5"/>
  <c r="U411" i="5"/>
  <c r="Q410" i="4"/>
  <c r="X411" i="5"/>
  <c r="R410" i="4"/>
  <c r="Z411" i="5"/>
  <c r="AC411" i="5"/>
  <c r="AD411" i="5"/>
  <c r="X410" i="4"/>
  <c r="AI411" i="5"/>
  <c r="Y410" i="4"/>
  <c r="AJ411" i="5"/>
  <c r="AL411" i="5"/>
  <c r="F411" i="5"/>
  <c r="E411" i="5"/>
  <c r="H411" i="5"/>
  <c r="I411" i="5"/>
  <c r="R411" i="5"/>
  <c r="T411" i="5"/>
  <c r="AN411" i="5"/>
  <c r="AG2" i="5"/>
  <c r="AF2" i="5"/>
  <c r="B204" i="4"/>
  <c r="C204" i="4"/>
  <c r="C2" i="5"/>
  <c r="D204" i="4"/>
  <c r="E2" i="5"/>
  <c r="K2" i="5"/>
  <c r="L204" i="4"/>
  <c r="Q2" i="5"/>
  <c r="M204" i="4"/>
  <c r="R2" i="5"/>
  <c r="T2" i="5"/>
  <c r="U2" i="5"/>
  <c r="P204" i="4"/>
  <c r="W2" i="5"/>
  <c r="Q204" i="4"/>
  <c r="X2" i="5"/>
  <c r="S204" i="4"/>
  <c r="AA2" i="5"/>
  <c r="AI204" i="4"/>
  <c r="T204" i="4" a="1"/>
  <c r="T204" i="4"/>
  <c r="AC2" i="5"/>
  <c r="U204" i="4" a="1"/>
  <c r="U204" i="4"/>
  <c r="AD2" i="5"/>
  <c r="X204" i="4"/>
  <c r="AI2" i="5"/>
  <c r="Y204" i="4"/>
  <c r="AJ2" i="5"/>
  <c r="Z204" i="4"/>
  <c r="AL2" i="5"/>
  <c r="F2" i="5"/>
  <c r="L2" i="5"/>
  <c r="N2" i="5"/>
  <c r="O2" i="5"/>
  <c r="H2" i="5"/>
  <c r="I2" i="5"/>
  <c r="Z2" i="5"/>
  <c r="AN2" i="5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AZ274" i="1"/>
  <c r="BA274" i="1"/>
  <c r="BB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BC274" i="1"/>
  <c r="CT274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AZ154" i="1"/>
  <c r="BA154" i="1"/>
  <c r="BB154" i="1"/>
  <c r="CT154" i="1"/>
  <c r="AI308" i="4"/>
  <c r="AI304" i="4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03" i="4"/>
  <c r="F47" i="2"/>
  <c r="F303" i="4"/>
  <c r="R47" i="2"/>
  <c r="R303" i="4"/>
  <c r="AA303" i="4"/>
  <c r="AC303" i="4"/>
  <c r="AD303" i="4"/>
  <c r="AE303" i="4"/>
  <c r="AF303" i="4"/>
  <c r="AG303" i="4"/>
  <c r="AH303" i="4"/>
  <c r="AI303" i="4"/>
  <c r="AJ303" i="4"/>
  <c r="AL303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D409" i="9"/>
  <c r="E409" i="9"/>
  <c r="F409" i="9"/>
  <c r="G409" i="9"/>
  <c r="C115" i="7"/>
  <c r="D115" i="7"/>
  <c r="E115" i="7"/>
  <c r="U23" i="2"/>
  <c r="T23" i="2"/>
  <c r="AZ345" i="1"/>
  <c r="BA345" i="1"/>
  <c r="BB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BC345" i="1"/>
  <c r="CT345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G20" i="2"/>
  <c r="I20" i="2"/>
  <c r="J20" i="2"/>
  <c r="K20" i="2"/>
  <c r="T20" i="2"/>
  <c r="U20" i="2"/>
  <c r="V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BC340" i="1"/>
  <c r="CT340" i="1"/>
  <c r="AZ339" i="1"/>
  <c r="BA339" i="1"/>
  <c r="BB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BC339" i="1"/>
  <c r="CT339" i="1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BC343" i="1"/>
  <c r="CT343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BC342" i="1"/>
  <c r="CT342" i="1"/>
  <c r="AZ344" i="1"/>
  <c r="BA344" i="1"/>
  <c r="BB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BC344" i="1"/>
  <c r="CT344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325" i="1"/>
  <c r="BA325" i="1"/>
  <c r="BB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BC325" i="1"/>
  <c r="CT325" i="1"/>
  <c r="AZ326" i="1"/>
  <c r="BA326" i="1"/>
  <c r="BB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BC326" i="1"/>
  <c r="CT326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AZ297" i="1"/>
  <c r="BA297" i="1"/>
  <c r="BB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BC297" i="1"/>
  <c r="CT297" i="1"/>
  <c r="G44" i="2"/>
  <c r="K44" i="2"/>
  <c r="T44" i="2"/>
  <c r="U44" i="2"/>
  <c r="V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96" i="1"/>
  <c r="BA296" i="1"/>
  <c r="BB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BC296" i="1"/>
  <c r="CT296" i="1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B14" i="3"/>
  <c r="C14" i="3"/>
  <c r="E14" i="3"/>
  <c r="G19" i="2"/>
  <c r="K19" i="2"/>
  <c r="R19" i="2"/>
  <c r="T19" i="2"/>
  <c r="U19" i="2"/>
  <c r="V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E33" i="2"/>
  <c r="F33" i="2"/>
  <c r="I33" i="2"/>
  <c r="J33" i="2"/>
  <c r="R33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E25" i="2"/>
  <c r="F25" i="2"/>
  <c r="H47" i="2"/>
  <c r="S47" i="2"/>
  <c r="R16" i="2"/>
  <c r="AH3" i="4"/>
  <c r="AH6" i="4"/>
  <c r="AH5" i="4"/>
  <c r="AH11" i="4"/>
  <c r="AH13" i="4"/>
  <c r="AH10" i="4"/>
  <c r="AH8" i="4"/>
  <c r="AH7" i="4"/>
  <c r="AH12" i="4"/>
  <c r="AH9" i="4"/>
  <c r="AH14" i="4"/>
  <c r="AH15" i="4"/>
  <c r="AH157" i="4"/>
  <c r="AH42" i="4"/>
  <c r="AH19" i="4"/>
  <c r="AH38" i="4"/>
  <c r="AH41" i="4"/>
  <c r="AH39" i="4"/>
  <c r="AH28" i="4"/>
  <c r="AH17" i="4"/>
  <c r="AH30" i="4"/>
  <c r="AH31" i="4"/>
  <c r="AH16" i="4"/>
  <c r="AH29" i="4"/>
  <c r="AH23" i="4"/>
  <c r="AH26" i="4"/>
  <c r="AH48" i="4"/>
  <c r="AH34" i="4"/>
  <c r="AH25" i="4"/>
  <c r="AH18" i="4"/>
  <c r="AH21" i="4"/>
  <c r="AH20" i="4"/>
  <c r="AH22" i="4"/>
  <c r="AH24" i="4"/>
  <c r="AH27" i="4"/>
  <c r="AH33" i="4"/>
  <c r="AH32" i="4"/>
  <c r="AH35" i="4"/>
  <c r="AH36" i="4"/>
  <c r="AH37" i="4"/>
  <c r="AH44" i="4"/>
  <c r="AH40" i="4"/>
  <c r="AH43" i="4"/>
  <c r="AH47" i="4"/>
  <c r="AH50" i="4"/>
  <c r="AH51" i="4"/>
  <c r="AH52" i="4"/>
  <c r="AH49" i="4"/>
  <c r="AH54" i="4"/>
  <c r="AH56" i="4"/>
  <c r="AH53" i="4"/>
  <c r="AH55" i="4"/>
  <c r="AH60" i="4"/>
  <c r="AH58" i="4"/>
  <c r="AH62" i="4"/>
  <c r="AH59" i="4"/>
  <c r="AH57" i="4"/>
  <c r="AH61" i="4"/>
  <c r="AH64" i="4"/>
  <c r="AH71" i="4"/>
  <c r="AH82" i="4"/>
  <c r="AH75" i="4"/>
  <c r="AH72" i="4"/>
  <c r="AH63" i="4"/>
  <c r="AH76" i="4"/>
  <c r="AH70" i="4"/>
  <c r="AH78" i="4"/>
  <c r="AH66" i="4"/>
  <c r="AH67" i="4"/>
  <c r="AH68" i="4"/>
  <c r="AH69" i="4"/>
  <c r="AH77" i="4"/>
  <c r="AH79" i="4"/>
  <c r="AH81" i="4"/>
  <c r="AH65" i="4"/>
  <c r="AH80" i="4"/>
  <c r="AH84" i="4"/>
  <c r="AH83" i="4"/>
  <c r="AH86" i="4"/>
  <c r="AH85" i="4"/>
  <c r="AH88" i="4"/>
  <c r="AH89" i="4"/>
  <c r="AH95" i="4"/>
  <c r="AH91" i="4"/>
  <c r="AH90" i="4"/>
  <c r="AH93" i="4"/>
  <c r="AH92" i="4"/>
  <c r="AH94" i="4"/>
  <c r="AH104" i="4"/>
  <c r="AH106" i="4"/>
  <c r="AH101" i="4"/>
  <c r="AH100" i="4"/>
  <c r="AH96" i="4"/>
  <c r="AH103" i="4"/>
  <c r="AH98" i="4"/>
  <c r="AH97" i="4"/>
  <c r="AH99" i="4"/>
  <c r="AH105" i="4"/>
  <c r="AH107" i="4"/>
  <c r="AH110" i="4"/>
  <c r="AH109" i="4"/>
  <c r="AH108" i="4"/>
  <c r="AH113" i="4"/>
  <c r="AH112" i="4"/>
  <c r="AH111" i="4"/>
  <c r="AH4" i="4"/>
  <c r="AH115" i="4"/>
  <c r="AH123" i="4"/>
  <c r="AH116" i="4"/>
  <c r="AH124" i="4"/>
  <c r="AH117" i="4"/>
  <c r="AH118" i="4"/>
  <c r="AH119" i="4"/>
  <c r="AH121" i="4"/>
  <c r="AH120" i="4"/>
  <c r="AH122" i="4"/>
  <c r="AH125" i="4"/>
  <c r="AH133" i="4"/>
  <c r="AH134" i="4"/>
  <c r="AH143" i="4"/>
  <c r="AH132" i="4"/>
  <c r="AH129" i="4"/>
  <c r="AH135" i="4"/>
  <c r="AH137" i="4"/>
  <c r="AH141" i="4"/>
  <c r="AH136" i="4"/>
  <c r="AH142" i="4"/>
  <c r="AH138" i="4"/>
  <c r="AH131" i="4"/>
  <c r="AH130" i="4"/>
  <c r="AH126" i="4"/>
  <c r="AH127" i="4"/>
  <c r="AH128" i="4"/>
  <c r="AH139" i="4"/>
  <c r="AH140" i="4"/>
  <c r="AH153" i="4"/>
  <c r="AH152" i="4"/>
  <c r="AH144" i="4"/>
  <c r="AH148" i="4"/>
  <c r="AH149" i="4"/>
  <c r="AH147" i="4"/>
  <c r="AH151" i="4"/>
  <c r="AH150" i="4"/>
  <c r="AH146" i="4"/>
  <c r="AH145" i="4"/>
  <c r="AH154" i="4"/>
  <c r="AH155" i="4"/>
  <c r="AH156" i="4"/>
  <c r="AH162" i="4"/>
  <c r="AH158" i="4"/>
  <c r="AH160" i="4"/>
  <c r="AH161" i="4"/>
  <c r="AH159" i="4"/>
  <c r="AH165" i="4"/>
  <c r="AH163" i="4"/>
  <c r="AH164" i="4"/>
  <c r="AH184" i="4"/>
  <c r="AH166" i="4"/>
  <c r="AH167" i="4"/>
  <c r="AH170" i="4"/>
  <c r="AH168" i="4"/>
  <c r="AH169" i="4"/>
  <c r="AH171" i="4"/>
  <c r="AH172" i="4"/>
  <c r="AH173" i="4"/>
  <c r="AH174" i="4"/>
  <c r="AH186" i="4"/>
  <c r="AH187" i="4"/>
  <c r="AH175" i="4"/>
  <c r="AH74" i="4"/>
  <c r="AH178" i="4"/>
  <c r="AH179" i="4"/>
  <c r="AH180" i="4"/>
  <c r="AH182" i="4"/>
  <c r="AH183" i="4"/>
  <c r="AH181" i="4"/>
  <c r="AH176" i="4"/>
  <c r="AH177" i="4"/>
  <c r="AH185" i="4"/>
  <c r="AH73" i="4"/>
  <c r="AH188" i="4"/>
  <c r="AH198" i="4"/>
  <c r="AH194" i="4"/>
  <c r="AH196" i="4"/>
  <c r="AH192" i="4"/>
  <c r="AH195" i="4"/>
  <c r="AH190" i="4"/>
  <c r="AH189" i="4"/>
  <c r="AH197" i="4"/>
  <c r="AH193" i="4"/>
  <c r="AH191" i="4"/>
  <c r="AH87" i="4"/>
  <c r="AH199" i="4"/>
  <c r="AH200" i="4"/>
  <c r="AH201" i="4"/>
  <c r="AH102" i="4"/>
  <c r="AH202" i="4"/>
  <c r="AH203" i="4"/>
  <c r="AH204" i="4"/>
  <c r="AH205" i="4"/>
  <c r="AH210" i="4"/>
  <c r="AH208" i="4"/>
  <c r="AH206" i="4"/>
  <c r="AH207" i="4"/>
  <c r="AH209" i="4"/>
  <c r="AH211" i="4"/>
  <c r="AH217" i="4"/>
  <c r="AH219" i="4"/>
  <c r="AH218" i="4"/>
  <c r="AH216" i="4"/>
  <c r="AH214" i="4"/>
  <c r="AH215" i="4"/>
  <c r="AH213" i="4"/>
  <c r="AH212" i="4"/>
  <c r="AH220" i="4"/>
  <c r="AH222" i="4"/>
  <c r="AH221" i="4"/>
  <c r="AH223" i="4"/>
  <c r="AH225" i="4"/>
  <c r="AH224" i="4"/>
  <c r="AH226" i="4"/>
  <c r="AH227" i="4"/>
  <c r="AH228" i="4"/>
  <c r="AH229" i="4"/>
  <c r="AH230" i="4"/>
  <c r="AH231" i="4"/>
  <c r="AH232" i="4"/>
  <c r="AH233" i="4"/>
  <c r="AH234" i="4"/>
  <c r="AH236" i="4"/>
  <c r="AH237" i="4"/>
  <c r="AH235" i="4"/>
  <c r="AH238" i="4"/>
  <c r="AH239" i="4"/>
  <c r="AH241" i="4"/>
  <c r="AH240" i="4"/>
  <c r="AH242" i="4"/>
  <c r="AH243" i="4"/>
  <c r="AH244" i="4"/>
  <c r="AH247" i="4"/>
  <c r="AH246" i="4"/>
  <c r="AH245" i="4"/>
  <c r="AH248" i="4"/>
  <c r="AH249" i="4"/>
  <c r="AH250" i="4"/>
  <c r="AH251" i="4"/>
  <c r="AH252" i="4"/>
  <c r="AH253" i="4"/>
  <c r="AH254" i="4"/>
  <c r="AH255" i="4"/>
  <c r="AH256" i="4"/>
  <c r="AH261" i="4"/>
  <c r="AH258" i="4"/>
  <c r="AH257" i="4"/>
  <c r="AH259" i="4"/>
  <c r="AH260" i="4"/>
  <c r="AH262" i="4"/>
  <c r="AH263" i="4"/>
  <c r="AH265" i="4"/>
  <c r="AH264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3" i="4"/>
  <c r="AH294" i="4"/>
  <c r="AH295" i="4"/>
  <c r="AH296" i="4"/>
  <c r="AH298" i="4"/>
  <c r="AH297" i="4"/>
  <c r="AH302" i="4"/>
  <c r="AH301" i="4"/>
  <c r="AH299" i="4"/>
  <c r="AH300" i="4"/>
  <c r="AH304" i="4"/>
  <c r="AH305" i="4"/>
  <c r="AH306" i="4"/>
  <c r="AH307" i="4"/>
  <c r="AH308" i="4"/>
  <c r="AH309" i="4"/>
  <c r="AH310" i="4"/>
  <c r="AH311" i="4"/>
  <c r="AH312" i="4"/>
  <c r="AH314" i="4"/>
  <c r="AH313" i="4"/>
  <c r="AH315" i="4"/>
  <c r="AH316" i="4"/>
  <c r="AH317" i="4"/>
  <c r="AH318" i="4"/>
  <c r="AH320" i="4"/>
  <c r="AH319" i="4"/>
  <c r="AH322" i="4"/>
  <c r="AH321" i="4"/>
  <c r="AH324" i="4"/>
  <c r="AH325" i="4"/>
  <c r="AH323" i="4"/>
  <c r="AH326" i="4"/>
  <c r="AH327" i="4"/>
  <c r="AH335" i="4"/>
  <c r="AH336" i="4"/>
  <c r="AH337" i="4"/>
  <c r="AH338" i="4"/>
  <c r="AH328" i="4"/>
  <c r="AH329" i="4"/>
  <c r="AH330" i="4"/>
  <c r="AH331" i="4"/>
  <c r="AH333" i="4"/>
  <c r="AH332" i="4"/>
  <c r="AH334" i="4"/>
  <c r="AH339" i="4"/>
  <c r="AH340" i="4"/>
  <c r="AH341" i="4"/>
  <c r="AH342" i="4"/>
  <c r="AH343" i="4"/>
  <c r="AH344" i="4"/>
  <c r="AH345" i="4"/>
  <c r="AH346" i="4"/>
  <c r="AH347" i="4"/>
  <c r="AH348" i="4"/>
  <c r="AH352" i="4"/>
  <c r="AH350" i="4"/>
  <c r="AH351" i="4"/>
  <c r="AH360" i="4"/>
  <c r="AH361" i="4"/>
  <c r="AH362" i="4"/>
  <c r="AH356" i="4"/>
  <c r="AH349" i="4"/>
  <c r="AH353" i="4"/>
  <c r="AH354" i="4"/>
  <c r="AH355" i="4"/>
  <c r="AH357" i="4"/>
  <c r="AH358" i="4"/>
  <c r="AH359" i="4"/>
  <c r="AH363" i="4"/>
  <c r="AH364" i="4"/>
  <c r="AH366" i="4"/>
  <c r="AH367" i="4"/>
  <c r="AH368" i="4"/>
  <c r="AH369" i="4"/>
  <c r="AH365" i="4"/>
  <c r="AH375" i="4"/>
  <c r="AH371" i="4"/>
  <c r="AH378" i="4"/>
  <c r="AH370" i="4"/>
  <c r="AH372" i="4"/>
  <c r="AH374" i="4"/>
  <c r="AH377" i="4"/>
  <c r="AH373" i="4"/>
  <c r="AH376" i="4"/>
  <c r="AH381" i="4"/>
  <c r="AH379" i="4"/>
  <c r="AH382" i="4"/>
  <c r="AH383" i="4"/>
  <c r="AH384" i="4"/>
  <c r="AH385" i="4"/>
  <c r="AH386" i="4"/>
  <c r="AH387" i="4"/>
  <c r="AH388" i="4"/>
  <c r="AH403" i="4"/>
  <c r="AH390" i="4"/>
  <c r="AH406" i="4"/>
  <c r="AH396" i="4"/>
  <c r="AH391" i="4"/>
  <c r="AH392" i="4"/>
  <c r="AH393" i="4"/>
  <c r="AH394" i="4"/>
  <c r="AH400" i="4"/>
  <c r="AH401" i="4"/>
  <c r="AH402" i="4"/>
  <c r="AH398" i="4"/>
  <c r="AH399" i="4"/>
  <c r="AH405" i="4"/>
  <c r="AH408" i="4"/>
  <c r="AH409" i="4"/>
  <c r="AH410" i="4"/>
  <c r="AH395" i="4"/>
  <c r="AH397" i="4"/>
  <c r="AH404" i="4"/>
  <c r="AH389" i="4"/>
  <c r="AH407" i="4"/>
  <c r="AH411" i="4"/>
  <c r="AH2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R17" i="2"/>
  <c r="R38" i="2"/>
  <c r="T18" i="2"/>
  <c r="U18" i="2"/>
  <c r="T24" i="2"/>
  <c r="U24" i="2"/>
  <c r="V24" i="2"/>
  <c r="K29" i="2"/>
  <c r="T29" i="2"/>
  <c r="U29" i="2"/>
  <c r="V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C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N234" i="4"/>
  <c r="AZ318" i="1"/>
  <c r="BA318" i="1"/>
  <c r="BB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BC318" i="1"/>
  <c r="CT318" i="1"/>
  <c r="AZ252" i="1"/>
  <c r="BA252" i="1"/>
  <c r="BB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BC252" i="1"/>
  <c r="CT252" i="1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BC249" i="1"/>
  <c r="CT249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8" i="1"/>
  <c r="BA78" i="1"/>
  <c r="BA77" i="1"/>
  <c r="BA120" i="1"/>
  <c r="BA118" i="1"/>
  <c r="BA122" i="1"/>
  <c r="BA123" i="1"/>
  <c r="BA124" i="1"/>
  <c r="BA125" i="1"/>
  <c r="BA239" i="1"/>
  <c r="BA250" i="1"/>
  <c r="BA251" i="1"/>
  <c r="BA317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72" i="1"/>
  <c r="BA73" i="1"/>
  <c r="BA75" i="1"/>
  <c r="BA76" i="1"/>
  <c r="BA85" i="1"/>
  <c r="BA86" i="1"/>
  <c r="BA87" i="1"/>
  <c r="BA89" i="1"/>
  <c r="BA90" i="1"/>
  <c r="BA91" i="1"/>
  <c r="BA92" i="1"/>
  <c r="BA93" i="1"/>
  <c r="BA94" i="1"/>
  <c r="BA95" i="1"/>
  <c r="BA98" i="1"/>
  <c r="BA99" i="1"/>
  <c r="BA101" i="1"/>
  <c r="BA102" i="1"/>
  <c r="BA97" i="1"/>
  <c r="BA104" i="1"/>
  <c r="BA100" i="1"/>
  <c r="BA96" i="1"/>
  <c r="BA105" i="1"/>
  <c r="BA103" i="1"/>
  <c r="BA112" i="1"/>
  <c r="BA127" i="1"/>
  <c r="BA119" i="1"/>
  <c r="BA113" i="1"/>
  <c r="BA126" i="1"/>
  <c r="BA114" i="1"/>
  <c r="BA115" i="1"/>
  <c r="BA116" i="1"/>
  <c r="BA117" i="1"/>
  <c r="BA132" i="1"/>
  <c r="BA134" i="1"/>
  <c r="BA135" i="1"/>
  <c r="BA133" i="1"/>
  <c r="BA148" i="1"/>
  <c r="BA149" i="1"/>
  <c r="BA152" i="1"/>
  <c r="BA153" i="1"/>
  <c r="BA160" i="1"/>
  <c r="BA162" i="1"/>
  <c r="BA163" i="1"/>
  <c r="BA164" i="1"/>
  <c r="BA330" i="1"/>
  <c r="BA334" i="1"/>
  <c r="BA333" i="1"/>
  <c r="BA332" i="1"/>
  <c r="BA331" i="1"/>
  <c r="BA170" i="1"/>
  <c r="BA171" i="1"/>
  <c r="BA173" i="1"/>
  <c r="BA172" i="1"/>
  <c r="BA176" i="1"/>
  <c r="BA177" i="1"/>
  <c r="BA183" i="1"/>
  <c r="BA182" i="1"/>
  <c r="BA181" i="1"/>
  <c r="BA189" i="1"/>
  <c r="BA190" i="1"/>
  <c r="BA335" i="1"/>
  <c r="BA337" i="1"/>
  <c r="BA336" i="1"/>
  <c r="BA338" i="1"/>
  <c r="BA354" i="1"/>
  <c r="BA355" i="1"/>
  <c r="BA356" i="1"/>
  <c r="BA357" i="1"/>
  <c r="BA358" i="1"/>
  <c r="BA359" i="1"/>
  <c r="BA194" i="1"/>
  <c r="BA195" i="1"/>
  <c r="BA196" i="1"/>
  <c r="BA197" i="1"/>
  <c r="BA198" i="1"/>
  <c r="BA199" i="1"/>
  <c r="BA223" i="1"/>
  <c r="BA224" i="1"/>
  <c r="BA227" i="1"/>
  <c r="BA226" i="1"/>
  <c r="BA225" i="1"/>
  <c r="BA229" i="1"/>
  <c r="BA230" i="1"/>
  <c r="BA231" i="1"/>
  <c r="BA232" i="1"/>
  <c r="BA233" i="1"/>
  <c r="BA234" i="1"/>
  <c r="BA235" i="1"/>
  <c r="BA237" i="1"/>
  <c r="BA238" i="1"/>
  <c r="BA242" i="1"/>
  <c r="BA244" i="1"/>
  <c r="BA243" i="1"/>
  <c r="BA245" i="1"/>
  <c r="BA246" i="1"/>
  <c r="BA253" i="1"/>
  <c r="BA254" i="1"/>
  <c r="BA255" i="1"/>
  <c r="BA247" i="1"/>
  <c r="BA248" i="1"/>
  <c r="BA271" i="1"/>
  <c r="BA272" i="1"/>
  <c r="BA276" i="1"/>
  <c r="BA277" i="1"/>
  <c r="BA278" i="1"/>
  <c r="BA279" i="1"/>
  <c r="BA280" i="1"/>
  <c r="BA281" i="1"/>
  <c r="BA282" i="1"/>
  <c r="BA285" i="1"/>
  <c r="BA287" i="1"/>
  <c r="BA286" i="1"/>
  <c r="BA288" i="1"/>
  <c r="BA289" i="1"/>
  <c r="BA290" i="1"/>
  <c r="BA291" i="1"/>
  <c r="BA292" i="1"/>
  <c r="BA293" i="1"/>
  <c r="BA314" i="1"/>
  <c r="BA315" i="1"/>
  <c r="BA366" i="1"/>
  <c r="BA368" i="1"/>
  <c r="BA367" i="1"/>
  <c r="BA370" i="1"/>
  <c r="BA371" i="1"/>
  <c r="BA372" i="1"/>
  <c r="BA373" i="1"/>
  <c r="BA369" i="1"/>
  <c r="BA316" i="1"/>
  <c r="BA29" i="1"/>
  <c r="AZ29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C148" i="1"/>
  <c r="BB148" i="1"/>
  <c r="AZ148" i="1"/>
  <c r="BB251" i="1"/>
  <c r="BB4" i="1"/>
  <c r="BB13" i="1"/>
  <c r="BB248" i="1"/>
  <c r="BB250" i="1"/>
  <c r="BB253" i="1"/>
  <c r="BB254" i="1"/>
  <c r="BB255" i="1"/>
  <c r="BB271" i="1"/>
  <c r="BB42" i="1"/>
  <c r="BB43" i="1"/>
  <c r="BB44" i="1"/>
  <c r="BB45" i="1"/>
  <c r="BB46" i="1"/>
  <c r="BB47" i="1"/>
  <c r="BB72" i="1"/>
  <c r="BB73" i="1"/>
  <c r="BB75" i="1"/>
  <c r="BB76" i="1"/>
  <c r="BB77" i="1"/>
  <c r="BB78" i="1"/>
  <c r="BB85" i="1"/>
  <c r="BB86" i="1"/>
  <c r="BB87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12" i="1"/>
  <c r="BB113" i="1"/>
  <c r="BB114" i="1"/>
  <c r="BB115" i="1"/>
  <c r="BB116" i="1"/>
  <c r="BB117" i="1"/>
  <c r="BB118" i="1"/>
  <c r="BB119" i="1"/>
  <c r="BB120" i="1"/>
  <c r="BB122" i="1"/>
  <c r="BB123" i="1"/>
  <c r="BB124" i="1"/>
  <c r="BB125" i="1"/>
  <c r="BB126" i="1"/>
  <c r="BB127" i="1"/>
  <c r="BB132" i="1"/>
  <c r="BB133" i="1"/>
  <c r="BB134" i="1"/>
  <c r="BB135" i="1"/>
  <c r="BB152" i="1"/>
  <c r="BB153" i="1"/>
  <c r="BB160" i="1"/>
  <c r="BB162" i="1"/>
  <c r="BB163" i="1"/>
  <c r="BB164" i="1"/>
  <c r="BB330" i="1"/>
  <c r="BB331" i="1"/>
  <c r="BB332" i="1"/>
  <c r="BB333" i="1"/>
  <c r="BB334" i="1"/>
  <c r="BB170" i="1"/>
  <c r="BB171" i="1"/>
  <c r="BB172" i="1"/>
  <c r="BB173" i="1"/>
  <c r="BB176" i="1"/>
  <c r="BB177" i="1"/>
  <c r="BB181" i="1"/>
  <c r="BB182" i="1"/>
  <c r="BB183" i="1"/>
  <c r="BB189" i="1"/>
  <c r="BB190" i="1"/>
  <c r="BB335" i="1"/>
  <c r="BB336" i="1"/>
  <c r="BB337" i="1"/>
  <c r="BB338" i="1"/>
  <c r="BB354" i="1"/>
  <c r="BB355" i="1"/>
  <c r="BB356" i="1"/>
  <c r="BB357" i="1"/>
  <c r="BB358" i="1"/>
  <c r="BB359" i="1"/>
  <c r="BB194" i="1"/>
  <c r="BB195" i="1"/>
  <c r="BB196" i="1"/>
  <c r="BB197" i="1"/>
  <c r="BB198" i="1"/>
  <c r="BB199" i="1"/>
  <c r="BB223" i="1"/>
  <c r="BB224" i="1"/>
  <c r="BB225" i="1"/>
  <c r="BB226" i="1"/>
  <c r="BB227" i="1"/>
  <c r="BB229" i="1"/>
  <c r="BB230" i="1"/>
  <c r="BB231" i="1"/>
  <c r="BB232" i="1"/>
  <c r="BB233" i="1"/>
  <c r="BB234" i="1"/>
  <c r="BB235" i="1"/>
  <c r="BB237" i="1"/>
  <c r="BB238" i="1"/>
  <c r="BB239" i="1"/>
  <c r="BB242" i="1"/>
  <c r="BB243" i="1"/>
  <c r="BB244" i="1"/>
  <c r="BB245" i="1"/>
  <c r="BB246" i="1"/>
  <c r="BB247" i="1"/>
  <c r="BB39" i="1"/>
  <c r="BB40" i="1"/>
  <c r="BB41" i="1"/>
  <c r="AZ39" i="1"/>
  <c r="AZ250" i="1"/>
  <c r="AZ251" i="1"/>
  <c r="AZ253" i="1"/>
  <c r="AZ254" i="1"/>
  <c r="AZ255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BC183" i="1"/>
  <c r="BC182" i="1"/>
  <c r="BC38" i="1"/>
  <c r="BC105" i="1"/>
  <c r="BC255" i="1"/>
  <c r="BC338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34" i="4"/>
  <c r="AF211" i="4"/>
  <c r="AF221" i="4"/>
  <c r="AF182" i="4"/>
  <c r="AF47" i="4"/>
  <c r="AF240" i="4"/>
  <c r="AF241" i="4"/>
  <c r="AF245" i="4"/>
  <c r="AF236" i="4"/>
  <c r="AF109" i="4"/>
  <c r="AF18" i="4"/>
  <c r="AF204" i="4"/>
  <c r="AF164" i="4"/>
  <c r="AF168" i="4"/>
  <c r="AF169" i="4"/>
  <c r="AF171" i="4"/>
  <c r="AF172" i="4"/>
  <c r="AF176" i="4"/>
  <c r="AF177" i="4"/>
  <c r="AF181" i="4"/>
  <c r="AF197" i="4"/>
  <c r="AF200" i="4"/>
  <c r="AF226" i="4"/>
  <c r="AF270" i="4"/>
  <c r="AF284" i="4"/>
  <c r="AF146" i="4"/>
  <c r="AF185" i="4"/>
  <c r="AF173" i="4"/>
  <c r="AF174" i="4"/>
  <c r="AF213" i="4"/>
  <c r="AF190" i="4"/>
  <c r="AF251" i="4"/>
  <c r="AF255" i="4"/>
  <c r="AF30" i="4"/>
  <c r="AF31" i="4"/>
  <c r="AF89" i="4"/>
  <c r="AF124" i="4"/>
  <c r="AF179" i="4"/>
  <c r="AF180" i="4"/>
  <c r="AF209" i="4"/>
  <c r="AF139" i="4"/>
  <c r="AF94" i="4"/>
  <c r="AF104" i="4"/>
  <c r="AF91" i="4"/>
  <c r="AF105" i="4"/>
  <c r="AF147" i="4"/>
  <c r="AF151" i="4"/>
  <c r="AF183" i="4"/>
  <c r="AF253" i="4"/>
  <c r="AF247" i="4"/>
  <c r="AF126" i="4"/>
  <c r="AF150" i="4"/>
  <c r="AF92" i="4"/>
  <c r="AF280" i="4"/>
  <c r="AF84" i="4"/>
  <c r="AF152" i="4"/>
  <c r="AF153" i="4"/>
  <c r="AF201" i="4"/>
  <c r="AF178" i="4"/>
  <c r="AF148" i="4"/>
  <c r="AF149" i="4"/>
  <c r="AF6" i="4"/>
  <c r="AF10" i="4"/>
  <c r="AF12" i="4"/>
  <c r="AF13" i="4"/>
  <c r="AF111" i="4"/>
  <c r="AF192" i="4"/>
  <c r="AF193" i="4"/>
  <c r="AF191" i="4"/>
  <c r="AF97" i="4"/>
  <c r="AF99" i="4"/>
  <c r="AF16" i="4"/>
  <c r="AF29" i="4"/>
  <c r="AF166" i="4"/>
  <c r="AF227" i="4"/>
  <c r="AF52" i="4"/>
  <c r="AF95" i="4"/>
  <c r="AF32" i="4"/>
  <c r="AF23" i="4"/>
  <c r="AF26" i="4"/>
  <c r="AF48" i="4"/>
  <c r="AF50" i="4"/>
  <c r="AF175" i="4"/>
  <c r="AF188" i="4"/>
  <c r="AF42" i="4"/>
  <c r="AF72" i="4"/>
  <c r="AF141" i="4"/>
  <c r="AF203" i="4"/>
  <c r="AF238" i="4"/>
  <c r="AF242" i="4"/>
  <c r="AF248" i="4"/>
  <c r="AF265" i="4"/>
  <c r="AF20" i="4"/>
  <c r="AF22" i="4"/>
  <c r="AF140" i="4"/>
  <c r="AF165" i="4"/>
  <c r="AF106" i="4"/>
  <c r="AF136" i="4"/>
  <c r="AF142" i="4"/>
  <c r="AF70" i="4"/>
  <c r="AF101" i="4"/>
  <c r="AF123" i="4"/>
  <c r="AF56" i="4"/>
  <c r="AF40" i="4"/>
  <c r="AF54" i="4"/>
  <c r="AF100" i="4"/>
  <c r="AF143" i="4"/>
  <c r="AF96" i="4"/>
  <c r="AF19" i="4"/>
  <c r="AF35" i="4"/>
  <c r="AF38" i="4"/>
  <c r="AF41" i="4"/>
  <c r="AF43" i="4"/>
  <c r="AF49" i="4"/>
  <c r="AF53" i="4"/>
  <c r="AF58" i="4"/>
  <c r="AF62" i="4"/>
  <c r="AF63" i="4"/>
  <c r="AF65" i="4"/>
  <c r="AF66" i="4"/>
  <c r="AF67" i="4"/>
  <c r="AF68" i="4"/>
  <c r="AF69" i="4"/>
  <c r="AF75" i="4"/>
  <c r="AF76" i="4"/>
  <c r="AF77" i="4"/>
  <c r="AF79" i="4"/>
  <c r="AF81" i="4"/>
  <c r="AF83" i="4"/>
  <c r="AF85" i="4"/>
  <c r="AF86" i="4"/>
  <c r="AF88" i="4"/>
  <c r="AF93" i="4"/>
  <c r="AF103" i="4"/>
  <c r="AF107" i="4"/>
  <c r="AF110" i="4"/>
  <c r="AF113" i="4"/>
  <c r="AF116" i="4"/>
  <c r="AF117" i="4"/>
  <c r="AF121" i="4"/>
  <c r="AF125" i="4"/>
  <c r="AF127" i="4"/>
  <c r="AF128" i="4"/>
  <c r="AF130" i="4"/>
  <c r="AF144" i="4"/>
  <c r="AF159" i="4"/>
  <c r="AF160" i="4"/>
  <c r="AF161" i="4"/>
  <c r="AF162" i="4"/>
  <c r="AF163" i="4"/>
  <c r="AF167" i="4"/>
  <c r="AF186" i="4"/>
  <c r="AF187" i="4"/>
  <c r="AF189" i="4"/>
  <c r="AF194" i="4"/>
  <c r="AF195" i="4"/>
  <c r="AF206" i="4"/>
  <c r="AF210" i="4"/>
  <c r="AF214" i="4"/>
  <c r="AF216" i="4"/>
  <c r="AF217" i="4"/>
  <c r="AF219" i="4"/>
  <c r="AF220" i="4"/>
  <c r="AF230" i="4"/>
  <c r="AF237" i="4"/>
  <c r="AF246" i="4"/>
  <c r="AF252" i="4"/>
  <c r="AF261" i="4"/>
  <c r="AF259" i="4"/>
  <c r="AF262" i="4"/>
  <c r="AF266" i="4"/>
  <c r="AF267" i="4"/>
  <c r="AF269" i="4"/>
  <c r="AF271" i="4"/>
  <c r="AF276" i="4"/>
  <c r="AF278" i="4"/>
  <c r="AF279" i="4"/>
  <c r="AF283" i="4"/>
  <c r="AF288" i="4"/>
  <c r="AF290" i="4"/>
  <c r="AF294" i="4"/>
  <c r="AF296" i="4"/>
  <c r="AF297" i="4"/>
  <c r="AF2" i="4"/>
  <c r="AF9" i="4"/>
  <c r="AF36" i="4"/>
  <c r="AF98" i="4"/>
  <c r="AF196" i="4"/>
  <c r="AF207" i="4"/>
  <c r="AF8" i="4"/>
  <c r="AF14" i="4"/>
  <c r="AF39" i="4"/>
  <c r="AF108" i="4"/>
  <c r="AF212" i="4"/>
  <c r="AF218" i="4"/>
  <c r="AF258" i="4"/>
  <c r="AF11" i="4"/>
  <c r="AF17" i="4"/>
  <c r="AF44" i="4"/>
  <c r="AF115" i="4"/>
  <c r="AF145" i="4"/>
  <c r="AF223" i="4"/>
  <c r="AF235" i="4"/>
  <c r="AF272" i="4"/>
  <c r="AF15" i="4"/>
  <c r="AF28" i="4"/>
  <c r="AF55" i="4"/>
  <c r="AF120" i="4"/>
  <c r="AF250" i="4"/>
  <c r="AF286" i="4"/>
  <c r="AF37" i="4"/>
  <c r="AF112" i="4"/>
  <c r="AF7" i="4"/>
  <c r="AF170" i="4"/>
  <c r="AF222" i="4"/>
  <c r="AF225" i="4"/>
  <c r="AF229" i="4"/>
  <c r="AF256" i="4"/>
  <c r="AF257" i="4"/>
  <c r="AF260" i="4"/>
  <c r="AF268" i="4"/>
  <c r="AF199" i="4"/>
  <c r="AF224" i="4"/>
  <c r="AF232" i="4"/>
  <c r="AF249" i="4"/>
  <c r="AF263" i="4"/>
  <c r="AF243" i="4"/>
  <c r="AF157" i="4"/>
  <c r="AF122" i="4"/>
  <c r="AF184" i="4"/>
  <c r="AF233" i="4"/>
  <c r="AF264" i="4"/>
  <c r="AF73" i="4"/>
  <c r="AF198" i="4"/>
  <c r="AF158" i="4"/>
  <c r="AF4" i="4"/>
  <c r="AF74" i="4"/>
  <c r="AF87" i="4"/>
  <c r="AF102" i="4"/>
  <c r="AF228" i="4"/>
  <c r="AF59" i="4"/>
  <c r="AF60" i="4"/>
  <c r="AF61" i="4"/>
  <c r="AF64" i="4"/>
  <c r="AF71" i="4"/>
  <c r="AF82" i="4"/>
  <c r="AF277" i="4"/>
  <c r="AF51" i="4"/>
  <c r="AF33" i="4"/>
  <c r="AF202" i="4"/>
  <c r="AF234" i="4"/>
  <c r="AF133" i="4"/>
  <c r="AF137" i="4"/>
  <c r="AF138" i="4"/>
  <c r="AF134" i="4"/>
  <c r="AF135" i="4"/>
  <c r="AF57" i="4"/>
  <c r="AF78" i="4"/>
  <c r="AF80" i="4"/>
  <c r="AF90" i="4"/>
  <c r="AF119" i="4"/>
  <c r="AF244" i="4"/>
  <c r="AF254" i="4"/>
  <c r="AF273" i="4"/>
  <c r="AF287" i="4"/>
  <c r="AF291" i="4"/>
  <c r="AF293" i="4"/>
  <c r="AF295" i="4"/>
  <c r="AF298" i="4"/>
  <c r="AF154" i="4"/>
  <c r="AF215" i="4"/>
  <c r="AF274" i="4"/>
  <c r="AF239" i="4"/>
  <c r="AF5" i="4"/>
  <c r="AF21" i="4"/>
  <c r="AF281" i="4"/>
  <c r="AF155" i="4"/>
  <c r="AF156" i="4"/>
  <c r="AF289" i="4"/>
  <c r="AF118" i="4"/>
  <c r="AF231" i="4"/>
  <c r="AF285" i="4"/>
  <c r="AF275" i="4"/>
  <c r="AF205" i="4"/>
  <c r="AF25" i="4"/>
  <c r="AF131" i="4"/>
  <c r="AF132" i="4"/>
  <c r="AF24" i="4"/>
  <c r="AF27" i="4"/>
  <c r="AF282" i="4"/>
  <c r="AF208" i="4"/>
  <c r="AF129" i="4"/>
  <c r="AF312" i="4"/>
  <c r="AF302" i="4"/>
  <c r="AF299" i="4"/>
  <c r="AF300" i="4"/>
  <c r="AF308" i="4"/>
  <c r="AF309" i="4"/>
  <c r="AF310" i="4"/>
  <c r="AF311" i="4"/>
  <c r="AF304" i="4"/>
  <c r="AF305" i="4"/>
  <c r="AF306" i="4"/>
  <c r="AF314" i="4"/>
  <c r="AF313" i="4"/>
  <c r="AF301" i="4"/>
  <c r="AF307" i="4"/>
  <c r="AF322" i="4"/>
  <c r="AF343" i="4"/>
  <c r="AF344" i="4"/>
  <c r="AF316" i="4"/>
  <c r="AF317" i="4"/>
  <c r="AF318" i="4"/>
  <c r="AF327" i="4"/>
  <c r="AF335" i="4"/>
  <c r="AF336" i="4"/>
  <c r="AF337" i="4"/>
  <c r="AF338" i="4"/>
  <c r="AF342" i="4"/>
  <c r="AF320" i="4"/>
  <c r="AF339" i="4"/>
  <c r="AF315" i="4"/>
  <c r="AF321" i="4"/>
  <c r="AF324" i="4"/>
  <c r="AF325" i="4"/>
  <c r="AF340" i="4"/>
  <c r="AF319" i="4"/>
  <c r="AF326" i="4"/>
  <c r="AF333" i="4"/>
  <c r="AF323" i="4"/>
  <c r="AF332" i="4"/>
  <c r="AF341" i="4"/>
  <c r="AF334" i="4"/>
  <c r="AF328" i="4"/>
  <c r="AF329" i="4"/>
  <c r="AF330" i="4"/>
  <c r="AF331" i="4"/>
  <c r="AF345" i="4"/>
  <c r="AF346" i="4"/>
  <c r="AF347" i="4"/>
  <c r="AF350" i="4"/>
  <c r="AF351" i="4"/>
  <c r="AF366" i="4"/>
  <c r="AF367" i="4"/>
  <c r="AF368" i="4"/>
  <c r="AF369" i="4"/>
  <c r="AF364" i="4"/>
  <c r="AF348" i="4"/>
  <c r="AF365" i="4"/>
  <c r="AF349" i="4"/>
  <c r="AF353" i="4"/>
  <c r="AF354" i="4"/>
  <c r="AF355" i="4"/>
  <c r="AF357" i="4"/>
  <c r="AF358" i="4"/>
  <c r="AF359" i="4"/>
  <c r="AF363" i="4"/>
  <c r="AF360" i="4"/>
  <c r="AF361" i="4"/>
  <c r="AF362" i="4"/>
  <c r="AF352" i="4"/>
  <c r="AF356" i="4"/>
  <c r="AF375" i="4"/>
  <c r="AF371" i="4"/>
  <c r="AF378" i="4"/>
  <c r="AF370" i="4"/>
  <c r="AF372" i="4"/>
  <c r="AF374" i="4"/>
  <c r="AF377" i="4"/>
  <c r="AF373" i="4"/>
  <c r="AF376" i="4"/>
  <c r="AF379" i="4"/>
  <c r="AF381" i="4"/>
  <c r="AF383" i="4"/>
  <c r="AF385" i="4"/>
  <c r="AF384" i="4"/>
  <c r="AF386" i="4"/>
  <c r="AF382" i="4"/>
  <c r="AF387" i="4"/>
  <c r="AF404" i="4"/>
  <c r="AF407" i="4"/>
  <c r="AF391" i="4"/>
  <c r="AF392" i="4"/>
  <c r="AF393" i="4"/>
  <c r="AF394" i="4"/>
  <c r="AF400" i="4"/>
  <c r="AF401" i="4"/>
  <c r="AF402" i="4"/>
  <c r="AF406" i="4"/>
  <c r="AF411" i="4"/>
  <c r="AF388" i="4"/>
  <c r="AF389" i="4"/>
  <c r="AF390" i="4"/>
  <c r="AF396" i="4"/>
  <c r="AF397" i="4"/>
  <c r="AF398" i="4"/>
  <c r="AF399" i="4"/>
  <c r="AF403" i="4"/>
  <c r="AF405" i="4"/>
  <c r="AF408" i="4"/>
  <c r="AF409" i="4"/>
  <c r="AF410" i="4"/>
  <c r="AF395" i="4"/>
  <c r="AF3" i="4"/>
  <c r="AE5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60" i="1"/>
  <c r="BC160" i="1"/>
  <c r="AZ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K35" i="2"/>
  <c r="K133" i="4"/>
  <c r="K34" i="2"/>
  <c r="K32" i="2"/>
  <c r="K137" i="4"/>
  <c r="K33" i="2"/>
  <c r="K8" i="2"/>
  <c r="K16" i="2"/>
  <c r="K138" i="4"/>
  <c r="K31" i="2"/>
  <c r="K134" i="4"/>
  <c r="K135" i="4"/>
  <c r="K178" i="4"/>
  <c r="K201" i="4"/>
  <c r="AL6" i="4"/>
  <c r="AL3" i="4"/>
  <c r="AL10" i="4"/>
  <c r="AL12" i="4"/>
  <c r="AL13" i="4"/>
  <c r="AL111" i="4"/>
  <c r="AL192" i="4"/>
  <c r="AL193" i="4"/>
  <c r="AL97" i="4"/>
  <c r="AL99" i="4"/>
  <c r="AL109" i="4"/>
  <c r="AL211" i="4"/>
  <c r="AL16" i="4"/>
  <c r="AL18" i="4"/>
  <c r="AL29" i="4"/>
  <c r="AL30" i="4"/>
  <c r="AL34" i="4"/>
  <c r="AL166" i="4"/>
  <c r="AL227" i="4"/>
  <c r="AL51" i="4"/>
  <c r="AL52" i="4"/>
  <c r="AL95" i="4"/>
  <c r="AL21" i="4"/>
  <c r="AL32" i="4"/>
  <c r="AL33" i="4"/>
  <c r="AL31" i="4"/>
  <c r="AL23" i="4"/>
  <c r="AL25" i="4"/>
  <c r="AL202" i="4"/>
  <c r="AL27" i="4"/>
  <c r="AL42" i="4"/>
  <c r="AL72" i="4"/>
  <c r="AL89" i="4"/>
  <c r="AL124" i="4"/>
  <c r="AL131" i="4"/>
  <c r="AL141" i="4"/>
  <c r="AL179" i="4"/>
  <c r="AL180" i="4"/>
  <c r="AL201" i="4"/>
  <c r="AL203" i="4"/>
  <c r="AL209" i="4"/>
  <c r="AL238" i="4"/>
  <c r="AL242" i="4"/>
  <c r="AL248" i="4"/>
  <c r="AL265" i="4"/>
  <c r="AL281" i="4"/>
  <c r="AL234" i="4"/>
  <c r="AL20" i="4"/>
  <c r="AL22" i="4"/>
  <c r="AL133" i="4"/>
  <c r="AL137" i="4"/>
  <c r="AL138" i="4"/>
  <c r="AL140" i="4"/>
  <c r="AL165" i="4"/>
  <c r="AL204" i="4"/>
  <c r="AL106" i="4"/>
  <c r="AL132" i="4"/>
  <c r="AL134" i="4"/>
  <c r="AL136" i="4"/>
  <c r="AL142" i="4"/>
  <c r="AL70" i="4"/>
  <c r="AL101" i="4"/>
  <c r="AL123" i="4"/>
  <c r="AL135" i="4"/>
  <c r="AL139" i="4"/>
  <c r="AL56" i="4"/>
  <c r="AL24" i="4"/>
  <c r="AL40" i="4"/>
  <c r="AL54" i="4"/>
  <c r="AL94" i="4"/>
  <c r="AL104" i="4"/>
  <c r="AL100" i="4"/>
  <c r="AL19" i="4"/>
  <c r="AL35" i="4"/>
  <c r="AL38" i="4"/>
  <c r="AL41" i="4"/>
  <c r="AL43" i="4"/>
  <c r="AL49" i="4"/>
  <c r="AL53" i="4"/>
  <c r="AL57" i="4"/>
  <c r="AL58" i="4"/>
  <c r="AL62" i="4"/>
  <c r="AL63" i="4"/>
  <c r="AL65" i="4"/>
  <c r="AL66" i="4"/>
  <c r="AL67" i="4"/>
  <c r="AL68" i="4"/>
  <c r="AL69" i="4"/>
  <c r="AL75" i="4"/>
  <c r="AL76" i="4"/>
  <c r="AL77" i="4"/>
  <c r="AL78" i="4"/>
  <c r="AL79" i="4"/>
  <c r="AL80" i="4"/>
  <c r="AL81" i="4"/>
  <c r="AL83" i="4"/>
  <c r="AL85" i="4"/>
  <c r="AL86" i="4"/>
  <c r="AL88" i="4"/>
  <c r="AL90" i="4"/>
  <c r="AL91" i="4"/>
  <c r="AL93" i="4"/>
  <c r="AL103" i="4"/>
  <c r="AL105" i="4"/>
  <c r="AL107" i="4"/>
  <c r="AL110" i="4"/>
  <c r="AL113" i="4"/>
  <c r="AL116" i="4"/>
  <c r="AL117" i="4"/>
  <c r="AL119" i="4"/>
  <c r="AL121" i="4"/>
  <c r="AL125" i="4"/>
  <c r="AL127" i="4"/>
  <c r="AL128" i="4"/>
  <c r="AL130" i="4"/>
  <c r="AL144" i="4"/>
  <c r="AL147" i="4"/>
  <c r="AL148" i="4"/>
  <c r="AL149" i="4"/>
  <c r="AL151" i="4"/>
  <c r="AL155" i="4"/>
  <c r="AL156" i="4"/>
  <c r="AL159" i="4"/>
  <c r="AL160" i="4"/>
  <c r="AL161" i="4"/>
  <c r="AL162" i="4"/>
  <c r="AL163" i="4"/>
  <c r="AL164" i="4"/>
  <c r="AL167" i="4"/>
  <c r="AL168" i="4"/>
  <c r="AL169" i="4"/>
  <c r="AL171" i="4"/>
  <c r="AL172" i="4"/>
  <c r="AL176" i="4"/>
  <c r="AL177" i="4"/>
  <c r="AL181" i="4"/>
  <c r="AL182" i="4"/>
  <c r="AL183" i="4"/>
  <c r="AL186" i="4"/>
  <c r="AL187" i="4"/>
  <c r="AL189" i="4"/>
  <c r="AL194" i="4"/>
  <c r="AL195" i="4"/>
  <c r="AL197" i="4"/>
  <c r="AL200" i="4"/>
  <c r="AL206" i="4"/>
  <c r="AL208" i="4"/>
  <c r="AL210" i="4"/>
  <c r="AL214" i="4"/>
  <c r="AL216" i="4"/>
  <c r="AL217" i="4"/>
  <c r="AL219" i="4"/>
  <c r="AL220" i="4"/>
  <c r="AL226" i="4"/>
  <c r="AL230" i="4"/>
  <c r="AL237" i="4"/>
  <c r="AL240" i="4"/>
  <c r="AL244" i="4"/>
  <c r="AL246" i="4"/>
  <c r="AL251" i="4"/>
  <c r="AL252" i="4"/>
  <c r="AL253" i="4"/>
  <c r="AL254" i="4"/>
  <c r="AL255" i="4"/>
  <c r="AL261" i="4"/>
  <c r="AL259" i="4"/>
  <c r="AL262" i="4"/>
  <c r="AL266" i="4"/>
  <c r="AL267" i="4"/>
  <c r="AL269" i="4"/>
  <c r="AL270" i="4"/>
  <c r="AL271" i="4"/>
  <c r="AL273" i="4"/>
  <c r="AL276" i="4"/>
  <c r="AL278" i="4"/>
  <c r="AL279" i="4"/>
  <c r="AL283" i="4"/>
  <c r="AL284" i="4"/>
  <c r="AL287" i="4"/>
  <c r="AL288" i="4"/>
  <c r="AL289" i="4"/>
  <c r="AL290" i="4"/>
  <c r="AL291" i="4"/>
  <c r="AL293" i="4"/>
  <c r="AL294" i="4"/>
  <c r="AL295" i="4"/>
  <c r="AL296" i="4"/>
  <c r="AL297" i="4"/>
  <c r="AL154" i="4"/>
  <c r="AL2" i="4"/>
  <c r="AL9" i="4"/>
  <c r="AL36" i="4"/>
  <c r="AL98" i="4"/>
  <c r="AL118" i="4"/>
  <c r="AL196" i="4"/>
  <c r="AL207" i="4"/>
  <c r="AL247" i="4"/>
  <c r="AL8" i="4"/>
  <c r="AL14" i="4"/>
  <c r="AL39" i="4"/>
  <c r="AL108" i="4"/>
  <c r="AL126" i="4"/>
  <c r="AL212" i="4"/>
  <c r="AL218" i="4"/>
  <c r="AL258" i="4"/>
  <c r="AL11" i="4"/>
  <c r="AL17" i="4"/>
  <c r="AL44" i="4"/>
  <c r="AL115" i="4"/>
  <c r="AL145" i="4"/>
  <c r="AL223" i="4"/>
  <c r="AL235" i="4"/>
  <c r="AL272" i="4"/>
  <c r="AL15" i="4"/>
  <c r="AL28" i="4"/>
  <c r="AL55" i="4"/>
  <c r="AL120" i="4"/>
  <c r="AL150" i="4"/>
  <c r="AL241" i="4"/>
  <c r="AL250" i="4"/>
  <c r="AL286" i="4"/>
  <c r="AL7" i="4"/>
  <c r="AL92" i="4"/>
  <c r="AL170" i="4"/>
  <c r="AL185" i="4"/>
  <c r="AL215" i="4"/>
  <c r="AL222" i="4"/>
  <c r="AL225" i="4"/>
  <c r="AL229" i="4"/>
  <c r="AL256" i="4"/>
  <c r="AL257" i="4"/>
  <c r="AL260" i="4"/>
  <c r="AL268" i="4"/>
  <c r="AL274" i="4"/>
  <c r="AL280" i="4"/>
  <c r="AL282" i="4"/>
  <c r="AL173" i="4"/>
  <c r="AL174" i="4"/>
  <c r="AL199" i="4"/>
  <c r="AL221" i="4"/>
  <c r="AL224" i="4"/>
  <c r="AL232" i="4"/>
  <c r="AL239" i="4"/>
  <c r="AL249" i="4"/>
  <c r="AL263" i="4"/>
  <c r="AL213" i="4"/>
  <c r="AL236" i="4"/>
  <c r="AL243" i="4"/>
  <c r="AL157" i="4"/>
  <c r="AL122" i="4"/>
  <c r="AL129" i="4"/>
  <c r="AL184" i="4"/>
  <c r="AL233" i="4"/>
  <c r="AL264" i="4"/>
  <c r="AL275" i="4"/>
  <c r="AL73" i="4"/>
  <c r="AL198" i="4"/>
  <c r="AL158" i="4"/>
  <c r="AL4" i="4"/>
  <c r="AL74" i="4"/>
  <c r="AL87" i="4"/>
  <c r="AL102" i="4"/>
  <c r="AL228" i="4"/>
  <c r="AL59" i="4"/>
  <c r="AL60" i="4"/>
  <c r="AL61" i="4"/>
  <c r="AL64" i="4"/>
  <c r="AL71" i="4"/>
  <c r="AL82" i="4"/>
  <c r="AL152" i="4"/>
  <c r="AL153" i="4"/>
  <c r="AL190" i="4"/>
  <c r="AL205" i="4"/>
  <c r="AL277" i="4"/>
  <c r="AL302" i="4"/>
  <c r="AL301" i="4"/>
  <c r="AL299" i="4"/>
  <c r="AL300" i="4"/>
  <c r="AL308" i="4"/>
  <c r="AL309" i="4"/>
  <c r="AL310" i="4"/>
  <c r="AL311" i="4"/>
  <c r="AL312" i="4"/>
  <c r="AL304" i="4"/>
  <c r="AL305" i="4"/>
  <c r="AL306" i="4"/>
  <c r="AL307" i="4"/>
  <c r="AL314" i="4"/>
  <c r="AL313" i="4"/>
  <c r="AL316" i="4"/>
  <c r="AL317" i="4"/>
  <c r="AL318" i="4"/>
  <c r="AL322" i="4"/>
  <c r="AL327" i="4"/>
  <c r="AL328" i="4"/>
  <c r="AL329" i="4"/>
  <c r="AL330" i="4"/>
  <c r="AL331" i="4"/>
  <c r="AL335" i="4"/>
  <c r="AL336" i="4"/>
  <c r="AL337" i="4"/>
  <c r="AL338" i="4"/>
  <c r="AL342" i="4"/>
  <c r="AL343" i="4"/>
  <c r="AL344" i="4"/>
  <c r="AL315" i="4"/>
  <c r="AL320" i="4"/>
  <c r="AL321" i="4"/>
  <c r="AL324" i="4"/>
  <c r="AL325" i="4"/>
  <c r="AL339" i="4"/>
  <c r="AL340" i="4"/>
  <c r="AL345" i="4"/>
  <c r="AL346" i="4"/>
  <c r="AL347" i="4"/>
  <c r="AL319" i="4"/>
  <c r="AL333" i="4"/>
  <c r="AL323" i="4"/>
  <c r="AL332" i="4"/>
  <c r="AL341" i="4"/>
  <c r="AL334" i="4"/>
  <c r="AL326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6" i="4"/>
  <c r="AL367" i="4"/>
  <c r="AL368" i="4"/>
  <c r="AL369" i="4"/>
  <c r="AL365" i="4"/>
  <c r="AL363" i="4"/>
  <c r="AL364" i="4"/>
  <c r="AL375" i="4"/>
  <c r="AL371" i="4"/>
  <c r="AL378" i="4"/>
  <c r="AL370" i="4"/>
  <c r="AL372" i="4"/>
  <c r="AL374" i="4"/>
  <c r="AL377" i="4"/>
  <c r="AL381" i="4"/>
  <c r="AL373" i="4"/>
  <c r="AL376" i="4"/>
  <c r="AL379" i="4"/>
  <c r="AL385" i="4"/>
  <c r="AL384" i="4"/>
  <c r="AL383" i="4"/>
  <c r="AL382" i="4"/>
  <c r="AL386" i="4"/>
  <c r="AL387" i="4"/>
  <c r="AL404" i="4"/>
  <c r="AL407" i="4"/>
  <c r="AL391" i="4"/>
  <c r="AL392" i="4"/>
  <c r="AL393" i="4"/>
  <c r="AL394" i="4"/>
  <c r="AL400" i="4"/>
  <c r="AL401" i="4"/>
  <c r="AL402" i="4"/>
  <c r="AL406" i="4"/>
  <c r="AL411" i="4"/>
  <c r="AL388" i="4"/>
  <c r="AL389" i="4"/>
  <c r="AL390" i="4"/>
  <c r="AL396" i="4"/>
  <c r="AL397" i="4"/>
  <c r="AL398" i="4"/>
  <c r="AL399" i="4"/>
  <c r="AL403" i="4"/>
  <c r="AL405" i="4"/>
  <c r="AL408" i="4"/>
  <c r="AL409" i="4"/>
  <c r="AL410" i="4"/>
  <c r="AL395" i="4"/>
  <c r="AL191" i="4"/>
  <c r="AL26" i="4"/>
  <c r="AL48" i="4"/>
  <c r="AL50" i="4"/>
  <c r="AL175" i="4"/>
  <c r="AL188" i="4"/>
  <c r="AL47" i="4"/>
  <c r="AL143" i="4"/>
  <c r="AL178" i="4"/>
  <c r="AL96" i="4"/>
  <c r="AL37" i="4"/>
  <c r="AL112" i="4"/>
  <c r="AL146" i="4"/>
  <c r="AL231" i="4"/>
  <c r="AL245" i="4"/>
  <c r="AL285" i="4"/>
  <c r="AL84" i="4"/>
  <c r="AL5" i="4"/>
  <c r="F234" i="4"/>
  <c r="F203" i="4"/>
  <c r="E203" i="4"/>
  <c r="E234" i="4"/>
  <c r="M234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62" i="1"/>
  <c r="BC162" i="1"/>
  <c r="AZ163" i="1"/>
  <c r="BC163" i="1"/>
  <c r="BC254" i="1"/>
  <c r="AZ245" i="1"/>
  <c r="BC245" i="1"/>
  <c r="AZ244" i="1"/>
  <c r="BC244" i="1"/>
  <c r="AZ105" i="1"/>
  <c r="AZ373" i="1"/>
  <c r="BC373" i="1"/>
  <c r="BB373" i="1"/>
  <c r="AZ372" i="1"/>
  <c r="BC372" i="1"/>
  <c r="BB372" i="1"/>
  <c r="AZ227" i="1"/>
  <c r="BC227" i="1"/>
  <c r="AZ226" i="1"/>
  <c r="BC226" i="1"/>
  <c r="AZ43" i="1"/>
  <c r="BC43" i="1"/>
  <c r="AZ42" i="1"/>
  <c r="BC42" i="1"/>
  <c r="AZ41" i="1"/>
  <c r="BC41" i="1"/>
  <c r="AZ40" i="1"/>
  <c r="BC40" i="1"/>
  <c r="BC39" i="1"/>
  <c r="AZ127" i="1"/>
  <c r="BC127" i="1"/>
  <c r="AZ126" i="1"/>
  <c r="BC126" i="1"/>
  <c r="AZ47" i="1"/>
  <c r="BC47" i="1"/>
  <c r="AZ46" i="1"/>
  <c r="BC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72" i="1"/>
  <c r="AZ73" i="1"/>
  <c r="AZ75" i="1"/>
  <c r="AZ76" i="1"/>
  <c r="AZ77" i="1"/>
  <c r="AZ78" i="1"/>
  <c r="AZ85" i="1"/>
  <c r="AZ86" i="1"/>
  <c r="AZ87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12" i="1"/>
  <c r="AZ113" i="1"/>
  <c r="AZ114" i="1"/>
  <c r="AZ115" i="1"/>
  <c r="AZ116" i="1"/>
  <c r="AZ117" i="1"/>
  <c r="AZ118" i="1"/>
  <c r="AZ119" i="1"/>
  <c r="AZ120" i="1"/>
  <c r="AZ122" i="1"/>
  <c r="AZ123" i="1"/>
  <c r="AZ124" i="1"/>
  <c r="AZ125" i="1"/>
  <c r="AZ132" i="1"/>
  <c r="AZ133" i="1"/>
  <c r="AZ134" i="1"/>
  <c r="AZ135" i="1"/>
  <c r="AZ152" i="1"/>
  <c r="AZ153" i="1"/>
  <c r="AZ170" i="1"/>
  <c r="AZ171" i="1"/>
  <c r="AZ172" i="1"/>
  <c r="AZ173" i="1"/>
  <c r="AZ176" i="1"/>
  <c r="AZ177" i="1"/>
  <c r="AZ181" i="1"/>
  <c r="AZ182" i="1"/>
  <c r="AZ183" i="1"/>
  <c r="AZ189" i="1"/>
  <c r="AZ190" i="1"/>
  <c r="AZ194" i="1"/>
  <c r="AZ195" i="1"/>
  <c r="AZ196" i="1"/>
  <c r="AZ197" i="1"/>
  <c r="AZ198" i="1"/>
  <c r="AZ199" i="1"/>
  <c r="AZ223" i="1"/>
  <c r="AZ224" i="1"/>
  <c r="AZ225" i="1"/>
  <c r="AZ229" i="1"/>
  <c r="AZ230" i="1"/>
  <c r="AZ231" i="1"/>
  <c r="AZ232" i="1"/>
  <c r="AZ233" i="1"/>
  <c r="AZ234" i="1"/>
  <c r="AZ235" i="1"/>
  <c r="AZ237" i="1"/>
  <c r="AZ238" i="1"/>
  <c r="AZ239" i="1"/>
  <c r="AZ242" i="1"/>
  <c r="AZ243" i="1"/>
  <c r="AZ246" i="1"/>
  <c r="AZ247" i="1"/>
  <c r="AZ248" i="1"/>
  <c r="AZ271" i="1"/>
  <c r="AZ272" i="1"/>
  <c r="AZ276" i="1"/>
  <c r="AZ277" i="1"/>
  <c r="AZ278" i="1"/>
  <c r="AZ279" i="1"/>
  <c r="AZ280" i="1"/>
  <c r="AZ281" i="1"/>
  <c r="AZ282" i="1"/>
  <c r="AZ285" i="1"/>
  <c r="AZ286" i="1"/>
  <c r="AZ287" i="1"/>
  <c r="AZ288" i="1"/>
  <c r="AZ289" i="1"/>
  <c r="AZ290" i="1"/>
  <c r="AZ291" i="1"/>
  <c r="AZ292" i="1"/>
  <c r="AZ293" i="1"/>
  <c r="AZ314" i="1"/>
  <c r="AZ315" i="1"/>
  <c r="AZ316" i="1"/>
  <c r="AZ317" i="1"/>
  <c r="AZ330" i="1"/>
  <c r="AZ331" i="1"/>
  <c r="AZ332" i="1"/>
  <c r="AZ333" i="1"/>
  <c r="AZ334" i="1"/>
  <c r="AZ335" i="1"/>
  <c r="AZ336" i="1"/>
  <c r="AZ337" i="1"/>
  <c r="AZ338" i="1"/>
  <c r="AZ354" i="1"/>
  <c r="AZ355" i="1"/>
  <c r="AZ356" i="1"/>
  <c r="AZ357" i="1"/>
  <c r="AZ358" i="1"/>
  <c r="AZ359" i="1"/>
  <c r="AZ366" i="1"/>
  <c r="AZ367" i="1"/>
  <c r="AZ368" i="1"/>
  <c r="AZ369" i="1"/>
  <c r="AZ370" i="1"/>
  <c r="AZ371" i="1"/>
  <c r="AZ2" i="1"/>
  <c r="BC45" i="1"/>
  <c r="BC44" i="1"/>
  <c r="BC231" i="1"/>
  <c r="BB371" i="1"/>
  <c r="BC371" i="1"/>
  <c r="BB370" i="1"/>
  <c r="BC370" i="1"/>
  <c r="BB369" i="1"/>
  <c r="BC369" i="1"/>
  <c r="BB368" i="1"/>
  <c r="BC368" i="1"/>
  <c r="BB367" i="1"/>
  <c r="BC367" i="1"/>
  <c r="CT366" i="1"/>
  <c r="CS366" i="1"/>
  <c r="CR366" i="1"/>
  <c r="CQ366" i="1"/>
  <c r="CP366" i="1"/>
  <c r="CO366" i="1"/>
  <c r="CN366" i="1"/>
  <c r="CM366" i="1"/>
  <c r="CL366" i="1"/>
  <c r="CK366" i="1"/>
  <c r="CJ366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B366" i="1"/>
  <c r="BC366" i="1"/>
  <c r="BC359" i="1"/>
  <c r="BC358" i="1"/>
  <c r="BC357" i="1"/>
  <c r="CT356" i="1"/>
  <c r="CS356" i="1"/>
  <c r="CR356" i="1"/>
  <c r="CQ356" i="1"/>
  <c r="CP356" i="1"/>
  <c r="CO356" i="1"/>
  <c r="CN356" i="1"/>
  <c r="CM356" i="1"/>
  <c r="CL356" i="1"/>
  <c r="CK356" i="1"/>
  <c r="CJ356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C356" i="1"/>
  <c r="BC355" i="1"/>
  <c r="CT354" i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C354" i="1"/>
  <c r="BC337" i="1"/>
  <c r="BC336" i="1"/>
  <c r="CT335" i="1"/>
  <c r="CS335" i="1"/>
  <c r="CR335" i="1"/>
  <c r="CQ335" i="1"/>
  <c r="CP335" i="1"/>
  <c r="CO335" i="1"/>
  <c r="CN335" i="1"/>
  <c r="CM335" i="1"/>
  <c r="CL335" i="1"/>
  <c r="CK335" i="1"/>
  <c r="CJ335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C335" i="1"/>
  <c r="CT334" i="1"/>
  <c r="CS334" i="1"/>
  <c r="CR334" i="1"/>
  <c r="CQ334" i="1"/>
  <c r="CP334" i="1"/>
  <c r="CO334" i="1"/>
  <c r="CN334" i="1"/>
  <c r="CM334" i="1"/>
  <c r="CL334" i="1"/>
  <c r="CK334" i="1"/>
  <c r="CJ334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C334" i="1"/>
  <c r="BC333" i="1"/>
  <c r="CT332" i="1"/>
  <c r="CS332" i="1"/>
  <c r="CR332" i="1"/>
  <c r="CQ332" i="1"/>
  <c r="CP332" i="1"/>
  <c r="CO332" i="1"/>
  <c r="CN332" i="1"/>
  <c r="CM332" i="1"/>
  <c r="CL332" i="1"/>
  <c r="CK332" i="1"/>
  <c r="CJ332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C332" i="1"/>
  <c r="BC331" i="1"/>
  <c r="BC330" i="1"/>
  <c r="BB317" i="1"/>
  <c r="BC317" i="1"/>
  <c r="CT316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B316" i="1"/>
  <c r="BC316" i="1"/>
  <c r="BB315" i="1"/>
  <c r="BC315" i="1"/>
  <c r="CT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B314" i="1"/>
  <c r="BC314" i="1"/>
  <c r="BB293" i="1"/>
  <c r="BC293" i="1"/>
  <c r="CT292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B292" i="1"/>
  <c r="BC292" i="1"/>
  <c r="BB291" i="1"/>
  <c r="BC291" i="1"/>
  <c r="BB290" i="1"/>
  <c r="BC290" i="1"/>
  <c r="BB289" i="1"/>
  <c r="BC289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B288" i="1"/>
  <c r="BC288" i="1"/>
  <c r="BB287" i="1"/>
  <c r="BC287" i="1"/>
  <c r="BB286" i="1"/>
  <c r="BC286" i="1"/>
  <c r="CT285" i="1"/>
  <c r="CS285" i="1"/>
  <c r="CR285" i="1"/>
  <c r="CQ285" i="1"/>
  <c r="CP285" i="1"/>
  <c r="CO285" i="1"/>
  <c r="CN285" i="1"/>
  <c r="CM285" i="1"/>
  <c r="CL285" i="1"/>
  <c r="CK285" i="1"/>
  <c r="CJ285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B285" i="1"/>
  <c r="BC285" i="1"/>
  <c r="BB282" i="1"/>
  <c r="BC282" i="1"/>
  <c r="CT281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B281" i="1"/>
  <c r="BC281" i="1"/>
  <c r="BB280" i="1"/>
  <c r="BC280" i="1"/>
  <c r="BB279" i="1"/>
  <c r="BC279" i="1"/>
  <c r="CT278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B278" i="1"/>
  <c r="BC278" i="1"/>
  <c r="BB277" i="1"/>
  <c r="BC277" i="1"/>
  <c r="CT276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B276" i="1"/>
  <c r="BC276" i="1"/>
  <c r="BB272" i="1"/>
  <c r="BC272" i="1"/>
  <c r="CT271" i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C271" i="1"/>
  <c r="BC253" i="1"/>
  <c r="BC251" i="1"/>
  <c r="BC250" i="1"/>
  <c r="BC248" i="1"/>
  <c r="BC247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C246" i="1"/>
  <c r="BC243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C242" i="1"/>
  <c r="BC239" i="1"/>
  <c r="BC238" i="1"/>
  <c r="CT237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C237" i="1"/>
  <c r="BC235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C234" i="1"/>
  <c r="BC233" i="1"/>
  <c r="CT232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C232" i="1"/>
  <c r="BC230" i="1"/>
  <c r="CT229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C229" i="1"/>
  <c r="BC225" i="1"/>
  <c r="BC224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C223" i="1"/>
  <c r="BC199" i="1"/>
  <c r="BC198" i="1"/>
  <c r="BC197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C196" i="1"/>
  <c r="BC195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C194" i="1"/>
  <c r="BC190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C189" i="1"/>
  <c r="BC177" i="1"/>
  <c r="BC176" i="1"/>
  <c r="BC173" i="1"/>
  <c r="BC172" i="1"/>
  <c r="BC171" i="1"/>
  <c r="BC170" i="1"/>
  <c r="BC153" i="1"/>
  <c r="BC152" i="1"/>
  <c r="BC135" i="1"/>
  <c r="CT134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C134" i="1"/>
  <c r="BC133" i="1"/>
  <c r="BC132" i="1"/>
  <c r="BC125" i="1"/>
  <c r="BC124" i="1"/>
  <c r="BC123" i="1"/>
  <c r="BC122" i="1"/>
  <c r="BC120" i="1"/>
  <c r="BC119" i="1"/>
  <c r="BC118" i="1"/>
  <c r="BC117" i="1"/>
  <c r="BC116" i="1"/>
  <c r="BC115" i="1"/>
  <c r="BC114" i="1"/>
  <c r="BC113" i="1"/>
  <c r="BC112" i="1"/>
  <c r="BC104" i="1"/>
  <c r="BC103" i="1"/>
  <c r="BC102" i="1"/>
  <c r="BC101" i="1"/>
  <c r="BC100" i="1"/>
  <c r="BC99" i="1"/>
  <c r="BC98" i="1"/>
  <c r="BC97" i="1"/>
  <c r="BC96" i="1"/>
  <c r="BC95" i="1"/>
  <c r="BC94" i="1"/>
  <c r="BC93" i="1"/>
  <c r="BC92" i="1"/>
  <c r="BC91" i="1"/>
  <c r="BC90" i="1"/>
  <c r="BC89" i="1"/>
  <c r="BC87" i="1"/>
  <c r="BC86" i="1"/>
  <c r="BC85" i="1"/>
  <c r="BC78" i="1"/>
  <c r="BC77" i="1"/>
  <c r="BC76" i="1"/>
  <c r="BC75" i="1"/>
  <c r="BC73" i="1"/>
  <c r="BC72" i="1"/>
  <c r="BB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C12" i="1"/>
  <c r="BB11" i="1"/>
  <c r="BC11" i="1"/>
  <c r="BB10" i="1"/>
  <c r="BC10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78" i="4"/>
  <c r="AI215" i="4"/>
  <c r="U215" i="4" a="1"/>
  <c r="U215" i="4"/>
  <c r="AI251" i="4"/>
  <c r="AI255" i="4"/>
  <c r="G39" i="3"/>
  <c r="G40" i="3"/>
  <c r="G41" i="3"/>
  <c r="T215" i="4" a="1"/>
  <c r="T215" i="4"/>
  <c r="T251" i="4" a="1"/>
  <c r="T251" i="4"/>
  <c r="T255" i="4" a="1"/>
  <c r="T255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21" i="4"/>
  <c r="R316" i="4"/>
  <c r="R317" i="4"/>
  <c r="R318" i="4"/>
  <c r="R334" i="4"/>
  <c r="R322" i="4"/>
  <c r="R343" i="4"/>
  <c r="R344" i="4"/>
  <c r="R325" i="4"/>
  <c r="R337" i="4"/>
  <c r="R335" i="4"/>
  <c r="R336" i="4"/>
  <c r="R347" i="4"/>
  <c r="R333" i="4"/>
  <c r="R345" i="4"/>
  <c r="R342" i="4"/>
  <c r="R324" i="4"/>
  <c r="R328" i="4"/>
  <c r="R50" i="2"/>
  <c r="R349" i="4"/>
  <c r="R332" i="4"/>
  <c r="R363" i="4"/>
  <c r="R358" i="4"/>
  <c r="R352" i="4"/>
  <c r="R355" i="4"/>
  <c r="R348" i="4"/>
  <c r="R357" i="4"/>
  <c r="R359" i="4"/>
  <c r="R327" i="4"/>
  <c r="R356" i="4"/>
  <c r="R354" i="4"/>
  <c r="R362" i="4"/>
  <c r="R353" i="4"/>
  <c r="R360" i="4"/>
  <c r="R361" i="4"/>
  <c r="R36" i="2"/>
  <c r="R61" i="4"/>
  <c r="R60" i="4"/>
  <c r="R329" i="4"/>
  <c r="R59" i="4"/>
  <c r="R339" i="4"/>
  <c r="R364" i="4"/>
  <c r="R326" i="4"/>
  <c r="R341" i="4"/>
  <c r="R315" i="4"/>
  <c r="R338" i="4"/>
  <c r="R323" i="4"/>
  <c r="R153" i="4"/>
  <c r="R350" i="4"/>
  <c r="R82" i="4"/>
  <c r="R152" i="4"/>
  <c r="R351" i="4"/>
  <c r="R330" i="4"/>
  <c r="R64" i="4"/>
  <c r="R37" i="2"/>
  <c r="R71" i="4"/>
  <c r="R370" i="4"/>
  <c r="R379" i="4"/>
  <c r="R340" i="4"/>
  <c r="R319" i="4"/>
  <c r="R156" i="4"/>
  <c r="R377" i="4"/>
  <c r="R372" i="4"/>
  <c r="R375" i="4"/>
  <c r="R381" i="4"/>
  <c r="R378" i="4"/>
  <c r="R371" i="4"/>
  <c r="R374" i="4"/>
  <c r="R373" i="4"/>
  <c r="R331" i="4"/>
  <c r="R376" i="4"/>
  <c r="R299" i="4"/>
  <c r="R313" i="4"/>
  <c r="R306" i="4"/>
  <c r="R300" i="4"/>
  <c r="R200" i="4"/>
  <c r="R314" i="4"/>
  <c r="R305" i="4"/>
  <c r="R309" i="4"/>
  <c r="R307" i="4"/>
  <c r="R301" i="4"/>
  <c r="R155" i="4"/>
  <c r="R304" i="4"/>
  <c r="R310" i="4"/>
  <c r="R311" i="4"/>
  <c r="R302" i="4"/>
  <c r="R308" i="4"/>
  <c r="R312" i="4"/>
  <c r="R130" i="4"/>
  <c r="R190" i="4"/>
  <c r="R154" i="4"/>
  <c r="R80" i="4"/>
  <c r="R14" i="4"/>
  <c r="R208" i="4"/>
  <c r="R266" i="4"/>
  <c r="R158" i="4"/>
  <c r="R76" i="4"/>
  <c r="R161" i="4"/>
  <c r="R169" i="4"/>
  <c r="R257" i="4"/>
  <c r="R241" i="4"/>
  <c r="R15" i="4"/>
  <c r="R260" i="4"/>
  <c r="R105" i="4"/>
  <c r="R239" i="4"/>
  <c r="R177" i="4"/>
  <c r="R232" i="4"/>
  <c r="R10" i="2"/>
  <c r="R297" i="4"/>
  <c r="R214" i="4"/>
  <c r="R298" i="4"/>
  <c r="R229" i="4"/>
  <c r="R136" i="4"/>
  <c r="R238" i="4"/>
  <c r="R221" i="4"/>
  <c r="R137" i="4"/>
  <c r="R173" i="4"/>
  <c r="R269" i="4"/>
  <c r="R107" i="4"/>
  <c r="R185" i="4"/>
  <c r="R25" i="4"/>
  <c r="R176" i="4"/>
  <c r="R224" i="4"/>
  <c r="R135" i="4"/>
  <c r="R251" i="4"/>
  <c r="R66" i="4"/>
  <c r="R174" i="4"/>
  <c r="R141" i="4"/>
  <c r="R274" i="4"/>
  <c r="R268" i="4"/>
  <c r="R279" i="4"/>
  <c r="R95" i="4"/>
  <c r="R128" i="4"/>
  <c r="R170" i="4"/>
  <c r="R189" i="4"/>
  <c r="R32" i="4"/>
  <c r="R197" i="4"/>
  <c r="R146" i="4"/>
  <c r="R150" i="4"/>
  <c r="R151" i="4"/>
  <c r="R247" i="4"/>
  <c r="R286" i="4"/>
  <c r="R52" i="4"/>
  <c r="R38" i="4"/>
  <c r="R72" i="4"/>
  <c r="R255" i="4"/>
  <c r="R78" i="4"/>
  <c r="R367" i="4"/>
  <c r="R164" i="4"/>
  <c r="R207" i="4"/>
  <c r="R186" i="4"/>
  <c r="R204" i="4"/>
  <c r="R138" i="4"/>
  <c r="R273" i="4"/>
  <c r="R254" i="4"/>
  <c r="R124" i="4"/>
  <c r="R27" i="4"/>
  <c r="R160" i="4"/>
  <c r="R26" i="2"/>
  <c r="R196" i="4"/>
  <c r="R171" i="4"/>
  <c r="R284" i="4"/>
  <c r="R133" i="4"/>
  <c r="R134" i="4"/>
  <c r="R143" i="4"/>
  <c r="R24" i="4"/>
  <c r="R270" i="4"/>
  <c r="R132" i="4"/>
  <c r="R226" i="4"/>
  <c r="R346" i="4"/>
  <c r="R17" i="4"/>
  <c r="R259" i="4"/>
  <c r="R272" i="4"/>
  <c r="R31" i="4"/>
  <c r="R194" i="4"/>
  <c r="R3" i="4"/>
  <c r="R16" i="4"/>
  <c r="R262" i="4"/>
  <c r="R91" i="4"/>
  <c r="R249" i="4"/>
  <c r="R230" i="4"/>
  <c r="R242" i="4"/>
  <c r="R263" i="4"/>
  <c r="R120" i="4"/>
  <c r="R223" i="4"/>
  <c r="R142" i="4"/>
  <c r="R366" i="4"/>
  <c r="R256" i="4"/>
  <c r="R213" i="4"/>
  <c r="R112" i="4"/>
  <c r="R187" i="4"/>
  <c r="R244" i="4"/>
  <c r="R21" i="4"/>
  <c r="R58" i="4"/>
  <c r="R40" i="4"/>
  <c r="R206" i="4"/>
  <c r="R79" i="4"/>
  <c r="R62" i="4"/>
  <c r="R165" i="4"/>
  <c r="R50" i="4"/>
  <c r="R163" i="4"/>
  <c r="R217" i="4"/>
  <c r="R219" i="4"/>
  <c r="R125" i="4"/>
  <c r="R28" i="4"/>
  <c r="R280" i="4"/>
  <c r="R210" i="4"/>
  <c r="R218" i="4"/>
  <c r="R271" i="4"/>
  <c r="R288" i="4"/>
  <c r="R19" i="4"/>
  <c r="R285" i="4"/>
  <c r="R100" i="4"/>
  <c r="R131" i="4"/>
  <c r="R182" i="4"/>
  <c r="R283" i="4"/>
  <c r="R23" i="4"/>
  <c r="R108" i="4"/>
  <c r="R30" i="4"/>
  <c r="R116" i="4"/>
  <c r="R126" i="4"/>
  <c r="R39" i="4"/>
  <c r="R148" i="4"/>
  <c r="R149" i="4"/>
  <c r="R245" i="4"/>
  <c r="R233" i="4"/>
  <c r="R2" i="4"/>
  <c r="R33" i="4"/>
  <c r="R248" i="4"/>
  <c r="R65" i="4"/>
  <c r="R215" i="4"/>
  <c r="R123" i="4"/>
  <c r="R253" i="4"/>
  <c r="R293" i="4"/>
  <c r="R103" i="4"/>
  <c r="R231" i="4"/>
  <c r="R18" i="4"/>
  <c r="R195" i="4"/>
  <c r="R147" i="4"/>
  <c r="R296" i="4"/>
  <c r="R20" i="4"/>
  <c r="R22" i="4"/>
  <c r="R26" i="4"/>
  <c r="R110" i="4"/>
  <c r="R183" i="4"/>
  <c r="R77" i="4"/>
  <c r="R117" i="4"/>
  <c r="R228" i="4"/>
  <c r="R289" i="4"/>
  <c r="R294" i="4"/>
  <c r="R93" i="4"/>
  <c r="R240" i="4"/>
  <c r="R44" i="4"/>
  <c r="R216" i="4"/>
  <c r="R115" i="4"/>
  <c r="R5" i="4"/>
  <c r="R282" i="4"/>
  <c r="R127" i="4"/>
  <c r="R220" i="4"/>
  <c r="R181" i="4"/>
  <c r="R104" i="4"/>
  <c r="R250" i="4"/>
  <c r="R90" i="4"/>
  <c r="R34" i="4"/>
  <c r="R295" i="4"/>
  <c r="R168" i="4"/>
  <c r="R41" i="4"/>
  <c r="R246" i="4"/>
  <c r="R287" i="4"/>
  <c r="R51" i="4"/>
  <c r="R252" i="4"/>
  <c r="R145" i="4"/>
  <c r="R68" i="4"/>
  <c r="R69" i="4"/>
  <c r="R162" i="4"/>
  <c r="R118" i="4"/>
  <c r="R291" i="4"/>
  <c r="R258" i="4"/>
  <c r="R35" i="4"/>
  <c r="R36" i="4"/>
  <c r="R37" i="4"/>
  <c r="R29" i="4"/>
  <c r="R144" i="4"/>
  <c r="R70" i="4"/>
  <c r="R88" i="4"/>
  <c r="R119" i="4"/>
  <c r="R48" i="4"/>
  <c r="R199" i="4"/>
  <c r="R222" i="4"/>
  <c r="R167" i="4"/>
  <c r="R276" i="4"/>
  <c r="R83" i="4"/>
  <c r="R113" i="4"/>
  <c r="R47" i="4"/>
  <c r="R278" i="4"/>
  <c r="R49" i="4"/>
  <c r="R159" i="4"/>
  <c r="R96" i="4"/>
  <c r="R225" i="4"/>
  <c r="R75" i="4"/>
  <c r="R121" i="4"/>
  <c r="R106" i="4"/>
  <c r="R166" i="4"/>
  <c r="R275" i="4"/>
  <c r="R57" i="4"/>
  <c r="R198" i="4"/>
  <c r="R81" i="4"/>
  <c r="R188" i="4"/>
  <c r="R53" i="4"/>
  <c r="R55" i="4"/>
  <c r="R264" i="4"/>
  <c r="R94" i="4"/>
  <c r="R67" i="4"/>
  <c r="R99" i="4"/>
  <c r="R267" i="4"/>
  <c r="R101" i="4"/>
  <c r="R42" i="4"/>
  <c r="R202" i="4"/>
  <c r="R175" i="4"/>
  <c r="R54" i="4"/>
  <c r="R85" i="4"/>
  <c r="R86" i="4"/>
  <c r="R290" i="4"/>
  <c r="R63" i="4"/>
  <c r="R281" i="4"/>
  <c r="R98" i="4"/>
  <c r="R111" i="4"/>
  <c r="R236" i="4"/>
  <c r="R243" i="4"/>
  <c r="R235" i="4"/>
  <c r="R237" i="4"/>
  <c r="Z367" i="4"/>
  <c r="Z368" i="4"/>
  <c r="Z369" i="4"/>
  <c r="U2" i="12"/>
  <c r="R157" i="4"/>
  <c r="R184" i="4"/>
  <c r="R212" i="4"/>
  <c r="R320" i="4"/>
  <c r="Q2" i="12"/>
  <c r="O2" i="12"/>
  <c r="N389" i="4"/>
  <c r="N407" i="4"/>
  <c r="M2" i="12"/>
  <c r="K2" i="12"/>
  <c r="J2" i="4"/>
  <c r="J7" i="4"/>
  <c r="J14" i="4"/>
  <c r="J15" i="4"/>
  <c r="J157" i="4"/>
  <c r="J19" i="4"/>
  <c r="J20" i="4"/>
  <c r="J21" i="4"/>
  <c r="J22" i="4"/>
  <c r="J23" i="4"/>
  <c r="J24" i="4"/>
  <c r="J25" i="4"/>
  <c r="J26" i="4"/>
  <c r="J27" i="4"/>
  <c r="J28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4" i="4"/>
  <c r="J48" i="4"/>
  <c r="J49" i="4"/>
  <c r="J50" i="4"/>
  <c r="J51" i="4"/>
  <c r="J52" i="4"/>
  <c r="J53" i="4"/>
  <c r="J54" i="4"/>
  <c r="J55" i="4"/>
  <c r="J26" i="2"/>
  <c r="J57" i="4"/>
  <c r="J58" i="4"/>
  <c r="J62" i="4"/>
  <c r="J63" i="4"/>
  <c r="J64" i="4"/>
  <c r="J65" i="4"/>
  <c r="J66" i="4"/>
  <c r="J67" i="4"/>
  <c r="J68" i="4"/>
  <c r="J69" i="4"/>
  <c r="J70" i="4"/>
  <c r="J71" i="4"/>
  <c r="J72" i="4"/>
  <c r="J75" i="4"/>
  <c r="J76" i="4"/>
  <c r="J77" i="4"/>
  <c r="J78" i="4"/>
  <c r="J79" i="4"/>
  <c r="J80" i="4"/>
  <c r="J81" i="4"/>
  <c r="J82" i="4"/>
  <c r="J83" i="4"/>
  <c r="J86" i="4"/>
  <c r="J88" i="4"/>
  <c r="J89" i="4"/>
  <c r="J90" i="4"/>
  <c r="J91" i="4"/>
  <c r="J92" i="4"/>
  <c r="J93" i="4"/>
  <c r="J94" i="4"/>
  <c r="J95" i="4"/>
  <c r="J96" i="4"/>
  <c r="J98" i="4"/>
  <c r="J100" i="4"/>
  <c r="J101" i="4"/>
  <c r="J103" i="4"/>
  <c r="J104" i="4"/>
  <c r="J106" i="4"/>
  <c r="J107" i="4"/>
  <c r="J108" i="4"/>
  <c r="J109" i="4"/>
  <c r="J110" i="4"/>
  <c r="J112" i="4"/>
  <c r="J113" i="4"/>
  <c r="J115" i="4"/>
  <c r="J116" i="4"/>
  <c r="J117" i="4"/>
  <c r="J118" i="4"/>
  <c r="J120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5" i="4"/>
  <c r="J136" i="4"/>
  <c r="J138" i="4"/>
  <c r="J139" i="4"/>
  <c r="J140" i="4"/>
  <c r="J141" i="4"/>
  <c r="J142" i="4"/>
  <c r="J143" i="4"/>
  <c r="J144" i="4"/>
  <c r="J145" i="4"/>
  <c r="J146" i="4"/>
  <c r="J147" i="4"/>
  <c r="J149" i="4"/>
  <c r="J150" i="4"/>
  <c r="J151" i="4"/>
  <c r="J153" i="4"/>
  <c r="J154" i="4"/>
  <c r="J156" i="4"/>
  <c r="J158" i="4"/>
  <c r="J159" i="4"/>
  <c r="J160" i="4"/>
  <c r="J161" i="4"/>
  <c r="J162" i="4"/>
  <c r="J163" i="4"/>
  <c r="J164" i="4"/>
  <c r="J18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5" i="4"/>
  <c r="J186" i="4"/>
  <c r="J187" i="4"/>
  <c r="J188" i="4"/>
  <c r="J189" i="4"/>
  <c r="J194" i="4"/>
  <c r="J195" i="4"/>
  <c r="J196" i="4"/>
  <c r="J197" i="4"/>
  <c r="J200" i="4"/>
  <c r="J201" i="4"/>
  <c r="J202" i="4"/>
  <c r="J204" i="4"/>
  <c r="J206" i="4"/>
  <c r="J207" i="4"/>
  <c r="J208" i="4"/>
  <c r="J209" i="4"/>
  <c r="J210" i="4"/>
  <c r="J213" i="4"/>
  <c r="J214" i="4"/>
  <c r="J216" i="4"/>
  <c r="J217" i="4"/>
  <c r="J218" i="4"/>
  <c r="J219" i="4"/>
  <c r="J222" i="4"/>
  <c r="J225" i="4"/>
  <c r="J226" i="4"/>
  <c r="J227" i="4"/>
  <c r="J229" i="4"/>
  <c r="J230" i="4"/>
  <c r="J231" i="4"/>
  <c r="J232" i="4"/>
  <c r="J238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5" i="4"/>
  <c r="J256" i="4"/>
  <c r="J257" i="4"/>
  <c r="J258" i="4"/>
  <c r="J259" i="4"/>
  <c r="J260" i="4"/>
  <c r="J262" i="4"/>
  <c r="J263" i="4"/>
  <c r="J10" i="2"/>
  <c r="J264" i="4"/>
  <c r="J265" i="4"/>
  <c r="J266" i="4"/>
  <c r="J268" i="4"/>
  <c r="J269" i="4"/>
  <c r="J271" i="4"/>
  <c r="J272" i="4"/>
  <c r="J273" i="4"/>
  <c r="J274" i="4"/>
  <c r="J276" i="4"/>
  <c r="J277" i="4"/>
  <c r="J278" i="4"/>
  <c r="J279" i="4"/>
  <c r="J13" i="2"/>
  <c r="J281" i="4"/>
  <c r="J282" i="4"/>
  <c r="J283" i="4"/>
  <c r="J284" i="4"/>
  <c r="J285" i="4"/>
  <c r="J286" i="4"/>
  <c r="J287" i="4"/>
  <c r="J288" i="4"/>
  <c r="J289" i="4"/>
  <c r="J290" i="4"/>
  <c r="J291" i="4"/>
  <c r="J293" i="4"/>
  <c r="J294" i="4"/>
  <c r="J295" i="4"/>
  <c r="J296" i="4"/>
  <c r="J297" i="4"/>
  <c r="I2" i="12"/>
  <c r="H183" i="4"/>
  <c r="H214" i="4"/>
  <c r="G2" i="12"/>
  <c r="F5" i="4"/>
  <c r="F46" i="2"/>
  <c r="F16" i="4"/>
  <c r="F17" i="4"/>
  <c r="F18" i="4"/>
  <c r="F20" i="4"/>
  <c r="F21" i="4"/>
  <c r="F22" i="4"/>
  <c r="F23" i="4"/>
  <c r="F24" i="4"/>
  <c r="F25" i="4"/>
  <c r="F26" i="4"/>
  <c r="F27" i="4"/>
  <c r="F29" i="4"/>
  <c r="F30" i="4"/>
  <c r="F31" i="4"/>
  <c r="F32" i="4"/>
  <c r="F33" i="4"/>
  <c r="F34" i="4"/>
  <c r="F38" i="4"/>
  <c r="F42" i="4"/>
  <c r="F47" i="4"/>
  <c r="F48" i="4"/>
  <c r="F50" i="4"/>
  <c r="F51" i="4"/>
  <c r="F52" i="4"/>
  <c r="F54" i="4"/>
  <c r="F58" i="4"/>
  <c r="F62" i="4"/>
  <c r="F64" i="4"/>
  <c r="F70" i="4"/>
  <c r="F37" i="2"/>
  <c r="F71" i="4"/>
  <c r="F72" i="4"/>
  <c r="F76" i="4"/>
  <c r="F80" i="4"/>
  <c r="F82" i="4"/>
  <c r="F89" i="4"/>
  <c r="F90" i="4"/>
  <c r="F95" i="4"/>
  <c r="F97" i="4"/>
  <c r="F98" i="4"/>
  <c r="F100" i="4"/>
  <c r="F101" i="4"/>
  <c r="F12" i="2"/>
  <c r="F4" i="4"/>
  <c r="F107" i="4"/>
  <c r="F111" i="4"/>
  <c r="F118" i="4"/>
  <c r="F122" i="4"/>
  <c r="F123" i="4"/>
  <c r="F124" i="4"/>
  <c r="F125" i="4"/>
  <c r="F127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73" i="4"/>
  <c r="F74" i="4"/>
  <c r="F181" i="4"/>
  <c r="F182" i="4"/>
  <c r="F183" i="4"/>
  <c r="F185" i="4"/>
  <c r="F186" i="4"/>
  <c r="F187" i="4"/>
  <c r="F188" i="4"/>
  <c r="F189" i="4"/>
  <c r="F190" i="4"/>
  <c r="F192" i="4"/>
  <c r="F193" i="4"/>
  <c r="F194" i="4"/>
  <c r="F87" i="4"/>
  <c r="F196" i="4"/>
  <c r="F197" i="4"/>
  <c r="F102" i="4"/>
  <c r="F200" i="4"/>
  <c r="F201" i="4"/>
  <c r="F202" i="4"/>
  <c r="F204" i="4"/>
  <c r="F205" i="4"/>
  <c r="F206" i="4"/>
  <c r="F207" i="4"/>
  <c r="F208" i="4"/>
  <c r="F209" i="4"/>
  <c r="F210" i="4"/>
  <c r="F13" i="2"/>
  <c r="F211" i="4"/>
  <c r="F213" i="4"/>
  <c r="F214" i="4"/>
  <c r="F215" i="4"/>
  <c r="F216" i="4"/>
  <c r="F217" i="4"/>
  <c r="F218" i="4"/>
  <c r="F219" i="4"/>
  <c r="F220" i="4"/>
  <c r="F222" i="4"/>
  <c r="F223" i="4"/>
  <c r="F225" i="4"/>
  <c r="F227" i="4"/>
  <c r="F229" i="4"/>
  <c r="F230" i="4"/>
  <c r="F231" i="4"/>
  <c r="F232" i="4"/>
  <c r="F233" i="4"/>
  <c r="F235" i="4"/>
  <c r="F237" i="4"/>
  <c r="F238" i="4"/>
  <c r="F239" i="4"/>
  <c r="F240" i="4"/>
  <c r="F241" i="4"/>
  <c r="F243" i="4"/>
  <c r="F244" i="4"/>
  <c r="F245" i="4"/>
  <c r="F246" i="4"/>
  <c r="F247" i="4"/>
  <c r="F248" i="4"/>
  <c r="F250" i="4"/>
  <c r="F251" i="4"/>
  <c r="F252" i="4"/>
  <c r="F253" i="4"/>
  <c r="F254" i="4"/>
  <c r="F255" i="4"/>
  <c r="F256" i="4"/>
  <c r="F257" i="4"/>
  <c r="F258" i="4"/>
  <c r="F259" i="4"/>
  <c r="F260" i="4"/>
  <c r="F262" i="4"/>
  <c r="F10" i="2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3" i="4"/>
  <c r="F294" i="4"/>
  <c r="F50" i="2"/>
  <c r="F295" i="4"/>
  <c r="F296" i="4"/>
  <c r="F297" i="4"/>
  <c r="F298" i="4"/>
  <c r="F299" i="4"/>
  <c r="F300" i="4"/>
  <c r="F301" i="4"/>
  <c r="F302" i="4"/>
  <c r="F304" i="4"/>
  <c r="F305" i="4"/>
  <c r="F306" i="4"/>
  <c r="F307" i="4"/>
  <c r="F308" i="4"/>
  <c r="F309" i="4"/>
  <c r="F310" i="4"/>
  <c r="F311" i="4"/>
  <c r="F312" i="4"/>
  <c r="F313" i="4"/>
  <c r="F51" i="2"/>
  <c r="F314" i="4"/>
  <c r="F315" i="4"/>
  <c r="F316" i="4"/>
  <c r="F317" i="4"/>
  <c r="F318" i="4"/>
  <c r="F319" i="4"/>
  <c r="F320" i="4"/>
  <c r="F321" i="4"/>
  <c r="F322" i="4"/>
  <c r="F341" i="4"/>
  <c r="F323" i="4"/>
  <c r="F324" i="4"/>
  <c r="F326" i="4"/>
  <c r="F325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1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E2" i="12"/>
  <c r="C2" i="12"/>
  <c r="E5" i="4"/>
  <c r="E46" i="2"/>
  <c r="E16" i="4"/>
  <c r="E17" i="4"/>
  <c r="E18" i="4"/>
  <c r="E20" i="4"/>
  <c r="E21" i="4"/>
  <c r="E22" i="4"/>
  <c r="E23" i="4"/>
  <c r="E24" i="4"/>
  <c r="E25" i="4"/>
  <c r="E26" i="4"/>
  <c r="E27" i="4"/>
  <c r="E29" i="4"/>
  <c r="E30" i="4"/>
  <c r="E31" i="4"/>
  <c r="E32" i="4"/>
  <c r="E33" i="4"/>
  <c r="E34" i="4"/>
  <c r="E38" i="4"/>
  <c r="E42" i="4"/>
  <c r="E47" i="4"/>
  <c r="E48" i="4"/>
  <c r="E50" i="4"/>
  <c r="E51" i="4"/>
  <c r="E52" i="4"/>
  <c r="E54" i="4"/>
  <c r="E58" i="4"/>
  <c r="E62" i="4"/>
  <c r="E64" i="4"/>
  <c r="E70" i="4"/>
  <c r="E37" i="2"/>
  <c r="E71" i="4"/>
  <c r="E72" i="4"/>
  <c r="E76" i="4"/>
  <c r="E80" i="4"/>
  <c r="E82" i="4"/>
  <c r="E89" i="4"/>
  <c r="E90" i="4"/>
  <c r="E95" i="4"/>
  <c r="E97" i="4"/>
  <c r="E98" i="4"/>
  <c r="E100" i="4"/>
  <c r="E101" i="4"/>
  <c r="E12" i="2"/>
  <c r="E4" i="4"/>
  <c r="E107" i="4"/>
  <c r="E111" i="4"/>
  <c r="E118" i="4"/>
  <c r="E122" i="4"/>
  <c r="E123" i="4"/>
  <c r="E124" i="4"/>
  <c r="E125" i="4"/>
  <c r="E127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73" i="4"/>
  <c r="E74" i="4"/>
  <c r="E181" i="4"/>
  <c r="E182" i="4"/>
  <c r="E183" i="4"/>
  <c r="E185" i="4"/>
  <c r="E186" i="4"/>
  <c r="E187" i="4"/>
  <c r="E188" i="4"/>
  <c r="E189" i="4"/>
  <c r="E190" i="4"/>
  <c r="E192" i="4"/>
  <c r="E193" i="4"/>
  <c r="E194" i="4"/>
  <c r="E87" i="4"/>
  <c r="E196" i="4"/>
  <c r="E197" i="4"/>
  <c r="E102" i="4"/>
  <c r="E200" i="4"/>
  <c r="E201" i="4"/>
  <c r="E202" i="4"/>
  <c r="E204" i="4"/>
  <c r="E205" i="4"/>
  <c r="E206" i="4"/>
  <c r="E207" i="4"/>
  <c r="E208" i="4"/>
  <c r="E209" i="4"/>
  <c r="E210" i="4"/>
  <c r="E13" i="2"/>
  <c r="E211" i="4"/>
  <c r="E213" i="4"/>
  <c r="E214" i="4"/>
  <c r="E215" i="4"/>
  <c r="E216" i="4"/>
  <c r="E217" i="4"/>
  <c r="E218" i="4"/>
  <c r="E219" i="4"/>
  <c r="E220" i="4"/>
  <c r="E222" i="4"/>
  <c r="E223" i="4"/>
  <c r="E225" i="4"/>
  <c r="E227" i="4"/>
  <c r="E229" i="4"/>
  <c r="E230" i="4"/>
  <c r="E231" i="4"/>
  <c r="E232" i="4"/>
  <c r="E233" i="4"/>
  <c r="E235" i="4"/>
  <c r="E237" i="4"/>
  <c r="E238" i="4"/>
  <c r="E239" i="4"/>
  <c r="E240" i="4"/>
  <c r="E241" i="4"/>
  <c r="E243" i="4"/>
  <c r="E244" i="4"/>
  <c r="E245" i="4"/>
  <c r="E246" i="4"/>
  <c r="E247" i="4"/>
  <c r="E248" i="4"/>
  <c r="E250" i="4"/>
  <c r="E251" i="4"/>
  <c r="E252" i="4"/>
  <c r="E253" i="4"/>
  <c r="E254" i="4"/>
  <c r="E255" i="4"/>
  <c r="E256" i="4"/>
  <c r="E257" i="4"/>
  <c r="E258" i="4"/>
  <c r="E259" i="4"/>
  <c r="E260" i="4"/>
  <c r="E262" i="4"/>
  <c r="E10" i="2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3" i="4"/>
  <c r="E294" i="4"/>
  <c r="E50" i="2"/>
  <c r="E295" i="4"/>
  <c r="E296" i="4"/>
  <c r="E297" i="4"/>
  <c r="E298" i="4"/>
  <c r="E299" i="4"/>
  <c r="E300" i="4"/>
  <c r="E301" i="4"/>
  <c r="E302" i="4"/>
  <c r="E304" i="4"/>
  <c r="E305" i="4"/>
  <c r="E306" i="4"/>
  <c r="E307" i="4"/>
  <c r="E308" i="4"/>
  <c r="E309" i="4"/>
  <c r="E310" i="4"/>
  <c r="E311" i="4"/>
  <c r="E312" i="4"/>
  <c r="E313" i="4"/>
  <c r="E51" i="2"/>
  <c r="E314" i="4"/>
  <c r="E315" i="4"/>
  <c r="E316" i="4"/>
  <c r="E317" i="4"/>
  <c r="E318" i="4"/>
  <c r="E319" i="4"/>
  <c r="E320" i="4"/>
  <c r="E321" i="4"/>
  <c r="E322" i="4"/>
  <c r="E341" i="4"/>
  <c r="E323" i="4"/>
  <c r="E324" i="4"/>
  <c r="E326" i="4"/>
  <c r="E325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1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D2" i="12"/>
  <c r="F2" i="12"/>
  <c r="I2" i="4"/>
  <c r="I7" i="4"/>
  <c r="I14" i="4"/>
  <c r="I15" i="4"/>
  <c r="I157" i="4"/>
  <c r="I19" i="4"/>
  <c r="I20" i="4"/>
  <c r="I21" i="4"/>
  <c r="I22" i="4"/>
  <c r="I23" i="4"/>
  <c r="I24" i="4"/>
  <c r="I25" i="4"/>
  <c r="I26" i="4"/>
  <c r="I27" i="4"/>
  <c r="I28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4" i="4"/>
  <c r="I48" i="4"/>
  <c r="I49" i="4"/>
  <c r="I50" i="4"/>
  <c r="I51" i="4"/>
  <c r="I52" i="4"/>
  <c r="I53" i="4"/>
  <c r="I54" i="4"/>
  <c r="I55" i="4"/>
  <c r="I26" i="2"/>
  <c r="I57" i="4"/>
  <c r="I58" i="4"/>
  <c r="I62" i="4"/>
  <c r="I63" i="4"/>
  <c r="I65" i="4"/>
  <c r="I66" i="4"/>
  <c r="I67" i="4"/>
  <c r="I68" i="4"/>
  <c r="I69" i="4"/>
  <c r="I70" i="4"/>
  <c r="I72" i="4"/>
  <c r="I75" i="4"/>
  <c r="I76" i="4"/>
  <c r="I77" i="4"/>
  <c r="I78" i="4"/>
  <c r="I79" i="4"/>
  <c r="I80" i="4"/>
  <c r="I81" i="4"/>
  <c r="I83" i="4"/>
  <c r="I86" i="4"/>
  <c r="I88" i="4"/>
  <c r="I89" i="4"/>
  <c r="I90" i="4"/>
  <c r="I91" i="4"/>
  <c r="I92" i="4"/>
  <c r="I93" i="4"/>
  <c r="I94" i="4"/>
  <c r="I95" i="4"/>
  <c r="I96" i="4"/>
  <c r="I98" i="4"/>
  <c r="I100" i="4"/>
  <c r="I101" i="4"/>
  <c r="I103" i="4"/>
  <c r="I104" i="4"/>
  <c r="I105" i="4"/>
  <c r="I106" i="4"/>
  <c r="I107" i="4"/>
  <c r="I108" i="4"/>
  <c r="I109" i="4"/>
  <c r="I110" i="4"/>
  <c r="I112" i="4"/>
  <c r="I113" i="4"/>
  <c r="I115" i="4"/>
  <c r="I116" i="4"/>
  <c r="I117" i="4"/>
  <c r="I118" i="4"/>
  <c r="I120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5" i="4"/>
  <c r="I136" i="4"/>
  <c r="I138" i="4"/>
  <c r="I139" i="4"/>
  <c r="I140" i="4"/>
  <c r="I141" i="4"/>
  <c r="I142" i="4"/>
  <c r="I143" i="4"/>
  <c r="I144" i="4"/>
  <c r="I145" i="4"/>
  <c r="I146" i="4"/>
  <c r="I147" i="4"/>
  <c r="I149" i="4"/>
  <c r="I150" i="4"/>
  <c r="I151" i="4"/>
  <c r="I153" i="4"/>
  <c r="I154" i="4"/>
  <c r="I156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5" i="4"/>
  <c r="I186" i="4"/>
  <c r="I187" i="4"/>
  <c r="I188" i="4"/>
  <c r="I189" i="4"/>
  <c r="I194" i="4"/>
  <c r="I195" i="4"/>
  <c r="I196" i="4"/>
  <c r="I197" i="4"/>
  <c r="I200" i="4"/>
  <c r="I201" i="4"/>
  <c r="I202" i="4"/>
  <c r="I204" i="4"/>
  <c r="I206" i="4"/>
  <c r="I207" i="4"/>
  <c r="I208" i="4"/>
  <c r="I209" i="4"/>
  <c r="I210" i="4"/>
  <c r="I213" i="4"/>
  <c r="I214" i="4"/>
  <c r="I216" i="4"/>
  <c r="I217" i="4"/>
  <c r="I218" i="4"/>
  <c r="I219" i="4"/>
  <c r="I222" i="4"/>
  <c r="I225" i="4"/>
  <c r="I226" i="4"/>
  <c r="I227" i="4"/>
  <c r="I229" i="4"/>
  <c r="I230" i="4"/>
  <c r="I231" i="4"/>
  <c r="I232" i="4"/>
  <c r="I238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5" i="4"/>
  <c r="I256" i="4"/>
  <c r="I257" i="4"/>
  <c r="I258" i="4"/>
  <c r="I259" i="4"/>
  <c r="I260" i="4"/>
  <c r="I262" i="4"/>
  <c r="I263" i="4"/>
  <c r="I10" i="2"/>
  <c r="I264" i="4"/>
  <c r="I265" i="4"/>
  <c r="I266" i="4"/>
  <c r="I268" i="4"/>
  <c r="I269" i="4"/>
  <c r="I271" i="4"/>
  <c r="I272" i="4"/>
  <c r="I273" i="4"/>
  <c r="I274" i="4"/>
  <c r="I276" i="4"/>
  <c r="I277" i="4"/>
  <c r="I278" i="4"/>
  <c r="I279" i="4"/>
  <c r="I13" i="2"/>
  <c r="I281" i="4"/>
  <c r="I282" i="4"/>
  <c r="I283" i="4"/>
  <c r="I284" i="4"/>
  <c r="I285" i="4"/>
  <c r="I286" i="4"/>
  <c r="I287" i="4"/>
  <c r="I288" i="4"/>
  <c r="I289" i="4"/>
  <c r="I290" i="4"/>
  <c r="I291" i="4"/>
  <c r="I293" i="4"/>
  <c r="I294" i="4"/>
  <c r="I295" i="4"/>
  <c r="I296" i="4"/>
  <c r="I297" i="4"/>
  <c r="H2" i="12"/>
  <c r="J2" i="12"/>
  <c r="M4" i="4"/>
  <c r="M73" i="4"/>
  <c r="M191" i="4"/>
  <c r="M192" i="4"/>
  <c r="M193" i="4"/>
  <c r="M87" i="4"/>
  <c r="M102" i="4"/>
  <c r="M203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L2" i="12"/>
  <c r="N2" i="12"/>
  <c r="Q157" i="4"/>
  <c r="Q184" i="4"/>
  <c r="Q212" i="4"/>
  <c r="P2" i="12"/>
  <c r="R2" i="12"/>
  <c r="V2" i="12"/>
  <c r="Y341" i="4"/>
  <c r="Y369" i="4"/>
  <c r="B382" i="4"/>
  <c r="C382" i="4"/>
  <c r="B383" i="4"/>
  <c r="C383" i="4"/>
  <c r="B385" i="4"/>
  <c r="C385" i="4"/>
  <c r="C386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299" i="4"/>
  <c r="AI300" i="4"/>
  <c r="AI301" i="4"/>
  <c r="AI302" i="4"/>
  <c r="AI305" i="4"/>
  <c r="AI306" i="4"/>
  <c r="AI307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41" i="4"/>
  <c r="AI323" i="4"/>
  <c r="AI324" i="4"/>
  <c r="AI326" i="4"/>
  <c r="AI325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8" i="4"/>
  <c r="AI379" i="4"/>
  <c r="AI381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I411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6" i="4"/>
  <c r="AC3" i="4"/>
  <c r="AC191" i="4"/>
  <c r="AC192" i="4"/>
  <c r="AC111" i="4"/>
  <c r="AC193" i="4"/>
  <c r="AC10" i="4"/>
  <c r="AC12" i="4"/>
  <c r="AC13" i="4"/>
  <c r="AC109" i="4"/>
  <c r="AC211" i="4"/>
  <c r="AC97" i="4"/>
  <c r="AC99" i="4"/>
  <c r="AC188" i="4"/>
  <c r="AC202" i="4"/>
  <c r="AC166" i="4"/>
  <c r="AC175" i="4"/>
  <c r="AC16" i="4"/>
  <c r="AC18" i="4"/>
  <c r="AC21" i="4"/>
  <c r="AC50" i="4"/>
  <c r="AC23" i="4"/>
  <c r="AC51" i="4"/>
  <c r="AC25" i="4"/>
  <c r="AC26" i="4"/>
  <c r="AC27" i="4"/>
  <c r="AC29" i="4"/>
  <c r="AC30" i="4"/>
  <c r="AC31" i="4"/>
  <c r="AC32" i="4"/>
  <c r="AC33" i="4"/>
  <c r="AC52" i="4"/>
  <c r="AC34" i="4"/>
  <c r="AC227" i="4"/>
  <c r="AC95" i="4"/>
  <c r="AC47" i="4"/>
  <c r="AC48" i="4"/>
  <c r="AC20" i="4"/>
  <c r="AC22" i="4"/>
  <c r="AC24" i="4"/>
  <c r="AC234" i="4"/>
  <c r="AC203" i="4"/>
  <c r="AC248" i="4"/>
  <c r="AC238" i="4"/>
  <c r="AC242" i="4"/>
  <c r="AC204" i="4"/>
  <c r="AC54" i="4"/>
  <c r="AC94" i="4"/>
  <c r="AC96" i="4"/>
  <c r="AC40" i="4"/>
  <c r="AC281" i="4"/>
  <c r="AC178" i="4"/>
  <c r="AC179" i="4"/>
  <c r="AC180" i="4"/>
  <c r="AC100" i="4"/>
  <c r="AC70" i="4"/>
  <c r="AC101" i="4"/>
  <c r="AC42" i="4"/>
  <c r="AC72" i="4"/>
  <c r="AC56" i="4"/>
  <c r="AC131" i="4"/>
  <c r="AC132" i="4"/>
  <c r="AC133" i="4"/>
  <c r="AC134" i="4"/>
  <c r="AC135" i="4"/>
  <c r="AC136" i="4"/>
  <c r="AC137" i="4"/>
  <c r="AC138" i="4"/>
  <c r="AC104" i="4"/>
  <c r="AC265" i="4"/>
  <c r="AC201" i="4"/>
  <c r="AC89" i="4"/>
  <c r="AC139" i="4"/>
  <c r="AC140" i="4"/>
  <c r="AC209" i="4"/>
  <c r="AC141" i="4"/>
  <c r="AC142" i="4"/>
  <c r="AC165" i="4"/>
  <c r="AC143" i="4"/>
  <c r="AC123" i="4"/>
  <c r="AC106" i="4"/>
  <c r="AC124" i="4"/>
  <c r="AC283" i="4"/>
  <c r="AC273" i="4"/>
  <c r="AC271" i="4"/>
  <c r="AC276" i="4"/>
  <c r="AC278" i="4"/>
  <c r="AC231" i="4"/>
  <c r="AC250" i="4"/>
  <c r="AC17" i="4"/>
  <c r="AC287" i="4"/>
  <c r="AC291" i="4"/>
  <c r="AC297" i="4"/>
  <c r="AC298" i="4"/>
  <c r="AC293" i="4"/>
  <c r="AC296" i="4"/>
  <c r="AC258" i="4"/>
  <c r="AC262" i="4"/>
  <c r="AC266" i="4"/>
  <c r="AC288" i="4"/>
  <c r="AC290" i="4"/>
  <c r="AC286" i="4"/>
  <c r="AC269" i="4"/>
  <c r="AC254" i="4"/>
  <c r="AC244" i="4"/>
  <c r="AC259" i="4"/>
  <c r="AC90" i="4"/>
  <c r="AC91" i="4"/>
  <c r="AC115" i="4"/>
  <c r="AC125" i="4"/>
  <c r="AC107" i="4"/>
  <c r="AC189" i="4"/>
  <c r="AC49" i="4"/>
  <c r="AC19" i="4"/>
  <c r="AC2" i="4"/>
  <c r="AC272" i="4"/>
  <c r="AC83" i="4"/>
  <c r="AC108" i="4"/>
  <c r="AC28" i="4"/>
  <c r="AC289" i="4"/>
  <c r="AC154" i="4"/>
  <c r="AC155" i="4"/>
  <c r="AC57" i="4"/>
  <c r="AC63" i="4"/>
  <c r="AC53" i="4"/>
  <c r="AC35" i="4"/>
  <c r="AC36" i="4"/>
  <c r="AC37" i="4"/>
  <c r="AC116" i="4"/>
  <c r="AC144" i="4"/>
  <c r="AC159" i="4"/>
  <c r="AC279" i="4"/>
  <c r="AC160" i="4"/>
  <c r="AC294" i="4"/>
  <c r="AC212" i="4"/>
  <c r="AC65" i="4"/>
  <c r="AC126" i="4"/>
  <c r="AC93" i="4"/>
  <c r="AC252" i="4"/>
  <c r="AC85" i="4"/>
  <c r="AC38" i="4"/>
  <c r="AC127" i="4"/>
  <c r="AC39" i="4"/>
  <c r="AC110" i="4"/>
  <c r="AC66" i="4"/>
  <c r="AC176" i="4"/>
  <c r="AC220" i="4"/>
  <c r="AC270" i="4"/>
  <c r="AC58" i="4"/>
  <c r="AC235" i="4"/>
  <c r="AC98" i="4"/>
  <c r="AC41" i="4"/>
  <c r="AC128" i="4"/>
  <c r="AC156" i="4"/>
  <c r="AC67" i="4"/>
  <c r="AC55" i="4"/>
  <c r="AC240" i="4"/>
  <c r="AC223" i="4"/>
  <c r="AC241" i="4"/>
  <c r="AC237" i="4"/>
  <c r="AC177" i="4"/>
  <c r="AC267" i="4"/>
  <c r="AC112" i="4"/>
  <c r="AC194" i="4"/>
  <c r="AC86" i="4"/>
  <c r="AC68" i="4"/>
  <c r="AC69" i="4"/>
  <c r="AC295" i="4"/>
  <c r="AC167" i="4"/>
  <c r="AC285" i="4"/>
  <c r="AC206" i="4"/>
  <c r="AC8" i="4"/>
  <c r="AC130" i="4"/>
  <c r="AC195" i="4"/>
  <c r="AC9" i="4"/>
  <c r="AC43" i="4"/>
  <c r="AC11" i="4"/>
  <c r="AC161" i="4"/>
  <c r="AC162" i="4"/>
  <c r="AC163" i="4"/>
  <c r="AC145" i="4"/>
  <c r="AC168" i="4"/>
  <c r="AC181" i="4"/>
  <c r="AC169" i="4"/>
  <c r="AC196" i="4"/>
  <c r="AC197" i="4"/>
  <c r="AC200" i="4"/>
  <c r="AC226" i="4"/>
  <c r="AC171" i="4"/>
  <c r="AC146" i="4"/>
  <c r="AC164" i="4"/>
  <c r="AC284" i="4"/>
  <c r="AC172" i="4"/>
  <c r="AC75" i="4"/>
  <c r="AC182" i="4"/>
  <c r="AC214" i="4"/>
  <c r="AC183" i="4"/>
  <c r="AC147" i="4"/>
  <c r="AC148" i="4"/>
  <c r="AC149" i="4"/>
  <c r="AC150" i="4"/>
  <c r="AC151" i="4"/>
  <c r="AC255" i="4"/>
  <c r="AC251" i="4"/>
  <c r="AC76" i="4"/>
  <c r="AC77" i="4"/>
  <c r="AC245" i="4"/>
  <c r="AC78" i="4"/>
  <c r="AC117" i="4"/>
  <c r="AC103" i="4"/>
  <c r="AC118" i="4"/>
  <c r="AC88" i="4"/>
  <c r="AC79" i="4"/>
  <c r="AC119" i="4"/>
  <c r="AC120" i="4"/>
  <c r="AC121" i="4"/>
  <c r="AC80" i="4"/>
  <c r="AC105" i="4"/>
  <c r="AC14" i="4"/>
  <c r="AC15" i="4"/>
  <c r="AC44" i="4"/>
  <c r="AC261" i="4"/>
  <c r="AC81" i="4"/>
  <c r="AC113" i="4"/>
  <c r="AC207" i="4"/>
  <c r="AC208" i="4"/>
  <c r="AC62" i="4"/>
  <c r="AC216" i="4"/>
  <c r="AC186" i="4"/>
  <c r="AC210" i="4"/>
  <c r="AC187" i="4"/>
  <c r="AC217" i="4"/>
  <c r="AC218" i="4"/>
  <c r="AC219" i="4"/>
  <c r="AC246" i="4"/>
  <c r="AC247" i="4"/>
  <c r="AC253" i="4"/>
  <c r="AC230" i="4"/>
  <c r="AC260" i="4"/>
  <c r="AC274" i="4"/>
  <c r="AC268" i="4"/>
  <c r="AC256" i="4"/>
  <c r="AC257" i="4"/>
  <c r="AC282" i="4"/>
  <c r="AC92" i="4"/>
  <c r="AC84" i="4"/>
  <c r="AC222" i="4"/>
  <c r="AC280" i="4"/>
  <c r="AC225" i="4"/>
  <c r="AC7" i="4"/>
  <c r="AC229" i="4"/>
  <c r="AC170" i="4"/>
  <c r="AC215" i="4"/>
  <c r="AC185" i="4"/>
  <c r="AC221" i="4"/>
  <c r="AC199" i="4"/>
  <c r="AC224" i="4"/>
  <c r="AC249" i="4"/>
  <c r="AC232" i="4"/>
  <c r="AC239" i="4"/>
  <c r="AC263" i="4"/>
  <c r="AC173" i="4"/>
  <c r="AC174" i="4"/>
  <c r="AC243" i="4"/>
  <c r="AC213" i="4"/>
  <c r="AC236" i="4"/>
  <c r="AC264" i="4"/>
  <c r="AC275" i="4"/>
  <c r="AC129" i="4"/>
  <c r="AC233" i="4"/>
  <c r="AC184" i="4"/>
  <c r="AC122" i="4"/>
  <c r="AC157" i="4"/>
  <c r="AC158" i="4"/>
  <c r="AC73" i="4"/>
  <c r="AC198" i="4"/>
  <c r="AC4" i="4"/>
  <c r="AC102" i="4"/>
  <c r="AC74" i="4"/>
  <c r="AC87" i="4"/>
  <c r="AC228" i="4"/>
  <c r="AC64" i="4"/>
  <c r="AC59" i="4"/>
  <c r="AC60" i="4"/>
  <c r="AC61" i="4"/>
  <c r="AC71" i="4"/>
  <c r="AC152" i="4"/>
  <c r="AC153" i="4"/>
  <c r="AC82" i="4"/>
  <c r="AC190" i="4"/>
  <c r="AC205" i="4"/>
  <c r="AC277" i="4"/>
  <c r="AC302" i="4"/>
  <c r="AC301" i="4"/>
  <c r="AC299" i="4"/>
  <c r="AC300" i="4"/>
  <c r="AC308" i="4"/>
  <c r="AC309" i="4"/>
  <c r="AC310" i="4"/>
  <c r="AC311" i="4"/>
  <c r="AC312" i="4"/>
  <c r="AC304" i="4"/>
  <c r="AC305" i="4"/>
  <c r="AC306" i="4"/>
  <c r="AC307" i="4"/>
  <c r="AC314" i="4"/>
  <c r="AC313" i="4"/>
  <c r="AC343" i="4"/>
  <c r="AC344" i="4"/>
  <c r="AC327" i="4"/>
  <c r="AC342" i="4"/>
  <c r="AC328" i="4"/>
  <c r="AC329" i="4"/>
  <c r="AC330" i="4"/>
  <c r="AC331" i="4"/>
  <c r="AC335" i="4"/>
  <c r="AC336" i="4"/>
  <c r="AC337" i="4"/>
  <c r="AC338" i="4"/>
  <c r="AC322" i="4"/>
  <c r="AC317" i="4"/>
  <c r="AC318" i="4"/>
  <c r="AC316" i="4"/>
  <c r="AC346" i="4"/>
  <c r="AC347" i="4"/>
  <c r="AC345" i="4"/>
  <c r="AC315" i="4"/>
  <c r="AC324" i="4"/>
  <c r="AC340" i="4"/>
  <c r="AC321" i="4"/>
  <c r="AC339" i="4"/>
  <c r="AC325" i="4"/>
  <c r="AC320" i="4"/>
  <c r="AC319" i="4"/>
  <c r="AC333" i="4"/>
  <c r="AC332" i="4"/>
  <c r="AC341" i="4"/>
  <c r="AC323" i="4"/>
  <c r="AC334" i="4"/>
  <c r="AC326" i="4"/>
  <c r="AC349" i="4"/>
  <c r="AC350" i="4"/>
  <c r="AC351" i="4"/>
  <c r="AC366" i="4"/>
  <c r="AC367" i="4"/>
  <c r="AC368" i="4"/>
  <c r="AC348" i="4"/>
  <c r="AC352" i="4"/>
  <c r="AC353" i="4"/>
  <c r="AC354" i="4"/>
  <c r="AC355" i="4"/>
  <c r="AC356" i="4"/>
  <c r="AC357" i="4"/>
  <c r="AC358" i="4"/>
  <c r="AC359" i="4"/>
  <c r="AC369" i="4"/>
  <c r="AC360" i="4"/>
  <c r="AC361" i="4"/>
  <c r="AC362" i="4"/>
  <c r="AC365" i="4"/>
  <c r="AC363" i="4"/>
  <c r="AC364" i="4"/>
  <c r="AC375" i="4"/>
  <c r="AC371" i="4"/>
  <c r="AC378" i="4"/>
  <c r="AC370" i="4"/>
  <c r="AC372" i="4"/>
  <c r="AC374" i="4"/>
  <c r="AC377" i="4"/>
  <c r="AC381" i="4"/>
  <c r="AC373" i="4"/>
  <c r="AC376" i="4"/>
  <c r="AC379" i="4"/>
  <c r="AC385" i="4"/>
  <c r="AC384" i="4"/>
  <c r="AC383" i="4"/>
  <c r="AC382" i="4"/>
  <c r="AC386" i="4"/>
  <c r="AC387" i="4"/>
  <c r="AC404" i="4"/>
  <c r="AC407" i="4"/>
  <c r="AC391" i="4"/>
  <c r="AC392" i="4"/>
  <c r="AC393" i="4"/>
  <c r="AC394" i="4"/>
  <c r="AC400" i="4"/>
  <c r="AC411" i="4"/>
  <c r="AC401" i="4"/>
  <c r="AC402" i="4"/>
  <c r="AC406" i="4"/>
  <c r="AC389" i="4"/>
  <c r="AC390" i="4"/>
  <c r="AC388" i="4"/>
  <c r="AC396" i="4"/>
  <c r="AC397" i="4"/>
  <c r="AC398" i="4"/>
  <c r="AC399" i="4"/>
  <c r="AC403" i="4"/>
  <c r="AC405" i="4"/>
  <c r="AC408" i="4"/>
  <c r="AC409" i="4"/>
  <c r="AC410" i="4"/>
  <c r="AC395" i="4"/>
  <c r="AC5" i="4"/>
  <c r="AD5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6" i="4"/>
  <c r="AD3" i="4"/>
  <c r="AD191" i="4"/>
  <c r="AD192" i="4"/>
  <c r="AD111" i="4"/>
  <c r="AD193" i="4"/>
  <c r="AD10" i="4"/>
  <c r="AD12" i="4"/>
  <c r="AD13" i="4"/>
  <c r="AD109" i="4"/>
  <c r="AD211" i="4"/>
  <c r="AD97" i="4"/>
  <c r="AD99" i="4"/>
  <c r="AD188" i="4"/>
  <c r="AD202" i="4"/>
  <c r="AD166" i="4"/>
  <c r="AD175" i="4"/>
  <c r="AD16" i="4"/>
  <c r="AD18" i="4"/>
  <c r="AD21" i="4"/>
  <c r="AD50" i="4"/>
  <c r="AD23" i="4"/>
  <c r="AD51" i="4"/>
  <c r="AD25" i="4"/>
  <c r="AD26" i="4"/>
  <c r="AD27" i="4"/>
  <c r="AD29" i="4"/>
  <c r="AD30" i="4"/>
  <c r="AD31" i="4"/>
  <c r="AD32" i="4"/>
  <c r="AD33" i="4"/>
  <c r="AD52" i="4"/>
  <c r="AD34" i="4"/>
  <c r="AD227" i="4"/>
  <c r="AD95" i="4"/>
  <c r="AD47" i="4"/>
  <c r="AD48" i="4"/>
  <c r="AD20" i="4"/>
  <c r="AD22" i="4"/>
  <c r="AD24" i="4"/>
  <c r="AD234" i="4"/>
  <c r="AD203" i="4"/>
  <c r="AD248" i="4"/>
  <c r="AD238" i="4"/>
  <c r="AD242" i="4"/>
  <c r="AD204" i="4"/>
  <c r="AD54" i="4"/>
  <c r="AD94" i="4"/>
  <c r="AD96" i="4"/>
  <c r="AD40" i="4"/>
  <c r="AD281" i="4"/>
  <c r="AD178" i="4"/>
  <c r="AD179" i="4"/>
  <c r="AD180" i="4"/>
  <c r="AD100" i="4"/>
  <c r="AD70" i="4"/>
  <c r="AD101" i="4"/>
  <c r="AD42" i="4"/>
  <c r="AD72" i="4"/>
  <c r="AD56" i="4"/>
  <c r="AD131" i="4"/>
  <c r="AD132" i="4"/>
  <c r="AD133" i="4"/>
  <c r="AD134" i="4"/>
  <c r="AD135" i="4"/>
  <c r="AD136" i="4"/>
  <c r="AD137" i="4"/>
  <c r="AD138" i="4"/>
  <c r="AD104" i="4"/>
  <c r="AD265" i="4"/>
  <c r="AD201" i="4"/>
  <c r="AD89" i="4"/>
  <c r="AD139" i="4"/>
  <c r="AD140" i="4"/>
  <c r="AD209" i="4"/>
  <c r="AD141" i="4"/>
  <c r="AD142" i="4"/>
  <c r="AD165" i="4"/>
  <c r="AD143" i="4"/>
  <c r="AD123" i="4"/>
  <c r="AD106" i="4"/>
  <c r="AD124" i="4"/>
  <c r="AD283" i="4"/>
  <c r="AD273" i="4"/>
  <c r="AD271" i="4"/>
  <c r="AD276" i="4"/>
  <c r="AD278" i="4"/>
  <c r="AD231" i="4"/>
  <c r="AD250" i="4"/>
  <c r="AD17" i="4"/>
  <c r="AD287" i="4"/>
  <c r="AD291" i="4"/>
  <c r="AD297" i="4"/>
  <c r="AD298" i="4"/>
  <c r="AD293" i="4"/>
  <c r="AD296" i="4"/>
  <c r="AD258" i="4"/>
  <c r="AD262" i="4"/>
  <c r="AD266" i="4"/>
  <c r="AD288" i="4"/>
  <c r="AD290" i="4"/>
  <c r="AD286" i="4"/>
  <c r="AD269" i="4"/>
  <c r="AD254" i="4"/>
  <c r="AD244" i="4"/>
  <c r="AD259" i="4"/>
  <c r="AD90" i="4"/>
  <c r="AD91" i="4"/>
  <c r="AD115" i="4"/>
  <c r="AD125" i="4"/>
  <c r="AD107" i="4"/>
  <c r="AD189" i="4"/>
  <c r="AD49" i="4"/>
  <c r="AD19" i="4"/>
  <c r="AD2" i="4"/>
  <c r="AD272" i="4"/>
  <c r="AD83" i="4"/>
  <c r="AD108" i="4"/>
  <c r="AD28" i="4"/>
  <c r="AD289" i="4"/>
  <c r="AD154" i="4"/>
  <c r="AD155" i="4"/>
  <c r="AD57" i="4"/>
  <c r="AD63" i="4"/>
  <c r="AD53" i="4"/>
  <c r="AD35" i="4"/>
  <c r="AD36" i="4"/>
  <c r="AD37" i="4"/>
  <c r="AD116" i="4"/>
  <c r="AD144" i="4"/>
  <c r="AD159" i="4"/>
  <c r="AD279" i="4"/>
  <c r="AD160" i="4"/>
  <c r="AD294" i="4"/>
  <c r="AD212" i="4"/>
  <c r="AD65" i="4"/>
  <c r="AD126" i="4"/>
  <c r="AD93" i="4"/>
  <c r="AD252" i="4"/>
  <c r="AD85" i="4"/>
  <c r="AD38" i="4"/>
  <c r="AD127" i="4"/>
  <c r="AD39" i="4"/>
  <c r="AD110" i="4"/>
  <c r="AD66" i="4"/>
  <c r="AD176" i="4"/>
  <c r="AD220" i="4"/>
  <c r="AD270" i="4"/>
  <c r="AD58" i="4"/>
  <c r="AD235" i="4"/>
  <c r="AD98" i="4"/>
  <c r="AD41" i="4"/>
  <c r="AD128" i="4"/>
  <c r="AD156" i="4"/>
  <c r="AD67" i="4"/>
  <c r="AD55" i="4"/>
  <c r="AD240" i="4"/>
  <c r="AD223" i="4"/>
  <c r="AD241" i="4"/>
  <c r="AD237" i="4"/>
  <c r="AD177" i="4"/>
  <c r="AD267" i="4"/>
  <c r="AD112" i="4"/>
  <c r="AD194" i="4"/>
  <c r="AD86" i="4"/>
  <c r="AD68" i="4"/>
  <c r="AD69" i="4"/>
  <c r="AD295" i="4"/>
  <c r="AD167" i="4"/>
  <c r="AD285" i="4"/>
  <c r="AD206" i="4"/>
  <c r="AD8" i="4"/>
  <c r="AD130" i="4"/>
  <c r="AD195" i="4"/>
  <c r="AD9" i="4"/>
  <c r="AD43" i="4"/>
  <c r="AD11" i="4"/>
  <c r="AD161" i="4"/>
  <c r="AD162" i="4"/>
  <c r="AD163" i="4"/>
  <c r="AD145" i="4"/>
  <c r="AD168" i="4"/>
  <c r="AD181" i="4"/>
  <c r="AD169" i="4"/>
  <c r="AD196" i="4"/>
  <c r="AD197" i="4"/>
  <c r="AD200" i="4"/>
  <c r="AD226" i="4"/>
  <c r="AD171" i="4"/>
  <c r="AD146" i="4"/>
  <c r="AD164" i="4"/>
  <c r="AD284" i="4"/>
  <c r="AD172" i="4"/>
  <c r="AD75" i="4"/>
  <c r="AD182" i="4"/>
  <c r="AD214" i="4"/>
  <c r="AD183" i="4"/>
  <c r="AD147" i="4"/>
  <c r="AD148" i="4"/>
  <c r="AD149" i="4"/>
  <c r="AD150" i="4"/>
  <c r="AD151" i="4"/>
  <c r="AD255" i="4"/>
  <c r="AD251" i="4"/>
  <c r="AD76" i="4"/>
  <c r="AD77" i="4"/>
  <c r="AD245" i="4"/>
  <c r="AD78" i="4"/>
  <c r="AD117" i="4"/>
  <c r="AD103" i="4"/>
  <c r="AD118" i="4"/>
  <c r="AD88" i="4"/>
  <c r="AD79" i="4"/>
  <c r="AD119" i="4"/>
  <c r="AD120" i="4"/>
  <c r="AD121" i="4"/>
  <c r="AD80" i="4"/>
  <c r="AD105" i="4"/>
  <c r="AD14" i="4"/>
  <c r="AD15" i="4"/>
  <c r="AD44" i="4"/>
  <c r="AD261" i="4"/>
  <c r="AD81" i="4"/>
  <c r="AD113" i="4"/>
  <c r="AD207" i="4"/>
  <c r="AD208" i="4"/>
  <c r="AD62" i="4"/>
  <c r="AD216" i="4"/>
  <c r="AD186" i="4"/>
  <c r="AD210" i="4"/>
  <c r="AD187" i="4"/>
  <c r="AD217" i="4"/>
  <c r="AD218" i="4"/>
  <c r="AD219" i="4"/>
  <c r="AD246" i="4"/>
  <c r="AD247" i="4"/>
  <c r="AD253" i="4"/>
  <c r="AD230" i="4"/>
  <c r="AD260" i="4"/>
  <c r="AD274" i="4"/>
  <c r="AD268" i="4"/>
  <c r="AD256" i="4"/>
  <c r="AD257" i="4"/>
  <c r="AD282" i="4"/>
  <c r="AD92" i="4"/>
  <c r="AD84" i="4"/>
  <c r="AD222" i="4"/>
  <c r="AD280" i="4"/>
  <c r="AD225" i="4"/>
  <c r="AD7" i="4"/>
  <c r="AD229" i="4"/>
  <c r="AD170" i="4"/>
  <c r="AD215" i="4"/>
  <c r="AD185" i="4"/>
  <c r="AD221" i="4"/>
  <c r="AD199" i="4"/>
  <c r="AD224" i="4"/>
  <c r="AD249" i="4"/>
  <c r="AD232" i="4"/>
  <c r="AD239" i="4"/>
  <c r="AD263" i="4"/>
  <c r="AD173" i="4"/>
  <c r="AD174" i="4"/>
  <c r="AD243" i="4"/>
  <c r="AD213" i="4"/>
  <c r="AD236" i="4"/>
  <c r="AD264" i="4"/>
  <c r="AD275" i="4"/>
  <c r="AD129" i="4"/>
  <c r="AD233" i="4"/>
  <c r="AD184" i="4"/>
  <c r="AD122" i="4"/>
  <c r="AD157" i="4"/>
  <c r="AD158" i="4"/>
  <c r="AD73" i="4"/>
  <c r="AD198" i="4"/>
  <c r="AD4" i="4"/>
  <c r="AD102" i="4"/>
  <c r="AD74" i="4"/>
  <c r="AD87" i="4"/>
  <c r="AD228" i="4"/>
  <c r="AD64" i="4"/>
  <c r="AD59" i="4"/>
  <c r="AD60" i="4"/>
  <c r="AD61" i="4"/>
  <c r="AD71" i="4"/>
  <c r="AD152" i="4"/>
  <c r="AD153" i="4"/>
  <c r="AD82" i="4"/>
  <c r="AD190" i="4"/>
  <c r="AD205" i="4"/>
  <c r="AD277" i="4"/>
  <c r="AD302" i="4"/>
  <c r="AD301" i="4"/>
  <c r="AD299" i="4"/>
  <c r="AD300" i="4"/>
  <c r="AD308" i="4"/>
  <c r="AD309" i="4"/>
  <c r="AD310" i="4"/>
  <c r="AD311" i="4"/>
  <c r="AD312" i="4"/>
  <c r="AD304" i="4"/>
  <c r="AD305" i="4"/>
  <c r="AD306" i="4"/>
  <c r="AD307" i="4"/>
  <c r="AD314" i="4"/>
  <c r="AD313" i="4"/>
  <c r="AD343" i="4"/>
  <c r="AD344" i="4"/>
  <c r="AD327" i="4"/>
  <c r="AD342" i="4"/>
  <c r="AD328" i="4"/>
  <c r="AD329" i="4"/>
  <c r="AD330" i="4"/>
  <c r="AD331" i="4"/>
  <c r="AD335" i="4"/>
  <c r="AD336" i="4"/>
  <c r="AD337" i="4"/>
  <c r="AD338" i="4"/>
  <c r="AD322" i="4"/>
  <c r="AD317" i="4"/>
  <c r="AD318" i="4"/>
  <c r="AD316" i="4"/>
  <c r="AD346" i="4"/>
  <c r="AD347" i="4"/>
  <c r="AD345" i="4"/>
  <c r="AD315" i="4"/>
  <c r="AD324" i="4"/>
  <c r="AD340" i="4"/>
  <c r="AD321" i="4"/>
  <c r="AD339" i="4"/>
  <c r="AD325" i="4"/>
  <c r="AD320" i="4"/>
  <c r="AD319" i="4"/>
  <c r="AD333" i="4"/>
  <c r="AD332" i="4"/>
  <c r="AD341" i="4"/>
  <c r="AD323" i="4"/>
  <c r="AD334" i="4"/>
  <c r="AD326" i="4"/>
  <c r="AD349" i="4"/>
  <c r="AD350" i="4"/>
  <c r="AD351" i="4"/>
  <c r="AD366" i="4"/>
  <c r="AD367" i="4"/>
  <c r="AD368" i="4"/>
  <c r="AD348" i="4"/>
  <c r="AD352" i="4"/>
  <c r="AD353" i="4"/>
  <c r="AD354" i="4"/>
  <c r="AD355" i="4"/>
  <c r="AD356" i="4"/>
  <c r="AD357" i="4"/>
  <c r="AD358" i="4"/>
  <c r="AD359" i="4"/>
  <c r="AD369" i="4"/>
  <c r="AD360" i="4"/>
  <c r="AD361" i="4"/>
  <c r="AD362" i="4"/>
  <c r="AD365" i="4"/>
  <c r="AD363" i="4"/>
  <c r="AD364" i="4"/>
  <c r="AD375" i="4"/>
  <c r="AD371" i="4"/>
  <c r="AD378" i="4"/>
  <c r="AD370" i="4"/>
  <c r="AD372" i="4"/>
  <c r="AD374" i="4"/>
  <c r="AD377" i="4"/>
  <c r="AD381" i="4"/>
  <c r="AD373" i="4"/>
  <c r="AD376" i="4"/>
  <c r="AD379" i="4"/>
  <c r="AD385" i="4"/>
  <c r="AD384" i="4"/>
  <c r="AD383" i="4"/>
  <c r="AD382" i="4"/>
  <c r="AD386" i="4"/>
  <c r="AD387" i="4"/>
  <c r="AD404" i="4"/>
  <c r="AD407" i="4"/>
  <c r="AD391" i="4"/>
  <c r="AD392" i="4"/>
  <c r="AD393" i="4"/>
  <c r="AD394" i="4"/>
  <c r="AD400" i="4"/>
  <c r="AD411" i="4"/>
  <c r="AD401" i="4"/>
  <c r="AD402" i="4"/>
  <c r="AD406" i="4"/>
  <c r="AD389" i="4"/>
  <c r="AD390" i="4"/>
  <c r="AD388" i="4"/>
  <c r="AD396" i="4"/>
  <c r="AD397" i="4"/>
  <c r="AD398" i="4"/>
  <c r="AD399" i="4"/>
  <c r="AD403" i="4"/>
  <c r="AD405" i="4"/>
  <c r="AD408" i="4"/>
  <c r="AD409" i="4"/>
  <c r="AD410" i="4"/>
  <c r="AD395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236" i="4"/>
  <c r="AE191" i="4"/>
  <c r="AE192" i="4"/>
  <c r="AE193" i="4"/>
  <c r="AE8" i="4"/>
  <c r="AE63" i="4"/>
  <c r="AE53" i="4"/>
  <c r="AE55" i="4"/>
  <c r="AE267" i="4"/>
  <c r="AE233" i="4"/>
  <c r="AE250" i="4"/>
  <c r="AE175" i="4"/>
  <c r="AE288" i="4"/>
  <c r="AE57" i="4"/>
  <c r="AE277" i="4"/>
  <c r="AE243" i="4"/>
  <c r="AE264" i="4"/>
  <c r="AE220" i="4"/>
  <c r="AE223" i="4"/>
  <c r="AE205" i="4"/>
  <c r="AE7" i="4"/>
  <c r="AE9" i="4"/>
  <c r="AE43" i="4"/>
  <c r="AE6" i="4"/>
  <c r="AE141" i="4"/>
  <c r="AE143" i="4"/>
  <c r="AE276" i="4"/>
  <c r="AE231" i="4"/>
  <c r="AE256" i="4"/>
  <c r="AE287" i="4"/>
  <c r="AE291" i="4"/>
  <c r="AE297" i="4"/>
  <c r="AE298" i="4"/>
  <c r="AE293" i="4"/>
  <c r="AE296" i="4"/>
  <c r="AE269" i="4"/>
  <c r="AE254" i="4"/>
  <c r="AE244" i="4"/>
  <c r="AE289" i="4"/>
  <c r="AE199" i="4"/>
  <c r="AE235" i="4"/>
  <c r="AE237" i="4"/>
  <c r="AE177" i="4"/>
  <c r="AE295" i="4"/>
  <c r="AE178" i="4"/>
  <c r="AE198" i="4"/>
  <c r="AE152" i="4"/>
  <c r="AE153" i="4"/>
  <c r="AE216" i="4"/>
  <c r="AE186" i="4"/>
  <c r="AE210" i="4"/>
  <c r="AE187" i="4"/>
  <c r="AE217" i="4"/>
  <c r="AE218" i="4"/>
  <c r="AE219" i="4"/>
  <c r="AE282" i="4"/>
  <c r="AE278" i="4"/>
  <c r="AE188" i="4"/>
  <c r="AE258" i="4"/>
  <c r="AE262" i="4"/>
  <c r="AE266" i="4"/>
  <c r="AE259" i="4"/>
  <c r="AE234" i="4"/>
  <c r="AE203" i="4"/>
  <c r="AE64" i="4"/>
  <c r="AE212" i="4"/>
  <c r="AE252" i="4"/>
  <c r="AE222" i="4"/>
  <c r="AE213" i="4"/>
  <c r="AE96" i="4"/>
  <c r="AE176" i="4"/>
  <c r="AE270" i="4"/>
  <c r="AE275" i="4"/>
  <c r="AE41" i="4"/>
  <c r="AE249" i="4"/>
  <c r="AE225" i="4"/>
  <c r="AE167" i="4"/>
  <c r="AE285" i="4"/>
  <c r="AE59" i="4"/>
  <c r="AE60" i="4"/>
  <c r="AE61" i="4"/>
  <c r="AE179" i="4"/>
  <c r="AE180" i="4"/>
  <c r="AE71" i="4"/>
  <c r="AE182" i="4"/>
  <c r="AE214" i="4"/>
  <c r="AE183" i="4"/>
  <c r="AE147" i="4"/>
  <c r="AE148" i="4"/>
  <c r="AE149" i="4"/>
  <c r="AE215" i="4"/>
  <c r="AE150" i="4"/>
  <c r="AE151" i="4"/>
  <c r="AE245" i="4"/>
  <c r="AE265" i="4"/>
  <c r="AE246" i="4"/>
  <c r="AE82" i="4"/>
  <c r="AE230" i="4"/>
  <c r="AE283" i="4"/>
  <c r="AE273" i="4"/>
  <c r="AE271" i="4"/>
  <c r="AE202" i="4"/>
  <c r="AE290" i="4"/>
  <c r="AE286" i="4"/>
  <c r="AE294" i="4"/>
  <c r="AE280" i="4"/>
  <c r="AE281" i="4"/>
  <c r="AE130" i="4"/>
  <c r="AE195" i="4"/>
  <c r="AE56" i="4"/>
  <c r="AE122" i="4"/>
  <c r="AE201" i="4"/>
  <c r="AE89" i="4"/>
  <c r="AE139" i="4"/>
  <c r="AE209" i="4"/>
  <c r="AE274" i="4"/>
  <c r="AE166" i="4"/>
  <c r="AE28" i="4"/>
  <c r="AE116" i="4"/>
  <c r="AE144" i="4"/>
  <c r="AE159" i="4"/>
  <c r="AE204" i="4"/>
  <c r="AE190" i="4"/>
  <c r="AE126" i="4"/>
  <c r="AE211" i="4"/>
  <c r="AE97" i="4"/>
  <c r="AE10" i="4"/>
  <c r="AE11" i="4"/>
  <c r="AE12" i="4"/>
  <c r="AE13" i="4"/>
  <c r="AE131" i="4"/>
  <c r="AE132" i="4"/>
  <c r="AE226" i="4"/>
  <c r="AE135" i="4"/>
  <c r="AE136" i="4"/>
  <c r="AE137" i="4"/>
  <c r="AE138" i="4"/>
  <c r="AE88" i="4"/>
  <c r="AE140" i="4"/>
  <c r="AE142" i="4"/>
  <c r="AE165" i="4"/>
  <c r="AE123" i="4"/>
  <c r="AE260" i="4"/>
  <c r="AE268" i="4"/>
  <c r="AE257" i="4"/>
  <c r="AE4" i="4"/>
  <c r="AE272" i="4"/>
  <c r="AE34" i="4"/>
  <c r="AE155" i="4"/>
  <c r="AE242" i="4"/>
  <c r="AE279" i="4"/>
  <c r="AE92" i="4"/>
  <c r="AE84" i="4"/>
  <c r="AE221" i="4"/>
  <c r="AE156" i="4"/>
  <c r="AE240" i="4"/>
  <c r="AE241" i="4"/>
  <c r="AE102" i="4"/>
  <c r="AE73" i="4"/>
  <c r="AE74" i="4"/>
  <c r="AE87" i="4"/>
  <c r="AE161" i="4"/>
  <c r="AE162" i="4"/>
  <c r="AE163" i="4"/>
  <c r="AE145" i="4"/>
  <c r="AE168" i="4"/>
  <c r="AE181" i="4"/>
  <c r="AE169" i="4"/>
  <c r="AE171" i="4"/>
  <c r="AE146" i="4"/>
  <c r="AE164" i="4"/>
  <c r="AE284" i="4"/>
  <c r="AE133" i="4"/>
  <c r="AE134" i="4"/>
  <c r="AE261" i="4"/>
  <c r="AE185" i="4"/>
  <c r="AE124" i="4"/>
  <c r="AE247" i="4"/>
  <c r="AE253" i="4"/>
  <c r="AE105" i="4"/>
  <c r="AE14" i="4"/>
  <c r="AE15" i="4"/>
  <c r="AE49" i="4"/>
  <c r="AE19" i="4"/>
  <c r="AE2" i="4"/>
  <c r="AE108" i="4"/>
  <c r="AE54" i="4"/>
  <c r="AE93" i="4"/>
  <c r="AE39" i="4"/>
  <c r="AE194" i="4"/>
  <c r="AE86" i="4"/>
  <c r="AE196" i="4"/>
  <c r="AE75" i="4"/>
  <c r="AE228" i="4"/>
  <c r="AE44" i="4"/>
  <c r="AE173" i="4"/>
  <c r="AE174" i="4"/>
  <c r="AE80" i="4"/>
  <c r="AE189" i="4"/>
  <c r="AE248" i="4"/>
  <c r="AE111" i="4"/>
  <c r="AE229" i="4"/>
  <c r="AE170" i="4"/>
  <c r="AE197" i="4"/>
  <c r="AE200" i="4"/>
  <c r="AE207" i="4"/>
  <c r="AE35" i="4"/>
  <c r="AE160" i="4"/>
  <c r="AE98" i="4"/>
  <c r="AE40" i="4"/>
  <c r="AE129" i="4"/>
  <c r="AE206" i="4"/>
  <c r="AE255" i="4"/>
  <c r="AE251" i="4"/>
  <c r="AE76" i="4"/>
  <c r="AE115" i="4"/>
  <c r="AE36" i="4"/>
  <c r="AE37" i="4"/>
  <c r="AE110" i="4"/>
  <c r="AE128" i="4"/>
  <c r="AE224" i="4"/>
  <c r="AE232" i="4"/>
  <c r="AE239" i="4"/>
  <c r="AE263" i="4"/>
  <c r="AE77" i="4"/>
  <c r="AE117" i="4"/>
  <c r="AE103" i="4"/>
  <c r="AE113" i="4"/>
  <c r="AE16" i="4"/>
  <c r="AE90" i="4"/>
  <c r="AE91" i="4"/>
  <c r="AE125" i="4"/>
  <c r="AE107" i="4"/>
  <c r="AE83" i="4"/>
  <c r="AE29" i="4"/>
  <c r="AE85" i="4"/>
  <c r="AE94" i="4"/>
  <c r="AE38" i="4"/>
  <c r="AE66" i="4"/>
  <c r="AE67" i="4"/>
  <c r="AE99" i="4"/>
  <c r="AE112" i="4"/>
  <c r="AE100" i="4"/>
  <c r="AE101" i="4"/>
  <c r="AE118" i="4"/>
  <c r="AE104" i="4"/>
  <c r="AE119" i="4"/>
  <c r="AE120" i="4"/>
  <c r="AE121" i="4"/>
  <c r="AE48" i="4"/>
  <c r="AE20" i="4"/>
  <c r="AE50" i="4"/>
  <c r="AE22" i="4"/>
  <c r="AE23" i="4"/>
  <c r="AE51" i="4"/>
  <c r="AE24" i="4"/>
  <c r="AE26" i="4"/>
  <c r="AE17" i="4"/>
  <c r="AE18" i="4"/>
  <c r="AE30" i="4"/>
  <c r="AE31" i="4"/>
  <c r="AE32" i="4"/>
  <c r="AE33" i="4"/>
  <c r="AE52" i="4"/>
  <c r="AE238" i="4"/>
  <c r="AE158" i="4"/>
  <c r="AE154" i="4"/>
  <c r="AE109" i="4"/>
  <c r="AE58" i="4"/>
  <c r="AE68" i="4"/>
  <c r="AE69" i="4"/>
  <c r="AE70" i="4"/>
  <c r="AE208" i="4"/>
  <c r="AE62" i="4"/>
  <c r="AE106" i="4"/>
  <c r="AE157" i="4"/>
  <c r="AE47" i="4"/>
  <c r="AE21" i="4"/>
  <c r="AE25" i="4"/>
  <c r="AE27" i="4"/>
  <c r="AE3" i="4"/>
  <c r="AE127" i="4"/>
  <c r="AE42" i="4"/>
  <c r="AE72" i="4"/>
  <c r="AE78" i="4"/>
  <c r="AE184" i="4"/>
  <c r="AE81" i="4"/>
  <c r="AE95" i="4"/>
  <c r="AE65" i="4"/>
  <c r="AE79" i="4"/>
  <c r="AE172" i="4"/>
  <c r="AE310" i="4"/>
  <c r="AE308" i="4"/>
  <c r="AE309" i="4"/>
  <c r="AE311" i="4"/>
  <c r="AE312" i="4"/>
  <c r="AE299" i="4"/>
  <c r="AE300" i="4"/>
  <c r="AE301" i="4"/>
  <c r="AE302" i="4"/>
  <c r="AE314" i="4"/>
  <c r="AE304" i="4"/>
  <c r="AE305" i="4"/>
  <c r="AE306" i="4"/>
  <c r="AE307" i="4"/>
  <c r="AE313" i="4"/>
  <c r="AE342" i="4"/>
  <c r="AE340" i="4"/>
  <c r="AE327" i="4"/>
  <c r="AE328" i="4"/>
  <c r="AE329" i="4"/>
  <c r="AE330" i="4"/>
  <c r="AE324" i="4"/>
  <c r="AE321" i="4"/>
  <c r="AE319" i="4"/>
  <c r="AE335" i="4"/>
  <c r="AE336" i="4"/>
  <c r="AE337" i="4"/>
  <c r="AE338" i="4"/>
  <c r="AE339" i="4"/>
  <c r="AE317" i="4"/>
  <c r="AE318" i="4"/>
  <c r="AE316" i="4"/>
  <c r="AE325" i="4"/>
  <c r="AE320" i="4"/>
  <c r="AE343" i="4"/>
  <c r="AE344" i="4"/>
  <c r="AE332" i="4"/>
  <c r="AE341" i="4"/>
  <c r="AE333" i="4"/>
  <c r="AE323" i="4"/>
  <c r="AE334" i="4"/>
  <c r="AE322" i="4"/>
  <c r="AE315" i="4"/>
  <c r="AE346" i="4"/>
  <c r="AE347" i="4"/>
  <c r="AE345" i="4"/>
  <c r="AE326" i="4"/>
  <c r="AE331" i="4"/>
  <c r="AE352" i="4"/>
  <c r="AE356" i="4"/>
  <c r="AE349" i="4"/>
  <c r="AE348" i="4"/>
  <c r="AE360" i="4"/>
  <c r="AE361" i="4"/>
  <c r="AE362" i="4"/>
  <c r="AE365" i="4"/>
  <c r="AE369" i="4"/>
  <c r="AE363" i="4"/>
  <c r="AE364" i="4"/>
  <c r="AE353" i="4"/>
  <c r="AE354" i="4"/>
  <c r="AE350" i="4"/>
  <c r="AE351" i="4"/>
  <c r="AE367" i="4"/>
  <c r="AE366" i="4"/>
  <c r="AE368" i="4"/>
  <c r="AE355" i="4"/>
  <c r="AE357" i="4"/>
  <c r="AE358" i="4"/>
  <c r="AE359" i="4"/>
  <c r="AE374" i="4"/>
  <c r="AE375" i="4"/>
  <c r="AE379" i="4"/>
  <c r="AE372" i="4"/>
  <c r="AE373" i="4"/>
  <c r="AE376" i="4"/>
  <c r="AE377" i="4"/>
  <c r="AE371" i="4"/>
  <c r="AE378" i="4"/>
  <c r="AE370" i="4"/>
  <c r="AE381" i="4"/>
  <c r="AE386" i="4"/>
  <c r="AE385" i="4"/>
  <c r="AE382" i="4"/>
  <c r="AE384" i="4"/>
  <c r="AE383" i="4"/>
  <c r="AE411" i="4"/>
  <c r="AE390" i="4"/>
  <c r="AE388" i="4"/>
  <c r="AE387" i="4"/>
  <c r="AE396" i="4"/>
  <c r="AE397" i="4"/>
  <c r="AE398" i="4"/>
  <c r="AE403" i="4"/>
  <c r="AE404" i="4"/>
  <c r="AE389" i="4"/>
  <c r="AE391" i="4"/>
  <c r="AE392" i="4"/>
  <c r="AE393" i="4"/>
  <c r="AE394" i="4"/>
  <c r="AE395" i="4"/>
  <c r="AE399" i="4"/>
  <c r="AE400" i="4"/>
  <c r="AE401" i="4"/>
  <c r="AE402" i="4"/>
  <c r="AE405" i="4"/>
  <c r="AE406" i="4"/>
  <c r="AE407" i="4"/>
  <c r="AE408" i="4"/>
  <c r="AE409" i="4"/>
  <c r="AE410" i="4"/>
  <c r="AE227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4" i="4"/>
  <c r="AG383" i="4"/>
  <c r="AG386" i="4"/>
  <c r="AG382" i="4"/>
  <c r="AG385" i="4"/>
  <c r="AG389" i="4"/>
  <c r="AG390" i="4"/>
  <c r="AG388" i="4"/>
  <c r="AG387" i="4"/>
  <c r="AG391" i="4"/>
  <c r="AG392" i="4"/>
  <c r="AG393" i="4"/>
  <c r="AG394" i="4"/>
  <c r="AG395" i="4"/>
  <c r="AG396" i="4"/>
  <c r="AG397" i="4"/>
  <c r="AG398" i="4"/>
  <c r="AG399" i="4"/>
  <c r="AG400" i="4"/>
  <c r="AG411" i="4"/>
  <c r="AG401" i="4"/>
  <c r="AG402" i="4"/>
  <c r="AG403" i="4"/>
  <c r="AG404" i="4"/>
  <c r="AG405" i="4"/>
  <c r="AG406" i="4"/>
  <c r="AG407" i="4"/>
  <c r="AG408" i="4"/>
  <c r="AG409" i="4"/>
  <c r="AG410" i="4"/>
  <c r="AJ299" i="4"/>
  <c r="AJ300" i="4"/>
  <c r="AJ301" i="4"/>
  <c r="AJ302" i="4"/>
  <c r="AJ308" i="4"/>
  <c r="AJ304" i="4"/>
  <c r="AJ305" i="4"/>
  <c r="AJ306" i="4"/>
  <c r="AJ307" i="4"/>
  <c r="AJ309" i="4"/>
  <c r="AJ313" i="4"/>
  <c r="AJ314" i="4"/>
  <c r="AJ310" i="4"/>
  <c r="AJ311" i="4"/>
  <c r="AJ312" i="4"/>
  <c r="AJ346" i="4"/>
  <c r="AJ347" i="4"/>
  <c r="AJ345" i="4"/>
  <c r="AJ343" i="4"/>
  <c r="AJ344" i="4"/>
  <c r="AJ327" i="4"/>
  <c r="AJ342" i="4"/>
  <c r="AJ328" i="4"/>
  <c r="AJ329" i="4"/>
  <c r="AJ330" i="4"/>
  <c r="AJ331" i="4"/>
  <c r="AJ332" i="4"/>
  <c r="AJ341" i="4"/>
  <c r="AJ333" i="4"/>
  <c r="AJ323" i="4"/>
  <c r="AJ334" i="4"/>
  <c r="AJ315" i="4"/>
  <c r="AJ324" i="4"/>
  <c r="AJ340" i="4"/>
  <c r="AJ321" i="4"/>
  <c r="AJ326" i="4"/>
  <c r="AJ335" i="4"/>
  <c r="AJ336" i="4"/>
  <c r="AJ337" i="4"/>
  <c r="AJ338" i="4"/>
  <c r="AJ322" i="4"/>
  <c r="AJ317" i="4"/>
  <c r="AJ318" i="4"/>
  <c r="AJ316" i="4"/>
  <c r="AJ325" i="4"/>
  <c r="AJ320" i="4"/>
  <c r="AJ319" i="4"/>
  <c r="AJ339" i="4"/>
  <c r="AJ349" i="4"/>
  <c r="AJ363" i="4"/>
  <c r="AJ364" i="4"/>
  <c r="AJ365" i="4"/>
  <c r="AJ350" i="4"/>
  <c r="AJ351" i="4"/>
  <c r="AJ366" i="4"/>
  <c r="AJ367" i="4"/>
  <c r="AJ368" i="4"/>
  <c r="AJ348" i="4"/>
  <c r="AJ352" i="4"/>
  <c r="AJ353" i="4"/>
  <c r="AJ354" i="4"/>
  <c r="AJ355" i="4"/>
  <c r="AJ356" i="4"/>
  <c r="AJ357" i="4"/>
  <c r="AJ358" i="4"/>
  <c r="AJ359" i="4"/>
  <c r="AJ369" i="4"/>
  <c r="AJ360" i="4"/>
  <c r="AJ361" i="4"/>
  <c r="AJ362" i="4"/>
  <c r="AJ370" i="4"/>
  <c r="AJ371" i="4"/>
  <c r="AJ372" i="4"/>
  <c r="AJ373" i="4"/>
  <c r="AJ374" i="4"/>
  <c r="AJ375" i="4"/>
  <c r="AJ376" i="4"/>
  <c r="AJ377" i="4"/>
  <c r="AJ379" i="4"/>
  <c r="AJ378" i="4"/>
  <c r="AJ381" i="4"/>
  <c r="AJ384" i="4"/>
  <c r="AJ383" i="4"/>
  <c r="AJ386" i="4"/>
  <c r="AJ382" i="4"/>
  <c r="AJ385" i="4"/>
  <c r="AJ389" i="4"/>
  <c r="AJ390" i="4"/>
  <c r="AJ388" i="4"/>
  <c r="AJ387" i="4"/>
  <c r="AJ391" i="4"/>
  <c r="AJ392" i="4"/>
  <c r="AJ393" i="4"/>
  <c r="AJ394" i="4"/>
  <c r="AJ395" i="4"/>
  <c r="AJ396" i="4"/>
  <c r="AJ397" i="4"/>
  <c r="AJ398" i="4"/>
  <c r="AJ399" i="4"/>
  <c r="AJ400" i="4"/>
  <c r="AJ411" i="4"/>
  <c r="AJ401" i="4"/>
  <c r="AJ402" i="4"/>
  <c r="AJ403" i="4"/>
  <c r="AJ404" i="4"/>
  <c r="AJ405" i="4"/>
  <c r="AJ406" i="4"/>
  <c r="AJ407" i="4"/>
  <c r="AJ408" i="4"/>
  <c r="AJ409" i="4"/>
  <c r="AJ410" i="4"/>
  <c r="AG231" i="4"/>
  <c r="AG262" i="4"/>
  <c r="AG266" i="4"/>
  <c r="AG269" i="4"/>
  <c r="AG254" i="4"/>
  <c r="AG244" i="4"/>
  <c r="AG259" i="4"/>
  <c r="AG248" i="4"/>
  <c r="AG238" i="4"/>
  <c r="AG212" i="4"/>
  <c r="AG240" i="4"/>
  <c r="AG167" i="4"/>
  <c r="AG152" i="4"/>
  <c r="AG153" i="4"/>
  <c r="AG216" i="4"/>
  <c r="AG287" i="4"/>
  <c r="AG291" i="4"/>
  <c r="AG293" i="4"/>
  <c r="AG295" i="4"/>
  <c r="AG252" i="4"/>
  <c r="AG270" i="4"/>
  <c r="AG243" i="4"/>
  <c r="AG199" i="4"/>
  <c r="AG234" i="4"/>
  <c r="AG203" i="4"/>
  <c r="AG211" i="4"/>
  <c r="AG192" i="4"/>
  <c r="AG178" i="4"/>
  <c r="AG179" i="4"/>
  <c r="AG180" i="4"/>
  <c r="AG297" i="4"/>
  <c r="AG298" i="4"/>
  <c r="AG296" i="4"/>
  <c r="AG285" i="4"/>
  <c r="AG281" i="4"/>
  <c r="AG282" i="4"/>
  <c r="AG290" i="4"/>
  <c r="AG286" i="4"/>
  <c r="AG289" i="4"/>
  <c r="AG235" i="4"/>
  <c r="AG249" i="4"/>
  <c r="AG236" i="4"/>
  <c r="AG241" i="4"/>
  <c r="AG205" i="4"/>
  <c r="AG183" i="4"/>
  <c r="AG147" i="4"/>
  <c r="AG149" i="4"/>
  <c r="AG215" i="4"/>
  <c r="AG150" i="4"/>
  <c r="AG151" i="4"/>
  <c r="AG182" i="4"/>
  <c r="AG214" i="4"/>
  <c r="AG148" i="4"/>
  <c r="AG283" i="4"/>
  <c r="AG273" i="4"/>
  <c r="AG271" i="4"/>
  <c r="AG276" i="4"/>
  <c r="AG278" i="4"/>
  <c r="AG256" i="4"/>
  <c r="AG250" i="4"/>
  <c r="AG257" i="4"/>
  <c r="AG258" i="4"/>
  <c r="AG288" i="4"/>
  <c r="AG227" i="4"/>
  <c r="AG264" i="4"/>
  <c r="AG122" i="4"/>
  <c r="AG186" i="4"/>
  <c r="AG210" i="4"/>
  <c r="AG187" i="4"/>
  <c r="AG217" i="4"/>
  <c r="AG218" i="4"/>
  <c r="AG219" i="4"/>
  <c r="AG191" i="4"/>
  <c r="AG193" i="4"/>
  <c r="AG201" i="4"/>
  <c r="AG89" i="4"/>
  <c r="AG139" i="4"/>
  <c r="AG140" i="4"/>
  <c r="AG209" i="4"/>
  <c r="AG4" i="4"/>
  <c r="AG102" i="4"/>
  <c r="AG73" i="4"/>
  <c r="AG87" i="4"/>
  <c r="AG188" i="4"/>
  <c r="AG202" i="4"/>
  <c r="AG166" i="4"/>
  <c r="AG175" i="4"/>
  <c r="AG64" i="4"/>
  <c r="AG60" i="4"/>
  <c r="AG71" i="4"/>
  <c r="AG74" i="4"/>
  <c r="AG184" i="4"/>
  <c r="AG82" i="4"/>
  <c r="AG260" i="4"/>
  <c r="AG274" i="4"/>
  <c r="AG268" i="4"/>
  <c r="AG222" i="4"/>
  <c r="AG275" i="4"/>
  <c r="AG225" i="4"/>
  <c r="AG61" i="4"/>
  <c r="AG144" i="4"/>
  <c r="AG159" i="4"/>
  <c r="AG54" i="4"/>
  <c r="AG109" i="4"/>
  <c r="AG206" i="4"/>
  <c r="AG130" i="4"/>
  <c r="AG131" i="4"/>
  <c r="AG138" i="4"/>
  <c r="AG165" i="4"/>
  <c r="AG123" i="4"/>
  <c r="AG246" i="4"/>
  <c r="AG124" i="4"/>
  <c r="AG230" i="4"/>
  <c r="AG158" i="4"/>
  <c r="AG154" i="4"/>
  <c r="AG242" i="4"/>
  <c r="AG116" i="4"/>
  <c r="AG92" i="4"/>
  <c r="AG40" i="4"/>
  <c r="AG42" i="4"/>
  <c r="AG7" i="4"/>
  <c r="AG10" i="4"/>
  <c r="AG12" i="4"/>
  <c r="AG13" i="4"/>
  <c r="AG162" i="4"/>
  <c r="AG135" i="4"/>
  <c r="AG76" i="4"/>
  <c r="AG49" i="4"/>
  <c r="AG204" i="4"/>
  <c r="AG136" i="4"/>
  <c r="AG137" i="4"/>
  <c r="AG141" i="4"/>
  <c r="AG142" i="4"/>
  <c r="AG247" i="4"/>
  <c r="AG253" i="4"/>
  <c r="AG195" i="4"/>
  <c r="AG132" i="4"/>
  <c r="AG133" i="4"/>
  <c r="AG134" i="4"/>
  <c r="AG44" i="4"/>
  <c r="AG265" i="4"/>
  <c r="AG143" i="4"/>
  <c r="AG63" i="4"/>
  <c r="AG53" i="4"/>
  <c r="AG127" i="4"/>
  <c r="AG97" i="4"/>
  <c r="AG111" i="4"/>
  <c r="AG55" i="4"/>
  <c r="AG99" i="4"/>
  <c r="AG100" i="4"/>
  <c r="AG70" i="4"/>
  <c r="AG101" i="4"/>
  <c r="AG9" i="4"/>
  <c r="AG88" i="4"/>
  <c r="AG80" i="4"/>
  <c r="AG105" i="4"/>
  <c r="AG14" i="4"/>
  <c r="AG15" i="4"/>
  <c r="AG189" i="4"/>
  <c r="AG272" i="4"/>
  <c r="AG155" i="4"/>
  <c r="AG279" i="4"/>
  <c r="AG190" i="4"/>
  <c r="AG221" i="4"/>
  <c r="AG213" i="4"/>
  <c r="AG176" i="4"/>
  <c r="AG220" i="4"/>
  <c r="AG156" i="4"/>
  <c r="AG223" i="4"/>
  <c r="AG237" i="4"/>
  <c r="AG177" i="4"/>
  <c r="AG267" i="4"/>
  <c r="AG194" i="4"/>
  <c r="AG163" i="4"/>
  <c r="AG145" i="4"/>
  <c r="AG168" i="4"/>
  <c r="AG181" i="4"/>
  <c r="AG169" i="4"/>
  <c r="AG196" i="4"/>
  <c r="AG197" i="4"/>
  <c r="AG200" i="4"/>
  <c r="AG226" i="4"/>
  <c r="AG171" i="4"/>
  <c r="AG146" i="4"/>
  <c r="AG164" i="4"/>
  <c r="AG284" i="4"/>
  <c r="AG172" i="4"/>
  <c r="AG255" i="4"/>
  <c r="AG251" i="4"/>
  <c r="AG245" i="4"/>
  <c r="AG173" i="4"/>
  <c r="AG174" i="4"/>
  <c r="AG185" i="4"/>
  <c r="AG207" i="4"/>
  <c r="AG160" i="4"/>
  <c r="AG126" i="4"/>
  <c r="AG93" i="4"/>
  <c r="AG224" i="4"/>
  <c r="AG161" i="4"/>
  <c r="AG229" i="4"/>
  <c r="AG170" i="4"/>
  <c r="AG232" i="4"/>
  <c r="AG239" i="4"/>
  <c r="AG263" i="4"/>
  <c r="AG228" i="4"/>
  <c r="AG233" i="4"/>
  <c r="AG95" i="4"/>
  <c r="AG85" i="4"/>
  <c r="AG128" i="4"/>
  <c r="AG129" i="4"/>
  <c r="AG112" i="4"/>
  <c r="AG119" i="4"/>
  <c r="AG120" i="4"/>
  <c r="AG121" i="4"/>
  <c r="AG261" i="4"/>
  <c r="AG113" i="4"/>
  <c r="AG157" i="4"/>
  <c r="AG3" i="4"/>
  <c r="AG16" i="4"/>
  <c r="AG18" i="4"/>
  <c r="AG20" i="4"/>
  <c r="AG21" i="4"/>
  <c r="AG50" i="4"/>
  <c r="AG22" i="4"/>
  <c r="AG23" i="4"/>
  <c r="AG51" i="4"/>
  <c r="AG24" i="4"/>
  <c r="AG25" i="4"/>
  <c r="AG26" i="4"/>
  <c r="AG27" i="4"/>
  <c r="AG5" i="4"/>
  <c r="AG29" i="4"/>
  <c r="AG30" i="4"/>
  <c r="AG31" i="4"/>
  <c r="AG34" i="4"/>
  <c r="AG294" i="4"/>
  <c r="AG84" i="4"/>
  <c r="AG48" i="4"/>
  <c r="AG17" i="4"/>
  <c r="AG90" i="4"/>
  <c r="AG91" i="4"/>
  <c r="AG115" i="4"/>
  <c r="AG125" i="4"/>
  <c r="AG107" i="4"/>
  <c r="AG19" i="4"/>
  <c r="AG28" i="4"/>
  <c r="AG38" i="4"/>
  <c r="AG39" i="4"/>
  <c r="AG110" i="4"/>
  <c r="AG58" i="4"/>
  <c r="AG41" i="4"/>
  <c r="AG59" i="4"/>
  <c r="AG56" i="4"/>
  <c r="AG6" i="4"/>
  <c r="AG11" i="4"/>
  <c r="AG75" i="4"/>
  <c r="AG208" i="4"/>
  <c r="AG62" i="4"/>
  <c r="AG2" i="4"/>
  <c r="AG32" i="4"/>
  <c r="AG33" i="4"/>
  <c r="AG52" i="4"/>
  <c r="AG35" i="4"/>
  <c r="AG36" i="4"/>
  <c r="AG37" i="4"/>
  <c r="AG72" i="4"/>
  <c r="AG277" i="4"/>
  <c r="AG280" i="4"/>
  <c r="AG47" i="4"/>
  <c r="AG83" i="4"/>
  <c r="AG108" i="4"/>
  <c r="AG65" i="4"/>
  <c r="AG94" i="4"/>
  <c r="AG66" i="4"/>
  <c r="AG96" i="4"/>
  <c r="AG98" i="4"/>
  <c r="AG67" i="4"/>
  <c r="AG86" i="4"/>
  <c r="AG68" i="4"/>
  <c r="AG69" i="4"/>
  <c r="AG8" i="4"/>
  <c r="AG43" i="4"/>
  <c r="AG77" i="4"/>
  <c r="AG78" i="4"/>
  <c r="AG117" i="4"/>
  <c r="AG103" i="4"/>
  <c r="AG118" i="4"/>
  <c r="AG104" i="4"/>
  <c r="AG79" i="4"/>
  <c r="AG198" i="4"/>
  <c r="AG81" i="4"/>
  <c r="AG106" i="4"/>
  <c r="AG299" i="4"/>
  <c r="AG300" i="4"/>
  <c r="AG301" i="4"/>
  <c r="AG302" i="4"/>
  <c r="AG308" i="4"/>
  <c r="AG304" i="4"/>
  <c r="AG305" i="4"/>
  <c r="AG306" i="4"/>
  <c r="AG307" i="4"/>
  <c r="AG309" i="4"/>
  <c r="AG313" i="4"/>
  <c r="AG314" i="4"/>
  <c r="AG310" i="4"/>
  <c r="AG311" i="4"/>
  <c r="AG312" i="4"/>
  <c r="AG346" i="4"/>
  <c r="AG347" i="4"/>
  <c r="AG345" i="4"/>
  <c r="AG343" i="4"/>
  <c r="AG344" i="4"/>
  <c r="AG327" i="4"/>
  <c r="AG342" i="4"/>
  <c r="AG328" i="4"/>
  <c r="AG329" i="4"/>
  <c r="AG330" i="4"/>
  <c r="AG331" i="4"/>
  <c r="AG332" i="4"/>
  <c r="AG341" i="4"/>
  <c r="AG333" i="4"/>
  <c r="AG323" i="4"/>
  <c r="AG334" i="4"/>
  <c r="AG315" i="4"/>
  <c r="AG324" i="4"/>
  <c r="AG340" i="4"/>
  <c r="AG321" i="4"/>
  <c r="AG326" i="4"/>
  <c r="AG335" i="4"/>
  <c r="AG336" i="4"/>
  <c r="AG337" i="4"/>
  <c r="AG338" i="4"/>
  <c r="AG322" i="4"/>
  <c r="AG317" i="4"/>
  <c r="AG318" i="4"/>
  <c r="AG316" i="4"/>
  <c r="AG325" i="4"/>
  <c r="AG320" i="4"/>
  <c r="AG319" i="4"/>
  <c r="AG339" i="4"/>
  <c r="AG349" i="4"/>
  <c r="AG363" i="4"/>
  <c r="AG364" i="4"/>
  <c r="AG365" i="4"/>
  <c r="AG350" i="4"/>
  <c r="AG351" i="4"/>
  <c r="AG366" i="4"/>
  <c r="AG367" i="4"/>
  <c r="AG368" i="4"/>
  <c r="AG348" i="4"/>
  <c r="AG352" i="4"/>
  <c r="AG353" i="4"/>
  <c r="AG354" i="4"/>
  <c r="AG355" i="4"/>
  <c r="AG356" i="4"/>
  <c r="AG357" i="4"/>
  <c r="AG358" i="4"/>
  <c r="AG359" i="4"/>
  <c r="AG369" i="4"/>
  <c r="AG360" i="4"/>
  <c r="AG361" i="4"/>
  <c r="AG362" i="4"/>
  <c r="AG370" i="4"/>
  <c r="AG371" i="4"/>
  <c r="AG372" i="4"/>
  <c r="AG373" i="4"/>
  <c r="AG374" i="4"/>
  <c r="AG375" i="4"/>
  <c r="AG376" i="4"/>
  <c r="AG377" i="4"/>
  <c r="AG379" i="4"/>
  <c r="AG378" i="4"/>
  <c r="AG381" i="4"/>
  <c r="AG57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75" i="2"/>
  <c r="AP74" i="2"/>
  <c r="AP76" i="2"/>
  <c r="AP81" i="2"/>
  <c r="AP78" i="2"/>
  <c r="AP77" i="2"/>
  <c r="AP79" i="2"/>
  <c r="AP80" i="2"/>
  <c r="AP82" i="2"/>
  <c r="AP84" i="2"/>
  <c r="AP83" i="2"/>
  <c r="AP85" i="2"/>
  <c r="AP86" i="2"/>
  <c r="AQ75" i="2"/>
  <c r="AQ74" i="2"/>
  <c r="AQ76" i="2"/>
  <c r="AQ81" i="2"/>
  <c r="AQ78" i="2"/>
  <c r="AQ77" i="2"/>
  <c r="AQ79" i="2"/>
  <c r="AQ80" i="2"/>
  <c r="AQ82" i="2"/>
  <c r="AQ84" i="2"/>
  <c r="AQ83" i="2"/>
  <c r="AQ85" i="2"/>
  <c r="AQ86" i="2"/>
  <c r="AR75" i="2"/>
  <c r="AR74" i="2"/>
  <c r="AR76" i="2"/>
  <c r="AR81" i="2"/>
  <c r="AR78" i="2"/>
  <c r="AR77" i="2"/>
  <c r="AR79" i="2"/>
  <c r="AR80" i="2"/>
  <c r="AR82" i="2"/>
  <c r="AR84" i="2"/>
  <c r="AR83" i="2"/>
  <c r="AR85" i="2"/>
  <c r="AR86" i="2"/>
  <c r="AS75" i="2"/>
  <c r="AS74" i="2"/>
  <c r="AS76" i="2"/>
  <c r="AS81" i="2"/>
  <c r="AS78" i="2"/>
  <c r="AS77" i="2"/>
  <c r="AS79" i="2"/>
  <c r="AS80" i="2"/>
  <c r="AS82" i="2"/>
  <c r="AS84" i="2"/>
  <c r="AS83" i="2"/>
  <c r="AS85" i="2"/>
  <c r="AS86" i="2"/>
  <c r="AT75" i="2"/>
  <c r="AT74" i="2"/>
  <c r="AT76" i="2"/>
  <c r="AT81" i="2"/>
  <c r="AT78" i="2"/>
  <c r="AT77" i="2"/>
  <c r="AT79" i="2"/>
  <c r="AT80" i="2"/>
  <c r="AT82" i="2"/>
  <c r="AT84" i="2"/>
  <c r="AT83" i="2"/>
  <c r="AT85" i="2"/>
  <c r="AT86" i="2"/>
  <c r="AU75" i="2"/>
  <c r="AU74" i="2"/>
  <c r="AU76" i="2"/>
  <c r="AU81" i="2"/>
  <c r="AU78" i="2"/>
  <c r="AU77" i="2"/>
  <c r="AU79" i="2"/>
  <c r="AU80" i="2"/>
  <c r="AU82" i="2"/>
  <c r="AU84" i="2"/>
  <c r="AU83" i="2"/>
  <c r="AU85" i="2"/>
  <c r="AU86" i="2"/>
  <c r="AV75" i="2"/>
  <c r="AV74" i="2"/>
  <c r="AV76" i="2"/>
  <c r="AV81" i="2"/>
  <c r="AV78" i="2"/>
  <c r="AV77" i="2"/>
  <c r="AV79" i="2"/>
  <c r="AV80" i="2"/>
  <c r="AV82" i="2"/>
  <c r="AV84" i="2"/>
  <c r="AV83" i="2"/>
  <c r="AV85" i="2"/>
  <c r="AV86" i="2"/>
  <c r="AW75" i="2"/>
  <c r="AW74" i="2"/>
  <c r="AW76" i="2"/>
  <c r="AW81" i="2"/>
  <c r="AW78" i="2"/>
  <c r="AW77" i="2"/>
  <c r="AW79" i="2"/>
  <c r="AW80" i="2"/>
  <c r="AW82" i="2"/>
  <c r="AW84" i="2"/>
  <c r="AW83" i="2"/>
  <c r="AW85" i="2"/>
  <c r="AW86" i="2"/>
  <c r="AX75" i="2"/>
  <c r="AX74" i="2"/>
  <c r="AX76" i="2"/>
  <c r="AX81" i="2"/>
  <c r="AX78" i="2"/>
  <c r="AX77" i="2"/>
  <c r="AX79" i="2"/>
  <c r="AX80" i="2"/>
  <c r="AX82" i="2"/>
  <c r="AX84" i="2"/>
  <c r="AX83" i="2"/>
  <c r="AX85" i="2"/>
  <c r="AX86" i="2"/>
  <c r="AY75" i="2"/>
  <c r="AY74" i="2"/>
  <c r="AY76" i="2"/>
  <c r="AY81" i="2"/>
  <c r="AY78" i="2"/>
  <c r="AY77" i="2"/>
  <c r="AY79" i="2"/>
  <c r="AY80" i="2"/>
  <c r="AY82" i="2"/>
  <c r="AY84" i="2"/>
  <c r="AY83" i="2"/>
  <c r="AY85" i="2"/>
  <c r="AY86" i="2"/>
  <c r="AZ75" i="2"/>
  <c r="AZ74" i="2"/>
  <c r="AZ76" i="2"/>
  <c r="AZ81" i="2"/>
  <c r="AZ78" i="2"/>
  <c r="AZ77" i="2"/>
  <c r="AZ79" i="2"/>
  <c r="AZ80" i="2"/>
  <c r="AZ82" i="2"/>
  <c r="AZ84" i="2"/>
  <c r="AZ83" i="2"/>
  <c r="AZ85" i="2"/>
  <c r="AZ86" i="2"/>
  <c r="BA75" i="2"/>
  <c r="BA74" i="2"/>
  <c r="BA76" i="2"/>
  <c r="BA81" i="2"/>
  <c r="BA78" i="2"/>
  <c r="BA77" i="2"/>
  <c r="BA79" i="2"/>
  <c r="BA80" i="2"/>
  <c r="BA82" i="2"/>
  <c r="BA84" i="2"/>
  <c r="BA83" i="2"/>
  <c r="BA85" i="2"/>
  <c r="BA86" i="2"/>
  <c r="BB75" i="2"/>
  <c r="BB74" i="2"/>
  <c r="BB76" i="2"/>
  <c r="BB81" i="2"/>
  <c r="BB78" i="2"/>
  <c r="BB77" i="2"/>
  <c r="BB79" i="2"/>
  <c r="BB80" i="2"/>
  <c r="BB82" i="2"/>
  <c r="BB84" i="2"/>
  <c r="BB83" i="2"/>
  <c r="BB85" i="2"/>
  <c r="BB86" i="2"/>
  <c r="BC75" i="2"/>
  <c r="BC74" i="2"/>
  <c r="BC76" i="2"/>
  <c r="BC81" i="2"/>
  <c r="BC78" i="2"/>
  <c r="BC77" i="2"/>
  <c r="BC79" i="2"/>
  <c r="BC80" i="2"/>
  <c r="BC82" i="2"/>
  <c r="BC84" i="2"/>
  <c r="BC83" i="2"/>
  <c r="BC85" i="2"/>
  <c r="BC86" i="2"/>
  <c r="BD75" i="2"/>
  <c r="BD74" i="2"/>
  <c r="BD76" i="2"/>
  <c r="BD81" i="2"/>
  <c r="BD78" i="2"/>
  <c r="BD77" i="2"/>
  <c r="BD79" i="2"/>
  <c r="BD80" i="2"/>
  <c r="BD82" i="2"/>
  <c r="BD84" i="2"/>
  <c r="BD83" i="2"/>
  <c r="BD85" i="2"/>
  <c r="BD86" i="2"/>
  <c r="BE81" i="2"/>
  <c r="BE78" i="2"/>
  <c r="BE77" i="2"/>
  <c r="BE79" i="2"/>
  <c r="BE80" i="2"/>
  <c r="BE82" i="2"/>
  <c r="BE84" i="2"/>
  <c r="BE83" i="2"/>
  <c r="BE85" i="2"/>
  <c r="BF81" i="2"/>
  <c r="BF78" i="2"/>
  <c r="BF77" i="2"/>
  <c r="BF79" i="2"/>
  <c r="BF80" i="2"/>
  <c r="BF82" i="2"/>
  <c r="BF84" i="2"/>
  <c r="BF83" i="2"/>
  <c r="BF85" i="2"/>
  <c r="U30" i="2"/>
  <c r="U41" i="2"/>
  <c r="BG81" i="2"/>
  <c r="U37" i="2"/>
  <c r="U5" i="2"/>
  <c r="U22" i="2"/>
  <c r="U25" i="2"/>
  <c r="U38" i="2"/>
  <c r="U43" i="2"/>
  <c r="BG78" i="2"/>
  <c r="BG77" i="2"/>
  <c r="BG79" i="2"/>
  <c r="BG80" i="2"/>
  <c r="BG82" i="2"/>
  <c r="BG84" i="2"/>
  <c r="BG83" i="2"/>
  <c r="BG85" i="2"/>
  <c r="V41" i="2"/>
  <c r="BH81" i="2"/>
  <c r="V37" i="2"/>
  <c r="V22" i="2"/>
  <c r="V25" i="2"/>
  <c r="V38" i="2"/>
  <c r="V43" i="2"/>
  <c r="BH78" i="2"/>
  <c r="BH77" i="2"/>
  <c r="BH79" i="2"/>
  <c r="BH80" i="2"/>
  <c r="BH82" i="2"/>
  <c r="BH84" i="2"/>
  <c r="BH83" i="2"/>
  <c r="BH85" i="2"/>
  <c r="W41" i="2"/>
  <c r="BI81" i="2"/>
  <c r="W37" i="2"/>
  <c r="W5" i="2"/>
  <c r="W38" i="2"/>
  <c r="BI78" i="2"/>
  <c r="BI77" i="2"/>
  <c r="BI79" i="2"/>
  <c r="BI80" i="2"/>
  <c r="BI82" i="2"/>
  <c r="BI84" i="2"/>
  <c r="BI83" i="2"/>
  <c r="BI85" i="2"/>
  <c r="BJ81" i="2"/>
  <c r="BJ78" i="2"/>
  <c r="BJ77" i="2"/>
  <c r="BJ79" i="2"/>
  <c r="BJ80" i="2"/>
  <c r="BJ82" i="2"/>
  <c r="BJ84" i="2"/>
  <c r="BJ83" i="2"/>
  <c r="BJ85" i="2"/>
  <c r="BK81" i="2"/>
  <c r="BK78" i="2"/>
  <c r="BK77" i="2"/>
  <c r="BK79" i="2"/>
  <c r="BK80" i="2"/>
  <c r="BK82" i="2"/>
  <c r="BK84" i="2"/>
  <c r="BK83" i="2"/>
  <c r="BK85" i="2"/>
  <c r="BL81" i="2"/>
  <c r="BL78" i="2"/>
  <c r="BL77" i="2"/>
  <c r="BL79" i="2"/>
  <c r="BL80" i="2"/>
  <c r="BL82" i="2"/>
  <c r="BL84" i="2"/>
  <c r="BL83" i="2"/>
  <c r="BL85" i="2"/>
  <c r="AO75" i="2"/>
  <c r="AO74" i="2"/>
  <c r="AO76" i="2"/>
  <c r="AO81" i="2"/>
  <c r="AO78" i="2"/>
  <c r="AO77" i="2"/>
  <c r="AO79" i="2"/>
  <c r="AO80" i="2"/>
  <c r="AO82" i="2"/>
  <c r="AO84" i="2"/>
  <c r="AO83" i="2"/>
  <c r="AO85" i="2"/>
  <c r="AO86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273" i="4"/>
  <c r="AA271" i="4"/>
  <c r="AA231" i="4"/>
  <c r="AA276" i="4"/>
  <c r="AA278" i="4"/>
  <c r="AA260" i="4"/>
  <c r="AA256" i="4"/>
  <c r="AA274" i="4"/>
  <c r="AA268" i="4"/>
  <c r="AA250" i="4"/>
  <c r="AA257" i="4"/>
  <c r="AA188" i="4"/>
  <c r="AA202" i="4"/>
  <c r="AA166" i="4"/>
  <c r="AA175" i="4"/>
  <c r="AA3" i="4"/>
  <c r="AA16" i="4"/>
  <c r="AA17" i="4"/>
  <c r="AA18" i="4"/>
  <c r="AA287" i="4"/>
  <c r="AA291" i="4"/>
  <c r="AA297" i="4"/>
  <c r="AA298" i="4"/>
  <c r="AA293" i="4"/>
  <c r="AA296" i="4"/>
  <c r="AA4" i="4"/>
  <c r="AA258" i="4"/>
  <c r="AA262" i="4"/>
  <c r="AA266" i="4"/>
  <c r="AA288" i="4"/>
  <c r="AA290" i="4"/>
  <c r="AA286" i="4"/>
  <c r="AA269" i="4"/>
  <c r="AA254" i="4"/>
  <c r="AA244" i="4"/>
  <c r="AA259" i="4"/>
  <c r="AA90" i="4"/>
  <c r="AA91" i="4"/>
  <c r="AA115" i="4"/>
  <c r="AA125" i="4"/>
  <c r="AA107" i="4"/>
  <c r="AA189" i="4"/>
  <c r="AA49" i="4"/>
  <c r="AA19" i="4"/>
  <c r="AA2" i="4"/>
  <c r="AA272" i="4"/>
  <c r="AA20" i="4"/>
  <c r="AA21" i="4"/>
  <c r="AA50" i="4"/>
  <c r="AA22" i="4"/>
  <c r="AA23" i="4"/>
  <c r="AA51" i="4"/>
  <c r="AA24" i="4"/>
  <c r="AA25" i="4"/>
  <c r="AA26" i="4"/>
  <c r="AA27" i="4"/>
  <c r="AA5" i="4"/>
  <c r="AA83" i="4"/>
  <c r="AA108" i="4"/>
  <c r="AA28" i="4"/>
  <c r="AA234" i="4"/>
  <c r="AA203" i="4"/>
  <c r="AA29" i="4"/>
  <c r="AA30" i="4"/>
  <c r="AA31" i="4"/>
  <c r="AA32" i="4"/>
  <c r="AA33" i="4"/>
  <c r="AA52" i="4"/>
  <c r="AA34" i="4"/>
  <c r="AA248" i="4"/>
  <c r="AA289" i="4"/>
  <c r="AA282" i="4"/>
  <c r="AA238" i="4"/>
  <c r="AA158" i="4"/>
  <c r="AA154" i="4"/>
  <c r="AA155" i="4"/>
  <c r="AA57" i="4"/>
  <c r="AA63" i="4"/>
  <c r="AA53" i="4"/>
  <c r="AA242" i="4"/>
  <c r="AA35" i="4"/>
  <c r="AA36" i="4"/>
  <c r="AA37" i="4"/>
  <c r="AA64" i="4"/>
  <c r="AA116" i="4"/>
  <c r="AA144" i="4"/>
  <c r="AA159" i="4"/>
  <c r="AA279" i="4"/>
  <c r="AA160" i="4"/>
  <c r="AA204" i="4"/>
  <c r="AA294" i="4"/>
  <c r="AA212" i="4"/>
  <c r="AA65" i="4"/>
  <c r="AA190" i="4"/>
  <c r="AA92" i="4"/>
  <c r="AA54" i="4"/>
  <c r="AA84" i="4"/>
  <c r="AA109" i="4"/>
  <c r="AA227" i="4"/>
  <c r="AA277" i="4"/>
  <c r="AA221" i="4"/>
  <c r="AA126" i="4"/>
  <c r="AA93" i="4"/>
  <c r="AA243" i="4"/>
  <c r="AA252" i="4"/>
  <c r="AA264" i="4"/>
  <c r="AA199" i="4"/>
  <c r="AA85" i="4"/>
  <c r="AA222" i="4"/>
  <c r="AA94" i="4"/>
  <c r="AA213" i="4"/>
  <c r="AA38" i="4"/>
  <c r="AA127" i="4"/>
  <c r="AA211" i="4"/>
  <c r="AA95" i="4"/>
  <c r="AA39" i="4"/>
  <c r="AA191" i="4"/>
  <c r="AA110" i="4"/>
  <c r="AA66" i="4"/>
  <c r="AA96" i="4"/>
  <c r="AA176" i="4"/>
  <c r="AA97" i="4"/>
  <c r="AA220" i="4"/>
  <c r="AA270" i="4"/>
  <c r="AA58" i="4"/>
  <c r="AA235" i="4"/>
  <c r="AA275" i="4"/>
  <c r="AA192" i="4"/>
  <c r="AA98" i="4"/>
  <c r="AA40" i="4"/>
  <c r="AA41" i="4"/>
  <c r="AA128" i="4"/>
  <c r="AA111" i="4"/>
  <c r="AA156" i="4"/>
  <c r="AA224" i="4"/>
  <c r="AA67" i="4"/>
  <c r="AA55" i="4"/>
  <c r="AA240" i="4"/>
  <c r="AA223" i="4"/>
  <c r="AA99" i="4"/>
  <c r="AA193" i="4"/>
  <c r="AA249" i="4"/>
  <c r="AA236" i="4"/>
  <c r="AA241" i="4"/>
  <c r="AA280" i="4"/>
  <c r="AA237" i="4"/>
  <c r="AA129" i="4"/>
  <c r="AA177" i="4"/>
  <c r="AA267" i="4"/>
  <c r="AA225" i="4"/>
  <c r="AA112" i="4"/>
  <c r="AA205" i="4"/>
  <c r="AA194" i="4"/>
  <c r="AA86" i="4"/>
  <c r="AA68" i="4"/>
  <c r="AA69" i="4"/>
  <c r="AA295" i="4"/>
  <c r="AA167" i="4"/>
  <c r="AA285" i="4"/>
  <c r="AA281" i="4"/>
  <c r="AA206" i="4"/>
  <c r="AA59" i="4"/>
  <c r="AA60" i="4"/>
  <c r="AA61" i="4"/>
  <c r="AA178" i="4"/>
  <c r="AA179" i="4"/>
  <c r="AA180" i="4"/>
  <c r="AA100" i="4"/>
  <c r="AA70" i="4"/>
  <c r="AA101" i="4"/>
  <c r="AA71" i="4"/>
  <c r="AA42" i="4"/>
  <c r="AA72" i="4"/>
  <c r="AA7" i="4"/>
  <c r="AA8" i="4"/>
  <c r="AA102" i="4"/>
  <c r="AA73" i="4"/>
  <c r="AA74" i="4"/>
  <c r="AA130" i="4"/>
  <c r="AA195" i="4"/>
  <c r="AA56" i="4"/>
  <c r="AA9" i="4"/>
  <c r="AA43" i="4"/>
  <c r="AA6" i="4"/>
  <c r="AA10" i="4"/>
  <c r="AA11" i="4"/>
  <c r="AA12" i="4"/>
  <c r="AA13" i="4"/>
  <c r="AA87" i="4"/>
  <c r="AA161" i="4"/>
  <c r="AA162" i="4"/>
  <c r="AA163" i="4"/>
  <c r="AA145" i="4"/>
  <c r="AA168" i="4"/>
  <c r="AA181" i="4"/>
  <c r="AA169" i="4"/>
  <c r="AA196" i="4"/>
  <c r="AA229" i="4"/>
  <c r="AA170" i="4"/>
  <c r="AA131" i="4"/>
  <c r="AA132" i="4"/>
  <c r="AA197" i="4"/>
  <c r="AA200" i="4"/>
  <c r="AA226" i="4"/>
  <c r="AA171" i="4"/>
  <c r="AA146" i="4"/>
  <c r="AA164" i="4"/>
  <c r="AA284" i="4"/>
  <c r="AA172" i="4"/>
  <c r="AA232" i="4"/>
  <c r="AA239" i="4"/>
  <c r="AA263" i="4"/>
  <c r="AA75" i="4"/>
  <c r="AA182" i="4"/>
  <c r="AA214" i="4"/>
  <c r="AA183" i="4"/>
  <c r="AA133" i="4"/>
  <c r="AA134" i="4"/>
  <c r="AA135" i="4"/>
  <c r="AA136" i="4"/>
  <c r="AA137" i="4"/>
  <c r="AA138" i="4"/>
  <c r="AA147" i="4"/>
  <c r="AA148" i="4"/>
  <c r="AA149" i="4"/>
  <c r="AA215" i="4"/>
  <c r="AA150" i="4"/>
  <c r="AA151" i="4"/>
  <c r="AA255" i="4"/>
  <c r="AA251" i="4"/>
  <c r="AA76" i="4"/>
  <c r="AA77" i="4"/>
  <c r="AA245" i="4"/>
  <c r="AA78" i="4"/>
  <c r="AA117" i="4"/>
  <c r="AA103" i="4"/>
  <c r="AA118" i="4"/>
  <c r="AA88" i="4"/>
  <c r="AA121" i="4"/>
  <c r="AA80" i="4"/>
  <c r="AA105" i="4"/>
  <c r="AA14" i="4"/>
  <c r="AA15" i="4"/>
  <c r="AA228" i="4"/>
  <c r="AA44" i="4"/>
  <c r="AA265" i="4"/>
  <c r="AA233" i="4"/>
  <c r="AA104" i="4"/>
  <c r="AA184" i="4"/>
  <c r="AA261" i="4"/>
  <c r="AA122" i="4"/>
  <c r="AA198" i="4"/>
  <c r="AA173" i="4"/>
  <c r="AA174" i="4"/>
  <c r="AA185" i="4"/>
  <c r="AA152" i="4"/>
  <c r="AA113" i="4"/>
  <c r="AA207" i="4"/>
  <c r="AA208" i="4"/>
  <c r="AA62" i="4"/>
  <c r="AA79" i="4"/>
  <c r="AA153" i="4"/>
  <c r="AA201" i="4"/>
  <c r="AA89" i="4"/>
  <c r="AA139" i="4"/>
  <c r="AA140" i="4"/>
  <c r="AA209" i="4"/>
  <c r="AA141" i="4"/>
  <c r="AA142" i="4"/>
  <c r="AA165" i="4"/>
  <c r="AA143" i="4"/>
  <c r="AA119" i="4"/>
  <c r="AA120" i="4"/>
  <c r="AA123" i="4"/>
  <c r="AA106" i="4"/>
  <c r="AA157" i="4"/>
  <c r="AA216" i="4"/>
  <c r="AA81" i="4"/>
  <c r="AA186" i="4"/>
  <c r="AA210" i="4"/>
  <c r="AA187" i="4"/>
  <c r="AA217" i="4"/>
  <c r="AA218" i="4"/>
  <c r="AA219" i="4"/>
  <c r="AA246" i="4"/>
  <c r="AA82" i="4"/>
  <c r="AA124" i="4"/>
  <c r="AA47" i="4"/>
  <c r="AA247" i="4"/>
  <c r="AA253" i="4"/>
  <c r="AA230" i="4"/>
  <c r="AA48" i="4"/>
  <c r="AA299" i="4"/>
  <c r="AA300" i="4"/>
  <c r="AA301" i="4"/>
  <c r="AA302" i="4"/>
  <c r="AA308" i="4"/>
  <c r="AA304" i="4"/>
  <c r="AA305" i="4"/>
  <c r="AA306" i="4"/>
  <c r="AA307" i="4"/>
  <c r="AA309" i="4"/>
  <c r="AA313" i="4"/>
  <c r="AA314" i="4"/>
  <c r="AA310" i="4"/>
  <c r="AA311" i="4"/>
  <c r="AA312" i="4"/>
  <c r="AA346" i="4"/>
  <c r="AA347" i="4"/>
  <c r="AA345" i="4"/>
  <c r="AA343" i="4"/>
  <c r="AA344" i="4"/>
  <c r="AA327" i="4"/>
  <c r="AA342" i="4"/>
  <c r="AA328" i="4"/>
  <c r="AA329" i="4"/>
  <c r="AA330" i="4"/>
  <c r="AA331" i="4"/>
  <c r="AA332" i="4"/>
  <c r="AA341" i="4"/>
  <c r="AA333" i="4"/>
  <c r="AA323" i="4"/>
  <c r="AA334" i="4"/>
  <c r="AA315" i="4"/>
  <c r="AA324" i="4"/>
  <c r="AA340" i="4"/>
  <c r="AA321" i="4"/>
  <c r="AA319" i="4"/>
  <c r="AA326" i="4"/>
  <c r="AA335" i="4"/>
  <c r="AA336" i="4"/>
  <c r="AA337" i="4"/>
  <c r="AA338" i="4"/>
  <c r="AA322" i="4"/>
  <c r="AA339" i="4"/>
  <c r="AA317" i="4"/>
  <c r="AA318" i="4"/>
  <c r="AA316" i="4"/>
  <c r="AA325" i="4"/>
  <c r="AA320" i="4"/>
  <c r="AA349" i="4"/>
  <c r="AA363" i="4"/>
  <c r="AA369" i="4"/>
  <c r="AA364" i="4"/>
  <c r="AA365" i="4"/>
  <c r="AA350" i="4"/>
  <c r="AA351" i="4"/>
  <c r="AA366" i="4"/>
  <c r="AA367" i="4"/>
  <c r="AA368" i="4"/>
  <c r="AA348" i="4"/>
  <c r="AA352" i="4"/>
  <c r="AA353" i="4"/>
  <c r="AA354" i="4"/>
  <c r="AA355" i="4"/>
  <c r="AA356" i="4"/>
  <c r="AA357" i="4"/>
  <c r="AA358" i="4"/>
  <c r="AA360" i="4"/>
  <c r="AA361" i="4"/>
  <c r="AA359" i="4"/>
  <c r="AA362" i="4"/>
  <c r="AA370" i="4"/>
  <c r="AA371" i="4"/>
  <c r="AA372" i="4"/>
  <c r="AA373" i="4"/>
  <c r="AA374" i="4"/>
  <c r="AA375" i="4"/>
  <c r="AA376" i="4"/>
  <c r="AA377" i="4"/>
  <c r="AA379" i="4"/>
  <c r="AA378" i="4"/>
  <c r="AA381" i="4"/>
  <c r="AA386" i="4"/>
  <c r="AA382" i="4"/>
  <c r="AA383" i="4"/>
  <c r="AA384" i="4"/>
  <c r="AA385" i="4"/>
  <c r="AA389" i="4"/>
  <c r="AA390" i="4"/>
  <c r="AA388" i="4"/>
  <c r="AA387" i="4"/>
  <c r="AA391" i="4"/>
  <c r="AA392" i="4"/>
  <c r="AA393" i="4"/>
  <c r="AA394" i="4"/>
  <c r="AA395" i="4"/>
  <c r="AA396" i="4"/>
  <c r="AA397" i="4"/>
  <c r="AA398" i="4"/>
  <c r="AA399" i="4"/>
  <c r="AA400" i="4"/>
  <c r="AA411" i="4"/>
  <c r="AA401" i="4"/>
  <c r="AA402" i="4"/>
  <c r="AA403" i="4"/>
  <c r="AA404" i="4"/>
  <c r="AA405" i="4"/>
  <c r="AA406" i="4"/>
  <c r="AA407" i="4"/>
  <c r="AA408" i="4"/>
  <c r="AA409" i="4"/>
  <c r="AA410" i="4"/>
  <c r="AA283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74" i="2"/>
  <c r="BE75" i="2"/>
  <c r="BE76" i="2"/>
  <c r="BE86" i="2"/>
  <c r="BF74" i="2"/>
  <c r="BF75" i="2"/>
  <c r="BF76" i="2"/>
  <c r="BF86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74" i="2"/>
  <c r="BL75" i="2"/>
  <c r="BL76" i="2"/>
  <c r="BL86" i="2"/>
  <c r="BK74" i="2"/>
  <c r="BK75" i="2"/>
  <c r="BK76" i="2"/>
  <c r="BK86" i="2"/>
  <c r="BJ74" i="2"/>
  <c r="BJ75" i="2"/>
  <c r="BJ76" i="2"/>
  <c r="BJ86" i="2"/>
  <c r="W42" i="2"/>
  <c r="W12" i="2"/>
  <c r="W17" i="2"/>
  <c r="W10" i="2"/>
  <c r="W13" i="2"/>
  <c r="W11" i="2"/>
  <c r="W36" i="2"/>
  <c r="W26" i="2"/>
  <c r="BI74" i="2"/>
  <c r="BI75" i="2"/>
  <c r="BI76" i="2"/>
  <c r="BI86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74" i="2"/>
  <c r="BH75" i="2"/>
  <c r="BH76" i="2"/>
  <c r="BH86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74" i="2"/>
  <c r="BG75" i="2"/>
  <c r="BG76" i="2"/>
  <c r="BG86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57" i="4"/>
  <c r="AJ106" i="4"/>
  <c r="AJ81" i="4"/>
  <c r="AJ198" i="4"/>
  <c r="AJ79" i="4"/>
  <c r="AJ104" i="4"/>
  <c r="AJ118" i="4"/>
  <c r="AJ103" i="4"/>
  <c r="AJ117" i="4"/>
  <c r="AJ78" i="4"/>
  <c r="AJ77" i="4"/>
  <c r="AJ43" i="4"/>
  <c r="AJ8" i="4"/>
  <c r="AJ69" i="4"/>
  <c r="AJ68" i="4"/>
  <c r="AJ86" i="4"/>
  <c r="AJ67" i="4"/>
  <c r="AJ98" i="4"/>
  <c r="AJ96" i="4"/>
  <c r="AJ66" i="4"/>
  <c r="AJ94" i="4"/>
  <c r="AJ65" i="4"/>
  <c r="AJ108" i="4"/>
  <c r="AJ83" i="4"/>
  <c r="AJ47" i="4"/>
  <c r="AJ280" i="4"/>
  <c r="AJ277" i="4"/>
  <c r="AJ72" i="4"/>
  <c r="AJ37" i="4"/>
  <c r="AJ36" i="4"/>
  <c r="AJ35" i="4"/>
  <c r="AJ52" i="4"/>
  <c r="AJ33" i="4"/>
  <c r="AJ32" i="4"/>
  <c r="AJ2" i="4"/>
  <c r="AJ62" i="4"/>
  <c r="AJ208" i="4"/>
  <c r="AJ75" i="4"/>
  <c r="AJ11" i="4"/>
  <c r="AJ6" i="4"/>
  <c r="AJ56" i="4"/>
  <c r="AJ59" i="4"/>
  <c r="AJ41" i="4"/>
  <c r="AJ58" i="4"/>
  <c r="AJ110" i="4"/>
  <c r="AJ39" i="4"/>
  <c r="AJ38" i="4"/>
  <c r="AJ28" i="4"/>
  <c r="AJ19" i="4"/>
  <c r="AJ107" i="4"/>
  <c r="AJ125" i="4"/>
  <c r="AJ115" i="4"/>
  <c r="AJ91" i="4"/>
  <c r="AJ90" i="4"/>
  <c r="AJ17" i="4"/>
  <c r="AJ48" i="4"/>
  <c r="AJ84" i="4"/>
  <c r="AJ294" i="4"/>
  <c r="AJ34" i="4"/>
  <c r="AJ31" i="4"/>
  <c r="AJ30" i="4"/>
  <c r="AJ29" i="4"/>
  <c r="AJ5" i="4"/>
  <c r="AJ27" i="4"/>
  <c r="AJ26" i="4"/>
  <c r="AJ25" i="4"/>
  <c r="AJ24" i="4"/>
  <c r="AJ51" i="4"/>
  <c r="AJ23" i="4"/>
  <c r="AJ22" i="4"/>
  <c r="AJ50" i="4"/>
  <c r="AJ21" i="4"/>
  <c r="AJ20" i="4"/>
  <c r="AJ18" i="4"/>
  <c r="AJ16" i="4"/>
  <c r="AJ3" i="4"/>
  <c r="AJ157" i="4"/>
  <c r="AJ113" i="4"/>
  <c r="AJ261" i="4"/>
  <c r="AJ121" i="4"/>
  <c r="AJ120" i="4"/>
  <c r="AJ119" i="4"/>
  <c r="AJ112" i="4"/>
  <c r="AJ129" i="4"/>
  <c r="AJ128" i="4"/>
  <c r="AJ85" i="4"/>
  <c r="AJ95" i="4"/>
  <c r="AJ233" i="4"/>
  <c r="AJ228" i="4"/>
  <c r="AJ263" i="4"/>
  <c r="AJ239" i="4"/>
  <c r="AJ232" i="4"/>
  <c r="AJ170" i="4"/>
  <c r="AJ229" i="4"/>
  <c r="AJ161" i="4"/>
  <c r="AJ224" i="4"/>
  <c r="AJ93" i="4"/>
  <c r="AJ126" i="4"/>
  <c r="AJ160" i="4"/>
  <c r="AJ207" i="4"/>
  <c r="AJ185" i="4"/>
  <c r="AJ174" i="4"/>
  <c r="AJ173" i="4"/>
  <c r="AJ245" i="4"/>
  <c r="AJ251" i="4"/>
  <c r="AJ255" i="4"/>
  <c r="AJ172" i="4"/>
  <c r="AJ284" i="4"/>
  <c r="AJ164" i="4"/>
  <c r="AJ146" i="4"/>
  <c r="AJ171" i="4"/>
  <c r="AJ226" i="4"/>
  <c r="AJ200" i="4"/>
  <c r="AJ197" i="4"/>
  <c r="AJ196" i="4"/>
  <c r="AJ169" i="4"/>
  <c r="AJ181" i="4"/>
  <c r="AJ168" i="4"/>
  <c r="AJ145" i="4"/>
  <c r="AJ163" i="4"/>
  <c r="AJ194" i="4"/>
  <c r="AJ267" i="4"/>
  <c r="AJ177" i="4"/>
  <c r="AJ237" i="4"/>
  <c r="AJ223" i="4"/>
  <c r="AJ156" i="4"/>
  <c r="AJ220" i="4"/>
  <c r="AJ176" i="4"/>
  <c r="AJ213" i="4"/>
  <c r="AJ221" i="4"/>
  <c r="AJ190" i="4"/>
  <c r="AJ279" i="4"/>
  <c r="AJ155" i="4"/>
  <c r="AJ272" i="4"/>
  <c r="AJ189" i="4"/>
  <c r="AJ15" i="4"/>
  <c r="AJ14" i="4"/>
  <c r="AJ105" i="4"/>
  <c r="AJ80" i="4"/>
  <c r="AJ88" i="4"/>
  <c r="AJ9" i="4"/>
  <c r="AJ101" i="4"/>
  <c r="AJ70" i="4"/>
  <c r="AJ100" i="4"/>
  <c r="AJ99" i="4"/>
  <c r="AJ55" i="4"/>
  <c r="AJ111" i="4"/>
  <c r="AJ97" i="4"/>
  <c r="AJ127" i="4"/>
  <c r="AJ53" i="4"/>
  <c r="AJ63" i="4"/>
  <c r="AJ143" i="4"/>
  <c r="AJ265" i="4"/>
  <c r="AJ44" i="4"/>
  <c r="AJ134" i="4"/>
  <c r="AJ133" i="4"/>
  <c r="AJ132" i="4"/>
  <c r="AJ195" i="4"/>
  <c r="AJ253" i="4"/>
  <c r="AJ247" i="4"/>
  <c r="AJ142" i="4"/>
  <c r="AJ141" i="4"/>
  <c r="AJ137" i="4"/>
  <c r="AJ136" i="4"/>
  <c r="AJ204" i="4"/>
  <c r="AJ49" i="4"/>
  <c r="AJ76" i="4"/>
  <c r="AJ135" i="4"/>
  <c r="AJ162" i="4"/>
  <c r="AJ13" i="4"/>
  <c r="AJ12" i="4"/>
  <c r="AJ10" i="4"/>
  <c r="AJ7" i="4"/>
  <c r="AJ42" i="4"/>
  <c r="AJ40" i="4"/>
  <c r="AJ92" i="4"/>
  <c r="AJ116" i="4"/>
  <c r="AJ242" i="4"/>
  <c r="AJ154" i="4"/>
  <c r="AJ158" i="4"/>
  <c r="AJ230" i="4"/>
  <c r="AJ124" i="4"/>
  <c r="AJ246" i="4"/>
  <c r="AJ123" i="4"/>
  <c r="AJ165" i="4"/>
  <c r="AJ138" i="4"/>
  <c r="AJ131" i="4"/>
  <c r="AJ130" i="4"/>
  <c r="AJ206" i="4"/>
  <c r="AJ109" i="4"/>
  <c r="AJ54" i="4"/>
  <c r="AJ159" i="4"/>
  <c r="AJ144" i="4"/>
  <c r="AJ61" i="4"/>
  <c r="AJ225" i="4"/>
  <c r="AJ275" i="4"/>
  <c r="AJ222" i="4"/>
  <c r="AJ268" i="4"/>
  <c r="AJ274" i="4"/>
  <c r="AJ260" i="4"/>
  <c r="AJ82" i="4"/>
  <c r="AJ184" i="4"/>
  <c r="AJ74" i="4"/>
  <c r="AJ71" i="4"/>
  <c r="AJ60" i="4"/>
  <c r="AJ64" i="4"/>
  <c r="AJ175" i="4"/>
  <c r="AJ166" i="4"/>
  <c r="AJ202" i="4"/>
  <c r="AJ188" i="4"/>
  <c r="AJ87" i="4"/>
  <c r="AJ73" i="4"/>
  <c r="AJ102" i="4"/>
  <c r="AJ4" i="4"/>
  <c r="AJ209" i="4"/>
  <c r="AJ140" i="4"/>
  <c r="AJ139" i="4"/>
  <c r="AJ89" i="4"/>
  <c r="AJ201" i="4"/>
  <c r="AJ193" i="4"/>
  <c r="AJ191" i="4"/>
  <c r="AJ219" i="4"/>
  <c r="AJ218" i="4"/>
  <c r="AJ217" i="4"/>
  <c r="AJ187" i="4"/>
  <c r="AJ210" i="4"/>
  <c r="AJ186" i="4"/>
  <c r="AJ122" i="4"/>
  <c r="AJ264" i="4"/>
  <c r="AJ227" i="4"/>
  <c r="AJ288" i="4"/>
  <c r="AJ258" i="4"/>
  <c r="AJ257" i="4"/>
  <c r="AJ250" i="4"/>
  <c r="AJ256" i="4"/>
  <c r="AJ278" i="4"/>
  <c r="AJ276" i="4"/>
  <c r="AJ271" i="4"/>
  <c r="AJ273" i="4"/>
  <c r="AJ148" i="4"/>
  <c r="AJ214" i="4"/>
  <c r="AJ182" i="4"/>
  <c r="AJ151" i="4"/>
  <c r="AJ150" i="4"/>
  <c r="AJ215" i="4"/>
  <c r="AJ149" i="4"/>
  <c r="AJ147" i="4"/>
  <c r="AJ183" i="4"/>
  <c r="AJ205" i="4"/>
  <c r="AJ241" i="4"/>
  <c r="AJ236" i="4"/>
  <c r="AJ249" i="4"/>
  <c r="AJ235" i="4"/>
  <c r="AJ289" i="4"/>
  <c r="AJ286" i="4"/>
  <c r="AJ290" i="4"/>
  <c r="AJ282" i="4"/>
  <c r="AJ281" i="4"/>
  <c r="AJ285" i="4"/>
  <c r="AJ296" i="4"/>
  <c r="AJ298" i="4"/>
  <c r="AJ297" i="4"/>
  <c r="AJ180" i="4"/>
  <c r="AJ179" i="4"/>
  <c r="AJ178" i="4"/>
  <c r="AJ192" i="4"/>
  <c r="AJ211" i="4"/>
  <c r="AJ203" i="4"/>
  <c r="AJ234" i="4"/>
  <c r="AJ199" i="4"/>
  <c r="AJ243" i="4"/>
  <c r="AJ270" i="4"/>
  <c r="AJ252" i="4"/>
  <c r="AJ295" i="4"/>
  <c r="AJ293" i="4"/>
  <c r="AJ291" i="4"/>
  <c r="AJ287" i="4"/>
  <c r="AJ216" i="4"/>
  <c r="AJ153" i="4"/>
  <c r="AJ152" i="4"/>
  <c r="AJ167" i="4"/>
  <c r="AJ240" i="4"/>
  <c r="AJ212" i="4"/>
  <c r="AJ238" i="4"/>
  <c r="AJ248" i="4"/>
  <c r="AJ259" i="4"/>
  <c r="AJ244" i="4"/>
  <c r="AJ254" i="4"/>
  <c r="AJ269" i="4"/>
  <c r="AJ266" i="4"/>
  <c r="AJ262" i="4"/>
  <c r="AJ231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283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14" i="4"/>
  <c r="Y54" i="4"/>
  <c r="Y173" i="4"/>
  <c r="Y174" i="4"/>
  <c r="X2" i="12"/>
  <c r="S2" i="12"/>
  <c r="T2" i="12"/>
  <c r="X152" i="4"/>
  <c r="X153" i="4"/>
  <c r="X212" i="4"/>
  <c r="X216" i="4"/>
  <c r="X227" i="4"/>
  <c r="X240" i="4"/>
  <c r="X244" i="4"/>
  <c r="X248" i="4"/>
  <c r="X259" i="4"/>
  <c r="X262" i="4"/>
  <c r="X269" i="4"/>
  <c r="W2" i="12"/>
  <c r="Z14" i="4"/>
  <c r="Z54" i="4"/>
  <c r="Z173" i="4"/>
  <c r="Z174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6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<sst xmlns="http://schemas.openxmlformats.org/spreadsheetml/2006/main" count="15146" uniqueCount="1591">
  <si>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</si>
  <si>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</si>
  <si>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</si>
  <si>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</si>
  <si>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</si>
  <si>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</si>
  <si>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</si>
  <si>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</si>
  <si>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</si>
  <si>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</si>
  <si>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</si>
  <si>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</si>
  <si>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</si>
  <si>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</si>
  <si>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</si>
  <si>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</si>
  <si>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</si>
  <si>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</si>
  <si>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</si>
  <si>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</si>
  <si>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</si>
  <si>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</si>
  <si>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</si>
  <si>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</si>
  <si>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</si>
  <si>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</si>
  <si>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</si>
  <si>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</si>
  <si>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</si>
  <si>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</si>
  <si>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</si>
  <si>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</si>
  <si>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</si>
  <si>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</si>
  <si>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</si>
  <si>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</si>
  <si>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</si>
  <si>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</si>
  <si>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</si>
  <si>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</si>
  <si>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</si>
  <si>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</si>
  <si>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</si>
  <si>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</si>
  <si>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</si>
  <si>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</si>
  <si>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</si>
  <si>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</si>
  <si>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</si>
  <si>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</si>
  <si>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</si>
  <si>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</si>
  <si>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</si>
  <si>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</si>
  <si>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</si>
  <si>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</si>
  <si>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</si>
  <si>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</si>
  <si>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</si>
  <si>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</si>
  <si>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</si>
  <si>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</si>
  <si>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</si>
  <si>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</si>
  <si>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</si>
  <si>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</si>
  <si>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</si>
  <si>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</si>
  <si>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</si>
  <si>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</si>
  <si>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</si>
  <si>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</si>
  <si>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</si>
  <si>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</si>
  <si>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</si>
  <si>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</si>
  <si>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</si>
  <si>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</si>
  <si>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</si>
  <si>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</si>
  <si>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</si>
  <si>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</si>
  <si>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</si>
  <si>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</si>
  <si>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</si>
  <si>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</si>
  <si>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</si>
  <si>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</si>
  <si>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</si>
  <si>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</si>
  <si>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</si>
  <si>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</si>
  <si>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</si>
  <si>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</si>
  <si>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</si>
  <si>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</si>
  <si>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</si>
  <si>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</si>
  <si>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</si>
  <si>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</si>
  <si>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</si>
  <si>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</si>
  <si>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</si>
  <si>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</si>
  <si>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</si>
  <si>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</si>
  <si>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</si>
  <si>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</si>
  <si>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</si>
  <si>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</si>
  <si>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</si>
  <si>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</si>
  <si>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</si>
  <si>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</si>
  <si>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</si>
  <si>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</si>
  <si>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</si>
  <si>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</si>
  <si>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</si>
  <si>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</si>
  <si>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</si>
  <si>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</si>
  <si>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</si>
  <si>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</si>
  <si>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</si>
  <si>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</si>
  <si>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</si>
  <si>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</si>
  <si>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</si>
  <si>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</si>
  <si>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</si>
  <si>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</si>
  <si>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</si>
  <si>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</si>
  <si>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</si>
  <si>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</si>
  <si>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</si>
  <si>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</si>
  <si>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</si>
  <si>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</si>
  <si>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</si>
  <si>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</si>
  <si>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</si>
  <si>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</si>
  <si>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</si>
  <si>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</si>
  <si>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</si>
  <si>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</si>
  <si>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</si>
  <si>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</si>
  <si>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</si>
  <si>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</si>
  <si>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</si>
  <si>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</si>
  <si>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</si>
  <si>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</si>
  <si>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</si>
  <si>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</si>
  <si>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</si>
  <si>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</si>
  <si>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</si>
  <si>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</si>
  <si>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</si>
  <si>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</si>
  <si>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</si>
  <si>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</si>
  <si>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</si>
  <si>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</si>
  <si>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</si>
  <si>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</si>
  <si>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</si>
  <si>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</si>
  <si>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</si>
  <si>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</si>
  <si>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</si>
  <si>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</si>
  <si>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</si>
  <si>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</si>
  <si>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</si>
  <si>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</si>
  <si>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</si>
  <si>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</si>
  <si>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</si>
  <si>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</si>
  <si>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</si>
  <si>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</si>
  <si>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</si>
  <si>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</si>
  <si>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</si>
  <si>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</si>
  <si>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</si>
  <si>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</si>
  <si>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</si>
  <si>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</si>
  <si>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</si>
  <si>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</si>
  <si>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</si>
  <si>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</si>
  <si>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</si>
  <si>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</si>
  <si>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</si>
  <si>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</si>
  <si>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</si>
  <si>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</si>
  <si>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</si>
  <si>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</si>
  <si>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</si>
  <si>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</si>
  <si>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</si>
  <si>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</si>
  <si>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</si>
  <si>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</si>
  <si>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</si>
  <si>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</si>
  <si>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</si>
  <si>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</si>
  <si>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</si>
  <si>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</si>
  <si>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</si>
  <si>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</si>
  <si>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</si>
  <si>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</si>
  <si>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</si>
  <si>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</si>
  <si>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</si>
  <si>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</si>
  <si>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</si>
  <si>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</si>
  <si>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</si>
  <si>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</si>
  <si>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</si>
  <si>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</si>
  <si>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</si>
  <si>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</si>
  <si>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</si>
  <si>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</si>
  <si>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</si>
  <si>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</si>
  <si>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</si>
  <si>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</si>
  <si>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</si>
  <si>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</si>
  <si>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</si>
  <si>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</si>
  <si>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</si>
  <si>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</si>
  <si>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</si>
  <si>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</si>
  <si>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</si>
  <si>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</si>
  <si>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</si>
  <si>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</si>
  <si>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</si>
  <si>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</si>
  <si>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</si>
  <si>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</si>
  <si>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</si>
  <si>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</si>
  <si>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</si>
  <si>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</si>
  <si>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</si>
  <si>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</si>
  <si>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</si>
  <si>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</si>
  <si>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</si>
  <si>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</si>
  <si>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</si>
  <si>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</si>
  <si>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</si>
  <si>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</si>
  <si>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</si>
  <si>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</si>
  <si>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</si>
  <si>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</si>
  <si>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</si>
  <si>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</si>
  <si>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</si>
  <si>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</si>
  <si>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</si>
  <si>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</si>
  <si>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</si>
  <si>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</si>
  <si>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</si>
  <si>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</si>
  <si>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</si>
  <si>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</si>
  <si>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</si>
  <si>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</si>
  <si>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</si>
  <si>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</si>
  <si>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</si>
  <si>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</si>
  <si>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</si>
  <si>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</si>
  <si>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</si>
  <si>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</si>
  <si>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</si>
  <si>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</si>
  <si>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</si>
  <si>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</si>
  <si>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</si>
  <si>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</si>
  <si>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</si>
  <si>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</si>
  <si>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</si>
  <si>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</si>
  <si>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</si>
  <si>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</si>
  <si>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</si>
  <si>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</si>
  <si>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</si>
  <si>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</si>
  <si>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</si>
  <si>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</si>
  <si>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</si>
  <si>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</si>
  <si>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</si>
  <si>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</si>
  <si>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</si>
  <si>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</si>
  <si>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</si>
  <si>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</si>
  <si>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</si>
  <si>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</si>
  <si>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</si>
  <si>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</si>
  <si>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</si>
  <si>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</si>
  <si>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</si>
  <si>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</si>
  <si>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</si>
  <si>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</si>
  <si>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</si>
  <si>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</si>
  <si>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</si>
  <si>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</si>
  <si>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</si>
  <si>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</si>
  <si>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</si>
  <si>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</si>
  <si>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</si>
  <si>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</si>
  <si>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</si>
  <si>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</si>
  <si>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</si>
  <si>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</si>
  <si>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</si>
  <si>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</si>
  <si>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</si>
  <si>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</si>
  <si>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</si>
  <si>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</si>
  <si>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</si>
  <si>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</si>
  <si>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</si>
  <si>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</si>
  <si>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</si>
  <si>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</si>
  <si>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</si>
  <si>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</si>
  <si>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</si>
  <si>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</si>
  <si>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</si>
  <si>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</si>
  <si>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</si>
  <si>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</si>
  <si>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</si>
  <si>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</si>
  <si>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</si>
  <si>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</si>
  <si>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</si>
  <si>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</si>
  <si>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</si>
  <si>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</si>
  <si>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</si>
  <si>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</si>
  <si>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</si>
  <si>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</si>
  <si>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</si>
  <si>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</si>
  <si>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</si>
  <si>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</si>
  <si>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</si>
  <si>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</si>
  <si>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</si>
  <si>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</si>
  <si>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</si>
  <si>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</si>
  <si>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</si>
  <si>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</si>
  <si>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</si>
  <si>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</si>
  <si>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</si>
  <si>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</si>
  <si>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</si>
  <si>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</si>
  <si>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</si>
  <si>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</si>
  <si>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</si>
  <si>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</si>
  <si>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</si>
  <si>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</si>
  <si>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</si>
  <si>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</si>
  <si>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</si>
  <si>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</si>
  <si>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</si>
  <si>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</si>
  <si>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</si>
  <si>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</si>
  <si>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</si>
  <si>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</si>
  <si>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</si>
  <si>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</si>
  <si>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</si>
  <si>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</si>
  <si>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</si>
  <si>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</si>
  <si>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</si>
  <si>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</si>
  <si>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</si>
  <si>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</si>
  <si>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</si>
  <si>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</si>
  <si>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</si>
  <si>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</si>
  <si>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</si>
  <si>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</si>
  <si>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</si>
  <si>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</si>
  <si>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</si>
  <si>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</si>
  <si>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</si>
  <si>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</si>
  <si>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</si>
  <si>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</si>
  <si>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</si>
  <si>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</si>
  <si>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</si>
  <si>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</si>
  <si>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</si>
  <si>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</si>
  <si>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</si>
  <si>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</si>
  <si>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</si>
  <si>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</si>
  <si>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</si>
  <si>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</si>
  <si>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</si>
  <si>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</si>
  <si>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</si>
  <si>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</si>
  <si>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</si>
  <si>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</si>
  <si>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</si>
  <si>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</si>
  <si>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</si>
  <si>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</si>
  <si>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</si>
  <si>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</si>
  <si>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</si>
  <si>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</si>
  <si>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</si>
  <si>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</si>
  <si>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</si>
  <si>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</si>
  <si>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</si>
  <si>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</si>
  <si>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</si>
  <si>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</si>
  <si>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</si>
  <si>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</si>
  <si>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</si>
  <si>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</si>
  <si>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</si>
  <si>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</si>
  <si>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</si>
  <si>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</si>
  <si>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</si>
  <si>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</si>
  <si>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</si>
  <si>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</si>
  <si>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</si>
  <si>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</si>
  <si>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</si>
  <si>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</si>
  <si>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</si>
  <si>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</si>
  <si>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</si>
  <si>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</si>
  <si>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</si>
  <si>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</si>
  <si>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</si>
  <si>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</si>
  <si>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</si>
  <si>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</si>
  <si>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</si>
  <si>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</si>
  <si>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</si>
  <si>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</si>
  <si>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</si>
  <si>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</si>
  <si>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</si>
  <si>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</si>
  <si>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</si>
  <si>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</si>
  <si>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</si>
  <si>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</si>
  <si>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</si>
  <si>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</si>
  <si>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</si>
  <si>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</si>
  <si>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</si>
  <si>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</si>
  <si>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</si>
  <si>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</si>
  <si>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</si>
  <si>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</si>
  <si>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</si>
  <si>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</si>
  <si>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</si>
  <si>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</si>
  <si>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</si>
  <si>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</si>
  <si>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</si>
  <si>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</si>
  <si>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</si>
  <si>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</si>
  <si>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</si>
  <si>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</si>
  <si>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</si>
  <si>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</si>
  <si>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</si>
  <si>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</si>
  <si>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</si>
  <si>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</si>
  <si>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</si>
  <si>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</si>
  <si>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</si>
  <si>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</si>
  <si>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</si>
  <si>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</si>
  <si>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</si>
  <si>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</si>
  <si>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</si>
  <si>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</si>
  <si>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</si>
  <si>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</si>
  <si>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</si>
  <si>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</si>
  <si>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</si>
  <si>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</si>
  <si>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</si>
  <si>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</si>
  <si>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</si>
  <si>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</si>
  <si>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</si>
  <si>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</si>
  <si>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</si>
  <si>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</si>
  <si>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</si>
  <si>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</si>
  <si>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</si>
  <si>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</si>
  <si>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</si>
  <si>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</si>
  <si>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</si>
  <si>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</si>
  <si>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</si>
  <si>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</si>
  <si>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</si>
  <si>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</si>
  <si>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</si>
  <si>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</si>
  <si>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</si>
  <si>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</si>
  <si>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</si>
  <si>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</si>
  <si>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</si>
  <si>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</si>
  <si>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</si>
  <si>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</si>
  <si>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</si>
  <si>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</si>
  <si>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</si>
  <si>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</si>
  <si>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</si>
  <si>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</si>
  <si>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</si>
  <si>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</si>
  <si>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</si>
  <si>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</si>
  <si>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</si>
  <si>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</si>
  <si>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</si>
  <si>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</si>
  <si>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</si>
  <si>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</si>
  <si>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</si>
  <si>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</si>
  <si>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</si>
  <si>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</si>
  <si>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</si>
  <si>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</si>
  <si>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</si>
  <si>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</si>
  <si>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</si>
  <si>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</si>
  <si>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</si>
  <si>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</si>
  <si>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</si>
  <si>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</si>
  <si>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</si>
  <si>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</si>
  <si>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</si>
  <si>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</si>
  <si>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</si>
  <si>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</si>
  <si>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</si>
  <si>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</si>
  <si>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</si>
  <si>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</si>
  <si>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</si>
  <si>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</si>
  <si>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</si>
  <si>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</si>
  <si>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</si>
  <si>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</si>
  <si>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</si>
  <si>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</si>
  <si>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</si>
  <si>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</si>
  <si>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</si>
  <si>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</si>
  <si>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</si>
  <si>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</si>
  <si>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</si>
  <si>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</si>
  <si>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</si>
  <si>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</si>
  <si>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</si>
  <si>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</si>
  <si>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</si>
  <si>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</si>
  <si>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</si>
  <si>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</si>
  <si>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</si>
  <si>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</si>
  <si>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</si>
  <si>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</si>
  <si>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</si>
  <si>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</si>
  <si>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</si>
  <si>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</si>
  <si>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</si>
  <si>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</si>
  <si>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</si>
  <si>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</si>
  <si>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</si>
  <si>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</si>
  <si>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</si>
  <si>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</si>
  <si>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</si>
  <si>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</si>
  <si>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</si>
  <si>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</si>
  <si>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</si>
  <si>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</si>
  <si>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</si>
  <si>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</si>
  <si>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</si>
  <si>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</si>
  <si>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</si>
  <si>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</si>
  <si>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</si>
  <si>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</si>
  <si>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</si>
  <si>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</si>
  <si>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</si>
  <si>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</si>
  <si>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</si>
  <si>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</si>
  <si>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</si>
  <si>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</si>
  <si>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</si>
  <si>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</si>
  <si>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</si>
  <si>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</si>
  <si>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</si>
  <si>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</si>
  <si>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</si>
  <si>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</si>
  <si>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</si>
  <si>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</si>
  <si>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</si>
  <si>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</si>
  <si>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</si>
  <si>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</si>
  <si>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</si>
  <si>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</si>
  <si>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</si>
  <si>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</si>
  <si>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</si>
  <si>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</si>
  <si>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</si>
  <si>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</si>
  <si>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</si>
  <si>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</si>
  <si>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</si>
  <si>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</si>
  <si>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</si>
  <si>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</si>
  <si>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</si>
  <si>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</si>
  <si>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</si>
  <si>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</si>
  <si>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</si>
  <si>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</si>
  <si>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</si>
  <si>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</si>
  <si>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</si>
  <si>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</si>
  <si>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</si>
  <si>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</si>
  <si>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</si>
  <si>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</si>
  <si>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</si>
  <si>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</si>
  <si>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</si>
  <si>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</si>
  <si>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</si>
  <si>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</si>
  <si>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</si>
  <si>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</si>
  <si>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</si>
  <si>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</si>
  <si>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</si>
  <si>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</si>
  <si>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</si>
  <si>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</si>
  <si>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</si>
  <si>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</si>
  <si>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</si>
  <si>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</si>
  <si>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</si>
  <si>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</si>
  <si>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</si>
  <si>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</si>
  <si>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</si>
  <si>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</si>
  <si>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</si>
  <si>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</si>
  <si>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</si>
  <si>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</si>
  <si>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</si>
  <si>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</si>
  <si>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</si>
  <si>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</si>
  <si>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</si>
  <si>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</si>
  <si>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</si>
  <si>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</si>
  <si>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</si>
  <si>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</si>
  <si>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</si>
  <si>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</si>
  <si>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</si>
  <si>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</si>
  <si>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</si>
  <si>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</si>
  <si>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</si>
  <si>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</si>
  <si>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</si>
  <si>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</si>
  <si>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</si>
  <si>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</si>
  <si>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</si>
  <si>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</si>
  <si>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</si>
  <si>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</si>
  <si>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</si>
  <si>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</si>
  <si>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</si>
  <si>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</si>
  <si>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</si>
  <si>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</si>
  <si>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</si>
  <si>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</si>
  <si>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</si>
  <si>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</si>
  <si>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</si>
  <si>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</si>
  <si>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</si>
  <si>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</si>
  <si>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</si>
  <si>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</si>
  <si>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</si>
  <si>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</si>
  <si>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</si>
  <si>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</si>
  <si>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</si>
  <si>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</si>
  <si>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</si>
  <si>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</si>
  <si>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</si>
  <si>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</si>
  <si>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</si>
  <si>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</si>
  <si>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</si>
  <si>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</si>
  <si>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</si>
  <si>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</si>
  <si>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</si>
  <si>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</si>
  <si>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</si>
  <si>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</si>
  <si>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</si>
  <si>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</si>
  <si>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</si>
  <si>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</si>
  <si>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</si>
  <si>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</si>
  <si>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</si>
  <si>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</si>
  <si>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</si>
  <si>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</si>
  <si>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</si>
  <si>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</si>
  <si>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</si>
  <si>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</si>
  <si>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</si>
  <si>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</si>
  <si>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</si>
  <si>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</si>
  <si>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</si>
  <si>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</si>
  <si>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</si>
  <si>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</si>
  <si>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</si>
  <si>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</si>
  <si>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</si>
  <si>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</si>
  <si>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</si>
  <si>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</si>
  <si>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</si>
  <si>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</si>
  <si>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</si>
  <si>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</si>
  <si>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</si>
  <si>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</si>
  <si>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</si>
  <si>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</si>
  <si>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</si>
  <si>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</si>
  <si>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</si>
  <si>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</si>
  <si>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</si>
  <si>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</si>
  <si>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</si>
  <si>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</si>
  <si>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</si>
  <si>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</si>
  <si>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</si>
  <si>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</si>
  <si>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</si>
  <si>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</si>
  <si>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</si>
  <si>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</si>
  <si>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</si>
  <si>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</si>
  <si>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</si>
  <si>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</si>
  <si>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</si>
  <si>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</si>
  <si>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</si>
  <si>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</si>
  <si>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</si>
  <si>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</si>
  <si>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</si>
  <si>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</si>
  <si>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</si>
  <si>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</si>
  <si>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</si>
  <si>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</si>
  <si>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</si>
  <si>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</si>
  <si>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</si>
  <si>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</si>
  <si>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</si>
  <si>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</si>
  <si>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</si>
  <si>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</si>
  <si>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</si>
  <si>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</si>
  <si>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</si>
  <si>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</si>
  <si>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</si>
  <si>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</si>
  <si>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</si>
  <si>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</si>
  <si>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</si>
  <si>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</si>
  <si>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</si>
  <si>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</si>
  <si>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</si>
  <si>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</si>
  <si>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</si>
  <si>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</si>
  <si>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</si>
  <si>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</si>
  <si>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</si>
  <si>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</si>
  <si>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</si>
  <si>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</si>
  <si>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</si>
  <si>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</si>
  <si>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</si>
  <si>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</si>
  <si>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</si>
  <si>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</si>
  <si>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</si>
  <si>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</si>
  <si>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</si>
  <si>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</si>
  <si>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</si>
  <si>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</si>
  <si>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</si>
  <si>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</si>
  <si>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</si>
  <si>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</si>
  <si>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</si>
  <si>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</si>
  <si>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</si>
  <si>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</si>
  <si>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</si>
  <si>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</si>
  <si>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</si>
  <si>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</si>
  <si>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</si>
  <si>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</si>
  <si>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</si>
  <si>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</si>
  <si>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</si>
  <si>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</si>
  <si>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</si>
  <si>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</si>
  <si>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</si>
  <si>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</si>
  <si>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</si>
  <si>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</si>
  <si>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</si>
  <si>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</si>
  <si>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</si>
  <si>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</si>
  <si>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</si>
  <si>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</si>
  <si>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</si>
  <si>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</si>
  <si>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</si>
  <si>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</si>
  <si>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</si>
  <si>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</si>
  <si>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</si>
  <si>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</si>
  <si>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</si>
  <si>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</si>
  <si>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</si>
  <si>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</si>
  <si>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</si>
  <si>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</si>
  <si>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</si>
  <si>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</si>
  <si>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</si>
  <si>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</si>
  <si>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</si>
  <si>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</si>
  <si>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</si>
  <si>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</si>
  <si>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</si>
  <si>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</si>
  <si>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</si>
  <si>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</si>
  <si>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</si>
  <si>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</si>
  <si>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</si>
  <si>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</si>
  <si>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</si>
  <si>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</si>
  <si>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</si>
  <si>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</si>
  <si>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</si>
  <si>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</si>
  <si>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</si>
  <si>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</si>
  <si>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</si>
  <si>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</si>
  <si>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</si>
  <si>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</si>
  <si>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</si>
  <si>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</si>
  <si>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</si>
  <si>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</si>
  <si>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</si>
  <si>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</si>
  <si>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</si>
  <si>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</si>
  <si>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</si>
  <si>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</si>
  <si>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</si>
  <si>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</si>
  <si>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</si>
  <si>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</si>
  <si>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</si>
  <si>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</si>
  <si>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</si>
  <si>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</si>
  <si>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</si>
  <si>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</si>
  <si>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</si>
  <si>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</si>
  <si>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</si>
  <si>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</si>
  <si>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</si>
  <si>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</si>
  <si>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</si>
  <si>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</si>
  <si>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</si>
  <si>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</si>
  <si>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</si>
  <si>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</si>
  <si>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</si>
  <si>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</si>
  <si>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</si>
  <si>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</si>
  <si>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</si>
  <si>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</si>
  <si>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</si>
  <si>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</si>
  <si>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</si>
  <si>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</si>
  <si>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</si>
  <si>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</si>
  <si>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</si>
  <si>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</si>
  <si>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</si>
  <si>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</si>
  <si>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</si>
  <si>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</si>
  <si>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</si>
  <si>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</si>
  <si>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</si>
  <si>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</si>
  <si>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</si>
  <si>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</si>
  <si>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</si>
  <si>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</si>
  <si>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</si>
  <si>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</si>
  <si>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</si>
  <si>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</si>
  <si>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</si>
  <si>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</si>
  <si>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</si>
  <si>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</si>
  <si>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</si>
  <si>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</si>
  <si>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</si>
  <si>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</si>
  <si>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</si>
  <si>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</si>
  <si>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</si>
  <si>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</si>
  <si>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</si>
  <si>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</si>
  <si>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</si>
  <si>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</si>
  <si>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</si>
  <si>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</si>
  <si>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</si>
  <si>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</si>
  <si>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</si>
  <si>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</si>
  <si>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</si>
  <si>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</si>
  <si>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</si>
  <si>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</si>
  <si>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</si>
  <si>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</si>
  <si>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</si>
  <si>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</si>
  <si>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</si>
  <si>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</si>
  <si>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</si>
  <si>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</si>
  <si>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</si>
  <si>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</si>
  <si>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</si>
  <si>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</si>
  <si>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</si>
  <si>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</si>
  <si>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</si>
  <si>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</si>
  <si>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</si>
  <si>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</si>
  <si>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</si>
  <si>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</si>
  <si>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</si>
  <si>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</si>
  <si>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</si>
  <si>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</si>
  <si>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</si>
  <si>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</si>
  <si>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</si>
  <si>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</si>
  <si>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</si>
  <si>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</si>
  <si>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</si>
  <si>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</si>
  <si>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</si>
  <si>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</si>
  <si>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</si>
  <si>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</si>
  <si>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</si>
  <si>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</si>
  <si>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</si>
  <si>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</si>
  <si>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</si>
  <si>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</si>
  <si>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</si>
  <si>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</si>
  <si>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</si>
  <si>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</si>
  <si>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</si>
  <si>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</si>
  <si>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</si>
  <si>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</si>
  <si>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</si>
  <si>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</si>
  <si>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</si>
  <si>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</si>
  <si>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</si>
  <si>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</si>
  <si>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</si>
  <si>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</si>
  <si>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</si>
  <si>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</si>
  <si>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</si>
  <si>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</si>
  <si>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</si>
  <si>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</si>
  <si>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</si>
  <si>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</si>
  <si>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</si>
  <si>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</si>
  <si>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</si>
  <si>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</si>
  <si>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</si>
  <si>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</si>
  <si>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</si>
  <si>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</si>
  <si>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</si>
  <si>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</si>
  <si>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</si>
  <si>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</si>
  <si>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</si>
  <si>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</si>
  <si>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</si>
  <si>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</si>
  <si>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</si>
  <si>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</si>
  <si>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</si>
  <si>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</si>
  <si>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</si>
  <si>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</si>
  <si>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</si>
  <si>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</si>
  <si>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</si>
  <si>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</si>
  <si>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</si>
  <si>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</si>
  <si>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</si>
  <si>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</si>
  <si>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</si>
  <si>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</si>
  <si>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</si>
  <si>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</si>
  <si>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</si>
  <si>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</si>
  <si>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</si>
  <si>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</si>
  <si>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</si>
  <si>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</si>
  <si>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</si>
  <si>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</si>
  <si>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</si>
  <si>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</si>
  <si>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</si>
  <si>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</si>
  <si>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</si>
  <si>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</si>
  <si>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</si>
  <si>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</si>
  <si>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</si>
  <si>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</si>
  <si>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</si>
  <si>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</si>
  <si>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</si>
  <si>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</si>
  <si>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</si>
  <si>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</si>
  <si>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</si>
  <si>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</si>
  <si>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</si>
  <si>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</si>
  <si>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</si>
  <si>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</si>
  <si>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</si>
  <si>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</si>
  <si>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</si>
  <si>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</si>
  <si>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</si>
  <si>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</si>
  <si>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</si>
  <si>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</si>
  <si>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</si>
  <si>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</si>
  <si>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</si>
  <si>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</si>
  <si>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</si>
  <si>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</si>
  <si>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</si>
  <si>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</si>
  <si>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</si>
  <si>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</si>
  <si>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</si>
  <si>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</si>
  <si>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</si>
  <si>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</si>
  <si>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</si>
  <si>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</si>
  <si>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</si>
  <si>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</si>
  <si>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</si>
  <si>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</si>
  <si>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</si>
  <si>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</si>
  <si>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</si>
  <si>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</si>
  <si>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</si>
  <si>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</si>
  <si>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</si>
  <si>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</si>
  <si>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</si>
  <si>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</si>
  <si>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</si>
  <si>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</si>
  <si>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</si>
  <si>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</si>
  <si>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</si>
  <si>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</si>
  <si>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</si>
  <si>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</si>
  <si>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</si>
  <si>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</si>
  <si>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</si>
  <si>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</si>
  <si>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</si>
  <si>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</si>
  <si>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</si>
  <si>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</si>
  <si>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</si>
  <si>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</si>
  <si>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</si>
  <si>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</si>
  <si>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</si>
  <si>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</si>
  <si>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</si>
  <si>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</si>
  <si>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</si>
  <si>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</si>
  <si>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</si>
  <si>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</si>
  <si>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</si>
  <si>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</si>
  <si>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</si>
  <si>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</si>
  <si>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</si>
  <si>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</si>
  <si>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</si>
  <si>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</si>
  <si>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</si>
  <si>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</si>
  <si>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</si>
  <si>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</si>
  <si>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</si>
  <si>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</si>
  <si>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</si>
  <si>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</si>
  <si>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</si>
  <si>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</si>
  <si>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</si>
  <si>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</si>
  <si>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</si>
  <si>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</si>
  <si>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</si>
  <si>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</si>
  <si>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</si>
  <si>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</si>
  <si>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</si>
  <si>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</si>
  <si>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</si>
  <si>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</si>
  <si>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</si>
  <si>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</si>
  <si>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</si>
  <si>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</si>
  <si>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</si>
  <si>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</si>
  <si>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</si>
  <si>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</si>
  <si>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</si>
  <si>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</si>
  <si>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</si>
  <si>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</si>
  <si>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</si>
  <si>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</si>
  <si>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</si>
  <si>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</si>
  <si>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</si>
  <si>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</si>
  <si>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</si>
  <si>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</si>
  <si>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</si>
  <si>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</si>
  <si>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</si>
  <si>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</si>
  <si>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</si>
  <si>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</si>
  <si>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</si>
  <si>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</si>
  <si>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</si>
  <si>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</si>
  <si>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</si>
  <si>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</si>
  <si>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</si>
  <si>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</si>
  <si>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</si>
  <si>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</si>
  <si>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</si>
  <si>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</si>
  <si>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</si>
  <si>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</si>
  <si>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</si>
  <si>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</si>
  <si>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</si>
  <si>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</si>
  <si>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</si>
  <si>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</si>
  <si>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</si>
  <si>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</si>
  <si>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</si>
  <si>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</si>
  <si>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</si>
  <si>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</si>
  <si>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</si>
  <si>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</si>
  <si>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</si>
  <si>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</si>
  <si>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</si>
  <si>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</si>
  <si>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</si>
  <si>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</si>
  <si>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</si>
  <si>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</si>
  <si>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</si>
  <si>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</si>
  <si>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</si>
  <si>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</si>
  <si>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</si>
  <si>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</si>
  <si>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</si>
  <si>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</si>
  <si>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</si>
  <si>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</si>
  <si>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</si>
  <si>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</si>
  <si>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</si>
  <si>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</si>
  <si>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</si>
  <si>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</si>
  <si>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</si>
  <si>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</si>
  <si>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</si>
  <si>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</si>
  <si>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</si>
  <si>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</si>
  <si>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</si>
  <si>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</si>
  <si>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</si>
  <si>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</si>
  <si>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</si>
  <si>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</si>
  <si>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</si>
  <si>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</si>
  <si>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</si>
  <si>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</si>
  <si>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</si>
  <si>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</si>
  <si>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</si>
  <si>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</si>
  <si>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</si>
  <si>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</si>
  <si>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</si>
  <si>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</si>
  <si>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</si>
  <si>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</si>
  <si>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</si>
  <si>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</si>
  <si>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</si>
  <si>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</si>
  <si>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</si>
  <si>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</si>
  <si>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</si>
  <si>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</si>
  <si>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</si>
  <si>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</si>
  <si>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</si>
  <si>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</si>
  <si>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</si>
  <si>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</si>
  <si>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</si>
  <si>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</si>
  <si>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</si>
  <si>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</si>
  <si>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</si>
  <si>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</si>
  <si>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</si>
  <si>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</si>
  <si>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</si>
  <si>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</si>
  <si>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</si>
  <si>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</si>
  <si>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</si>
  <si>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</si>
  <si>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</si>
  <si>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</si>
  <si>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</si>
  <si>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</si>
  <si>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</si>
  <si>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</si>
  <si>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</si>
  <si>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</si>
  <si>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</si>
  <si>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</si>
  <si>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</si>
  <si>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</si>
  <si>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</si>
  <si>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</si>
  <si>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</si>
  <si>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</si>
  <si>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</si>
  <si>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</si>
  <si>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</si>
  <si>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</si>
  <si>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</si>
  <si>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</si>
  <si>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</si>
  <si>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</si>
  <si>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</si>
  <si>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</si>
  <si>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</si>
  <si>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</si>
  <si>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</si>
  <si>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</si>
  <si>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</si>
  <si>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</si>
  <si>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</si>
  <si>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</si>
  <si>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</si>
  <si>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</si>
  <si>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</si>
  <si>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</si>
  <si>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</si>
  <si>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</si>
  <si>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</si>
  <si>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</si>
  <si>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</si>
  <si>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</si>
  <si>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</si>
  <si>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</si>
  <si>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</si>
  <si>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</si>
  <si>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</si>
  <si>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</si>
  <si>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</si>
  <si>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</si>
  <si>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</si>
  <si>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</si>
  <si>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</si>
  <si>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</si>
  <si>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</si>
  <si>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</si>
  <si>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</si>
  <si>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</si>
  <si>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</si>
  <si>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</si>
  <si>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</si>
  <si>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</si>
  <si>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</si>
  <si>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</si>
  <si>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</si>
  <si>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</si>
  <si>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</si>
  <si>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</si>
  <si>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</si>
  <si>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</si>
  <si>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</si>
  <si>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</si>
  <si>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</si>
  <si>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</si>
  <si>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</si>
  <si>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</si>
  <si>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</si>
  <si>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</si>
  <si>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</si>
  <si>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</si>
  <si>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</si>
  <si>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</si>
  <si>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</si>
  <si>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</si>
  <si>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</si>
  <si>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</si>
  <si>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</si>
  <si>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</si>
  <si>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</si>
  <si>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</si>
  <si>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</si>
  <si>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</si>
  <si>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</si>
  <si>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</si>
  <si>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</si>
  <si>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</si>
  <si>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</si>
  <si>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</si>
  <si>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</si>
  <si>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</si>
  <si>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</si>
  <si>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</si>
  <si>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</si>
  <si>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</si>
  <si>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</si>
  <si>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</si>
  <si>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</si>
  <si>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</si>
  <si>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</si>
  <si>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</si>
  <si>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</si>
  <si>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</si>
  <si>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</si>
  <si>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</si>
  <si>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</si>
  <si>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</si>
  <si>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</si>
  <si>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</si>
  <si>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</si>
  <si>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</si>
  <si>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</si>
  <si>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</si>
  <si>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</si>
  <si>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</si>
  <si>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</si>
  <si>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</si>
  <si>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</si>
  <si>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</si>
  <si>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</si>
  <si>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</si>
  <si>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</si>
  <si>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</si>
  <si>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</si>
  <si>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</si>
  <si>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</si>
  <si>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</si>
  <si>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</si>
  <si>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</si>
  <si>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</si>
  <si>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</si>
  <si>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MAGVVHVSLAALLLLPMAPAMHSDCIFKKEQAMCLEKIQRANELMGFNDSSPGCPGMWDNITCWKPAHVGEMVLVSCPELFRIFNPDQ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</si>
  <si>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6K1Q</t>
  </si>
  <si>
    <t>6OY9</t>
  </si>
  <si>
    <t>6OYA</t>
  </si>
  <si>
    <t>6GT3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</si>
</sst>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8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49" fontId="0" fillId="2" borderId="0" xfId="0" applyNumberFormat="1" applyFont="1" applyFill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9" fillId="2" borderId="9" xfId="0" applyFont="1" applyFill="1" applyBorder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77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8013200"/>
        <c:axId val="-275142160"/>
      </c:lineChart>
      <c:catAx>
        <c:axId val="-32801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75142160"/>
        <c:crosses val="autoZero"/>
        <c:auto val="1"/>
        <c:lblAlgn val="ctr"/>
        <c:lblOffset val="100"/>
        <c:noMultiLvlLbl val="0"/>
      </c:catAx>
      <c:valAx>
        <c:axId val="-27514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801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7928896"/>
        <c:axId val="-327926336"/>
      </c:lineChart>
      <c:catAx>
        <c:axId val="-32792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7926336"/>
        <c:crosses val="autoZero"/>
        <c:auto val="1"/>
        <c:lblAlgn val="ctr"/>
        <c:lblOffset val="100"/>
        <c:noMultiLvlLbl val="0"/>
      </c:catAx>
      <c:valAx>
        <c:axId val="-32792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792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7216208"/>
        <c:axId val="-327312400"/>
      </c:lineChart>
      <c:catAx>
        <c:axId val="-32721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7312400"/>
        <c:crosses val="autoZero"/>
        <c:auto val="1"/>
        <c:lblAlgn val="ctr"/>
        <c:lblOffset val="100"/>
        <c:noMultiLvlLbl val="0"/>
      </c:catAx>
      <c:valAx>
        <c:axId val="-32731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721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4" connectionId="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3" connectionId="4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xtal_templates_6" connectionId="6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453"/>
  <sheetViews>
    <sheetView tabSelected="1" zoomScale="110" zoomScaleNormal="110" zoomScalePageLayoutView="110" workbookViewId="0">
      <pane xSplit="3" ySplit="1" topLeftCell="N39" activePane="bottomRight" state="frozenSplit"/>
      <selection pane="topRight" activeCell="D1" sqref="D1"/>
      <selection pane="bottomLeft" activeCell="A2" sqref="A2"/>
      <selection pane="bottomRight" activeCell="BG71" sqref="BG71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1076</v>
      </c>
      <c r="B1" s="61" t="s">
        <v>31</v>
      </c>
      <c r="C1" s="61" t="s">
        <v>30</v>
      </c>
      <c r="E1" s="61" t="s">
        <v>1060</v>
      </c>
      <c r="G1" s="61" t="s">
        <v>1061</v>
      </c>
      <c r="I1" s="62" t="s">
        <v>1077</v>
      </c>
      <c r="K1" s="62" t="s">
        <v>1078</v>
      </c>
      <c r="M1" s="61" t="s">
        <v>1062</v>
      </c>
      <c r="O1" s="61" t="s">
        <v>1063</v>
      </c>
      <c r="Q1" s="61" t="s">
        <v>1079</v>
      </c>
      <c r="S1" s="61" t="s">
        <v>1080</v>
      </c>
      <c r="U1" s="61" t="s">
        <v>1064</v>
      </c>
      <c r="W1" s="61" t="s">
        <v>1065</v>
      </c>
      <c r="Y1" s="61" t="s">
        <v>1092</v>
      </c>
      <c r="AA1" s="61" t="s">
        <v>1093</v>
      </c>
      <c r="AC1" s="104" t="s">
        <v>1066</v>
      </c>
      <c r="AE1" s="61" t="s">
        <v>1067</v>
      </c>
      <c r="AG1" s="61" t="s">
        <v>1095</v>
      </c>
      <c r="AI1" s="61" t="s">
        <v>1096</v>
      </c>
      <c r="AK1" s="61" t="s">
        <v>1068</v>
      </c>
      <c r="AM1" s="61" t="s">
        <v>1069</v>
      </c>
      <c r="AO1" s="61" t="s">
        <v>1070</v>
      </c>
      <c r="AQ1" s="61" t="s">
        <v>1071</v>
      </c>
      <c r="AS1" s="61" t="s">
        <v>1072</v>
      </c>
      <c r="AU1" s="61" t="s">
        <v>1073</v>
      </c>
      <c r="AW1" s="61" t="s">
        <v>1074</v>
      </c>
      <c r="AY1" s="61" t="s">
        <v>1075</v>
      </c>
      <c r="AZ1" s="63" t="s">
        <v>99</v>
      </c>
      <c r="BA1" s="64" t="s">
        <v>1380</v>
      </c>
      <c r="BB1" s="64" t="s">
        <v>1202</v>
      </c>
      <c r="BC1" s="61" t="s">
        <v>1167</v>
      </c>
      <c r="BD1" s="64" t="s">
        <v>1099</v>
      </c>
      <c r="BE1" s="61" t="s">
        <v>1373</v>
      </c>
      <c r="BF1" s="118" t="s">
        <v>1426</v>
      </c>
      <c r="BG1" s="76" t="s">
        <v>1381</v>
      </c>
      <c r="BH1" s="76" t="s">
        <v>1382</v>
      </c>
      <c r="BI1" s="61" t="s">
        <v>1107</v>
      </c>
      <c r="BJ1" s="65" t="s">
        <v>1060</v>
      </c>
      <c r="BK1" s="66" t="s">
        <v>1077</v>
      </c>
      <c r="BL1" s="67" t="s">
        <v>1062</v>
      </c>
      <c r="BM1" s="67" t="s">
        <v>1079</v>
      </c>
      <c r="BN1" s="67" t="s">
        <v>1064</v>
      </c>
      <c r="BO1" s="67" t="s">
        <v>1092</v>
      </c>
      <c r="BP1" s="67" t="s">
        <v>1066</v>
      </c>
      <c r="BQ1" s="67" t="s">
        <v>1095</v>
      </c>
      <c r="BR1" s="67" t="s">
        <v>1068</v>
      </c>
      <c r="BS1" s="67" t="s">
        <v>1070</v>
      </c>
      <c r="BT1" s="67" t="s">
        <v>1072</v>
      </c>
      <c r="BU1" s="68" t="s">
        <v>1074</v>
      </c>
      <c r="BV1" s="65" t="s">
        <v>1060</v>
      </c>
      <c r="BW1" s="69" t="s">
        <v>1077</v>
      </c>
      <c r="BX1" s="68" t="s">
        <v>1062</v>
      </c>
      <c r="BY1" s="68" t="s">
        <v>1079</v>
      </c>
      <c r="BZ1" s="68" t="s">
        <v>1064</v>
      </c>
      <c r="CA1" s="68" t="s">
        <v>1092</v>
      </c>
      <c r="CB1" s="68" t="s">
        <v>1066</v>
      </c>
      <c r="CC1" s="68" t="s">
        <v>1095</v>
      </c>
      <c r="CD1" s="68" t="s">
        <v>1068</v>
      </c>
      <c r="CE1" s="68" t="s">
        <v>1070</v>
      </c>
      <c r="CF1" s="68" t="s">
        <v>1072</v>
      </c>
      <c r="CG1" s="68" t="s">
        <v>1074</v>
      </c>
      <c r="CH1" s="65" t="s">
        <v>1061</v>
      </c>
      <c r="CI1" s="69" t="s">
        <v>1078</v>
      </c>
      <c r="CJ1" s="68" t="s">
        <v>1063</v>
      </c>
      <c r="CK1" s="68" t="s">
        <v>1080</v>
      </c>
      <c r="CL1" s="68" t="s">
        <v>1065</v>
      </c>
      <c r="CM1" s="68" t="s">
        <v>1093</v>
      </c>
      <c r="CN1" s="68" t="s">
        <v>1067</v>
      </c>
      <c r="CO1" s="68" t="s">
        <v>1096</v>
      </c>
      <c r="CP1" s="68" t="s">
        <v>1069</v>
      </c>
      <c r="CQ1" s="68" t="s">
        <v>1071</v>
      </c>
      <c r="CR1" s="68" t="s">
        <v>1073</v>
      </c>
      <c r="CS1" s="68" t="s">
        <v>1075</v>
      </c>
      <c r="CT1" s="61" t="s">
        <v>1288</v>
      </c>
    </row>
    <row r="2" spans="1:1029" x14ac:dyDescent="0.2">
      <c r="A2" s="3" t="str">
        <f t="shared" ref="A2:A75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5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23</v>
      </c>
      <c r="BE2" s="3" t="s">
        <v>23</v>
      </c>
      <c r="BF2" s="119" t="s">
        <v>23</v>
      </c>
      <c r="BG2" s="49" t="s">
        <v>1372</v>
      </c>
      <c r="BH2" s="49" t="s">
        <v>1377</v>
      </c>
      <c r="BI2" s="1"/>
      <c r="BJ2" s="70" t="s">
        <v>1287</v>
      </c>
      <c r="BK2" s="57" t="s">
        <v>1287</v>
      </c>
      <c r="BL2" s="57" t="s">
        <v>1287</v>
      </c>
      <c r="BM2" s="57" t="s">
        <v>1287</v>
      </c>
      <c r="BN2" s="57" t="s">
        <v>1287</v>
      </c>
      <c r="BO2" s="57" t="s">
        <v>1287</v>
      </c>
      <c r="BP2" s="57" t="s">
        <v>1287</v>
      </c>
      <c r="BQ2" s="57" t="s">
        <v>1287</v>
      </c>
      <c r="BR2" s="57" t="s">
        <v>1287</v>
      </c>
      <c r="BS2" s="57" t="s">
        <v>1287</v>
      </c>
      <c r="BT2" s="57" t="s">
        <v>1287</v>
      </c>
      <c r="BU2" s="57" t="s">
        <v>1287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1042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1429</v>
      </c>
      <c r="BE3" s="3" t="s">
        <v>1428</v>
      </c>
      <c r="BF3" s="119">
        <v>2.8</v>
      </c>
      <c r="BG3" s="49" t="s">
        <v>1377</v>
      </c>
      <c r="BH3" s="49" t="s">
        <v>1377</v>
      </c>
      <c r="BI3" s="1"/>
      <c r="BJ3" s="70" t="s">
        <v>1287</v>
      </c>
      <c r="BK3" s="57" t="s">
        <v>1287</v>
      </c>
      <c r="BL3" s="57" t="s">
        <v>1287</v>
      </c>
      <c r="BM3" s="57" t="s">
        <v>1287</v>
      </c>
      <c r="BN3" s="57" t="s">
        <v>1287</v>
      </c>
      <c r="BO3" s="57" t="s">
        <v>1287</v>
      </c>
      <c r="BP3" s="57" t="s">
        <v>1287</v>
      </c>
      <c r="BQ3" s="57" t="s">
        <v>1287</v>
      </c>
      <c r="BR3" s="57" t="s">
        <v>1287</v>
      </c>
      <c r="BS3" s="57" t="s">
        <v>1287</v>
      </c>
      <c r="BT3" s="57" t="s">
        <v>1287</v>
      </c>
      <c r="BU3" s="57" t="s">
        <v>1287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1428</v>
      </c>
      <c r="BF4" s="119">
        <v>2.7</v>
      </c>
      <c r="BG4" s="49" t="s">
        <v>1377</v>
      </c>
      <c r="BH4" s="49" t="s">
        <v>1377</v>
      </c>
      <c r="BI4" s="1"/>
      <c r="BJ4" s="70" t="s">
        <v>1287</v>
      </c>
      <c r="BK4" s="57" t="s">
        <v>1287</v>
      </c>
      <c r="BL4" s="57" t="s">
        <v>1287</v>
      </c>
      <c r="BM4" s="57" t="s">
        <v>1287</v>
      </c>
      <c r="BN4" s="57" t="s">
        <v>1287</v>
      </c>
      <c r="BO4" s="57" t="s">
        <v>1287</v>
      </c>
      <c r="BP4" s="57" t="s">
        <v>1287</v>
      </c>
      <c r="BQ4" s="57" t="s">
        <v>1287</v>
      </c>
      <c r="BR4" s="57" t="s">
        <v>1287</v>
      </c>
      <c r="BS4" s="57" t="s">
        <v>1287</v>
      </c>
      <c r="BT4" s="57" t="s">
        <v>1287</v>
      </c>
      <c r="BU4" s="57" t="s">
        <v>1287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1467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1428</v>
      </c>
      <c r="BF5" s="119">
        <v>3.7</v>
      </c>
      <c r="BG5" s="49" t="s">
        <v>1377</v>
      </c>
      <c r="BH5" s="49" t="s">
        <v>1377</v>
      </c>
      <c r="BI5" s="1"/>
      <c r="BJ5" s="70" t="s">
        <v>1287</v>
      </c>
      <c r="BK5" s="57" t="s">
        <v>1287</v>
      </c>
      <c r="BL5" s="57" t="s">
        <v>1287</v>
      </c>
      <c r="BM5" s="57" t="s">
        <v>1287</v>
      </c>
      <c r="BN5" s="57" t="s">
        <v>1287</v>
      </c>
      <c r="BO5" s="57" t="s">
        <v>1287</v>
      </c>
      <c r="BP5" s="57" t="s">
        <v>1287</v>
      </c>
      <c r="BQ5" s="57" t="s">
        <v>1287</v>
      </c>
      <c r="BR5" s="57" t="s">
        <v>1287</v>
      </c>
      <c r="BS5" s="57" t="s">
        <v>1287</v>
      </c>
      <c r="BT5" s="57" t="s">
        <v>1287</v>
      </c>
      <c r="BU5" s="57" t="s">
        <v>1287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1504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1375</v>
      </c>
      <c r="BE6" s="3" t="s">
        <v>1291</v>
      </c>
      <c r="BF6" s="119">
        <v>3.78</v>
      </c>
      <c r="BG6" s="49" t="s">
        <v>1018</v>
      </c>
      <c r="BH6" s="49" t="s">
        <v>1018</v>
      </c>
      <c r="BI6" s="1"/>
      <c r="BJ6" s="70" t="s">
        <v>1287</v>
      </c>
      <c r="BK6" s="57" t="s">
        <v>1287</v>
      </c>
      <c r="BL6" s="57" t="s">
        <v>1287</v>
      </c>
      <c r="BM6" s="57" t="s">
        <v>1287</v>
      </c>
      <c r="BN6" s="57" t="s">
        <v>1287</v>
      </c>
      <c r="BO6" s="57" t="s">
        <v>1287</v>
      </c>
      <c r="BP6" s="57" t="s">
        <v>1287</v>
      </c>
      <c r="BQ6" s="57" t="s">
        <v>1287</v>
      </c>
      <c r="BR6" s="57" t="s">
        <v>1287</v>
      </c>
      <c r="BS6" s="57" t="s">
        <v>1287</v>
      </c>
      <c r="BT6" s="57" t="s">
        <v>1287</v>
      </c>
      <c r="BU6" s="57" t="s">
        <v>1287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 t="shared" ref="A7:A9" si="28">CONCATENATE(B7,"_",C7)</f>
        <v>5ht2a_human__wt</v>
      </c>
      <c r="B7" s="9" t="s">
        <v>132</v>
      </c>
      <c r="C7" s="9" t="s">
        <v>100</v>
      </c>
      <c r="D7" s="9" t="str">
        <f>IFERROR(MID(VLOOKUP($B7,Seqs!$A:$B,2,0),E7,1),"")</f>
        <v>L</v>
      </c>
      <c r="E7" s="9">
        <v>69</v>
      </c>
      <c r="F7" s="9" t="str">
        <f>IFERROR(MID(VLOOKUP($B7,Seqs!$A:$B,2,0),G7,1),"")</f>
        <v>E</v>
      </c>
      <c r="G7" s="9">
        <v>102</v>
      </c>
      <c r="H7" s="9" t="str">
        <f>IFERROR(MID(VLOOKUP($B7,Seqs!$A:$B,2,0),I7,1),"")</f>
        <v>K</v>
      </c>
      <c r="I7" s="109">
        <v>103</v>
      </c>
      <c r="J7" s="9" t="str">
        <f>IFERROR(MID(VLOOKUP($B7,Seqs!$A:$B,2,0),K7,1),"")</f>
        <v>Q</v>
      </c>
      <c r="K7" s="109">
        <v>106</v>
      </c>
      <c r="L7" s="9" t="str">
        <f>IFERROR(MID(VLOOKUP($B7,Seqs!$A:$B,2,0),M7,1),"")</f>
        <v>N</v>
      </c>
      <c r="M7" s="9">
        <v>107</v>
      </c>
      <c r="N7" s="9" t="str">
        <f>IFERROR(MID(VLOOKUP($B7,Seqs!$A:$B,2,0),O7,1),"")</f>
        <v>G</v>
      </c>
      <c r="O7" s="9">
        <v>138</v>
      </c>
      <c r="P7" s="9" t="str">
        <f>IFERROR(MID(VLOOKUP($B7,Seqs!$A:$B,2,0),Q7,1),"")</f>
        <v>R</v>
      </c>
      <c r="Q7" s="9">
        <v>140</v>
      </c>
      <c r="R7" s="9" t="str">
        <f>IFERROR(MID(VLOOKUP($B7,Seqs!$A:$B,2,0),S7,1),"")</f>
        <v>L</v>
      </c>
      <c r="S7" s="9">
        <v>143</v>
      </c>
      <c r="T7" s="9" t="str">
        <f>IFERROR(MID(VLOOKUP($B7,Seqs!$A:$B,2,0),U7,1),"")</f>
        <v>P</v>
      </c>
      <c r="U7" s="9">
        <v>144</v>
      </c>
      <c r="V7" s="9" t="str">
        <f>IFERROR(MID(VLOOKUP($B7,Seqs!$A:$B,2,0),W7,1),"")</f>
        <v>N</v>
      </c>
      <c r="W7" s="9">
        <v>179</v>
      </c>
      <c r="X7" s="9" t="str">
        <f>IFERROR(MID(VLOOKUP($B7,Seqs!$A:$B,2,0),Y7,1),"")</f>
        <v>P</v>
      </c>
      <c r="Y7" s="9">
        <v>180</v>
      </c>
      <c r="Z7" s="9" t="str">
        <f>IFERROR(MID(VLOOKUP($B7,Seqs!$A:$B,2,0),AA7,1),"")</f>
        <v>N</v>
      </c>
      <c r="AA7" s="9">
        <v>187</v>
      </c>
      <c r="AB7" s="9" t="str">
        <f>IFERROR(MID(VLOOKUP($B7,Seqs!$A:$B,2,0),AC7,1),"")</f>
        <v>S</v>
      </c>
      <c r="AC7" s="9">
        <v>188</v>
      </c>
      <c r="AD7" s="9" t="str">
        <f>IFERROR(MID(VLOOKUP($B7,Seqs!$A:$B,2,0),AE7,1),"")</f>
        <v>D</v>
      </c>
      <c r="AE7" s="9">
        <v>217</v>
      </c>
      <c r="AF7" s="9" t="str">
        <f>IFERROR(MID(VLOOKUP($B7,Seqs!$A:$B,2,0),AG7,1),"")</f>
        <v>C</v>
      </c>
      <c r="AG7" s="9">
        <v>227</v>
      </c>
      <c r="AH7" s="9" t="str">
        <f>IFERROR(MID(VLOOKUP($B7,Seqs!$A:$B,2,0),AI7,1),"")</f>
        <v>L</v>
      </c>
      <c r="AI7" s="9">
        <v>229</v>
      </c>
      <c r="AJ7" s="9" t="str">
        <f>IFERROR(MID(VLOOKUP($B7,Seqs!$A:$B,2,0),AK7,1),"")</f>
        <v>D</v>
      </c>
      <c r="AK7" s="9">
        <v>231</v>
      </c>
      <c r="AL7" s="9" t="str">
        <f>IFERROR(MID(VLOOKUP($B7,Seqs!$A:$B,2,0),AM7,1),"")</f>
        <v>L</v>
      </c>
      <c r="AM7" s="9">
        <v>272</v>
      </c>
      <c r="AN7" s="9" t="str">
        <f>IFERROR(MID(VLOOKUP($B7,Seqs!$A:$B,2,0),AO7,1),"")</f>
        <v>M</v>
      </c>
      <c r="AO7" s="9">
        <v>312</v>
      </c>
      <c r="AP7" s="9" t="str">
        <f>IFERROR(MID(VLOOKUP($B7,Seqs!$A:$B,2,0),AQ7,1),"")</f>
        <v>C</v>
      </c>
      <c r="AQ7" s="9">
        <v>349</v>
      </c>
      <c r="AR7" s="9" t="str">
        <f>IFERROR(MID(VLOOKUP($B7,Seqs!$A:$B,2,0),AS7,1),"")</f>
        <v>N</v>
      </c>
      <c r="AS7" s="9">
        <v>354</v>
      </c>
      <c r="AT7" s="9" t="str">
        <f>IFERROR(MID(VLOOKUP($B7,Seqs!$A:$B,2,0),AU7,1),"")</f>
        <v>F</v>
      </c>
      <c r="AU7" s="9">
        <v>383</v>
      </c>
      <c r="AV7" s="9" t="str">
        <f>IFERROR(MID(VLOOKUP($B7,Seqs!$A:$B,2,0),AW7,1),"")</f>
        <v>N</v>
      </c>
      <c r="AW7" s="9">
        <v>384</v>
      </c>
      <c r="AX7" s="9" t="str">
        <f>IFERROR(MID(VLOOKUP($B7,Seqs!$A:$B,2,0),AY7,1),"")</f>
        <v>C</v>
      </c>
      <c r="AY7" s="9">
        <v>397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 t="shared" ref="BC7:BC9" si="30">_xlfn.AGGREGATE(9,6,CH7:CS7)-_xlfn.AGGREGATE(9,6,BV7:CG7)+12</f>
        <v>275</v>
      </c>
      <c r="BD7" s="11" t="s">
        <v>23</v>
      </c>
      <c r="BE7" s="9" t="s">
        <v>23</v>
      </c>
      <c r="BF7" s="120" t="s">
        <v>23</v>
      </c>
      <c r="BG7" s="51" t="s">
        <v>23</v>
      </c>
      <c r="BH7" s="51" t="s">
        <v>23</v>
      </c>
      <c r="BJ7" s="111" t="s">
        <v>1287</v>
      </c>
      <c r="BK7" s="112" t="s">
        <v>1287</v>
      </c>
      <c r="BL7" s="112" t="s">
        <v>1287</v>
      </c>
      <c r="BM7" s="112" t="s">
        <v>1287</v>
      </c>
      <c r="BN7" s="112" t="s">
        <v>1287</v>
      </c>
      <c r="BO7" s="112" t="s">
        <v>1287</v>
      </c>
      <c r="BP7" s="112" t="s">
        <v>1287</v>
      </c>
      <c r="BQ7" s="112" t="s">
        <v>1287</v>
      </c>
      <c r="BR7" s="112" t="s">
        <v>1287</v>
      </c>
      <c r="BS7" s="112" t="s">
        <v>1287</v>
      </c>
      <c r="BT7" s="112" t="s">
        <v>1287</v>
      </c>
      <c r="BU7" s="112" t="s">
        <v>1287</v>
      </c>
      <c r="BV7" s="111">
        <f t="shared" ref="BV7:BV9" si="31">E7</f>
        <v>69</v>
      </c>
      <c r="BW7" s="113">
        <f t="shared" ref="BW7:BW9" si="32">I7</f>
        <v>103</v>
      </c>
      <c r="BX7" s="114">
        <f t="shared" ref="BX7:BX9" si="33">M7</f>
        <v>107</v>
      </c>
      <c r="BY7" s="113">
        <f t="shared" ref="BY7:BY9" si="34">Q7</f>
        <v>140</v>
      </c>
      <c r="BZ7" s="114">
        <f t="shared" ref="BZ7:BZ9" si="35">U7</f>
        <v>144</v>
      </c>
      <c r="CA7" s="113">
        <f t="shared" ref="CA7:CA9" si="36">Y7</f>
        <v>180</v>
      </c>
      <c r="CB7" s="114">
        <f t="shared" ref="CB7:CB9" si="37">AC7</f>
        <v>188</v>
      </c>
      <c r="CC7" s="113">
        <f t="shared" ref="CC7:CC9" si="38">AG7</f>
        <v>227</v>
      </c>
      <c r="CD7" s="114">
        <f t="shared" ref="CD7:CD9" si="39">AK7</f>
        <v>231</v>
      </c>
      <c r="CE7" s="113">
        <f t="shared" ref="CE7:CE9" si="40">AO7</f>
        <v>312</v>
      </c>
      <c r="CF7" s="114">
        <f t="shared" ref="CF7:CF9" si="41">AS7</f>
        <v>354</v>
      </c>
      <c r="CG7" s="113">
        <f t="shared" ref="CG7:CG9" si="42">AW7</f>
        <v>384</v>
      </c>
      <c r="CH7" s="111">
        <f t="shared" ref="CH7:CH9" si="43">G7</f>
        <v>102</v>
      </c>
      <c r="CI7" s="113">
        <f t="shared" ref="CI7:CI9" si="44">K7</f>
        <v>106</v>
      </c>
      <c r="CJ7" s="114">
        <f t="shared" ref="CJ7:CJ9" si="45">O7</f>
        <v>138</v>
      </c>
      <c r="CK7" s="114">
        <f t="shared" ref="CK7:CK9" si="46">S7</f>
        <v>143</v>
      </c>
      <c r="CL7" s="114">
        <f t="shared" ref="CL7:CL9" si="47">W7</f>
        <v>179</v>
      </c>
      <c r="CM7" s="114">
        <f t="shared" ref="CM7:CM9" si="48">AA7</f>
        <v>187</v>
      </c>
      <c r="CN7" s="114">
        <f t="shared" ref="CN7:CN9" si="49">AE7</f>
        <v>217</v>
      </c>
      <c r="CO7" s="114">
        <f t="shared" ref="CO7:CO9" si="50">AI7</f>
        <v>229</v>
      </c>
      <c r="CP7" s="114">
        <f t="shared" ref="CP7:CP9" si="51">AM7</f>
        <v>272</v>
      </c>
      <c r="CQ7" s="114">
        <f t="shared" ref="CQ7:CQ9" si="52">AQ7</f>
        <v>349</v>
      </c>
      <c r="CR7" s="114">
        <f t="shared" ref="CR7:CR9" si="53">AU7</f>
        <v>383</v>
      </c>
      <c r="CS7" s="114">
        <f t="shared" ref="CS7:CS9" si="54">AY7</f>
        <v>397</v>
      </c>
      <c r="CT7" s="109">
        <f t="shared" ref="CT7:CT9" si="55">M7-K7</f>
        <v>1</v>
      </c>
    </row>
    <row r="8" spans="1:1029" s="12" customFormat="1" x14ac:dyDescent="0.2">
      <c r="A8" s="9" t="str">
        <f t="shared" ref="A8" si="56">CONCATENATE(B8,"_",C8)</f>
        <v>5ht2a_human_6A93</v>
      </c>
      <c r="B8" s="9" t="s">
        <v>132</v>
      </c>
      <c r="C8" s="9" t="s">
        <v>1559</v>
      </c>
      <c r="D8" s="9" t="str">
        <f>IFERROR(MID(VLOOKUP($B8,Seqs!$A:$B,2,0),E8,1),"")</f>
        <v>L</v>
      </c>
      <c r="E8" s="9">
        <v>69</v>
      </c>
      <c r="F8" s="9" t="str">
        <f>IFERROR(MID(VLOOKUP($B8,Seqs!$A:$B,2,0),G8,1),"")</f>
        <v>E</v>
      </c>
      <c r="G8" s="9">
        <v>102</v>
      </c>
      <c r="H8" s="9" t="str">
        <f>IFERROR(MID(VLOOKUP($B8,Seqs!$A:$B,2,0),I8,1),"")</f>
        <v>K</v>
      </c>
      <c r="I8" s="109">
        <v>103</v>
      </c>
      <c r="J8" s="9" t="str">
        <f>IFERROR(MID(VLOOKUP($B8,Seqs!$A:$B,2,0),K8,1),"")</f>
        <v>Q</v>
      </c>
      <c r="K8" s="109">
        <v>106</v>
      </c>
      <c r="L8" s="9" t="str">
        <f>IFERROR(MID(VLOOKUP($B8,Seqs!$A:$B,2,0),M8,1),"")</f>
        <v>N</v>
      </c>
      <c r="M8" s="9">
        <v>107</v>
      </c>
      <c r="N8" s="9" t="str">
        <f>IFERROR(MID(VLOOKUP($B8,Seqs!$A:$B,2,0),O8,1),"")</f>
        <v>G</v>
      </c>
      <c r="O8" s="9">
        <v>138</v>
      </c>
      <c r="P8" s="9" t="str">
        <f>IFERROR(MID(VLOOKUP($B8,Seqs!$A:$B,2,0),Q8,1),"")</f>
        <v>R</v>
      </c>
      <c r="Q8" s="9">
        <v>140</v>
      </c>
      <c r="R8" s="9" t="str">
        <f>IFERROR(MID(VLOOKUP($B8,Seqs!$A:$B,2,0),S8,1),"")</f>
        <v>L</v>
      </c>
      <c r="S8" s="9">
        <v>143</v>
      </c>
      <c r="T8" s="9" t="str">
        <f>IFERROR(MID(VLOOKUP($B8,Seqs!$A:$B,2,0),U8,1),"")</f>
        <v>P</v>
      </c>
      <c r="U8" s="9">
        <v>144</v>
      </c>
      <c r="V8" s="9" t="str">
        <f>IFERROR(MID(VLOOKUP($B8,Seqs!$A:$B,2,0),W8,1),"")</f>
        <v>N</v>
      </c>
      <c r="W8" s="9">
        <v>179</v>
      </c>
      <c r="X8" s="9" t="str">
        <f>IFERROR(MID(VLOOKUP($B8,Seqs!$A:$B,2,0),Y8,1),"")</f>
        <v/>
      </c>
      <c r="Y8" s="9" t="s">
        <v>23</v>
      </c>
      <c r="Z8" s="9" t="str">
        <f>IFERROR(MID(VLOOKUP($B8,Seqs!$A:$B,2,0),AA8,1),"")</f>
        <v/>
      </c>
      <c r="AA8" s="9" t="s">
        <v>23</v>
      </c>
      <c r="AB8" s="9" t="str">
        <f>IFERROR(MID(VLOOKUP($B8,Seqs!$A:$B,2,0),AC8,1),"")</f>
        <v>R</v>
      </c>
      <c r="AC8" s="9">
        <v>189</v>
      </c>
      <c r="AD8" s="9" t="str">
        <f>IFERROR(MID(VLOOKUP($B8,Seqs!$A:$B,2,0),AE8,1),"")</f>
        <v>D</v>
      </c>
      <c r="AE8" s="9">
        <v>217</v>
      </c>
      <c r="AF8" s="9" t="str">
        <f>IFERROR(MID(VLOOKUP($B8,Seqs!$A:$B,2,0),AG8,1),"")</f>
        <v>C</v>
      </c>
      <c r="AG8" s="9">
        <v>227</v>
      </c>
      <c r="AH8" s="9" t="str">
        <f>IFERROR(MID(VLOOKUP($B8,Seqs!$A:$B,2,0),AI8,1),"")</f>
        <v>L</v>
      </c>
      <c r="AI8" s="9">
        <v>229</v>
      </c>
      <c r="AJ8" s="9" t="str">
        <f>IFERROR(MID(VLOOKUP($B8,Seqs!$A:$B,2,0),AK8,1),"")</f>
        <v>D</v>
      </c>
      <c r="AK8" s="9">
        <v>231</v>
      </c>
      <c r="AL8" s="9" t="str">
        <f>IFERROR(MID(VLOOKUP($B8,Seqs!$A:$B,2,0),AM8,1),"")</f>
        <v>A</v>
      </c>
      <c r="AM8" s="9">
        <v>265</v>
      </c>
      <c r="AN8" s="9" t="str">
        <f>IFERROR(MID(VLOOKUP($B8,Seqs!$A:$B,2,0),AO8,1),"")</f>
        <v>Q</v>
      </c>
      <c r="AO8" s="9">
        <v>313</v>
      </c>
      <c r="AP8" s="9" t="str">
        <f>IFERROR(MID(VLOOKUP($B8,Seqs!$A:$B,2,0),AQ8,1),"")</f>
        <v>C</v>
      </c>
      <c r="AQ8" s="9">
        <v>349</v>
      </c>
      <c r="AR8" s="9" t="str">
        <f>IFERROR(MID(VLOOKUP($B8,Seqs!$A:$B,2,0),AS8,1),"")</f>
        <v>N</v>
      </c>
      <c r="AS8" s="9">
        <v>354</v>
      </c>
      <c r="AT8" s="9" t="str">
        <f>IFERROR(MID(VLOOKUP($B8,Seqs!$A:$B,2,0),AU8,1),"")</f>
        <v>F</v>
      </c>
      <c r="AU8" s="9">
        <v>383</v>
      </c>
      <c r="AV8" s="9" t="str">
        <f>IFERROR(MID(VLOOKUP($B8,Seqs!$A:$B,2,0),AW8,1),"")</f>
        <v>N</v>
      </c>
      <c r="AW8" s="9">
        <v>384</v>
      </c>
      <c r="AX8" s="9" t="str">
        <f>IFERROR(MID(VLOOKUP($B8,Seqs!$A:$B,2,0),AY8,1),"")</f>
        <v>C</v>
      </c>
      <c r="AY8" s="9">
        <v>397</v>
      </c>
      <c r="AZ8" s="110" t="str">
        <f>VLOOKUP(B8,Classification!A:D,2,0)</f>
        <v>A</v>
      </c>
      <c r="BA8" s="98" t="str">
        <f>VLOOKUP(B8,Classification!A:D,4,0)</f>
        <v>5-Hydroxytryptamine</v>
      </c>
      <c r="BB8" s="36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109">
        <f t="shared" ref="BC8" si="58">_xlfn.AGGREGATE(9,6,CH8:CS8)-_xlfn.AGGREGATE(9,6,BV8:CG8)+12</f>
        <v>259</v>
      </c>
      <c r="BD8" s="11" t="s">
        <v>23</v>
      </c>
      <c r="BE8" s="9" t="s">
        <v>1374</v>
      </c>
      <c r="BF8" s="120">
        <v>3</v>
      </c>
      <c r="BG8" s="51" t="s">
        <v>1</v>
      </c>
      <c r="BH8" s="51" t="s">
        <v>1</v>
      </c>
      <c r="BJ8" s="111" t="s">
        <v>1287</v>
      </c>
      <c r="BK8" s="112" t="s">
        <v>1287</v>
      </c>
      <c r="BL8" s="112" t="s">
        <v>1287</v>
      </c>
      <c r="BM8" s="112" t="s">
        <v>1287</v>
      </c>
      <c r="BN8" s="112" t="s">
        <v>1287</v>
      </c>
      <c r="BO8" s="112" t="s">
        <v>1287</v>
      </c>
      <c r="BP8" s="112" t="s">
        <v>1287</v>
      </c>
      <c r="BQ8" s="112" t="s">
        <v>1287</v>
      </c>
      <c r="BR8" s="112" t="s">
        <v>1287</v>
      </c>
      <c r="BS8" s="112" t="s">
        <v>1287</v>
      </c>
      <c r="BT8" s="112" t="s">
        <v>1287</v>
      </c>
      <c r="BU8" s="112" t="s">
        <v>1287</v>
      </c>
      <c r="BV8" s="111">
        <f t="shared" ref="BV8" si="59">E8</f>
        <v>69</v>
      </c>
      <c r="BW8" s="113">
        <f t="shared" ref="BW8" si="60">I8</f>
        <v>103</v>
      </c>
      <c r="BX8" s="114">
        <f t="shared" ref="BX8" si="61">M8</f>
        <v>107</v>
      </c>
      <c r="BY8" s="113">
        <f t="shared" ref="BY8" si="62">Q8</f>
        <v>140</v>
      </c>
      <c r="BZ8" s="114">
        <f t="shared" ref="BZ8" si="63">U8</f>
        <v>144</v>
      </c>
      <c r="CA8" s="113" t="str">
        <f t="shared" ref="CA8" si="64">Y8</f>
        <v>-</v>
      </c>
      <c r="CB8" s="114">
        <f t="shared" ref="CB8" si="65">AC8</f>
        <v>189</v>
      </c>
      <c r="CC8" s="113">
        <f t="shared" ref="CC8" si="66">AG8</f>
        <v>227</v>
      </c>
      <c r="CD8" s="114">
        <f t="shared" ref="CD8" si="67">AK8</f>
        <v>231</v>
      </c>
      <c r="CE8" s="113">
        <f t="shared" ref="CE8" si="68">AO8</f>
        <v>313</v>
      </c>
      <c r="CF8" s="114">
        <f t="shared" ref="CF8" si="69">AS8</f>
        <v>354</v>
      </c>
      <c r="CG8" s="113">
        <f t="shared" ref="CG8" si="70">AW8</f>
        <v>384</v>
      </c>
      <c r="CH8" s="111">
        <f t="shared" ref="CH8" si="71">G8</f>
        <v>102</v>
      </c>
      <c r="CI8" s="113">
        <f t="shared" ref="CI8" si="72">K8</f>
        <v>106</v>
      </c>
      <c r="CJ8" s="114">
        <f t="shared" ref="CJ8" si="73">O8</f>
        <v>138</v>
      </c>
      <c r="CK8" s="114">
        <f t="shared" ref="CK8" si="74">S8</f>
        <v>143</v>
      </c>
      <c r="CL8" s="114">
        <f t="shared" ref="CL8" si="75">W8</f>
        <v>179</v>
      </c>
      <c r="CM8" s="114" t="str">
        <f t="shared" ref="CM8" si="76">AA8</f>
        <v>-</v>
      </c>
      <c r="CN8" s="114">
        <f t="shared" ref="CN8" si="77">AE8</f>
        <v>217</v>
      </c>
      <c r="CO8" s="114">
        <f t="shared" ref="CO8" si="78">AI8</f>
        <v>229</v>
      </c>
      <c r="CP8" s="114">
        <f t="shared" ref="CP8" si="79">AM8</f>
        <v>265</v>
      </c>
      <c r="CQ8" s="114">
        <f t="shared" ref="CQ8" si="80">AQ8</f>
        <v>349</v>
      </c>
      <c r="CR8" s="114">
        <f t="shared" ref="CR8" si="81">AU8</f>
        <v>383</v>
      </c>
      <c r="CS8" s="114">
        <f t="shared" ref="CS8" si="82">AY8</f>
        <v>397</v>
      </c>
      <c r="CT8" s="109">
        <f t="shared" ref="CT8" si="83">M8-K8</f>
        <v>1</v>
      </c>
    </row>
    <row r="9" spans="1:1029" s="12" customFormat="1" x14ac:dyDescent="0.2">
      <c r="A9" s="9" t="str">
        <f t="shared" si="28"/>
        <v>5ht2a_human_6A94</v>
      </c>
      <c r="B9" s="9" t="s">
        <v>132</v>
      </c>
      <c r="C9" s="9" t="s">
        <v>1558</v>
      </c>
      <c r="D9" s="9" t="str">
        <f>IFERROR(MID(VLOOKUP($B9,Seqs!$A:$B,2,0),E9,1),"")</f>
        <v>L</v>
      </c>
      <c r="E9" s="9">
        <v>69</v>
      </c>
      <c r="F9" s="9" t="str">
        <f>IFERROR(MID(VLOOKUP($B9,Seqs!$A:$B,2,0),G9,1),"")</f>
        <v>E</v>
      </c>
      <c r="G9" s="9">
        <v>102</v>
      </c>
      <c r="H9" s="9" t="str">
        <f>IFERROR(MID(VLOOKUP($B9,Seqs!$A:$B,2,0),I9,1),"")</f>
        <v>K</v>
      </c>
      <c r="I9" s="109">
        <v>103</v>
      </c>
      <c r="J9" s="9" t="str">
        <f>IFERROR(MID(VLOOKUP($B9,Seqs!$A:$B,2,0),K9,1),"")</f>
        <v>Q</v>
      </c>
      <c r="K9" s="109">
        <v>106</v>
      </c>
      <c r="L9" s="9" t="str">
        <f>IFERROR(MID(VLOOKUP($B9,Seqs!$A:$B,2,0),M9,1),"")</f>
        <v>N</v>
      </c>
      <c r="M9" s="9">
        <v>107</v>
      </c>
      <c r="N9" s="9" t="str">
        <f>IFERROR(MID(VLOOKUP($B9,Seqs!$A:$B,2,0),O9,1),"")</f>
        <v>G</v>
      </c>
      <c r="O9" s="9">
        <v>138</v>
      </c>
      <c r="P9" s="9" t="str">
        <f>IFERROR(MID(VLOOKUP($B9,Seqs!$A:$B,2,0),Q9,1),"")</f>
        <v>R</v>
      </c>
      <c r="Q9" s="9">
        <v>140</v>
      </c>
      <c r="R9" s="9" t="str">
        <f>IFERROR(MID(VLOOKUP($B9,Seqs!$A:$B,2,0),S9,1),"")</f>
        <v>L</v>
      </c>
      <c r="S9" s="9">
        <v>143</v>
      </c>
      <c r="T9" s="9" t="str">
        <f>IFERROR(MID(VLOOKUP($B9,Seqs!$A:$B,2,0),U9,1),"")</f>
        <v>P</v>
      </c>
      <c r="U9" s="9">
        <v>144</v>
      </c>
      <c r="V9" s="9" t="str">
        <f>IFERROR(MID(VLOOKUP($B9,Seqs!$A:$B,2,0),W9,1),"")</f>
        <v>N</v>
      </c>
      <c r="W9" s="9">
        <v>179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R</v>
      </c>
      <c r="AC9" s="9">
        <v>189</v>
      </c>
      <c r="AD9" s="9" t="str">
        <f>IFERROR(MID(VLOOKUP($B9,Seqs!$A:$B,2,0),AE9,1),"")</f>
        <v>D</v>
      </c>
      <c r="AE9" s="9">
        <v>217</v>
      </c>
      <c r="AF9" s="9" t="str">
        <f>IFERROR(MID(VLOOKUP($B9,Seqs!$A:$B,2,0),AG9,1),"")</f>
        <v>C</v>
      </c>
      <c r="AG9" s="9">
        <v>227</v>
      </c>
      <c r="AH9" s="9" t="str">
        <f>IFERROR(MID(VLOOKUP($B9,Seqs!$A:$B,2,0),AI9,1),"")</f>
        <v>L</v>
      </c>
      <c r="AI9" s="9">
        <v>229</v>
      </c>
      <c r="AJ9" s="9" t="str">
        <f>IFERROR(MID(VLOOKUP($B9,Seqs!$A:$B,2,0),AK9,1),"")</f>
        <v>D</v>
      </c>
      <c r="AK9" s="9">
        <v>231</v>
      </c>
      <c r="AL9" s="9" t="str">
        <f>IFERROR(MID(VLOOKUP($B9,Seqs!$A:$B,2,0),AM9,1),"")</f>
        <v>A</v>
      </c>
      <c r="AM9" s="9">
        <v>265</v>
      </c>
      <c r="AN9" s="9" t="str">
        <f>IFERROR(MID(VLOOKUP($B9,Seqs!$A:$B,2,0),AO9,1),"")</f>
        <v>Q</v>
      </c>
      <c r="AO9" s="9">
        <v>313</v>
      </c>
      <c r="AP9" s="9" t="str">
        <f>IFERROR(MID(VLOOKUP($B9,Seqs!$A:$B,2,0),AQ9,1),"")</f>
        <v>C</v>
      </c>
      <c r="AQ9" s="9">
        <v>349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F</v>
      </c>
      <c r="AU9" s="9">
        <v>383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C</v>
      </c>
      <c r="AY9" s="9">
        <v>397</v>
      </c>
      <c r="AZ9" s="110" t="str">
        <f>VLOOKUP(B9,Classification!A:D,2,0)</f>
        <v>A</v>
      </c>
      <c r="BA9" s="98" t="str">
        <f>VLOOKUP(B9,Classification!A:D,4,0)</f>
        <v>5-Hydroxytryptamine</v>
      </c>
      <c r="BB9" s="36" t="b">
        <f t="shared" si="29"/>
        <v>1</v>
      </c>
      <c r="BC9" s="109">
        <f t="shared" si="30"/>
        <v>259</v>
      </c>
      <c r="BD9" s="11" t="s">
        <v>1376</v>
      </c>
      <c r="BE9" s="9" t="s">
        <v>1374</v>
      </c>
      <c r="BF9" s="120">
        <v>2.9</v>
      </c>
      <c r="BG9" s="51" t="s">
        <v>1</v>
      </c>
      <c r="BH9" s="51" t="s">
        <v>1</v>
      </c>
      <c r="BJ9" s="111" t="s">
        <v>1287</v>
      </c>
      <c r="BK9" s="112" t="s">
        <v>1287</v>
      </c>
      <c r="BL9" s="112" t="s">
        <v>1287</v>
      </c>
      <c r="BM9" s="112" t="s">
        <v>1287</v>
      </c>
      <c r="BN9" s="112" t="s">
        <v>1287</v>
      </c>
      <c r="BO9" s="112" t="s">
        <v>1287</v>
      </c>
      <c r="BP9" s="112" t="s">
        <v>1287</v>
      </c>
      <c r="BQ9" s="112" t="s">
        <v>1287</v>
      </c>
      <c r="BR9" s="112" t="s">
        <v>1287</v>
      </c>
      <c r="BS9" s="112" t="s">
        <v>1287</v>
      </c>
      <c r="BT9" s="112" t="s">
        <v>1287</v>
      </c>
      <c r="BU9" s="112" t="s">
        <v>1287</v>
      </c>
      <c r="BV9" s="111">
        <f t="shared" si="31"/>
        <v>69</v>
      </c>
      <c r="BW9" s="113">
        <f t="shared" si="32"/>
        <v>103</v>
      </c>
      <c r="BX9" s="114">
        <f t="shared" si="33"/>
        <v>107</v>
      </c>
      <c r="BY9" s="113">
        <f t="shared" si="34"/>
        <v>140</v>
      </c>
      <c r="BZ9" s="114">
        <f t="shared" si="35"/>
        <v>144</v>
      </c>
      <c r="CA9" s="113" t="str">
        <f t="shared" si="36"/>
        <v>-</v>
      </c>
      <c r="CB9" s="114">
        <f t="shared" si="37"/>
        <v>189</v>
      </c>
      <c r="CC9" s="113">
        <f t="shared" si="38"/>
        <v>227</v>
      </c>
      <c r="CD9" s="114">
        <f t="shared" si="39"/>
        <v>231</v>
      </c>
      <c r="CE9" s="113">
        <f t="shared" si="40"/>
        <v>313</v>
      </c>
      <c r="CF9" s="114">
        <f t="shared" si="41"/>
        <v>354</v>
      </c>
      <c r="CG9" s="113">
        <f t="shared" si="42"/>
        <v>384</v>
      </c>
      <c r="CH9" s="111">
        <f t="shared" si="43"/>
        <v>102</v>
      </c>
      <c r="CI9" s="113">
        <f t="shared" si="44"/>
        <v>106</v>
      </c>
      <c r="CJ9" s="114">
        <f t="shared" si="45"/>
        <v>138</v>
      </c>
      <c r="CK9" s="114">
        <f t="shared" si="46"/>
        <v>143</v>
      </c>
      <c r="CL9" s="114">
        <f t="shared" si="47"/>
        <v>179</v>
      </c>
      <c r="CM9" s="114" t="str">
        <f t="shared" si="48"/>
        <v>-</v>
      </c>
      <c r="CN9" s="114">
        <f t="shared" si="49"/>
        <v>217</v>
      </c>
      <c r="CO9" s="114">
        <f t="shared" si="50"/>
        <v>229</v>
      </c>
      <c r="CP9" s="114">
        <f t="shared" si="51"/>
        <v>265</v>
      </c>
      <c r="CQ9" s="114">
        <f t="shared" si="52"/>
        <v>349</v>
      </c>
      <c r="CR9" s="114">
        <f t="shared" si="53"/>
        <v>383</v>
      </c>
      <c r="CS9" s="114">
        <f t="shared" si="54"/>
        <v>397</v>
      </c>
      <c r="CT9" s="109">
        <f t="shared" si="55"/>
        <v>1</v>
      </c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105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9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105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23</v>
      </c>
      <c r="BE10" s="3" t="s">
        <v>23</v>
      </c>
      <c r="BF10" s="119" t="s">
        <v>23</v>
      </c>
      <c r="BG10" s="49" t="s">
        <v>1372</v>
      </c>
      <c r="BH10" s="49" t="s">
        <v>1377</v>
      </c>
      <c r="BI10" s="1"/>
      <c r="BJ10" s="70" t="s">
        <v>1287</v>
      </c>
      <c r="BK10" s="57" t="s">
        <v>1287</v>
      </c>
      <c r="BL10" s="57" t="s">
        <v>1287</v>
      </c>
      <c r="BM10" s="57" t="s">
        <v>1287</v>
      </c>
      <c r="BN10" s="57" t="s">
        <v>1287</v>
      </c>
      <c r="BO10" s="57" t="s">
        <v>1287</v>
      </c>
      <c r="BP10" s="57" t="s">
        <v>1287</v>
      </c>
      <c r="BQ10" s="57" t="s">
        <v>1287</v>
      </c>
      <c r="BR10" s="57" t="s">
        <v>1287</v>
      </c>
      <c r="BS10" s="57" t="s">
        <v>1287</v>
      </c>
      <c r="BT10" s="57" t="s">
        <v>1287</v>
      </c>
      <c r="BU10" s="57" t="s">
        <v>1287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1429</v>
      </c>
      <c r="BE11" s="3" t="s">
        <v>1428</v>
      </c>
      <c r="BF11" s="119">
        <v>2.7</v>
      </c>
      <c r="BG11" s="49" t="s">
        <v>1377</v>
      </c>
      <c r="BH11" s="49" t="s">
        <v>1377</v>
      </c>
      <c r="BI11" s="1"/>
      <c r="BJ11" s="70" t="s">
        <v>1287</v>
      </c>
      <c r="BK11" s="57" t="s">
        <v>1287</v>
      </c>
      <c r="BL11" s="57" t="s">
        <v>1287</v>
      </c>
      <c r="BM11" s="57" t="s">
        <v>1287</v>
      </c>
      <c r="BN11" s="57" t="s">
        <v>1287</v>
      </c>
      <c r="BO11" s="57" t="s">
        <v>1287</v>
      </c>
      <c r="BP11" s="57" t="s">
        <v>1287</v>
      </c>
      <c r="BQ11" s="57" t="s">
        <v>1287</v>
      </c>
      <c r="BR11" s="57" t="s">
        <v>1287</v>
      </c>
      <c r="BS11" s="57" t="s">
        <v>1287</v>
      </c>
      <c r="BT11" s="57" t="s">
        <v>1287</v>
      </c>
      <c r="BU11" s="57" t="s">
        <v>1287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1164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23</v>
      </c>
      <c r="BE12" s="3" t="s">
        <v>1428</v>
      </c>
      <c r="BF12" s="119">
        <v>2.7</v>
      </c>
      <c r="BG12" s="49" t="s">
        <v>1377</v>
      </c>
      <c r="BH12" s="49" t="s">
        <v>1377</v>
      </c>
      <c r="BI12" s="1"/>
      <c r="BJ12" s="70" t="s">
        <v>1287</v>
      </c>
      <c r="BK12" s="57" t="s">
        <v>1287</v>
      </c>
      <c r="BL12" s="57" t="s">
        <v>1287</v>
      </c>
      <c r="BM12" s="57" t="s">
        <v>1287</v>
      </c>
      <c r="BN12" s="57" t="s">
        <v>1287</v>
      </c>
      <c r="BO12" s="57" t="s">
        <v>1287</v>
      </c>
      <c r="BP12" s="57" t="s">
        <v>1287</v>
      </c>
      <c r="BQ12" s="57" t="s">
        <v>1287</v>
      </c>
      <c r="BR12" s="57" t="s">
        <v>1287</v>
      </c>
      <c r="BS12" s="57" t="s">
        <v>1287</v>
      </c>
      <c r="BT12" s="57" t="s">
        <v>1287</v>
      </c>
      <c r="BU12" s="57" t="s">
        <v>1287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1308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1428</v>
      </c>
      <c r="BF13" s="119">
        <v>2.8</v>
      </c>
      <c r="BG13" s="49" t="s">
        <v>1377</v>
      </c>
      <c r="BH13" s="49" t="s">
        <v>1377</v>
      </c>
      <c r="BI13" s="1"/>
      <c r="BJ13" s="70" t="s">
        <v>1287</v>
      </c>
      <c r="BK13" s="57" t="s">
        <v>1287</v>
      </c>
      <c r="BL13" s="57" t="s">
        <v>1287</v>
      </c>
      <c r="BM13" s="57" t="s">
        <v>1287</v>
      </c>
      <c r="BN13" s="57" t="s">
        <v>1287</v>
      </c>
      <c r="BO13" s="57" t="s">
        <v>1287</v>
      </c>
      <c r="BP13" s="57" t="s">
        <v>1287</v>
      </c>
      <c r="BQ13" s="57" t="s">
        <v>1287</v>
      </c>
      <c r="BR13" s="57" t="s">
        <v>1287</v>
      </c>
      <c r="BS13" s="57" t="s">
        <v>1287</v>
      </c>
      <c r="BT13" s="57" t="s">
        <v>1287</v>
      </c>
      <c r="BU13" s="57" t="s">
        <v>1287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1427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1375</v>
      </c>
      <c r="BE14" s="3" t="s">
        <v>1291</v>
      </c>
      <c r="BF14" s="119">
        <v>3</v>
      </c>
      <c r="BG14" s="49" t="s">
        <v>1377</v>
      </c>
      <c r="BH14" s="49" t="s">
        <v>1377</v>
      </c>
      <c r="BI14" s="1"/>
      <c r="BJ14" s="70" t="s">
        <v>1287</v>
      </c>
      <c r="BK14" s="57" t="s">
        <v>1287</v>
      </c>
      <c r="BL14" s="57" t="s">
        <v>1287</v>
      </c>
      <c r="BM14" s="57" t="s">
        <v>1287</v>
      </c>
      <c r="BN14" s="57" t="s">
        <v>1287</v>
      </c>
      <c r="BO14" s="57" t="s">
        <v>1287</v>
      </c>
      <c r="BP14" s="57" t="s">
        <v>1287</v>
      </c>
      <c r="BQ14" s="57" t="s">
        <v>1287</v>
      </c>
      <c r="BR14" s="57" t="s">
        <v>1287</v>
      </c>
      <c r="BS14" s="57" t="s">
        <v>1287</v>
      </c>
      <c r="BT14" s="57" t="s">
        <v>1287</v>
      </c>
      <c r="BU14" s="57" t="s">
        <v>1287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1386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1428</v>
      </c>
      <c r="BF15" s="119">
        <v>2.9</v>
      </c>
      <c r="BG15" s="49" t="s">
        <v>1377</v>
      </c>
      <c r="BH15" s="49" t="s">
        <v>1377</v>
      </c>
      <c r="BI15" s="1"/>
      <c r="BJ15" s="70" t="s">
        <v>1287</v>
      </c>
      <c r="BK15" s="57" t="s">
        <v>1287</v>
      </c>
      <c r="BL15" s="57" t="s">
        <v>1287</v>
      </c>
      <c r="BM15" s="57" t="s">
        <v>1287</v>
      </c>
      <c r="BN15" s="57" t="s">
        <v>1287</v>
      </c>
      <c r="BO15" s="57" t="s">
        <v>1287</v>
      </c>
      <c r="BP15" s="57" t="s">
        <v>1287</v>
      </c>
      <c r="BQ15" s="57" t="s">
        <v>1287</v>
      </c>
      <c r="BR15" s="57" t="s">
        <v>1287</v>
      </c>
      <c r="BS15" s="57" t="s">
        <v>1287</v>
      </c>
      <c r="BT15" s="57" t="s">
        <v>1287</v>
      </c>
      <c r="BU15" s="57" t="s">
        <v>1287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s="12" customFormat="1" x14ac:dyDescent="0.2">
      <c r="A16" s="9" t="str">
        <f t="shared" ref="A16" si="112">CONCATENATE(B16,"_",C16)</f>
        <v>5ht2b_human_6DRX</v>
      </c>
      <c r="B16" s="9" t="s">
        <v>35</v>
      </c>
      <c r="C16" s="9" t="s">
        <v>1512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164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14">_xlfn.AGGREGATE(9,6,CH16:CS16)-_xlfn.AGGREGATE(9,6,BV16:CG16)+12</f>
        <v>254</v>
      </c>
      <c r="BD16" s="11" t="s">
        <v>23</v>
      </c>
      <c r="BE16" s="9" t="s">
        <v>1428</v>
      </c>
      <c r="BF16" s="120">
        <v>3.1</v>
      </c>
      <c r="BG16" s="51" t="s">
        <v>1</v>
      </c>
      <c r="BH16" s="51" t="s">
        <v>1</v>
      </c>
      <c r="BJ16" s="111" t="s">
        <v>1287</v>
      </c>
      <c r="BK16" s="112" t="s">
        <v>1287</v>
      </c>
      <c r="BL16" s="112" t="s">
        <v>1287</v>
      </c>
      <c r="BM16" s="112" t="s">
        <v>1287</v>
      </c>
      <c r="BN16" s="112" t="s">
        <v>1287</v>
      </c>
      <c r="BO16" s="112" t="s">
        <v>1287</v>
      </c>
      <c r="BP16" s="112" t="s">
        <v>1287</v>
      </c>
      <c r="BQ16" s="112" t="s">
        <v>1287</v>
      </c>
      <c r="BR16" s="112" t="s">
        <v>1287</v>
      </c>
      <c r="BS16" s="112" t="s">
        <v>1287</v>
      </c>
      <c r="BT16" s="112" t="s">
        <v>1287</v>
      </c>
      <c r="BU16" s="112" t="s">
        <v>1287</v>
      </c>
      <c r="BV16" s="111">
        <f t="shared" ref="BV16" si="115">E16</f>
        <v>53</v>
      </c>
      <c r="BW16" s="113">
        <f t="shared" ref="BW16" si="116">I16</f>
        <v>83</v>
      </c>
      <c r="BX16" s="114">
        <f t="shared" ref="BX16" si="117">M16</f>
        <v>87</v>
      </c>
      <c r="BY16" s="113">
        <f t="shared" ref="BY16" si="118">Q16</f>
        <v>120</v>
      </c>
      <c r="BZ16" s="114">
        <f t="shared" ref="BZ16" si="119">U16</f>
        <v>124</v>
      </c>
      <c r="CA16" s="113" t="str">
        <f t="shared" ref="CA16" si="120">Y16</f>
        <v>-</v>
      </c>
      <c r="CB16" s="114">
        <f t="shared" ref="CB16" si="121">AC16</f>
        <v>164</v>
      </c>
      <c r="CC16" s="113">
        <f t="shared" ref="CC16" si="122">AG16</f>
        <v>207</v>
      </c>
      <c r="CD16" s="114">
        <f t="shared" ref="CD16" si="123">AK16</f>
        <v>214</v>
      </c>
      <c r="CE16" s="113">
        <f t="shared" ref="CE16" si="124">AO16</f>
        <v>314</v>
      </c>
      <c r="CF16" s="114">
        <f t="shared" ref="CF16" si="125">AS16</f>
        <v>354</v>
      </c>
      <c r="CG16" s="113">
        <f t="shared" ref="CG16" si="126">AW16</f>
        <v>384</v>
      </c>
      <c r="CH16" s="111">
        <f t="shared" ref="CH16" si="127">G16</f>
        <v>82</v>
      </c>
      <c r="CI16" s="113">
        <f t="shared" ref="CI16" si="128">K16</f>
        <v>86</v>
      </c>
      <c r="CJ16" s="114">
        <f t="shared" ref="CJ16" si="129">O16</f>
        <v>117</v>
      </c>
      <c r="CK16" s="114">
        <f t="shared" ref="CK16" si="130">S16</f>
        <v>123</v>
      </c>
      <c r="CL16" s="114">
        <f t="shared" ref="CL16" si="131">W16</f>
        <v>159</v>
      </c>
      <c r="CM16" s="114" t="str">
        <f t="shared" ref="CM16" si="132">AA16</f>
        <v>-</v>
      </c>
      <c r="CN16" s="114">
        <f t="shared" ref="CN16" si="133">AE16</f>
        <v>194</v>
      </c>
      <c r="CO16" s="114">
        <f t="shared" ref="CO16" si="134">AI16</f>
        <v>209</v>
      </c>
      <c r="CP16" s="114">
        <f t="shared" ref="CP16" si="135">AM16</f>
        <v>248</v>
      </c>
      <c r="CQ16" s="114">
        <f t="shared" ref="CQ16" si="136">AQ16</f>
        <v>350</v>
      </c>
      <c r="CR16" s="114">
        <f t="shared" ref="CR16" si="137">AU16</f>
        <v>383</v>
      </c>
      <c r="CS16" s="114">
        <f t="shared" ref="CS16" si="138">AY16</f>
        <v>395</v>
      </c>
      <c r="CT16" s="109">
        <f t="shared" ref="CT16" si="139">M16-K16</f>
        <v>1</v>
      </c>
    </row>
    <row r="17" spans="1:1029" s="12" customFormat="1" x14ac:dyDescent="0.2">
      <c r="A17" s="9" t="str">
        <f t="shared" ref="A17" si="140">CONCATENATE(B17,"_",C17)</f>
        <v>5ht2b_human_6DRY</v>
      </c>
      <c r="B17" s="9" t="s">
        <v>35</v>
      </c>
      <c r="C17" s="9" t="s">
        <v>1513</v>
      </c>
      <c r="D17" s="9" t="str">
        <f>IFERROR(MID(VLOOKUP($B17,Seqs!$A:$B,2,0),E17,1),"")</f>
        <v>K</v>
      </c>
      <c r="E17" s="9">
        <v>53</v>
      </c>
      <c r="F17" s="9" t="str">
        <f>IFERROR(MID(VLOOKUP($B17,Seqs!$A:$B,2,0),G17,1),"")</f>
        <v>E</v>
      </c>
      <c r="G17" s="9">
        <v>82</v>
      </c>
      <c r="H17" s="9" t="str">
        <f>IFERROR(MID(VLOOKUP($B17,Seqs!$A:$B,2,0),I17,1),"")</f>
        <v>K</v>
      </c>
      <c r="I17" s="109">
        <v>83</v>
      </c>
      <c r="J17" s="9" t="str">
        <f>IFERROR(MID(VLOOKUP($B17,Seqs!$A:$B,2,0),K17,1),"")</f>
        <v>Q</v>
      </c>
      <c r="K17" s="109">
        <v>86</v>
      </c>
      <c r="L17" s="9" t="str">
        <f>IFERROR(MID(VLOOKUP($B17,Seqs!$A:$B,2,0),M17,1),"")</f>
        <v>Y</v>
      </c>
      <c r="M17" s="9">
        <v>87</v>
      </c>
      <c r="N17" s="9" t="str">
        <f>IFERROR(MID(VLOOKUP($B17,Seqs!$A:$B,2,0),O17,1),"")</f>
        <v>F</v>
      </c>
      <c r="O17" s="9">
        <v>117</v>
      </c>
      <c r="P17" s="9" t="str">
        <f>IFERROR(MID(VLOOKUP($B17,Seqs!$A:$B,2,0),Q17,1),"")</f>
        <v>M</v>
      </c>
      <c r="Q17" s="9">
        <v>120</v>
      </c>
      <c r="R17" s="9" t="str">
        <f>IFERROR(MID(VLOOKUP($B17,Seqs!$A:$B,2,0),S17,1),"")</f>
        <v>L</v>
      </c>
      <c r="S17" s="9">
        <v>123</v>
      </c>
      <c r="T17" s="9" t="str">
        <f>IFERROR(MID(VLOOKUP($B17,Seqs!$A:$B,2,0),U17,1),"")</f>
        <v>P</v>
      </c>
      <c r="U17" s="9">
        <v>124</v>
      </c>
      <c r="V17" s="9" t="str">
        <f>IFERROR(MID(VLOOKUP($B17,Seqs!$A:$B,2,0),W17,1),"")</f>
        <v>K</v>
      </c>
      <c r="W17" s="9">
        <v>159</v>
      </c>
      <c r="X17" s="9" t="str">
        <f>IFERROR(MID(VLOOKUP($B17,Seqs!$A:$B,2,0),Y17,1),"")</f>
        <v/>
      </c>
      <c r="Y17" s="9" t="s">
        <v>23</v>
      </c>
      <c r="Z17" s="9" t="str">
        <f>IFERROR(MID(VLOOKUP($B17,Seqs!$A:$B,2,0),AA17,1),"")</f>
        <v/>
      </c>
      <c r="AA17" s="9" t="s">
        <v>23</v>
      </c>
      <c r="AB17" s="9" t="str">
        <f>IFERROR(MID(VLOOKUP($B17,Seqs!$A:$B,2,0),AC17,1),"")</f>
        <v>S</v>
      </c>
      <c r="AC17" s="9">
        <v>168</v>
      </c>
      <c r="AD17" s="9" t="str">
        <f>IFERROR(MID(VLOOKUP($B17,Seqs!$A:$B,2,0),AE17,1),"")</f>
        <v>G</v>
      </c>
      <c r="AE17" s="9">
        <v>194</v>
      </c>
      <c r="AF17" s="9" t="str">
        <f>IFERROR(MID(VLOOKUP($B17,Seqs!$A:$B,2,0),AG17,1),"")</f>
        <v>C</v>
      </c>
      <c r="AG17" s="9">
        <v>207</v>
      </c>
      <c r="AH17" s="9" t="str">
        <f>IFERROR(MID(VLOOKUP($B17,Seqs!$A:$B,2,0),AI17,1),"")</f>
        <v>L</v>
      </c>
      <c r="AI17" s="9">
        <v>209</v>
      </c>
      <c r="AJ17" s="9" t="str">
        <f>IFERROR(MID(VLOOKUP($B17,Seqs!$A:$B,2,0),AK17,1),"")</f>
        <v>F</v>
      </c>
      <c r="AK17" s="9">
        <v>214</v>
      </c>
      <c r="AL17" s="9" t="str">
        <f>IFERROR(MID(VLOOKUP($B17,Seqs!$A:$B,2,0),AM17,1),"")</f>
        <v>A</v>
      </c>
      <c r="AM17" s="9">
        <v>248</v>
      </c>
      <c r="AN17" s="9" t="str">
        <f>IFERROR(MID(VLOOKUP($B17,Seqs!$A:$B,2,0),AO17,1),"")</f>
        <v>V</v>
      </c>
      <c r="AO17" s="9">
        <v>313</v>
      </c>
      <c r="AP17" s="9" t="str">
        <f>IFERROR(MID(VLOOKUP($B17,Seqs!$A:$B,2,0),AQ17,1),"")</f>
        <v>C</v>
      </c>
      <c r="AQ17" s="9">
        <v>350</v>
      </c>
      <c r="AR17" s="9" t="str">
        <f>IFERROR(MID(VLOOKUP($B17,Seqs!$A:$B,2,0),AS17,1),"")</f>
        <v>N</v>
      </c>
      <c r="AS17" s="9">
        <v>354</v>
      </c>
      <c r="AT17" s="9" t="str">
        <f>IFERROR(MID(VLOOKUP($B17,Seqs!$A:$B,2,0),AU17,1),"")</f>
        <v>F</v>
      </c>
      <c r="AU17" s="9">
        <v>383</v>
      </c>
      <c r="AV17" s="9" t="str">
        <f>IFERROR(MID(VLOOKUP($B17,Seqs!$A:$B,2,0),AW17,1),"")</f>
        <v>N</v>
      </c>
      <c r="AW17" s="9">
        <v>384</v>
      </c>
      <c r="AX17" s="9" t="str">
        <f>IFERROR(MID(VLOOKUP($B17,Seqs!$A:$B,2,0),AY17,1),"")</f>
        <v>I</v>
      </c>
      <c r="AY17" s="9">
        <v>395</v>
      </c>
      <c r="AZ17" s="110" t="str">
        <f>VLOOKUP(B17,Classification!A:D,2,0)</f>
        <v>A</v>
      </c>
      <c r="BA17" s="98" t="str">
        <f>VLOOKUP(B17,Classification!A:D,4,0)</f>
        <v>5-Hydroxytryptamine</v>
      </c>
      <c r="BB17" s="36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109">
        <f t="shared" ref="BC17" si="142">_xlfn.AGGREGATE(9,6,CH17:CS17)-_xlfn.AGGREGATE(9,6,BV17:CG17)+12</f>
        <v>251</v>
      </c>
      <c r="BD17" s="11" t="s">
        <v>23</v>
      </c>
      <c r="BE17" s="9" t="s">
        <v>1428</v>
      </c>
      <c r="BF17" s="120">
        <v>2.92</v>
      </c>
      <c r="BG17" s="51" t="s">
        <v>1</v>
      </c>
      <c r="BH17" s="51" t="s">
        <v>1</v>
      </c>
      <c r="BJ17" s="111" t="s">
        <v>1287</v>
      </c>
      <c r="BK17" s="112" t="s">
        <v>1287</v>
      </c>
      <c r="BL17" s="112" t="s">
        <v>1287</v>
      </c>
      <c r="BM17" s="112" t="s">
        <v>1287</v>
      </c>
      <c r="BN17" s="112" t="s">
        <v>1287</v>
      </c>
      <c r="BO17" s="112" t="s">
        <v>1287</v>
      </c>
      <c r="BP17" s="112" t="s">
        <v>1287</v>
      </c>
      <c r="BQ17" s="112" t="s">
        <v>1287</v>
      </c>
      <c r="BR17" s="112" t="s">
        <v>1287</v>
      </c>
      <c r="BS17" s="112" t="s">
        <v>1287</v>
      </c>
      <c r="BT17" s="112" t="s">
        <v>1287</v>
      </c>
      <c r="BU17" s="112" t="s">
        <v>1287</v>
      </c>
      <c r="BV17" s="111">
        <f t="shared" ref="BV17" si="143">E17</f>
        <v>53</v>
      </c>
      <c r="BW17" s="113">
        <f t="shared" ref="BW17" si="144">I17</f>
        <v>83</v>
      </c>
      <c r="BX17" s="114">
        <f t="shared" ref="BX17" si="145">M17</f>
        <v>87</v>
      </c>
      <c r="BY17" s="113">
        <f t="shared" ref="BY17" si="146">Q17</f>
        <v>120</v>
      </c>
      <c r="BZ17" s="114">
        <f t="shared" ref="BZ17" si="147">U17</f>
        <v>124</v>
      </c>
      <c r="CA17" s="113" t="str">
        <f t="shared" ref="CA17" si="148">Y17</f>
        <v>-</v>
      </c>
      <c r="CB17" s="114">
        <f t="shared" ref="CB17" si="149">AC17</f>
        <v>168</v>
      </c>
      <c r="CC17" s="113">
        <f t="shared" ref="CC17" si="150">AG17</f>
        <v>207</v>
      </c>
      <c r="CD17" s="114">
        <f t="shared" ref="CD17" si="151">AK17</f>
        <v>214</v>
      </c>
      <c r="CE17" s="113">
        <f t="shared" ref="CE17" si="152">AO17</f>
        <v>313</v>
      </c>
      <c r="CF17" s="114">
        <f t="shared" ref="CF17" si="153">AS17</f>
        <v>354</v>
      </c>
      <c r="CG17" s="113">
        <f t="shared" ref="CG17" si="154">AW17</f>
        <v>384</v>
      </c>
      <c r="CH17" s="111">
        <f t="shared" ref="CH17" si="155">G17</f>
        <v>82</v>
      </c>
      <c r="CI17" s="113">
        <f t="shared" ref="CI17" si="156">K17</f>
        <v>86</v>
      </c>
      <c r="CJ17" s="114">
        <f t="shared" ref="CJ17" si="157">O17</f>
        <v>117</v>
      </c>
      <c r="CK17" s="114">
        <f t="shared" ref="CK17" si="158">S17</f>
        <v>123</v>
      </c>
      <c r="CL17" s="114">
        <f t="shared" ref="CL17" si="159">W17</f>
        <v>159</v>
      </c>
      <c r="CM17" s="114" t="str">
        <f t="shared" ref="CM17" si="160">AA17</f>
        <v>-</v>
      </c>
      <c r="CN17" s="114">
        <f t="shared" ref="CN17" si="161">AE17</f>
        <v>194</v>
      </c>
      <c r="CO17" s="114">
        <f t="shared" ref="CO17" si="162">AI17</f>
        <v>209</v>
      </c>
      <c r="CP17" s="114">
        <f t="shared" ref="CP17" si="163">AM17</f>
        <v>248</v>
      </c>
      <c r="CQ17" s="114">
        <f t="shared" ref="CQ17" si="164">AQ17</f>
        <v>350</v>
      </c>
      <c r="CR17" s="114">
        <f t="shared" ref="CR17" si="165">AU17</f>
        <v>383</v>
      </c>
      <c r="CS17" s="114">
        <f t="shared" ref="CS17" si="166">AY17</f>
        <v>395</v>
      </c>
      <c r="CT17" s="109">
        <f t="shared" ref="CT17" si="167">M17-K17</f>
        <v>1</v>
      </c>
    </row>
    <row r="18" spans="1:1029" s="12" customFormat="1" x14ac:dyDescent="0.2">
      <c r="A18" s="9" t="str">
        <f t="shared" ref="A18" si="168">CONCATENATE(B18,"_",C18)</f>
        <v>5ht2b_human_6DRZ</v>
      </c>
      <c r="B18" s="9" t="s">
        <v>35</v>
      </c>
      <c r="C18" s="9" t="s">
        <v>1514</v>
      </c>
      <c r="D18" s="9" t="str">
        <f>IFERROR(MID(VLOOKUP($B18,Seqs!$A:$B,2,0),E18,1),"")</f>
        <v>K</v>
      </c>
      <c r="E18" s="9">
        <v>53</v>
      </c>
      <c r="F18" s="9" t="str">
        <f>IFERROR(MID(VLOOKUP($B18,Seqs!$A:$B,2,0),G18,1),"")</f>
        <v>E</v>
      </c>
      <c r="G18" s="9">
        <v>82</v>
      </c>
      <c r="H18" s="9" t="str">
        <f>IFERROR(MID(VLOOKUP($B18,Seqs!$A:$B,2,0),I18,1),"")</f>
        <v>K</v>
      </c>
      <c r="I18" s="109">
        <v>83</v>
      </c>
      <c r="J18" s="9" t="str">
        <f>IFERROR(MID(VLOOKUP($B18,Seqs!$A:$B,2,0),K18,1),"")</f>
        <v>Q</v>
      </c>
      <c r="K18" s="109">
        <v>86</v>
      </c>
      <c r="L18" s="9" t="str">
        <f>IFERROR(MID(VLOOKUP($B18,Seqs!$A:$B,2,0),M18,1),"")</f>
        <v>Y</v>
      </c>
      <c r="M18" s="9">
        <v>87</v>
      </c>
      <c r="N18" s="9" t="str">
        <f>IFERROR(MID(VLOOKUP($B18,Seqs!$A:$B,2,0),O18,1),"")</f>
        <v>F</v>
      </c>
      <c r="O18" s="9">
        <v>117</v>
      </c>
      <c r="P18" s="9" t="str">
        <f>IFERROR(MID(VLOOKUP($B18,Seqs!$A:$B,2,0),Q18,1),"")</f>
        <v>M</v>
      </c>
      <c r="Q18" s="9">
        <v>120</v>
      </c>
      <c r="R18" s="9" t="str">
        <f>IFERROR(MID(VLOOKUP($B18,Seqs!$A:$B,2,0),S18,1),"")</f>
        <v>L</v>
      </c>
      <c r="S18" s="9">
        <v>123</v>
      </c>
      <c r="T18" s="9" t="str">
        <f>IFERROR(MID(VLOOKUP($B18,Seqs!$A:$B,2,0),U18,1),"")</f>
        <v>P</v>
      </c>
      <c r="U18" s="9">
        <v>124</v>
      </c>
      <c r="V18" s="9" t="str">
        <f>IFERROR(MID(VLOOKUP($B18,Seqs!$A:$B,2,0),W18,1),"")</f>
        <v>K</v>
      </c>
      <c r="W18" s="9">
        <v>159</v>
      </c>
      <c r="X18" s="9" t="str">
        <f>IFERROR(MID(VLOOKUP($B18,Seqs!$A:$B,2,0),Y18,1),"")</f>
        <v/>
      </c>
      <c r="Y18" s="9" t="s">
        <v>23</v>
      </c>
      <c r="Z18" s="9" t="str">
        <f>IFERROR(MID(VLOOKUP($B18,Seqs!$A:$B,2,0),AA18,1),"")</f>
        <v/>
      </c>
      <c r="AA18" s="9" t="s">
        <v>23</v>
      </c>
      <c r="AB18" s="9" t="str">
        <f>IFERROR(MID(VLOOKUP($B18,Seqs!$A:$B,2,0),AC18,1),"")</f>
        <v>R</v>
      </c>
      <c r="AC18" s="9">
        <v>169</v>
      </c>
      <c r="AD18" s="9" t="str">
        <f>IFERROR(MID(VLOOKUP($B18,Seqs!$A:$B,2,0),AE18,1),"")</f>
        <v>G</v>
      </c>
      <c r="AE18" s="9">
        <v>194</v>
      </c>
      <c r="AF18" s="9" t="str">
        <f>IFERROR(MID(VLOOKUP($B18,Seqs!$A:$B,2,0),AG18,1),"")</f>
        <v>C</v>
      </c>
      <c r="AG18" s="9">
        <v>207</v>
      </c>
      <c r="AH18" s="9" t="str">
        <f>IFERROR(MID(VLOOKUP($B18,Seqs!$A:$B,2,0),AI18,1),"")</f>
        <v>L</v>
      </c>
      <c r="AI18" s="9">
        <v>209</v>
      </c>
      <c r="AJ18" s="9" t="str">
        <f>IFERROR(MID(VLOOKUP($B18,Seqs!$A:$B,2,0),AK18,1),"")</f>
        <v>F</v>
      </c>
      <c r="AK18" s="9">
        <v>214</v>
      </c>
      <c r="AL18" s="9" t="str">
        <f>IFERROR(MID(VLOOKUP($B18,Seqs!$A:$B,2,0),AM18,1),"")</f>
        <v>A</v>
      </c>
      <c r="AM18" s="9">
        <v>248</v>
      </c>
      <c r="AN18" s="9" t="str">
        <f>IFERROR(MID(VLOOKUP($B18,Seqs!$A:$B,2,0),AO18,1),"")</f>
        <v>V</v>
      </c>
      <c r="AO18" s="9">
        <v>313</v>
      </c>
      <c r="AP18" s="9" t="str">
        <f>IFERROR(MID(VLOOKUP($B18,Seqs!$A:$B,2,0),AQ18,1),"")</f>
        <v>C</v>
      </c>
      <c r="AQ18" s="9">
        <v>350</v>
      </c>
      <c r="AR18" s="9" t="str">
        <f>IFERROR(MID(VLOOKUP($B18,Seqs!$A:$B,2,0),AS18,1),"")</f>
        <v>N</v>
      </c>
      <c r="AS18" s="9">
        <v>354</v>
      </c>
      <c r="AT18" s="9" t="str">
        <f>IFERROR(MID(VLOOKUP($B18,Seqs!$A:$B,2,0),AU18,1),"")</f>
        <v>F</v>
      </c>
      <c r="AU18" s="9">
        <v>383</v>
      </c>
      <c r="AV18" s="9" t="str">
        <f>IFERROR(MID(VLOOKUP($B18,Seqs!$A:$B,2,0),AW18,1),"")</f>
        <v>N</v>
      </c>
      <c r="AW18" s="9">
        <v>384</v>
      </c>
      <c r="AX18" s="9" t="str">
        <f>IFERROR(MID(VLOOKUP($B18,Seqs!$A:$B,2,0),AY18,1),"")</f>
        <v>I</v>
      </c>
      <c r="AY18" s="9">
        <v>395</v>
      </c>
      <c r="AZ18" s="110" t="str">
        <f>VLOOKUP(B18,Classification!A:D,2,0)</f>
        <v>A</v>
      </c>
      <c r="BA18" s="98" t="str">
        <f>VLOOKUP(B18,Classification!A:D,4,0)</f>
        <v>5-Hydroxytryptamine</v>
      </c>
      <c r="BB18" s="36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109">
        <f t="shared" ref="BC18" si="170">_xlfn.AGGREGATE(9,6,CH18:CS18)-_xlfn.AGGREGATE(9,6,BV18:CG18)+12</f>
        <v>250</v>
      </c>
      <c r="BD18" s="11" t="s">
        <v>23</v>
      </c>
      <c r="BE18" s="9" t="s">
        <v>1428</v>
      </c>
      <c r="BF18" s="120">
        <v>3.1</v>
      </c>
      <c r="BG18" s="51" t="s">
        <v>1</v>
      </c>
      <c r="BH18" s="51" t="s">
        <v>1</v>
      </c>
      <c r="BJ18" s="111" t="s">
        <v>1287</v>
      </c>
      <c r="BK18" s="112" t="s">
        <v>1287</v>
      </c>
      <c r="BL18" s="112" t="s">
        <v>1287</v>
      </c>
      <c r="BM18" s="112" t="s">
        <v>1287</v>
      </c>
      <c r="BN18" s="112" t="s">
        <v>1287</v>
      </c>
      <c r="BO18" s="112" t="s">
        <v>1287</v>
      </c>
      <c r="BP18" s="112" t="s">
        <v>1287</v>
      </c>
      <c r="BQ18" s="112" t="s">
        <v>1287</v>
      </c>
      <c r="BR18" s="112" t="s">
        <v>1287</v>
      </c>
      <c r="BS18" s="112" t="s">
        <v>1287</v>
      </c>
      <c r="BT18" s="112" t="s">
        <v>1287</v>
      </c>
      <c r="BU18" s="112" t="s">
        <v>1287</v>
      </c>
      <c r="BV18" s="111">
        <f t="shared" ref="BV18" si="171">E18</f>
        <v>53</v>
      </c>
      <c r="BW18" s="113">
        <f t="shared" ref="BW18" si="172">I18</f>
        <v>83</v>
      </c>
      <c r="BX18" s="114">
        <f t="shared" ref="BX18" si="173">M18</f>
        <v>87</v>
      </c>
      <c r="BY18" s="113">
        <f t="shared" ref="BY18" si="174">Q18</f>
        <v>120</v>
      </c>
      <c r="BZ18" s="114">
        <f t="shared" ref="BZ18" si="175">U18</f>
        <v>124</v>
      </c>
      <c r="CA18" s="113" t="str">
        <f t="shared" ref="CA18" si="176">Y18</f>
        <v>-</v>
      </c>
      <c r="CB18" s="114">
        <f t="shared" ref="CB18" si="177">AC18</f>
        <v>169</v>
      </c>
      <c r="CC18" s="113">
        <f t="shared" ref="CC18" si="178">AG18</f>
        <v>207</v>
      </c>
      <c r="CD18" s="114">
        <f t="shared" ref="CD18" si="179">AK18</f>
        <v>214</v>
      </c>
      <c r="CE18" s="113">
        <f t="shared" ref="CE18" si="180">AO18</f>
        <v>313</v>
      </c>
      <c r="CF18" s="114">
        <f t="shared" ref="CF18" si="181">AS18</f>
        <v>354</v>
      </c>
      <c r="CG18" s="113">
        <f t="shared" ref="CG18" si="182">AW18</f>
        <v>384</v>
      </c>
      <c r="CH18" s="111">
        <f t="shared" ref="CH18" si="183">G18</f>
        <v>82</v>
      </c>
      <c r="CI18" s="113">
        <f t="shared" ref="CI18" si="184">K18</f>
        <v>86</v>
      </c>
      <c r="CJ18" s="114">
        <f t="shared" ref="CJ18" si="185">O18</f>
        <v>117</v>
      </c>
      <c r="CK18" s="114">
        <f t="shared" ref="CK18" si="186">S18</f>
        <v>123</v>
      </c>
      <c r="CL18" s="114">
        <f t="shared" ref="CL18" si="187">W18</f>
        <v>159</v>
      </c>
      <c r="CM18" s="114" t="str">
        <f t="shared" ref="CM18" si="188">AA18</f>
        <v>-</v>
      </c>
      <c r="CN18" s="114">
        <f t="shared" ref="CN18" si="189">AE18</f>
        <v>194</v>
      </c>
      <c r="CO18" s="114">
        <f t="shared" ref="CO18" si="190">AI18</f>
        <v>209</v>
      </c>
      <c r="CP18" s="114">
        <f t="shared" ref="CP18" si="191">AM18</f>
        <v>248</v>
      </c>
      <c r="CQ18" s="114">
        <f t="shared" ref="CQ18" si="192">AQ18</f>
        <v>350</v>
      </c>
      <c r="CR18" s="114">
        <f t="shared" ref="CR18" si="193">AU18</f>
        <v>383</v>
      </c>
      <c r="CS18" s="114">
        <f t="shared" ref="CS18" si="194">AY18</f>
        <v>395</v>
      </c>
      <c r="CT18" s="109">
        <f t="shared" ref="CT18" si="195">M18-K18</f>
        <v>1</v>
      </c>
    </row>
    <row r="19" spans="1:1029" s="12" customFormat="1" x14ac:dyDescent="0.2">
      <c r="A19" s="9" t="str">
        <f t="shared" ref="A19" si="196">CONCATENATE(B19,"_",C19)</f>
        <v>5ht2b_human_6DS0</v>
      </c>
      <c r="B19" s="9" t="s">
        <v>35</v>
      </c>
      <c r="C19" s="9" t="s">
        <v>1515</v>
      </c>
      <c r="D19" s="9" t="str">
        <f>IFERROR(MID(VLOOKUP($B19,Seqs!$A:$B,2,0),E19,1),"")</f>
        <v>K</v>
      </c>
      <c r="E19" s="9">
        <v>53</v>
      </c>
      <c r="F19" s="9" t="str">
        <f>IFERROR(MID(VLOOKUP($B19,Seqs!$A:$B,2,0),G19,1),"")</f>
        <v>E</v>
      </c>
      <c r="G19" s="9">
        <v>82</v>
      </c>
      <c r="H19" s="9" t="str">
        <f>IFERROR(MID(VLOOKUP($B19,Seqs!$A:$B,2,0),I19,1),"")</f>
        <v>K</v>
      </c>
      <c r="I19" s="109">
        <v>83</v>
      </c>
      <c r="J19" s="9" t="str">
        <f>IFERROR(MID(VLOOKUP($B19,Seqs!$A:$B,2,0),K19,1),"")</f>
        <v>Q</v>
      </c>
      <c r="K19" s="109">
        <v>86</v>
      </c>
      <c r="L19" s="9" t="str">
        <f>IFERROR(MID(VLOOKUP($B19,Seqs!$A:$B,2,0),M19,1),"")</f>
        <v>Y</v>
      </c>
      <c r="M19" s="9">
        <v>87</v>
      </c>
      <c r="N19" s="9" t="str">
        <f>IFERROR(MID(VLOOKUP($B19,Seqs!$A:$B,2,0),O19,1),"")</f>
        <v>F</v>
      </c>
      <c r="O19" s="9">
        <v>117</v>
      </c>
      <c r="P19" s="9" t="str">
        <f>IFERROR(MID(VLOOKUP($B19,Seqs!$A:$B,2,0),Q19,1),"")</f>
        <v>M</v>
      </c>
      <c r="Q19" s="9">
        <v>120</v>
      </c>
      <c r="R19" s="9" t="str">
        <f>IFERROR(MID(VLOOKUP($B19,Seqs!$A:$B,2,0),S19,1),"")</f>
        <v>L</v>
      </c>
      <c r="S19" s="9">
        <v>123</v>
      </c>
      <c r="T19" s="9" t="str">
        <f>IFERROR(MID(VLOOKUP($B19,Seqs!$A:$B,2,0),U19,1),"")</f>
        <v>P</v>
      </c>
      <c r="U19" s="9">
        <v>124</v>
      </c>
      <c r="V19" s="9" t="str">
        <f>IFERROR(MID(VLOOKUP($B19,Seqs!$A:$B,2,0),W19,1),"")</f>
        <v>K</v>
      </c>
      <c r="W19" s="9">
        <v>159</v>
      </c>
      <c r="X19" s="9" t="str">
        <f>IFERROR(MID(VLOOKUP($B19,Seqs!$A:$B,2,0),Y19,1),"")</f>
        <v/>
      </c>
      <c r="Y19" s="9" t="s">
        <v>23</v>
      </c>
      <c r="Z19" s="9" t="str">
        <f>IFERROR(MID(VLOOKUP($B19,Seqs!$A:$B,2,0),AA19,1),"")</f>
        <v/>
      </c>
      <c r="AA19" s="9" t="s">
        <v>23</v>
      </c>
      <c r="AB19" s="9" t="str">
        <f>IFERROR(MID(VLOOKUP($B19,Seqs!$A:$B,2,0),AC19,1),"")</f>
        <v>N</v>
      </c>
      <c r="AC19" s="9">
        <v>167</v>
      </c>
      <c r="AD19" s="9" t="str">
        <f>IFERROR(MID(VLOOKUP($B19,Seqs!$A:$B,2,0),AE19,1),"")</f>
        <v>G</v>
      </c>
      <c r="AE19" s="9">
        <v>194</v>
      </c>
      <c r="AF19" s="9" t="str">
        <f>IFERROR(MID(VLOOKUP($B19,Seqs!$A:$B,2,0),AG19,1),"")</f>
        <v>C</v>
      </c>
      <c r="AG19" s="9">
        <v>207</v>
      </c>
      <c r="AH19" s="9" t="str">
        <f>IFERROR(MID(VLOOKUP($B19,Seqs!$A:$B,2,0),AI19,1),"")</f>
        <v>L</v>
      </c>
      <c r="AI19" s="9">
        <v>209</v>
      </c>
      <c r="AJ19" s="9" t="str">
        <f>IFERROR(MID(VLOOKUP($B19,Seqs!$A:$B,2,0),AK19,1),"")</f>
        <v>F</v>
      </c>
      <c r="AK19" s="9">
        <v>214</v>
      </c>
      <c r="AL19" s="9" t="str">
        <f>IFERROR(MID(VLOOKUP($B19,Seqs!$A:$B,2,0),AM19,1),"")</f>
        <v>A</v>
      </c>
      <c r="AM19" s="9">
        <v>248</v>
      </c>
      <c r="AN19" s="9" t="str">
        <f>IFERROR(MID(VLOOKUP($B19,Seqs!$A:$B,2,0),AO19,1),"")</f>
        <v>Q</v>
      </c>
      <c r="AO19" s="9">
        <v>314</v>
      </c>
      <c r="AP19" s="9" t="str">
        <f>IFERROR(MID(VLOOKUP($B19,Seqs!$A:$B,2,0),AQ19,1),"")</f>
        <v>C</v>
      </c>
      <c r="AQ19" s="9">
        <v>350</v>
      </c>
      <c r="AR19" s="9" t="str">
        <f>IFERROR(MID(VLOOKUP($B19,Seqs!$A:$B,2,0),AS19,1),"")</f>
        <v>N</v>
      </c>
      <c r="AS19" s="9">
        <v>354</v>
      </c>
      <c r="AT19" s="9" t="str">
        <f>IFERROR(MID(VLOOKUP($B19,Seqs!$A:$B,2,0),AU19,1),"")</f>
        <v>F</v>
      </c>
      <c r="AU19" s="9">
        <v>383</v>
      </c>
      <c r="AV19" s="9" t="str">
        <f>IFERROR(MID(VLOOKUP($B19,Seqs!$A:$B,2,0),AW19,1),"")</f>
        <v>N</v>
      </c>
      <c r="AW19" s="9">
        <v>384</v>
      </c>
      <c r="AX19" s="9" t="str">
        <f>IFERROR(MID(VLOOKUP($B19,Seqs!$A:$B,2,0),AY19,1),"")</f>
        <v>I</v>
      </c>
      <c r="AY19" s="9">
        <v>395</v>
      </c>
      <c r="AZ19" s="110" t="str">
        <f>VLOOKUP(B19,Classification!A:D,2,0)</f>
        <v>A</v>
      </c>
      <c r="BA19" s="98" t="str">
        <f>VLOOKUP(B19,Classification!A:D,4,0)</f>
        <v>5-Hydroxytryptamine</v>
      </c>
      <c r="BB19" s="36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198">_xlfn.AGGREGATE(9,6,CH19:CS19)-_xlfn.AGGREGATE(9,6,BV19:CG19)+12</f>
        <v>251</v>
      </c>
      <c r="BD19" s="11" t="s">
        <v>23</v>
      </c>
      <c r="BE19" s="9" t="s">
        <v>1428</v>
      </c>
      <c r="BF19" s="120">
        <v>3.19</v>
      </c>
      <c r="BG19" s="51" t="s">
        <v>1</v>
      </c>
      <c r="BH19" s="51" t="s">
        <v>1</v>
      </c>
      <c r="BJ19" s="111" t="s">
        <v>1287</v>
      </c>
      <c r="BK19" s="112" t="s">
        <v>1287</v>
      </c>
      <c r="BL19" s="112" t="s">
        <v>1287</v>
      </c>
      <c r="BM19" s="112" t="s">
        <v>1287</v>
      </c>
      <c r="BN19" s="112" t="s">
        <v>1287</v>
      </c>
      <c r="BO19" s="112" t="s">
        <v>1287</v>
      </c>
      <c r="BP19" s="112" t="s">
        <v>1287</v>
      </c>
      <c r="BQ19" s="112" t="s">
        <v>1287</v>
      </c>
      <c r="BR19" s="112" t="s">
        <v>1287</v>
      </c>
      <c r="BS19" s="112" t="s">
        <v>1287</v>
      </c>
      <c r="BT19" s="112" t="s">
        <v>1287</v>
      </c>
      <c r="BU19" s="112" t="s">
        <v>1287</v>
      </c>
      <c r="BV19" s="111">
        <f t="shared" ref="BV19" si="199">E19</f>
        <v>53</v>
      </c>
      <c r="BW19" s="113">
        <f t="shared" ref="BW19" si="200">I19</f>
        <v>83</v>
      </c>
      <c r="BX19" s="114">
        <f t="shared" ref="BX19" si="201">M19</f>
        <v>87</v>
      </c>
      <c r="BY19" s="113">
        <f t="shared" ref="BY19" si="202">Q19</f>
        <v>120</v>
      </c>
      <c r="BZ19" s="114">
        <f t="shared" ref="BZ19" si="203">U19</f>
        <v>124</v>
      </c>
      <c r="CA19" s="113" t="str">
        <f t="shared" ref="CA19" si="204">Y19</f>
        <v>-</v>
      </c>
      <c r="CB19" s="114">
        <f t="shared" ref="CB19" si="205">AC19</f>
        <v>167</v>
      </c>
      <c r="CC19" s="113">
        <f t="shared" ref="CC19" si="206">AG19</f>
        <v>207</v>
      </c>
      <c r="CD19" s="114">
        <f t="shared" ref="CD19" si="207">AK19</f>
        <v>214</v>
      </c>
      <c r="CE19" s="113">
        <f t="shared" ref="CE19" si="208">AO19</f>
        <v>314</v>
      </c>
      <c r="CF19" s="114">
        <f t="shared" ref="CF19" si="209">AS19</f>
        <v>354</v>
      </c>
      <c r="CG19" s="113">
        <f t="shared" ref="CG19" si="210">AW19</f>
        <v>384</v>
      </c>
      <c r="CH19" s="111">
        <f t="shared" ref="CH19" si="211">G19</f>
        <v>82</v>
      </c>
      <c r="CI19" s="113">
        <f t="shared" ref="CI19" si="212">K19</f>
        <v>86</v>
      </c>
      <c r="CJ19" s="114">
        <f t="shared" ref="CJ19" si="213">O19</f>
        <v>117</v>
      </c>
      <c r="CK19" s="114">
        <f t="shared" ref="CK19" si="214">S19</f>
        <v>123</v>
      </c>
      <c r="CL19" s="114">
        <f t="shared" ref="CL19" si="215">W19</f>
        <v>159</v>
      </c>
      <c r="CM19" s="114" t="str">
        <f t="shared" ref="CM19" si="216">AA19</f>
        <v>-</v>
      </c>
      <c r="CN19" s="114">
        <f t="shared" ref="CN19" si="217">AE19</f>
        <v>194</v>
      </c>
      <c r="CO19" s="114">
        <f t="shared" ref="CO19" si="218">AI19</f>
        <v>209</v>
      </c>
      <c r="CP19" s="114">
        <f t="shared" ref="CP19" si="219">AM19</f>
        <v>248</v>
      </c>
      <c r="CQ19" s="114">
        <f t="shared" ref="CQ19" si="220">AQ19</f>
        <v>350</v>
      </c>
      <c r="CR19" s="114">
        <f t="shared" ref="CR19" si="221">AU19</f>
        <v>383</v>
      </c>
      <c r="CS19" s="114">
        <f t="shared" ref="CS19" si="222">AY19</f>
        <v>395</v>
      </c>
      <c r="CT19" s="109">
        <f t="shared" ref="CT19" si="223">M19-K19</f>
        <v>1</v>
      </c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9" t="s">
        <v>23</v>
      </c>
      <c r="BG20" s="49" t="s">
        <v>1377</v>
      </c>
      <c r="BH20" s="49" t="s">
        <v>1377</v>
      </c>
      <c r="BI20" s="1"/>
      <c r="BJ20" s="70" t="s">
        <v>1287</v>
      </c>
      <c r="BK20" s="57" t="s">
        <v>1287</v>
      </c>
      <c r="BL20" s="57" t="s">
        <v>1287</v>
      </c>
      <c r="BM20" s="57" t="s">
        <v>1287</v>
      </c>
      <c r="BN20" s="57" t="s">
        <v>1287</v>
      </c>
      <c r="BO20" s="57" t="s">
        <v>1287</v>
      </c>
      <c r="BP20" s="57" t="s">
        <v>1287</v>
      </c>
      <c r="BQ20" s="57" t="s">
        <v>1287</v>
      </c>
      <c r="BR20" s="57" t="s">
        <v>1287</v>
      </c>
      <c r="BS20" s="57" t="s">
        <v>1287</v>
      </c>
      <c r="BT20" s="57" t="s">
        <v>1287</v>
      </c>
      <c r="BU20" s="57" t="s">
        <v>1287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1465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1375</v>
      </c>
      <c r="BE21" s="3" t="s">
        <v>1291</v>
      </c>
      <c r="BF21" s="119">
        <v>3</v>
      </c>
      <c r="BG21" s="49" t="s">
        <v>1</v>
      </c>
      <c r="BH21" s="49" t="s">
        <v>1</v>
      </c>
      <c r="BI21" s="1"/>
      <c r="BJ21" s="70" t="s">
        <v>1287</v>
      </c>
      <c r="BK21" s="57" t="s">
        <v>1287</v>
      </c>
      <c r="BL21" s="57" t="s">
        <v>1287</v>
      </c>
      <c r="BM21" s="57" t="s">
        <v>1287</v>
      </c>
      <c r="BN21" s="57" t="s">
        <v>1287</v>
      </c>
      <c r="BO21" s="57" t="s">
        <v>1287</v>
      </c>
      <c r="BP21" s="57" t="s">
        <v>1287</v>
      </c>
      <c r="BQ21" s="57" t="s">
        <v>1287</v>
      </c>
      <c r="BR21" s="57" t="s">
        <v>1287</v>
      </c>
      <c r="BS21" s="57" t="s">
        <v>1287</v>
      </c>
      <c r="BT21" s="57" t="s">
        <v>1287</v>
      </c>
      <c r="BU21" s="57" t="s">
        <v>1287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1466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1429</v>
      </c>
      <c r="BE22" s="3" t="s">
        <v>1428</v>
      </c>
      <c r="BF22" s="119">
        <v>2.7</v>
      </c>
      <c r="BG22" s="49" t="s">
        <v>1</v>
      </c>
      <c r="BH22" s="49" t="s">
        <v>1</v>
      </c>
      <c r="BI22" s="1"/>
      <c r="BJ22" s="70" t="s">
        <v>1287</v>
      </c>
      <c r="BK22" s="57" t="s">
        <v>1287</v>
      </c>
      <c r="BL22" s="57" t="s">
        <v>1287</v>
      </c>
      <c r="BM22" s="57" t="s">
        <v>1287</v>
      </c>
      <c r="BN22" s="57" t="s">
        <v>1287</v>
      </c>
      <c r="BO22" s="57" t="s">
        <v>1287</v>
      </c>
      <c r="BP22" s="57" t="s">
        <v>1287</v>
      </c>
      <c r="BQ22" s="57" t="s">
        <v>1287</v>
      </c>
      <c r="BR22" s="57" t="s">
        <v>1287</v>
      </c>
      <c r="BS22" s="57" t="s">
        <v>1287</v>
      </c>
      <c r="BT22" s="57" t="s">
        <v>1287</v>
      </c>
      <c r="BU22" s="57" t="s">
        <v>1287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9" t="s">
        <v>23</v>
      </c>
      <c r="BG23" s="49" t="s">
        <v>1377</v>
      </c>
      <c r="BH23" s="49" t="s">
        <v>1377</v>
      </c>
      <c r="BI23" s="1"/>
      <c r="BJ23" s="70" t="s">
        <v>1287</v>
      </c>
      <c r="BK23" s="57" t="s">
        <v>1287</v>
      </c>
      <c r="BL23" s="57" t="s">
        <v>1287</v>
      </c>
      <c r="BM23" s="57" t="s">
        <v>1287</v>
      </c>
      <c r="BN23" s="57" t="s">
        <v>1287</v>
      </c>
      <c r="BO23" s="57" t="s">
        <v>1287</v>
      </c>
      <c r="BP23" s="57" t="s">
        <v>1287</v>
      </c>
      <c r="BQ23" s="57" t="s">
        <v>1287</v>
      </c>
      <c r="BR23" s="57" t="s">
        <v>1287</v>
      </c>
      <c r="BS23" s="57" t="s">
        <v>1287</v>
      </c>
      <c r="BT23" s="57" t="s">
        <v>1287</v>
      </c>
      <c r="BU23" s="57" t="s">
        <v>1287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1431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1374</v>
      </c>
      <c r="BF24" s="119">
        <v>3.3</v>
      </c>
      <c r="BG24" s="49" t="s">
        <v>1</v>
      </c>
      <c r="BH24" s="49" t="s">
        <v>1</v>
      </c>
      <c r="BI24" s="1"/>
      <c r="BJ24" s="70" t="s">
        <v>1287</v>
      </c>
      <c r="BK24" s="57" t="s">
        <v>1287</v>
      </c>
      <c r="BL24" s="57" t="s">
        <v>1287</v>
      </c>
      <c r="BM24" s="57" t="s">
        <v>1287</v>
      </c>
      <c r="BN24" s="57" t="s">
        <v>1287</v>
      </c>
      <c r="BO24" s="57" t="s">
        <v>1287</v>
      </c>
      <c r="BP24" s="57" t="s">
        <v>1287</v>
      </c>
      <c r="BQ24" s="57" t="s">
        <v>1287</v>
      </c>
      <c r="BR24" s="57" t="s">
        <v>1287</v>
      </c>
      <c r="BS24" s="57" t="s">
        <v>1287</v>
      </c>
      <c r="BT24" s="57" t="s">
        <v>1287</v>
      </c>
      <c r="BU24" s="57" t="s">
        <v>1287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1389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1376</v>
      </c>
      <c r="BE25" s="3" t="s">
        <v>1374</v>
      </c>
      <c r="BF25" s="119">
        <v>3.2</v>
      </c>
      <c r="BG25" s="49" t="s">
        <v>1377</v>
      </c>
      <c r="BH25" s="49" t="s">
        <v>1377</v>
      </c>
      <c r="BI25" s="1"/>
      <c r="BJ25" s="70" t="s">
        <v>1287</v>
      </c>
      <c r="BK25" s="57" t="s">
        <v>1287</v>
      </c>
      <c r="BL25" s="57" t="s">
        <v>1287</v>
      </c>
      <c r="BM25" s="57" t="s">
        <v>1287</v>
      </c>
      <c r="BN25" s="57" t="s">
        <v>1287</v>
      </c>
      <c r="BO25" s="57" t="s">
        <v>1287</v>
      </c>
      <c r="BP25" s="57" t="s">
        <v>1287</v>
      </c>
      <c r="BQ25" s="57" t="s">
        <v>1287</v>
      </c>
      <c r="BR25" s="57" t="s">
        <v>1287</v>
      </c>
      <c r="BS25" s="57" t="s">
        <v>1287</v>
      </c>
      <c r="BT25" s="57" t="s">
        <v>1287</v>
      </c>
      <c r="BU25" s="57" t="s">
        <v>1287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1503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1375</v>
      </c>
      <c r="BE26" s="3" t="s">
        <v>1291</v>
      </c>
      <c r="BF26" s="119">
        <v>3.6</v>
      </c>
      <c r="BG26" s="49" t="s">
        <v>1422</v>
      </c>
      <c r="BH26" s="49" t="s">
        <v>1422</v>
      </c>
      <c r="BI26" s="1"/>
      <c r="BJ26" s="70" t="s">
        <v>1287</v>
      </c>
      <c r="BK26" s="57" t="s">
        <v>1287</v>
      </c>
      <c r="BL26" s="57" t="s">
        <v>1287</v>
      </c>
      <c r="BM26" s="57" t="s">
        <v>1287</v>
      </c>
      <c r="BN26" s="57" t="s">
        <v>1287</v>
      </c>
      <c r="BO26" s="57" t="s">
        <v>1287</v>
      </c>
      <c r="BP26" s="57" t="s">
        <v>1287</v>
      </c>
      <c r="BQ26" s="57" t="s">
        <v>1287</v>
      </c>
      <c r="BR26" s="57" t="s">
        <v>1287</v>
      </c>
      <c r="BS26" s="57" t="s">
        <v>1287</v>
      </c>
      <c r="BT26" s="57" t="s">
        <v>1287</v>
      </c>
      <c r="BU26" s="57" t="s">
        <v>1287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23</v>
      </c>
      <c r="BE27" s="3" t="s">
        <v>23</v>
      </c>
      <c r="BF27" s="119" t="s">
        <v>23</v>
      </c>
      <c r="BG27" s="49" t="s">
        <v>1372</v>
      </c>
      <c r="BH27" s="49" t="s">
        <v>1377</v>
      </c>
      <c r="BI27" s="1"/>
      <c r="BJ27" s="70" t="s">
        <v>1287</v>
      </c>
      <c r="BK27" s="57" t="s">
        <v>1287</v>
      </c>
      <c r="BL27" s="57" t="s">
        <v>1287</v>
      </c>
      <c r="BM27" s="57" t="s">
        <v>1287</v>
      </c>
      <c r="BN27" s="57" t="s">
        <v>1287</v>
      </c>
      <c r="BO27" s="57" t="s">
        <v>1287</v>
      </c>
      <c r="BP27" s="57" t="s">
        <v>1287</v>
      </c>
      <c r="BQ27" s="57" t="s">
        <v>1287</v>
      </c>
      <c r="BR27" s="57" t="s">
        <v>1287</v>
      </c>
      <c r="BS27" s="57" t="s">
        <v>1287</v>
      </c>
      <c r="BT27" s="57" t="s">
        <v>1287</v>
      </c>
      <c r="BU27" s="57" t="s">
        <v>1287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1028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1428</v>
      </c>
      <c r="BF28" s="119">
        <v>3</v>
      </c>
      <c r="BG28" s="49" t="s">
        <v>1377</v>
      </c>
      <c r="BH28" s="49" t="s">
        <v>1377</v>
      </c>
      <c r="BI28" s="1"/>
      <c r="BJ28" s="70" t="s">
        <v>1287</v>
      </c>
      <c r="BK28" s="57" t="s">
        <v>1287</v>
      </c>
      <c r="BL28" s="57" t="s">
        <v>1287</v>
      </c>
      <c r="BM28" s="57" t="s">
        <v>1287</v>
      </c>
      <c r="BN28" s="57" t="s">
        <v>1287</v>
      </c>
      <c r="BO28" s="57" t="s">
        <v>1287</v>
      </c>
      <c r="BP28" s="57" t="s">
        <v>1287</v>
      </c>
      <c r="BQ28" s="57" t="s">
        <v>1287</v>
      </c>
      <c r="BR28" s="57" t="s">
        <v>1287</v>
      </c>
      <c r="BS28" s="57" t="s">
        <v>1287</v>
      </c>
      <c r="BT28" s="57" t="s">
        <v>1287</v>
      </c>
      <c r="BU28" s="57" t="s">
        <v>1287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1428</v>
      </c>
      <c r="BF29" s="119">
        <v>2.6</v>
      </c>
      <c r="BG29" s="49" t="s">
        <v>1377</v>
      </c>
      <c r="BH29" s="49" t="s">
        <v>1377</v>
      </c>
      <c r="BI29" s="1"/>
      <c r="BJ29" s="70" t="s">
        <v>1287</v>
      </c>
      <c r="BK29" s="57" t="s">
        <v>1287</v>
      </c>
      <c r="BL29" s="57" t="s">
        <v>1287</v>
      </c>
      <c r="BM29" s="57" t="s">
        <v>1287</v>
      </c>
      <c r="BN29" s="57" t="s">
        <v>1287</v>
      </c>
      <c r="BO29" s="57" t="s">
        <v>1287</v>
      </c>
      <c r="BP29" s="57" t="s">
        <v>1287</v>
      </c>
      <c r="BQ29" s="57" t="s">
        <v>1287</v>
      </c>
      <c r="BR29" s="57" t="s">
        <v>1287</v>
      </c>
      <c r="BS29" s="57" t="s">
        <v>1287</v>
      </c>
      <c r="BT29" s="57" t="s">
        <v>1287</v>
      </c>
      <c r="BU29" s="57" t="s">
        <v>1287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1033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1428</v>
      </c>
      <c r="BF30" s="119">
        <v>2.71</v>
      </c>
      <c r="BG30" s="49" t="s">
        <v>1377</v>
      </c>
      <c r="BH30" s="49" t="s">
        <v>1377</v>
      </c>
      <c r="BI30" s="1"/>
      <c r="BJ30" s="70" t="s">
        <v>1287</v>
      </c>
      <c r="BK30" s="57" t="s">
        <v>1287</v>
      </c>
      <c r="BL30" s="57" t="s">
        <v>1287</v>
      </c>
      <c r="BM30" s="57" t="s">
        <v>1287</v>
      </c>
      <c r="BN30" s="57" t="s">
        <v>1287</v>
      </c>
      <c r="BO30" s="57" t="s">
        <v>1287</v>
      </c>
      <c r="BP30" s="57" t="s">
        <v>1287</v>
      </c>
      <c r="BQ30" s="57" t="s">
        <v>1287</v>
      </c>
      <c r="BR30" s="57" t="s">
        <v>1287</v>
      </c>
      <c r="BS30" s="57" t="s">
        <v>1287</v>
      </c>
      <c r="BT30" s="57" t="s">
        <v>1287</v>
      </c>
      <c r="BU30" s="57" t="s">
        <v>1287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1428</v>
      </c>
      <c r="BF31" s="119">
        <v>3.31</v>
      </c>
      <c r="BG31" s="49" t="s">
        <v>1377</v>
      </c>
      <c r="BH31" s="49" t="s">
        <v>1377</v>
      </c>
      <c r="BI31" s="1"/>
      <c r="BJ31" s="70" t="s">
        <v>1287</v>
      </c>
      <c r="BK31" s="57" t="s">
        <v>1287</v>
      </c>
      <c r="BL31" s="57" t="s">
        <v>1287</v>
      </c>
      <c r="BM31" s="57" t="s">
        <v>1287</v>
      </c>
      <c r="BN31" s="57" t="s">
        <v>1287</v>
      </c>
      <c r="BO31" s="57" t="s">
        <v>1287</v>
      </c>
      <c r="BP31" s="57" t="s">
        <v>1287</v>
      </c>
      <c r="BQ31" s="57" t="s">
        <v>1287</v>
      </c>
      <c r="BR31" s="57" t="s">
        <v>1287</v>
      </c>
      <c r="BS31" s="57" t="s">
        <v>1287</v>
      </c>
      <c r="BT31" s="57" t="s">
        <v>1287</v>
      </c>
      <c r="BU31" s="57" t="s">
        <v>1287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1034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1374</v>
      </c>
      <c r="BF32" s="119">
        <v>3.6</v>
      </c>
      <c r="BG32" s="49" t="s">
        <v>1377</v>
      </c>
      <c r="BH32" s="49" t="s">
        <v>1377</v>
      </c>
      <c r="BI32" s="1"/>
      <c r="BJ32" s="70" t="s">
        <v>1287</v>
      </c>
      <c r="BK32" s="57" t="s">
        <v>1287</v>
      </c>
      <c r="BL32" s="57" t="s">
        <v>1287</v>
      </c>
      <c r="BM32" s="57" t="s">
        <v>1287</v>
      </c>
      <c r="BN32" s="57" t="s">
        <v>1287</v>
      </c>
      <c r="BO32" s="57" t="s">
        <v>1287</v>
      </c>
      <c r="BP32" s="57" t="s">
        <v>1287</v>
      </c>
      <c r="BQ32" s="57" t="s">
        <v>1287</v>
      </c>
      <c r="BR32" s="57" t="s">
        <v>1287</v>
      </c>
      <c r="BS32" s="57" t="s">
        <v>1287</v>
      </c>
      <c r="BT32" s="57" t="s">
        <v>1287</v>
      </c>
      <c r="BU32" s="57" t="s">
        <v>1287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1035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1374</v>
      </c>
      <c r="BF33" s="119">
        <v>3.27</v>
      </c>
      <c r="BG33" s="49" t="s">
        <v>1377</v>
      </c>
      <c r="BH33" s="49" t="s">
        <v>1377</v>
      </c>
      <c r="BI33" s="1"/>
      <c r="BJ33" s="70" t="s">
        <v>1287</v>
      </c>
      <c r="BK33" s="57" t="s">
        <v>1287</v>
      </c>
      <c r="BL33" s="57" t="s">
        <v>1287</v>
      </c>
      <c r="BM33" s="57" t="s">
        <v>1287</v>
      </c>
      <c r="BN33" s="57" t="s">
        <v>1287</v>
      </c>
      <c r="BO33" s="57" t="s">
        <v>1287</v>
      </c>
      <c r="BP33" s="57" t="s">
        <v>1287</v>
      </c>
      <c r="BQ33" s="57" t="s">
        <v>1287</v>
      </c>
      <c r="BR33" s="57" t="s">
        <v>1287</v>
      </c>
      <c r="BS33" s="57" t="s">
        <v>1287</v>
      </c>
      <c r="BT33" s="57" t="s">
        <v>1287</v>
      </c>
      <c r="BU33" s="57" t="s">
        <v>1287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1036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1374</v>
      </c>
      <c r="BF34" s="119">
        <v>3.34</v>
      </c>
      <c r="BG34" s="49" t="s">
        <v>1377</v>
      </c>
      <c r="BH34" s="49" t="s">
        <v>1377</v>
      </c>
      <c r="BI34" s="1"/>
      <c r="BJ34" s="70" t="s">
        <v>1287</v>
      </c>
      <c r="BK34" s="57" t="s">
        <v>1287</v>
      </c>
      <c r="BL34" s="57" t="s">
        <v>1287</v>
      </c>
      <c r="BM34" s="57" t="s">
        <v>1287</v>
      </c>
      <c r="BN34" s="57" t="s">
        <v>1287</v>
      </c>
      <c r="BO34" s="57" t="s">
        <v>1287</v>
      </c>
      <c r="BP34" s="57" t="s">
        <v>1287</v>
      </c>
      <c r="BQ34" s="57" t="s">
        <v>1287</v>
      </c>
      <c r="BR34" s="57" t="s">
        <v>1287</v>
      </c>
      <c r="BS34" s="57" t="s">
        <v>1287</v>
      </c>
      <c r="BT34" s="57" t="s">
        <v>1287</v>
      </c>
      <c r="BU34" s="57" t="s">
        <v>1287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1103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1376</v>
      </c>
      <c r="BE35" s="3" t="s">
        <v>1374</v>
      </c>
      <c r="BF35" s="119">
        <v>2.7</v>
      </c>
      <c r="BG35" s="49" t="s">
        <v>1377</v>
      </c>
      <c r="BH35" s="49" t="s">
        <v>1377</v>
      </c>
      <c r="BI35" s="1"/>
      <c r="BJ35" s="70" t="s">
        <v>1287</v>
      </c>
      <c r="BK35" s="57" t="s">
        <v>1287</v>
      </c>
      <c r="BL35" s="57" t="s">
        <v>1287</v>
      </c>
      <c r="BM35" s="57" t="s">
        <v>1287</v>
      </c>
      <c r="BN35" s="57" t="s">
        <v>1287</v>
      </c>
      <c r="BO35" s="57" t="s">
        <v>1287</v>
      </c>
      <c r="BP35" s="57" t="s">
        <v>1287</v>
      </c>
      <c r="BQ35" s="57" t="s">
        <v>1287</v>
      </c>
      <c r="BR35" s="57" t="s">
        <v>1287</v>
      </c>
      <c r="BS35" s="57" t="s">
        <v>1287</v>
      </c>
      <c r="BT35" s="57" t="s">
        <v>1287</v>
      </c>
      <c r="BU35" s="57" t="s">
        <v>1287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1374</v>
      </c>
      <c r="BF36" s="119">
        <v>1.8</v>
      </c>
      <c r="BG36" s="49" t="s">
        <v>1377</v>
      </c>
      <c r="BH36" s="49" t="s">
        <v>1377</v>
      </c>
      <c r="BI36" s="1"/>
      <c r="BJ36" s="70" t="s">
        <v>1287</v>
      </c>
      <c r="BK36" s="57" t="s">
        <v>1287</v>
      </c>
      <c r="BL36" s="57" t="s">
        <v>1287</v>
      </c>
      <c r="BM36" s="57" t="s">
        <v>1287</v>
      </c>
      <c r="BN36" s="57" t="s">
        <v>1287</v>
      </c>
      <c r="BO36" s="57" t="s">
        <v>1287</v>
      </c>
      <c r="BP36" s="57" t="s">
        <v>1287</v>
      </c>
      <c r="BQ36" s="57" t="s">
        <v>1287</v>
      </c>
      <c r="BR36" s="57" t="s">
        <v>1287</v>
      </c>
      <c r="BS36" s="57" t="s">
        <v>1287</v>
      </c>
      <c r="BT36" s="57" t="s">
        <v>1287</v>
      </c>
      <c r="BU36" s="57" t="s">
        <v>1287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1054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1429</v>
      </c>
      <c r="BE37" s="3" t="s">
        <v>1428</v>
      </c>
      <c r="BF37" s="119">
        <v>2.6</v>
      </c>
      <c r="BG37" s="49" t="s">
        <v>1377</v>
      </c>
      <c r="BH37" s="49" t="s">
        <v>1377</v>
      </c>
      <c r="BI37" s="1"/>
      <c r="BJ37" s="70" t="s">
        <v>1287</v>
      </c>
      <c r="BK37" s="57" t="s">
        <v>1287</v>
      </c>
      <c r="BL37" s="57" t="s">
        <v>1287</v>
      </c>
      <c r="BM37" s="57" t="s">
        <v>1287</v>
      </c>
      <c r="BN37" s="57" t="s">
        <v>1287</v>
      </c>
      <c r="BO37" s="57" t="s">
        <v>1287</v>
      </c>
      <c r="BP37" s="57" t="s">
        <v>1287</v>
      </c>
      <c r="BQ37" s="57" t="s">
        <v>1287</v>
      </c>
      <c r="BR37" s="57" t="s">
        <v>1287</v>
      </c>
      <c r="BS37" s="57" t="s">
        <v>1287</v>
      </c>
      <c r="BT37" s="57" t="s">
        <v>1287</v>
      </c>
      <c r="BU37" s="57" t="s">
        <v>1287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1292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101" si="225">_xlfn.AGGREGATE(9,6,CH38:CS38)-_xlfn.AGGREGATE(9,6,BV38:CG38)+12</f>
        <v>251</v>
      </c>
      <c r="BD38" s="4" t="s">
        <v>1375</v>
      </c>
      <c r="BE38" s="3" t="s">
        <v>1291</v>
      </c>
      <c r="BF38" s="119">
        <v>3.4</v>
      </c>
      <c r="BG38" s="49" t="s">
        <v>1281</v>
      </c>
      <c r="BH38" s="49" t="s">
        <v>1281</v>
      </c>
      <c r="BI38" s="1"/>
      <c r="BJ38" s="70" t="s">
        <v>1287</v>
      </c>
      <c r="BK38" s="57" t="s">
        <v>1287</v>
      </c>
      <c r="BL38" s="57" t="s">
        <v>1287</v>
      </c>
      <c r="BM38" s="57" t="s">
        <v>1287</v>
      </c>
      <c r="BN38" s="57" t="s">
        <v>1287</v>
      </c>
      <c r="BO38" s="57" t="s">
        <v>1287</v>
      </c>
      <c r="BP38" s="57" t="s">
        <v>1287</v>
      </c>
      <c r="BQ38" s="57" t="s">
        <v>1287</v>
      </c>
      <c r="BR38" s="57" t="s">
        <v>1287</v>
      </c>
      <c r="BS38" s="57" t="s">
        <v>1287</v>
      </c>
      <c r="BT38" s="57" t="s">
        <v>1287</v>
      </c>
      <c r="BU38" s="57" t="s">
        <v>1287</v>
      </c>
      <c r="BV38" s="70">
        <f t="shared" ref="BV38:BV101" si="226">E38</f>
        <v>6</v>
      </c>
      <c r="BW38" s="71">
        <f t="shared" ref="BW38:BW101" si="227">I38</f>
        <v>35</v>
      </c>
      <c r="BX38" s="72">
        <f t="shared" ref="BX38:BX101" si="228">M38</f>
        <v>39</v>
      </c>
      <c r="BY38" s="71">
        <f t="shared" ref="BY38:BY101" si="229">Q38</f>
        <v>70</v>
      </c>
      <c r="BZ38" s="72">
        <f t="shared" ref="BZ38:BZ101" si="230">U38</f>
        <v>73</v>
      </c>
      <c r="CA38" s="71">
        <f t="shared" ref="CA38:CA101" si="231">Y38</f>
        <v>109</v>
      </c>
      <c r="CB38" s="72">
        <f t="shared" ref="CB38:CB101" si="232">AC38</f>
        <v>117</v>
      </c>
      <c r="CC38" s="71">
        <f t="shared" ref="CC38:CC101" si="233">AG38</f>
        <v>166</v>
      </c>
      <c r="CD38" s="72">
        <f t="shared" ref="CD38:CD101" si="234">AK38</f>
        <v>173</v>
      </c>
      <c r="CE38" s="71">
        <f t="shared" ref="CE38:CE101" si="235">AO38</f>
        <v>224</v>
      </c>
      <c r="CF38" s="72">
        <f t="shared" ref="CF38:CF101" si="236">AS38</f>
        <v>266</v>
      </c>
      <c r="CG38" s="71">
        <f t="shared" ref="CG38:CG101" si="237">AW38</f>
        <v>292</v>
      </c>
      <c r="CH38" s="70">
        <f t="shared" ref="CH38:CH101" si="238">G38</f>
        <v>34</v>
      </c>
      <c r="CI38" s="71">
        <f t="shared" ref="CI38:CI101" si="239">K38</f>
        <v>38</v>
      </c>
      <c r="CJ38" s="72">
        <f t="shared" ref="CJ38:CJ101" si="240">O38</f>
        <v>69</v>
      </c>
      <c r="CK38" s="72">
        <f t="shared" ref="CK38:CK101" si="241">S38</f>
        <v>72</v>
      </c>
      <c r="CL38" s="72">
        <f t="shared" ref="CL38:CL101" si="242">W38</f>
        <v>108</v>
      </c>
      <c r="CM38" s="72">
        <f t="shared" ref="CM38:CM101" si="243">AA38</f>
        <v>116</v>
      </c>
      <c r="CN38" s="72">
        <f t="shared" ref="CN38:CN101" si="244">AE38</f>
        <v>142</v>
      </c>
      <c r="CO38" s="72">
        <f t="shared" ref="CO38:CO101" si="245">AI38</f>
        <v>168</v>
      </c>
      <c r="CP38" s="72">
        <f t="shared" ref="CP38:CP101" si="246">AM38</f>
        <v>207</v>
      </c>
      <c r="CQ38" s="72">
        <f t="shared" ref="CQ38:CQ101" si="247">AQ38</f>
        <v>259</v>
      </c>
      <c r="CR38" s="72">
        <f t="shared" ref="CR38:CR101" si="248">AU38</f>
        <v>291</v>
      </c>
      <c r="CS38" s="72">
        <f t="shared" ref="CS38:CS101" si="249">AY38</f>
        <v>305</v>
      </c>
      <c r="CT38" s="23">
        <f t="shared" ref="CT38:CT101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1345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1374</v>
      </c>
      <c r="BF39" s="119">
        <v>1.72</v>
      </c>
      <c r="BG39" s="49" t="s">
        <v>1377</v>
      </c>
      <c r="BH39" s="49" t="s">
        <v>1377</v>
      </c>
      <c r="BI39" s="1"/>
      <c r="BJ39" s="70" t="s">
        <v>1287</v>
      </c>
      <c r="BK39" s="57" t="s">
        <v>1287</v>
      </c>
      <c r="BL39" s="57" t="s">
        <v>1287</v>
      </c>
      <c r="BM39" s="57" t="s">
        <v>1287</v>
      </c>
      <c r="BN39" s="57" t="s">
        <v>1287</v>
      </c>
      <c r="BO39" s="57" t="s">
        <v>1287</v>
      </c>
      <c r="BP39" s="57" t="s">
        <v>1287</v>
      </c>
      <c r="BQ39" s="57" t="s">
        <v>1287</v>
      </c>
      <c r="BR39" s="57" t="s">
        <v>1287</v>
      </c>
      <c r="BS39" s="57" t="s">
        <v>1287</v>
      </c>
      <c r="BT39" s="57" t="s">
        <v>1287</v>
      </c>
      <c r="BU39" s="57" t="s">
        <v>1287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1346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1374</v>
      </c>
      <c r="BF40" s="119">
        <v>1.9</v>
      </c>
      <c r="BG40" s="49" t="s">
        <v>1377</v>
      </c>
      <c r="BH40" s="49" t="s">
        <v>1377</v>
      </c>
      <c r="BI40" s="1"/>
      <c r="BJ40" s="70" t="s">
        <v>1287</v>
      </c>
      <c r="BK40" s="57" t="s">
        <v>1287</v>
      </c>
      <c r="BL40" s="57" t="s">
        <v>1287</v>
      </c>
      <c r="BM40" s="57" t="s">
        <v>1287</v>
      </c>
      <c r="BN40" s="57" t="s">
        <v>1287</v>
      </c>
      <c r="BO40" s="57" t="s">
        <v>1287</v>
      </c>
      <c r="BP40" s="57" t="s">
        <v>1287</v>
      </c>
      <c r="BQ40" s="57" t="s">
        <v>1287</v>
      </c>
      <c r="BR40" s="57" t="s">
        <v>1287</v>
      </c>
      <c r="BS40" s="57" t="s">
        <v>1287</v>
      </c>
      <c r="BT40" s="57" t="s">
        <v>1287</v>
      </c>
      <c r="BU40" s="57" t="s">
        <v>1287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1347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1374</v>
      </c>
      <c r="BF41" s="119">
        <v>2</v>
      </c>
      <c r="BG41" s="49" t="s">
        <v>1377</v>
      </c>
      <c r="BH41" s="49" t="s">
        <v>1377</v>
      </c>
      <c r="BI41" s="1"/>
      <c r="BJ41" s="70" t="s">
        <v>1287</v>
      </c>
      <c r="BK41" s="57" t="s">
        <v>1287</v>
      </c>
      <c r="BL41" s="57" t="s">
        <v>1287</v>
      </c>
      <c r="BM41" s="57" t="s">
        <v>1287</v>
      </c>
      <c r="BN41" s="57" t="s">
        <v>1287</v>
      </c>
      <c r="BO41" s="57" t="s">
        <v>1287</v>
      </c>
      <c r="BP41" s="57" t="s">
        <v>1287</v>
      </c>
      <c r="BQ41" s="57" t="s">
        <v>1287</v>
      </c>
      <c r="BR41" s="57" t="s">
        <v>1287</v>
      </c>
      <c r="BS41" s="57" t="s">
        <v>1287</v>
      </c>
      <c r="BT41" s="57" t="s">
        <v>1287</v>
      </c>
      <c r="BU41" s="57" t="s">
        <v>1287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1348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1374</v>
      </c>
      <c r="BF42" s="119">
        <v>2.2000000000000002</v>
      </c>
      <c r="BG42" s="49" t="s">
        <v>1377</v>
      </c>
      <c r="BH42" s="49" t="s">
        <v>1377</v>
      </c>
      <c r="BI42" s="1"/>
      <c r="BJ42" s="70" t="s">
        <v>1287</v>
      </c>
      <c r="BK42" s="57" t="s">
        <v>1287</v>
      </c>
      <c r="BL42" s="57" t="s">
        <v>1287</v>
      </c>
      <c r="BM42" s="57" t="s">
        <v>1287</v>
      </c>
      <c r="BN42" s="57" t="s">
        <v>1287</v>
      </c>
      <c r="BO42" s="57" t="s">
        <v>1287</v>
      </c>
      <c r="BP42" s="57" t="s">
        <v>1287</v>
      </c>
      <c r="BQ42" s="57" t="s">
        <v>1287</v>
      </c>
      <c r="BR42" s="57" t="s">
        <v>1287</v>
      </c>
      <c r="BS42" s="57" t="s">
        <v>1287</v>
      </c>
      <c r="BT42" s="57" t="s">
        <v>1287</v>
      </c>
      <c r="BU42" s="57" t="s">
        <v>1287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1349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1374</v>
      </c>
      <c r="BF43" s="119">
        <v>2.1</v>
      </c>
      <c r="BG43" s="49" t="s">
        <v>1377</v>
      </c>
      <c r="BH43" s="49" t="s">
        <v>1377</v>
      </c>
      <c r="BI43" s="1"/>
      <c r="BJ43" s="70" t="s">
        <v>1287</v>
      </c>
      <c r="BK43" s="57" t="s">
        <v>1287</v>
      </c>
      <c r="BL43" s="57" t="s">
        <v>1287</v>
      </c>
      <c r="BM43" s="57" t="s">
        <v>1287</v>
      </c>
      <c r="BN43" s="57" t="s">
        <v>1287</v>
      </c>
      <c r="BO43" s="57" t="s">
        <v>1287</v>
      </c>
      <c r="BP43" s="57" t="s">
        <v>1287</v>
      </c>
      <c r="BQ43" s="57" t="s">
        <v>1287</v>
      </c>
      <c r="BR43" s="57" t="s">
        <v>1287</v>
      </c>
      <c r="BS43" s="57" t="s">
        <v>1287</v>
      </c>
      <c r="BT43" s="57" t="s">
        <v>1287</v>
      </c>
      <c r="BU43" s="57" t="s">
        <v>1287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1339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1374</v>
      </c>
      <c r="BF44" s="119">
        <v>2.5</v>
      </c>
      <c r="BG44" s="49" t="s">
        <v>1377</v>
      </c>
      <c r="BH44" s="49" t="s">
        <v>1377</v>
      </c>
      <c r="BI44" s="1"/>
      <c r="BJ44" s="70" t="s">
        <v>1287</v>
      </c>
      <c r="BK44" s="57" t="s">
        <v>1287</v>
      </c>
      <c r="BL44" s="57" t="s">
        <v>1287</v>
      </c>
      <c r="BM44" s="57" t="s">
        <v>1287</v>
      </c>
      <c r="BN44" s="57" t="s">
        <v>1287</v>
      </c>
      <c r="BO44" s="57" t="s">
        <v>1287</v>
      </c>
      <c r="BP44" s="57" t="s">
        <v>1287</v>
      </c>
      <c r="BQ44" s="57" t="s">
        <v>1287</v>
      </c>
      <c r="BR44" s="57" t="s">
        <v>1287</v>
      </c>
      <c r="BS44" s="57" t="s">
        <v>1287</v>
      </c>
      <c r="BT44" s="57" t="s">
        <v>1287</v>
      </c>
      <c r="BU44" s="57" t="s">
        <v>1287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1340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1374</v>
      </c>
      <c r="BF45" s="119">
        <v>2.5</v>
      </c>
      <c r="BG45" s="49" t="s">
        <v>1377</v>
      </c>
      <c r="BH45" s="49" t="s">
        <v>1377</v>
      </c>
      <c r="BI45" s="1"/>
      <c r="BJ45" s="70" t="s">
        <v>1287</v>
      </c>
      <c r="BK45" s="57" t="s">
        <v>1287</v>
      </c>
      <c r="BL45" s="57" t="s">
        <v>1287</v>
      </c>
      <c r="BM45" s="57" t="s">
        <v>1287</v>
      </c>
      <c r="BN45" s="57" t="s">
        <v>1287</v>
      </c>
      <c r="BO45" s="57" t="s">
        <v>1287</v>
      </c>
      <c r="BP45" s="57" t="s">
        <v>1287</v>
      </c>
      <c r="BQ45" s="57" t="s">
        <v>1287</v>
      </c>
      <c r="BR45" s="57" t="s">
        <v>1287</v>
      </c>
      <c r="BS45" s="57" t="s">
        <v>1287</v>
      </c>
      <c r="BT45" s="57" t="s">
        <v>1287</v>
      </c>
      <c r="BU45" s="57" t="s">
        <v>1287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1341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1374</v>
      </c>
      <c r="BF46" s="119">
        <v>1.9</v>
      </c>
      <c r="BG46" s="49" t="s">
        <v>1377</v>
      </c>
      <c r="BH46" s="49" t="s">
        <v>1377</v>
      </c>
      <c r="BI46" s="1"/>
      <c r="BJ46" s="70" t="s">
        <v>1287</v>
      </c>
      <c r="BK46" s="57" t="s">
        <v>1287</v>
      </c>
      <c r="BL46" s="57" t="s">
        <v>1287</v>
      </c>
      <c r="BM46" s="57" t="s">
        <v>1287</v>
      </c>
      <c r="BN46" s="57" t="s">
        <v>1287</v>
      </c>
      <c r="BO46" s="57" t="s">
        <v>1287</v>
      </c>
      <c r="BP46" s="57" t="s">
        <v>1287</v>
      </c>
      <c r="BQ46" s="57" t="s">
        <v>1287</v>
      </c>
      <c r="BR46" s="57" t="s">
        <v>1287</v>
      </c>
      <c r="BS46" s="57" t="s">
        <v>1287</v>
      </c>
      <c r="BT46" s="57" t="s">
        <v>1287</v>
      </c>
      <c r="BU46" s="57" t="s">
        <v>1287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1342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1374</v>
      </c>
      <c r="BF47" s="119">
        <v>1.9</v>
      </c>
      <c r="BG47" s="49" t="s">
        <v>1377</v>
      </c>
      <c r="BH47" s="49" t="s">
        <v>1377</v>
      </c>
      <c r="BI47" s="1"/>
      <c r="BJ47" s="70" t="s">
        <v>1287</v>
      </c>
      <c r="BK47" s="57" t="s">
        <v>1287</v>
      </c>
      <c r="BL47" s="57" t="s">
        <v>1287</v>
      </c>
      <c r="BM47" s="57" t="s">
        <v>1287</v>
      </c>
      <c r="BN47" s="57" t="s">
        <v>1287</v>
      </c>
      <c r="BO47" s="57" t="s">
        <v>1287</v>
      </c>
      <c r="BP47" s="57" t="s">
        <v>1287</v>
      </c>
      <c r="BQ47" s="57" t="s">
        <v>1287</v>
      </c>
      <c r="BR47" s="57" t="s">
        <v>1287</v>
      </c>
      <c r="BS47" s="57" t="s">
        <v>1287</v>
      </c>
      <c r="BT47" s="57" t="s">
        <v>1287</v>
      </c>
      <c r="BU47" s="57" t="s">
        <v>1287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1435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1374</v>
      </c>
      <c r="BF48" s="119">
        <v>2</v>
      </c>
      <c r="BG48" s="49" t="s">
        <v>1</v>
      </c>
      <c r="BH48" s="49" t="s">
        <v>1</v>
      </c>
      <c r="BI48" s="1"/>
      <c r="BJ48" s="70" t="s">
        <v>1287</v>
      </c>
      <c r="BK48" s="57" t="s">
        <v>1287</v>
      </c>
      <c r="BL48" s="57" t="s">
        <v>1287</v>
      </c>
      <c r="BM48" s="57" t="s">
        <v>1287</v>
      </c>
      <c r="BN48" s="57" t="s">
        <v>1287</v>
      </c>
      <c r="BO48" s="57" t="s">
        <v>1287</v>
      </c>
      <c r="BP48" s="57" t="s">
        <v>1287</v>
      </c>
      <c r="BQ48" s="57" t="s">
        <v>1287</v>
      </c>
      <c r="BR48" s="57" t="s">
        <v>1287</v>
      </c>
      <c r="BS48" s="57" t="s">
        <v>1287</v>
      </c>
      <c r="BT48" s="57" t="s">
        <v>1287</v>
      </c>
      <c r="BU48" s="57" t="s">
        <v>1287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1436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1374</v>
      </c>
      <c r="BF49" s="119">
        <v>3</v>
      </c>
      <c r="BG49" s="49" t="s">
        <v>1</v>
      </c>
      <c r="BH49" s="49" t="s">
        <v>1</v>
      </c>
      <c r="BI49" s="1"/>
      <c r="BJ49" s="70" t="s">
        <v>1287</v>
      </c>
      <c r="BK49" s="57" t="s">
        <v>1287</v>
      </c>
      <c r="BL49" s="57" t="s">
        <v>1287</v>
      </c>
      <c r="BM49" s="57" t="s">
        <v>1287</v>
      </c>
      <c r="BN49" s="57" t="s">
        <v>1287</v>
      </c>
      <c r="BO49" s="57" t="s">
        <v>1287</v>
      </c>
      <c r="BP49" s="57" t="s">
        <v>1287</v>
      </c>
      <c r="BQ49" s="57" t="s">
        <v>1287</v>
      </c>
      <c r="BR49" s="57" t="s">
        <v>1287</v>
      </c>
      <c r="BS49" s="57" t="s">
        <v>1287</v>
      </c>
      <c r="BT49" s="57" t="s">
        <v>1287</v>
      </c>
      <c r="BU49" s="57" t="s">
        <v>1287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1430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1374</v>
      </c>
      <c r="BF50" s="119">
        <v>2.9</v>
      </c>
      <c r="BG50" s="49" t="s">
        <v>1</v>
      </c>
      <c r="BH50" s="49" t="s">
        <v>1</v>
      </c>
      <c r="BI50" s="1"/>
      <c r="BJ50" s="70" t="s">
        <v>1287</v>
      </c>
      <c r="BK50" s="57" t="s">
        <v>1287</v>
      </c>
      <c r="BL50" s="57" t="s">
        <v>1287</v>
      </c>
      <c r="BM50" s="57" t="s">
        <v>1287</v>
      </c>
      <c r="BN50" s="57" t="s">
        <v>1287</v>
      </c>
      <c r="BO50" s="57" t="s">
        <v>1287</v>
      </c>
      <c r="BP50" s="57" t="s">
        <v>1287</v>
      </c>
      <c r="BQ50" s="57" t="s">
        <v>1287</v>
      </c>
      <c r="BR50" s="57" t="s">
        <v>1287</v>
      </c>
      <c r="BS50" s="57" t="s">
        <v>1287</v>
      </c>
      <c r="BT50" s="57" t="s">
        <v>1287</v>
      </c>
      <c r="BU50" s="57" t="s">
        <v>1287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1387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1374</v>
      </c>
      <c r="BF51" s="119">
        <v>3.5</v>
      </c>
      <c r="BG51" s="49" t="s">
        <v>1377</v>
      </c>
      <c r="BH51" s="49" t="s">
        <v>1377</v>
      </c>
      <c r="BI51" s="1"/>
      <c r="BJ51" s="70" t="s">
        <v>1287</v>
      </c>
      <c r="BK51" s="57" t="s">
        <v>1287</v>
      </c>
      <c r="BL51" s="57" t="s">
        <v>1287</v>
      </c>
      <c r="BM51" s="57" t="s">
        <v>1287</v>
      </c>
      <c r="BN51" s="57" t="s">
        <v>1287</v>
      </c>
      <c r="BO51" s="57" t="s">
        <v>1287</v>
      </c>
      <c r="BP51" s="57" t="s">
        <v>1287</v>
      </c>
      <c r="BQ51" s="57" t="s">
        <v>1287</v>
      </c>
      <c r="BR51" s="57" t="s">
        <v>1287</v>
      </c>
      <c r="BS51" s="57" t="s">
        <v>1287</v>
      </c>
      <c r="BT51" s="57" t="s">
        <v>1287</v>
      </c>
      <c r="BU51" s="57" t="s">
        <v>1287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1411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1374</v>
      </c>
      <c r="BF52" s="119">
        <v>3.2</v>
      </c>
      <c r="BG52" s="49" t="s">
        <v>1</v>
      </c>
      <c r="BH52" s="49" t="s">
        <v>1</v>
      </c>
      <c r="BI52" s="1"/>
      <c r="BJ52" s="70" t="s">
        <v>1287</v>
      </c>
      <c r="BK52" s="57" t="s">
        <v>1287</v>
      </c>
      <c r="BL52" s="57" t="s">
        <v>1287</v>
      </c>
      <c r="BM52" s="57" t="s">
        <v>1287</v>
      </c>
      <c r="BN52" s="57" t="s">
        <v>1287</v>
      </c>
      <c r="BO52" s="57" t="s">
        <v>1287</v>
      </c>
      <c r="BP52" s="57" t="s">
        <v>1287</v>
      </c>
      <c r="BQ52" s="57" t="s">
        <v>1287</v>
      </c>
      <c r="BR52" s="57" t="s">
        <v>1287</v>
      </c>
      <c r="BS52" s="57" t="s">
        <v>1287</v>
      </c>
      <c r="BT52" s="57" t="s">
        <v>1287</v>
      </c>
      <c r="BU52" s="57" t="s">
        <v>1287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1412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1374</v>
      </c>
      <c r="BF53" s="119">
        <v>2.8</v>
      </c>
      <c r="BG53" s="49" t="s">
        <v>1</v>
      </c>
      <c r="BH53" s="49" t="s">
        <v>1</v>
      </c>
      <c r="BI53" s="1"/>
      <c r="BJ53" s="70" t="s">
        <v>1287</v>
      </c>
      <c r="BK53" s="57" t="s">
        <v>1287</v>
      </c>
      <c r="BL53" s="57" t="s">
        <v>1287</v>
      </c>
      <c r="BM53" s="57" t="s">
        <v>1287</v>
      </c>
      <c r="BN53" s="57" t="s">
        <v>1287</v>
      </c>
      <c r="BO53" s="57" t="s">
        <v>1287</v>
      </c>
      <c r="BP53" s="57" t="s">
        <v>1287</v>
      </c>
      <c r="BQ53" s="57" t="s">
        <v>1287</v>
      </c>
      <c r="BR53" s="57" t="s">
        <v>1287</v>
      </c>
      <c r="BS53" s="57" t="s">
        <v>1287</v>
      </c>
      <c r="BT53" s="57" t="s">
        <v>1287</v>
      </c>
      <c r="BU53" s="57" t="s">
        <v>1287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1443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1374</v>
      </c>
      <c r="BF54" s="119">
        <v>1.95</v>
      </c>
      <c r="BG54" s="49" t="s">
        <v>1</v>
      </c>
      <c r="BH54" s="49" t="s">
        <v>1</v>
      </c>
      <c r="BI54" s="1"/>
      <c r="BJ54" s="70" t="s">
        <v>1287</v>
      </c>
      <c r="BK54" s="57" t="s">
        <v>1287</v>
      </c>
      <c r="BL54" s="57" t="s">
        <v>1287</v>
      </c>
      <c r="BM54" s="57" t="s">
        <v>1287</v>
      </c>
      <c r="BN54" s="57" t="s">
        <v>1287</v>
      </c>
      <c r="BO54" s="57" t="s">
        <v>1287</v>
      </c>
      <c r="BP54" s="57" t="s">
        <v>1287</v>
      </c>
      <c r="BQ54" s="57" t="s">
        <v>1287</v>
      </c>
      <c r="BR54" s="57" t="s">
        <v>1287</v>
      </c>
      <c r="BS54" s="57" t="s">
        <v>1287</v>
      </c>
      <c r="BT54" s="57" t="s">
        <v>1287</v>
      </c>
      <c r="BU54" s="57" t="s">
        <v>1287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s="12" customFormat="1" x14ac:dyDescent="0.2">
      <c r="A55" s="9" t="str">
        <f t="shared" ref="A55" si="279">CONCATENATE(B55,"_",C55)</f>
        <v>aa2ar_human_5NM4</v>
      </c>
      <c r="B55" s="9" t="s">
        <v>139</v>
      </c>
      <c r="C55" s="9" t="s">
        <v>1560</v>
      </c>
      <c r="D55" s="9" t="str">
        <f>IFERROR(MID(VLOOKUP($B55,Seqs!$A:$B,2,0),E55,1),"")</f>
        <v>I</v>
      </c>
      <c r="E55" s="9">
        <v>10</v>
      </c>
      <c r="F55" s="9" t="str">
        <f>IFERROR(MID(VLOOKUP($B55,Seqs!$A:$B,2,0),G55,1),"")</f>
        <v>Y</v>
      </c>
      <c r="G55" s="9">
        <v>43</v>
      </c>
      <c r="H55" s="9" t="str">
        <f>IFERROR(MID(VLOOKUP($B55,Seqs!$A:$B,2,0),I55,1),"")</f>
        <v>F</v>
      </c>
      <c r="I55" s="109">
        <v>44</v>
      </c>
      <c r="J55" s="9" t="str">
        <f>IFERROR(MID(VLOOKUP($B55,Seqs!$A:$B,2,0),K55,1),"")</f>
        <v>S</v>
      </c>
      <c r="K55" s="109">
        <v>47</v>
      </c>
      <c r="L55" s="9" t="str">
        <f>IFERROR(MID(VLOOKUP($B55,Seqs!$A:$B,2,0),M55,1),"")</f>
        <v>L</v>
      </c>
      <c r="M55" s="9">
        <v>48</v>
      </c>
      <c r="N55" s="9" t="str">
        <f>IFERROR(MID(VLOOKUP($B55,Seqs!$A:$B,2,0),O55,1),"")</f>
        <v>L</v>
      </c>
      <c r="O55" s="9">
        <v>78</v>
      </c>
      <c r="P55" s="9" t="str">
        <f>IFERROR(MID(VLOOKUP($B55,Seqs!$A:$B,2,0),Q55,1),"")</f>
        <v>F</v>
      </c>
      <c r="Q55" s="9">
        <v>79</v>
      </c>
      <c r="R55" s="9" t="str">
        <f>IFERROR(MID(VLOOKUP($B55,Seqs!$A:$B,2,0),S55,1),"")</f>
        <v>A</v>
      </c>
      <c r="S55" s="9">
        <v>81</v>
      </c>
      <c r="T55" s="9" t="str">
        <f>IFERROR(MID(VLOOKUP($B55,Seqs!$A:$B,2,0),U55,1),"")</f>
        <v>C</v>
      </c>
      <c r="U55" s="9">
        <v>82</v>
      </c>
      <c r="V55" s="9" t="str">
        <f>IFERROR(MID(VLOOKUP($B55,Seqs!$A:$B,2,0),W55,1),"")</f>
        <v>T</v>
      </c>
      <c r="W55" s="9">
        <v>117</v>
      </c>
      <c r="X55" s="9" t="str">
        <f>IFERROR(MID(VLOOKUP($B55,Seqs!$A:$B,2,0),Y55,1),"")</f>
        <v>G</v>
      </c>
      <c r="Y55" s="9">
        <v>118</v>
      </c>
      <c r="Z55" s="9" t="str">
        <f>IFERROR(MID(VLOOKUP($B55,Seqs!$A:$B,2,0),AA55,1),"")</f>
        <v>I</v>
      </c>
      <c r="AA55" s="9">
        <v>125</v>
      </c>
      <c r="AB55" s="9" t="str">
        <f>IFERROR(MID(VLOOKUP($B55,Seqs!$A:$B,2,0),AC55,1),"")</f>
        <v>A</v>
      </c>
      <c r="AC55" s="9">
        <v>126</v>
      </c>
      <c r="AD55" s="9" t="str">
        <f>IFERROR(MID(VLOOKUP($B55,Seqs!$A:$B,2,0),AE55,1),"")</f>
        <v>E</v>
      </c>
      <c r="AE55" s="9">
        <v>151</v>
      </c>
      <c r="AF55" s="9" t="str">
        <f>IFERROR(MID(VLOOKUP($B55,Seqs!$A:$B,2,0),AG55,1),"")</f>
        <v>N</v>
      </c>
      <c r="AG55" s="9">
        <v>175</v>
      </c>
      <c r="AH55" s="9" t="str">
        <f>IFERROR(MID(VLOOKUP($B55,Seqs!$A:$B,2,0),AI55,1),"")</f>
        <v>M</v>
      </c>
      <c r="AI55" s="9">
        <v>177</v>
      </c>
      <c r="AJ55" s="9" t="str">
        <f>IFERROR(MID(VLOOKUP($B55,Seqs!$A:$B,2,0),AK55,1),"")</f>
        <v>F</v>
      </c>
      <c r="AK55" s="9">
        <v>182</v>
      </c>
      <c r="AL55" s="9" t="str">
        <f>IFERROR(MID(VLOOKUP($B55,Seqs!$A:$B,2,0),AM55,1),"")</f>
        <v>R</v>
      </c>
      <c r="AM55" s="9">
        <v>222</v>
      </c>
      <c r="AN55" s="9" t="str">
        <f>IFERROR(MID(VLOOKUP($B55,Seqs!$A:$B,2,0),AO55,1),"")</f>
        <v>L</v>
      </c>
      <c r="AO55" s="9">
        <v>324</v>
      </c>
      <c r="AP55" s="9" t="str">
        <f>IFERROR(MID(VLOOKUP($B55,Seqs!$A:$B,2,0),AQ55,1),"")</f>
        <v>G</v>
      </c>
      <c r="AQ55" s="9">
        <v>364</v>
      </c>
      <c r="AR55" s="9" t="str">
        <f>IFERROR(MID(VLOOKUP($B55,Seqs!$A:$B,2,0),AS55,1),"")</f>
        <v>A</v>
      </c>
      <c r="AS55" s="9">
        <v>371</v>
      </c>
      <c r="AT55" s="9" t="str">
        <f>IFERROR(MID(VLOOKUP($B55,Seqs!$A:$B,2,0),AU55,1),"")</f>
        <v>E</v>
      </c>
      <c r="AU55" s="9">
        <v>396</v>
      </c>
      <c r="AV55" s="9" t="str">
        <f>IFERROR(MID(VLOOKUP($B55,Seqs!$A:$B,2,0),AW55,1),"")</f>
        <v>P</v>
      </c>
      <c r="AW55" s="9">
        <v>397</v>
      </c>
      <c r="AX55" s="9" t="str">
        <f>IFERROR(MID(VLOOKUP($B55,Seqs!$A:$B,2,0),AY55,1),"")</f>
        <v>A</v>
      </c>
      <c r="AY55" s="9">
        <v>409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09">
        <f t="shared" ref="BC55" si="281">_xlfn.AGGREGATE(9,6,CH55:CS55)-_xlfn.AGGREGATE(9,6,BV55:CG55)+12</f>
        <v>266</v>
      </c>
      <c r="BD55" s="13" t="s">
        <v>23</v>
      </c>
      <c r="BE55" s="9" t="s">
        <v>1374</v>
      </c>
      <c r="BF55" s="120">
        <v>1.7</v>
      </c>
      <c r="BG55" s="51" t="s">
        <v>1</v>
      </c>
      <c r="BH55" s="51" t="s">
        <v>1</v>
      </c>
      <c r="BJ55" s="111" t="s">
        <v>1287</v>
      </c>
      <c r="BK55" s="112" t="s">
        <v>1287</v>
      </c>
      <c r="BL55" s="112" t="s">
        <v>1287</v>
      </c>
      <c r="BM55" s="112" t="s">
        <v>1287</v>
      </c>
      <c r="BN55" s="112" t="s">
        <v>1287</v>
      </c>
      <c r="BO55" s="112" t="s">
        <v>1287</v>
      </c>
      <c r="BP55" s="112" t="s">
        <v>1287</v>
      </c>
      <c r="BQ55" s="112" t="s">
        <v>1287</v>
      </c>
      <c r="BR55" s="112" t="s">
        <v>1287</v>
      </c>
      <c r="BS55" s="112" t="s">
        <v>1287</v>
      </c>
      <c r="BT55" s="112" t="s">
        <v>1287</v>
      </c>
      <c r="BU55" s="112" t="s">
        <v>1287</v>
      </c>
      <c r="BV55" s="111">
        <f t="shared" ref="BV55" si="282">E55</f>
        <v>10</v>
      </c>
      <c r="BW55" s="113">
        <f t="shared" ref="BW55" si="283">I55</f>
        <v>44</v>
      </c>
      <c r="BX55" s="114">
        <f t="shared" ref="BX55" si="284">M55</f>
        <v>48</v>
      </c>
      <c r="BY55" s="113">
        <f t="shared" ref="BY55" si="285">Q55</f>
        <v>79</v>
      </c>
      <c r="BZ55" s="114">
        <f t="shared" ref="BZ55" si="286">U55</f>
        <v>82</v>
      </c>
      <c r="CA55" s="113">
        <f t="shared" ref="CA55" si="287">Y55</f>
        <v>118</v>
      </c>
      <c r="CB55" s="114">
        <f t="shared" ref="CB55" si="288">AC55</f>
        <v>126</v>
      </c>
      <c r="CC55" s="113">
        <f t="shared" ref="CC55" si="289">AG55</f>
        <v>175</v>
      </c>
      <c r="CD55" s="114">
        <f t="shared" ref="CD55" si="290">AK55</f>
        <v>182</v>
      </c>
      <c r="CE55" s="113">
        <f t="shared" ref="CE55" si="291">AO55</f>
        <v>324</v>
      </c>
      <c r="CF55" s="114">
        <f t="shared" ref="CF55" si="292">AS55</f>
        <v>371</v>
      </c>
      <c r="CG55" s="113">
        <f t="shared" ref="CG55" si="293">AW55</f>
        <v>397</v>
      </c>
      <c r="CH55" s="111">
        <f t="shared" ref="CH55" si="294">G55</f>
        <v>43</v>
      </c>
      <c r="CI55" s="113">
        <f t="shared" ref="CI55" si="295">K55</f>
        <v>47</v>
      </c>
      <c r="CJ55" s="114">
        <f t="shared" ref="CJ55" si="296">O55</f>
        <v>78</v>
      </c>
      <c r="CK55" s="114">
        <f t="shared" ref="CK55" si="297">S55</f>
        <v>81</v>
      </c>
      <c r="CL55" s="114">
        <f t="shared" ref="CL55" si="298">W55</f>
        <v>117</v>
      </c>
      <c r="CM55" s="114">
        <f t="shared" ref="CM55" si="299">AA55</f>
        <v>125</v>
      </c>
      <c r="CN55" s="114">
        <f t="shared" ref="CN55" si="300">AE55</f>
        <v>151</v>
      </c>
      <c r="CO55" s="114">
        <f t="shared" ref="CO55" si="301">AI55</f>
        <v>177</v>
      </c>
      <c r="CP55" s="114">
        <f t="shared" ref="CP55" si="302">AM55</f>
        <v>222</v>
      </c>
      <c r="CQ55" s="114">
        <f t="shared" ref="CQ55" si="303">AQ55</f>
        <v>364</v>
      </c>
      <c r="CR55" s="114">
        <f t="shared" ref="CR55" si="304">AU55</f>
        <v>396</v>
      </c>
      <c r="CS55" s="114">
        <f t="shared" ref="CS55" si="305">AY55</f>
        <v>409</v>
      </c>
      <c r="CT55" s="109">
        <f t="shared" ref="CT55" si="306">M55-K55</f>
        <v>1</v>
      </c>
    </row>
    <row r="56" spans="1:1029" s="12" customFormat="1" x14ac:dyDescent="0.2">
      <c r="A56" s="9" t="str">
        <f t="shared" ref="A56" si="307">CONCATENATE(B56,"_",C56)</f>
        <v>aa2ar_human_5NLX</v>
      </c>
      <c r="B56" s="9" t="s">
        <v>139</v>
      </c>
      <c r="C56" s="9" t="s">
        <v>1561</v>
      </c>
      <c r="D56" s="9" t="str">
        <f>IFERROR(MID(VLOOKUP($B56,Seqs!$A:$B,2,0),E56,1),"")</f>
        <v>I</v>
      </c>
      <c r="E56" s="9">
        <v>10</v>
      </c>
      <c r="F56" s="9" t="str">
        <f>IFERROR(MID(VLOOKUP($B56,Seqs!$A:$B,2,0),G56,1),"")</f>
        <v>Y</v>
      </c>
      <c r="G56" s="9">
        <v>43</v>
      </c>
      <c r="H56" s="9" t="str">
        <f>IFERROR(MID(VLOOKUP($B56,Seqs!$A:$B,2,0),I56,1),"")</f>
        <v>F</v>
      </c>
      <c r="I56" s="109">
        <v>44</v>
      </c>
      <c r="J56" s="9" t="str">
        <f>IFERROR(MID(VLOOKUP($B56,Seqs!$A:$B,2,0),K56,1),"")</f>
        <v>S</v>
      </c>
      <c r="K56" s="109">
        <v>47</v>
      </c>
      <c r="L56" s="9" t="str">
        <f>IFERROR(MID(VLOOKUP($B56,Seqs!$A:$B,2,0),M56,1),"")</f>
        <v>L</v>
      </c>
      <c r="M56" s="9">
        <v>48</v>
      </c>
      <c r="N56" s="9" t="str">
        <f>IFERROR(MID(VLOOKUP($B56,Seqs!$A:$B,2,0),O56,1),"")</f>
        <v>L</v>
      </c>
      <c r="O56" s="9">
        <v>78</v>
      </c>
      <c r="P56" s="9" t="str">
        <f>IFERROR(MID(VLOOKUP($B56,Seqs!$A:$B,2,0),Q56,1),"")</f>
        <v>F</v>
      </c>
      <c r="Q56" s="9">
        <v>79</v>
      </c>
      <c r="R56" s="9" t="str">
        <f>IFERROR(MID(VLOOKUP($B56,Seqs!$A:$B,2,0),S56,1),"")</f>
        <v>A</v>
      </c>
      <c r="S56" s="9">
        <v>81</v>
      </c>
      <c r="T56" s="9" t="str">
        <f>IFERROR(MID(VLOOKUP($B56,Seqs!$A:$B,2,0),U56,1),"")</f>
        <v>C</v>
      </c>
      <c r="U56" s="9">
        <v>82</v>
      </c>
      <c r="V56" s="9" t="str">
        <f>IFERROR(MID(VLOOKUP($B56,Seqs!$A:$B,2,0),W56,1),"")</f>
        <v>T</v>
      </c>
      <c r="W56" s="9">
        <v>117</v>
      </c>
      <c r="X56" s="9" t="str">
        <f>IFERROR(MID(VLOOKUP($B56,Seqs!$A:$B,2,0),Y56,1),"")</f>
        <v>G</v>
      </c>
      <c r="Y56" s="9">
        <v>118</v>
      </c>
      <c r="Z56" s="9" t="str">
        <f>IFERROR(MID(VLOOKUP($B56,Seqs!$A:$B,2,0),AA56,1),"")</f>
        <v>I</v>
      </c>
      <c r="AA56" s="9">
        <v>125</v>
      </c>
      <c r="AB56" s="9" t="str">
        <f>IFERROR(MID(VLOOKUP($B56,Seqs!$A:$B,2,0),AC56,1),"")</f>
        <v>A</v>
      </c>
      <c r="AC56" s="9">
        <v>126</v>
      </c>
      <c r="AD56" s="9" t="str">
        <f>IFERROR(MID(VLOOKUP($B56,Seqs!$A:$B,2,0),AE56,1),"")</f>
        <v>E</v>
      </c>
      <c r="AE56" s="9">
        <v>151</v>
      </c>
      <c r="AF56" s="9" t="str">
        <f>IFERROR(MID(VLOOKUP($B56,Seqs!$A:$B,2,0),AG56,1),"")</f>
        <v>N</v>
      </c>
      <c r="AG56" s="9">
        <v>175</v>
      </c>
      <c r="AH56" s="9" t="str">
        <f>IFERROR(MID(VLOOKUP($B56,Seqs!$A:$B,2,0),AI56,1),"")</f>
        <v>M</v>
      </c>
      <c r="AI56" s="9">
        <v>177</v>
      </c>
      <c r="AJ56" s="9" t="str">
        <f>IFERROR(MID(VLOOKUP($B56,Seqs!$A:$B,2,0),AK56,1),"")</f>
        <v>F</v>
      </c>
      <c r="AK56" s="9">
        <v>182</v>
      </c>
      <c r="AL56" s="9" t="str">
        <f>IFERROR(MID(VLOOKUP($B56,Seqs!$A:$B,2,0),AM56,1),"")</f>
        <v>R</v>
      </c>
      <c r="AM56" s="9">
        <v>222</v>
      </c>
      <c r="AN56" s="9" t="str">
        <f>IFERROR(MID(VLOOKUP($B56,Seqs!$A:$B,2,0),AO56,1),"")</f>
        <v>L</v>
      </c>
      <c r="AO56" s="9">
        <v>324</v>
      </c>
      <c r="AP56" s="9" t="str">
        <f>IFERROR(MID(VLOOKUP($B56,Seqs!$A:$B,2,0),AQ56,1),"")</f>
        <v>G</v>
      </c>
      <c r="AQ56" s="9">
        <v>364</v>
      </c>
      <c r="AR56" s="9" t="str">
        <f>IFERROR(MID(VLOOKUP($B56,Seqs!$A:$B,2,0),AS56,1),"")</f>
        <v>A</v>
      </c>
      <c r="AS56" s="9">
        <v>371</v>
      </c>
      <c r="AT56" s="9" t="str">
        <f>IFERROR(MID(VLOOKUP($B56,Seqs!$A:$B,2,0),AU56,1),"")</f>
        <v>E</v>
      </c>
      <c r="AU56" s="9">
        <v>396</v>
      </c>
      <c r="AV56" s="9" t="str">
        <f>IFERROR(MID(VLOOKUP($B56,Seqs!$A:$B,2,0),AW56,1),"")</f>
        <v>P</v>
      </c>
      <c r="AW56" s="9">
        <v>397</v>
      </c>
      <c r="AX56" s="9" t="str">
        <f>IFERROR(MID(VLOOKUP($B56,Seqs!$A:$B,2,0),AY56,1),"")</f>
        <v>A</v>
      </c>
      <c r="AY56" s="9">
        <v>409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09">
        <f t="shared" ref="BC56" si="309">_xlfn.AGGREGATE(9,6,CH56:CS56)-_xlfn.AGGREGATE(9,6,BV56:CG56)+12</f>
        <v>266</v>
      </c>
      <c r="BD56" s="13" t="s">
        <v>23</v>
      </c>
      <c r="BE56" s="9" t="s">
        <v>1374</v>
      </c>
      <c r="BF56" s="120">
        <v>2.14</v>
      </c>
      <c r="BG56" s="51" t="s">
        <v>1</v>
      </c>
      <c r="BH56" s="51" t="s">
        <v>1</v>
      </c>
      <c r="BJ56" s="111" t="s">
        <v>1287</v>
      </c>
      <c r="BK56" s="112" t="s">
        <v>1287</v>
      </c>
      <c r="BL56" s="112" t="s">
        <v>1287</v>
      </c>
      <c r="BM56" s="112" t="s">
        <v>1287</v>
      </c>
      <c r="BN56" s="112" t="s">
        <v>1287</v>
      </c>
      <c r="BO56" s="112" t="s">
        <v>1287</v>
      </c>
      <c r="BP56" s="112" t="s">
        <v>1287</v>
      </c>
      <c r="BQ56" s="112" t="s">
        <v>1287</v>
      </c>
      <c r="BR56" s="112" t="s">
        <v>1287</v>
      </c>
      <c r="BS56" s="112" t="s">
        <v>1287</v>
      </c>
      <c r="BT56" s="112" t="s">
        <v>1287</v>
      </c>
      <c r="BU56" s="112" t="s">
        <v>1287</v>
      </c>
      <c r="BV56" s="111">
        <f t="shared" ref="BV56" si="310">E56</f>
        <v>10</v>
      </c>
      <c r="BW56" s="113">
        <f t="shared" ref="BW56" si="311">I56</f>
        <v>44</v>
      </c>
      <c r="BX56" s="114">
        <f t="shared" ref="BX56" si="312">M56</f>
        <v>48</v>
      </c>
      <c r="BY56" s="113">
        <f t="shared" ref="BY56" si="313">Q56</f>
        <v>79</v>
      </c>
      <c r="BZ56" s="114">
        <f t="shared" ref="BZ56" si="314">U56</f>
        <v>82</v>
      </c>
      <c r="CA56" s="113">
        <f t="shared" ref="CA56" si="315">Y56</f>
        <v>118</v>
      </c>
      <c r="CB56" s="114">
        <f t="shared" ref="CB56" si="316">AC56</f>
        <v>126</v>
      </c>
      <c r="CC56" s="113">
        <f t="shared" ref="CC56" si="317">AG56</f>
        <v>175</v>
      </c>
      <c r="CD56" s="114">
        <f t="shared" ref="CD56" si="318">AK56</f>
        <v>182</v>
      </c>
      <c r="CE56" s="113">
        <f t="shared" ref="CE56" si="319">AO56</f>
        <v>324</v>
      </c>
      <c r="CF56" s="114">
        <f t="shared" ref="CF56" si="320">AS56</f>
        <v>371</v>
      </c>
      <c r="CG56" s="113">
        <f t="shared" ref="CG56" si="321">AW56</f>
        <v>397</v>
      </c>
      <c r="CH56" s="111">
        <f t="shared" ref="CH56" si="322">G56</f>
        <v>43</v>
      </c>
      <c r="CI56" s="113">
        <f t="shared" ref="CI56" si="323">K56</f>
        <v>47</v>
      </c>
      <c r="CJ56" s="114">
        <f t="shared" ref="CJ56" si="324">O56</f>
        <v>78</v>
      </c>
      <c r="CK56" s="114">
        <f t="shared" ref="CK56" si="325">S56</f>
        <v>81</v>
      </c>
      <c r="CL56" s="114">
        <f t="shared" ref="CL56" si="326">W56</f>
        <v>117</v>
      </c>
      <c r="CM56" s="114">
        <f t="shared" ref="CM56" si="327">AA56</f>
        <v>125</v>
      </c>
      <c r="CN56" s="114">
        <f t="shared" ref="CN56" si="328">AE56</f>
        <v>151</v>
      </c>
      <c r="CO56" s="114">
        <f t="shared" ref="CO56" si="329">AI56</f>
        <v>177</v>
      </c>
      <c r="CP56" s="114">
        <f t="shared" ref="CP56" si="330">AM56</f>
        <v>222</v>
      </c>
      <c r="CQ56" s="114">
        <f t="shared" ref="CQ56" si="331">AQ56</f>
        <v>364</v>
      </c>
      <c r="CR56" s="114">
        <f t="shared" ref="CR56" si="332">AU56</f>
        <v>396</v>
      </c>
      <c r="CS56" s="114">
        <f t="shared" ref="CS56" si="333">AY56</f>
        <v>409</v>
      </c>
      <c r="CT56" s="109">
        <f t="shared" ref="CT56" si="334">M56-K56</f>
        <v>1</v>
      </c>
    </row>
    <row r="57" spans="1:1029" x14ac:dyDescent="0.2">
      <c r="A57" s="3" t="str">
        <f t="shared" si="251"/>
        <v>aa2ar_human_5VRA</v>
      </c>
      <c r="B57" s="3" t="s">
        <v>139</v>
      </c>
      <c r="C57" s="3" t="s">
        <v>1449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1374</v>
      </c>
      <c r="BF57" s="119">
        <v>2.35</v>
      </c>
      <c r="BG57" s="49" t="s">
        <v>1</v>
      </c>
      <c r="BH57" s="49" t="s">
        <v>1</v>
      </c>
      <c r="BI57" s="1"/>
      <c r="BJ57" s="70" t="s">
        <v>1287</v>
      </c>
      <c r="BK57" s="57" t="s">
        <v>1287</v>
      </c>
      <c r="BL57" s="57" t="s">
        <v>1287</v>
      </c>
      <c r="BM57" s="57" t="s">
        <v>1287</v>
      </c>
      <c r="BN57" s="57" t="s">
        <v>1287</v>
      </c>
      <c r="BO57" s="57" t="s">
        <v>1287</v>
      </c>
      <c r="BP57" s="57" t="s">
        <v>1287</v>
      </c>
      <c r="BQ57" s="57" t="s">
        <v>1287</v>
      </c>
      <c r="BR57" s="57" t="s">
        <v>1287</v>
      </c>
      <c r="BS57" s="57" t="s">
        <v>1287</v>
      </c>
      <c r="BT57" s="57" t="s">
        <v>1287</v>
      </c>
      <c r="BU57" s="57" t="s">
        <v>1287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1454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1374</v>
      </c>
      <c r="BF58" s="119">
        <v>1.87</v>
      </c>
      <c r="BG58" s="49" t="s">
        <v>1</v>
      </c>
      <c r="BH58" s="49" t="s">
        <v>1</v>
      </c>
      <c r="BI58" s="1"/>
      <c r="BJ58" s="70" t="s">
        <v>1287</v>
      </c>
      <c r="BK58" s="57" t="s">
        <v>1287</v>
      </c>
      <c r="BL58" s="57" t="s">
        <v>1287</v>
      </c>
      <c r="BM58" s="57" t="s">
        <v>1287</v>
      </c>
      <c r="BN58" s="57" t="s">
        <v>1287</v>
      </c>
      <c r="BO58" s="57" t="s">
        <v>1287</v>
      </c>
      <c r="BP58" s="57" t="s">
        <v>1287</v>
      </c>
      <c r="BQ58" s="57" t="s">
        <v>1287</v>
      </c>
      <c r="BR58" s="57" t="s">
        <v>1287</v>
      </c>
      <c r="BS58" s="57" t="s">
        <v>1287</v>
      </c>
      <c r="BT58" s="57" t="s">
        <v>1287</v>
      </c>
      <c r="BU58" s="57" t="s">
        <v>1287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1455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1374</v>
      </c>
      <c r="BF59" s="119">
        <v>2.6</v>
      </c>
      <c r="BG59" s="49" t="s">
        <v>1</v>
      </c>
      <c r="BH59" s="49" t="s">
        <v>1</v>
      </c>
      <c r="BI59" s="1"/>
      <c r="BJ59" s="70" t="s">
        <v>1287</v>
      </c>
      <c r="BK59" s="57" t="s">
        <v>1287</v>
      </c>
      <c r="BL59" s="57" t="s">
        <v>1287</v>
      </c>
      <c r="BM59" s="57" t="s">
        <v>1287</v>
      </c>
      <c r="BN59" s="57" t="s">
        <v>1287</v>
      </c>
      <c r="BO59" s="57" t="s">
        <v>1287</v>
      </c>
      <c r="BP59" s="57" t="s">
        <v>1287</v>
      </c>
      <c r="BQ59" s="57" t="s">
        <v>1287</v>
      </c>
      <c r="BR59" s="57" t="s">
        <v>1287</v>
      </c>
      <c r="BS59" s="57" t="s">
        <v>1287</v>
      </c>
      <c r="BT59" s="57" t="s">
        <v>1287</v>
      </c>
      <c r="BU59" s="57" t="s">
        <v>1287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1456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1374</v>
      </c>
      <c r="BF60" s="119">
        <v>3.1</v>
      </c>
      <c r="BG60" s="49" t="s">
        <v>1</v>
      </c>
      <c r="BH60" s="49" t="s">
        <v>1</v>
      </c>
      <c r="BI60" s="1"/>
      <c r="BJ60" s="70" t="s">
        <v>1287</v>
      </c>
      <c r="BK60" s="57" t="s">
        <v>1287</v>
      </c>
      <c r="BL60" s="57" t="s">
        <v>1287</v>
      </c>
      <c r="BM60" s="57" t="s">
        <v>1287</v>
      </c>
      <c r="BN60" s="57" t="s">
        <v>1287</v>
      </c>
      <c r="BO60" s="57" t="s">
        <v>1287</v>
      </c>
      <c r="BP60" s="57" t="s">
        <v>1287</v>
      </c>
      <c r="BQ60" s="57" t="s">
        <v>1287</v>
      </c>
      <c r="BR60" s="57" t="s">
        <v>1287</v>
      </c>
      <c r="BS60" s="57" t="s">
        <v>1287</v>
      </c>
      <c r="BT60" s="57" t="s">
        <v>1287</v>
      </c>
      <c r="BU60" s="57" t="s">
        <v>1287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1457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1374</v>
      </c>
      <c r="BF61" s="119">
        <v>2</v>
      </c>
      <c r="BG61" s="49" t="s">
        <v>1</v>
      </c>
      <c r="BH61" s="49" t="s">
        <v>1</v>
      </c>
      <c r="BI61" s="1"/>
      <c r="BJ61" s="70" t="s">
        <v>1287</v>
      </c>
      <c r="BK61" s="57" t="s">
        <v>1287</v>
      </c>
      <c r="BL61" s="57" t="s">
        <v>1287</v>
      </c>
      <c r="BM61" s="57" t="s">
        <v>1287</v>
      </c>
      <c r="BN61" s="57" t="s">
        <v>1287</v>
      </c>
      <c r="BO61" s="57" t="s">
        <v>1287</v>
      </c>
      <c r="BP61" s="57" t="s">
        <v>1287</v>
      </c>
      <c r="BQ61" s="57" t="s">
        <v>1287</v>
      </c>
      <c r="BR61" s="57" t="s">
        <v>1287</v>
      </c>
      <c r="BS61" s="57" t="s">
        <v>1287</v>
      </c>
      <c r="BT61" s="57" t="s">
        <v>1287</v>
      </c>
      <c r="BU61" s="57" t="s">
        <v>1287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1458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1374</v>
      </c>
      <c r="BF62" s="119">
        <v>1.9</v>
      </c>
      <c r="BG62" s="49" t="s">
        <v>1</v>
      </c>
      <c r="BH62" s="49" t="s">
        <v>1</v>
      </c>
      <c r="BI62" s="1"/>
      <c r="BJ62" s="70" t="s">
        <v>1287</v>
      </c>
      <c r="BK62" s="57" t="s">
        <v>1287</v>
      </c>
      <c r="BL62" s="57" t="s">
        <v>1287</v>
      </c>
      <c r="BM62" s="57" t="s">
        <v>1287</v>
      </c>
      <c r="BN62" s="57" t="s">
        <v>1287</v>
      </c>
      <c r="BO62" s="57" t="s">
        <v>1287</v>
      </c>
      <c r="BP62" s="57" t="s">
        <v>1287</v>
      </c>
      <c r="BQ62" s="57" t="s">
        <v>1287</v>
      </c>
      <c r="BR62" s="57" t="s">
        <v>1287</v>
      </c>
      <c r="BS62" s="57" t="s">
        <v>1287</v>
      </c>
      <c r="BT62" s="57" t="s">
        <v>1287</v>
      </c>
      <c r="BU62" s="57" t="s">
        <v>1287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1459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1374</v>
      </c>
      <c r="BF63" s="119">
        <v>2.1</v>
      </c>
      <c r="BG63" s="49" t="s">
        <v>1</v>
      </c>
      <c r="BH63" s="49" t="s">
        <v>1</v>
      </c>
      <c r="BI63" s="1"/>
      <c r="BJ63" s="70" t="s">
        <v>1287</v>
      </c>
      <c r="BK63" s="57" t="s">
        <v>1287</v>
      </c>
      <c r="BL63" s="57" t="s">
        <v>1287</v>
      </c>
      <c r="BM63" s="57" t="s">
        <v>1287</v>
      </c>
      <c r="BN63" s="57" t="s">
        <v>1287</v>
      </c>
      <c r="BO63" s="57" t="s">
        <v>1287</v>
      </c>
      <c r="BP63" s="57" t="s">
        <v>1287</v>
      </c>
      <c r="BQ63" s="57" t="s">
        <v>1287</v>
      </c>
      <c r="BR63" s="57" t="s">
        <v>1287</v>
      </c>
      <c r="BS63" s="57" t="s">
        <v>1287</v>
      </c>
      <c r="BT63" s="57" t="s">
        <v>1287</v>
      </c>
      <c r="BU63" s="57" t="s">
        <v>1287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1460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1374</v>
      </c>
      <c r="BF64" s="119">
        <v>2</v>
      </c>
      <c r="BG64" s="49" t="s">
        <v>1</v>
      </c>
      <c r="BH64" s="49" t="s">
        <v>1</v>
      </c>
      <c r="BI64" s="1"/>
      <c r="BJ64" s="70" t="s">
        <v>1287</v>
      </c>
      <c r="BK64" s="57" t="s">
        <v>1287</v>
      </c>
      <c r="BL64" s="57" t="s">
        <v>1287</v>
      </c>
      <c r="BM64" s="57" t="s">
        <v>1287</v>
      </c>
      <c r="BN64" s="57" t="s">
        <v>1287</v>
      </c>
      <c r="BO64" s="57" t="s">
        <v>1287</v>
      </c>
      <c r="BP64" s="57" t="s">
        <v>1287</v>
      </c>
      <c r="BQ64" s="57" t="s">
        <v>1287</v>
      </c>
      <c r="BR64" s="57" t="s">
        <v>1287</v>
      </c>
      <c r="BS64" s="57" t="s">
        <v>1287</v>
      </c>
      <c r="BT64" s="57" t="s">
        <v>1287</v>
      </c>
      <c r="BU64" s="57" t="s">
        <v>1287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1461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1374</v>
      </c>
      <c r="BF65" s="119">
        <v>2.5099999999999998</v>
      </c>
      <c r="BG65" s="49" t="s">
        <v>1</v>
      </c>
      <c r="BH65" s="49" t="s">
        <v>1</v>
      </c>
      <c r="BI65" s="1"/>
      <c r="BJ65" s="70" t="s">
        <v>1287</v>
      </c>
      <c r="BK65" s="57" t="s">
        <v>1287</v>
      </c>
      <c r="BL65" s="57" t="s">
        <v>1287</v>
      </c>
      <c r="BM65" s="57" t="s">
        <v>1287</v>
      </c>
      <c r="BN65" s="57" t="s">
        <v>1287</v>
      </c>
      <c r="BO65" s="57" t="s">
        <v>1287</v>
      </c>
      <c r="BP65" s="57" t="s">
        <v>1287</v>
      </c>
      <c r="BQ65" s="57" t="s">
        <v>1287</v>
      </c>
      <c r="BR65" s="57" t="s">
        <v>1287</v>
      </c>
      <c r="BS65" s="57" t="s">
        <v>1287</v>
      </c>
      <c r="BT65" s="57" t="s">
        <v>1287</v>
      </c>
      <c r="BU65" s="57" t="s">
        <v>1287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1470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1471</v>
      </c>
      <c r="BF66" s="119">
        <v>2.6</v>
      </c>
      <c r="BG66" s="49" t="s">
        <v>1</v>
      </c>
      <c r="BH66" s="49" t="s">
        <v>1</v>
      </c>
      <c r="BI66" s="1"/>
      <c r="BJ66" s="70" t="s">
        <v>1287</v>
      </c>
      <c r="BK66" s="57" t="s">
        <v>1287</v>
      </c>
      <c r="BL66" s="57" t="s">
        <v>1287</v>
      </c>
      <c r="BM66" s="57" t="s">
        <v>1287</v>
      </c>
      <c r="BN66" s="57" t="s">
        <v>1287</v>
      </c>
      <c r="BO66" s="57" t="s">
        <v>1287</v>
      </c>
      <c r="BP66" s="57" t="s">
        <v>1287</v>
      </c>
      <c r="BQ66" s="57" t="s">
        <v>1287</v>
      </c>
      <c r="BR66" s="57" t="s">
        <v>1287</v>
      </c>
      <c r="BS66" s="57" t="s">
        <v>1287</v>
      </c>
      <c r="BT66" s="57" t="s">
        <v>1287</v>
      </c>
      <c r="BU66" s="57" t="s">
        <v>1287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1472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1471</v>
      </c>
      <c r="BF67" s="119">
        <v>2.9</v>
      </c>
      <c r="BG67" s="49" t="s">
        <v>1</v>
      </c>
      <c r="BH67" s="49" t="s">
        <v>1</v>
      </c>
      <c r="BI67" s="1"/>
      <c r="BJ67" s="70" t="s">
        <v>1287</v>
      </c>
      <c r="BK67" s="57" t="s">
        <v>1287</v>
      </c>
      <c r="BL67" s="57" t="s">
        <v>1287</v>
      </c>
      <c r="BM67" s="57" t="s">
        <v>1287</v>
      </c>
      <c r="BN67" s="57" t="s">
        <v>1287</v>
      </c>
      <c r="BO67" s="57" t="s">
        <v>1287</v>
      </c>
      <c r="BP67" s="57" t="s">
        <v>1287</v>
      </c>
      <c r="BQ67" s="57" t="s">
        <v>1287</v>
      </c>
      <c r="BR67" s="57" t="s">
        <v>1287</v>
      </c>
      <c r="BS67" s="57" t="s">
        <v>1287</v>
      </c>
      <c r="BT67" s="57" t="s">
        <v>1287</v>
      </c>
      <c r="BU67" s="57" t="s">
        <v>1287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1492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1291</v>
      </c>
      <c r="BF68" s="119">
        <v>4.1100000000000003</v>
      </c>
      <c r="BG68" s="49" t="s">
        <v>1</v>
      </c>
      <c r="BH68" s="49" t="s">
        <v>1</v>
      </c>
      <c r="BI68" s="1"/>
      <c r="BJ68" s="70" t="s">
        <v>1287</v>
      </c>
      <c r="BK68" s="57" t="s">
        <v>1287</v>
      </c>
      <c r="BL68" s="57" t="s">
        <v>1287</v>
      </c>
      <c r="BM68" s="57" t="s">
        <v>1287</v>
      </c>
      <c r="BN68" s="57" t="s">
        <v>1287</v>
      </c>
      <c r="BO68" s="57" t="s">
        <v>1287</v>
      </c>
      <c r="BP68" s="57" t="s">
        <v>1287</v>
      </c>
      <c r="BQ68" s="57" t="s">
        <v>1287</v>
      </c>
      <c r="BR68" s="57" t="s">
        <v>1287</v>
      </c>
      <c r="BS68" s="57" t="s">
        <v>1287</v>
      </c>
      <c r="BT68" s="57" t="s">
        <v>1287</v>
      </c>
      <c r="BU68" s="57" t="s">
        <v>1287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s="12" customFormat="1" x14ac:dyDescent="0.2">
      <c r="A69" s="9" t="str">
        <f t="shared" ref="A69" si="335">CONCATENATE(B69,"_",C69)</f>
        <v>aa2ar_human_6MH8</v>
      </c>
      <c r="B69" s="9" t="s">
        <v>139</v>
      </c>
      <c r="C69" s="9" t="s">
        <v>1572</v>
      </c>
      <c r="D69" s="9" t="str">
        <f>IFERROR(MID(VLOOKUP($B69,Seqs!$A:$B,2,0),E69,1),"")</f>
        <v>M</v>
      </c>
      <c r="E69" s="9">
        <v>1</v>
      </c>
      <c r="F69" s="9" t="str">
        <f>IFERROR(MID(VLOOKUP($B69,Seqs!$A:$B,2,0),G69,1),"")</f>
        <v>N</v>
      </c>
      <c r="G69" s="9">
        <v>34</v>
      </c>
      <c r="H69" s="9" t="str">
        <f>IFERROR(MID(VLOOKUP($B69,Seqs!$A:$B,2,0),I69,1),"")</f>
        <v>S</v>
      </c>
      <c r="I69" s="109">
        <v>35</v>
      </c>
      <c r="J69" s="9" t="str">
        <f>IFERROR(MID(VLOOKUP($B69,Seqs!$A:$B,2,0),K69,1),"")</f>
        <v>Q</v>
      </c>
      <c r="K69" s="109">
        <v>38</v>
      </c>
      <c r="L69" s="9" t="str">
        <f>IFERROR(MID(VLOOKUP($B69,Seqs!$A:$B,2,0),M69,1),"")</f>
        <v>N</v>
      </c>
      <c r="M69" s="9">
        <v>39</v>
      </c>
      <c r="N69" s="9" t="str">
        <f>IFERROR(MID(VLOOKUP($B69,Seqs!$A:$B,2,0),O69,1),"")</f>
        <v>G</v>
      </c>
      <c r="O69" s="9">
        <v>69</v>
      </c>
      <c r="P69" s="9" t="str">
        <f>IFERROR(MID(VLOOKUP($B69,Seqs!$A:$B,2,0),Q69,1),"")</f>
        <v>F</v>
      </c>
      <c r="Q69" s="9">
        <v>70</v>
      </c>
      <c r="R69" s="9" t="str">
        <f>IFERROR(MID(VLOOKUP($B69,Seqs!$A:$B,2,0),S69,1),"")</f>
        <v>A</v>
      </c>
      <c r="S69" s="9">
        <v>72</v>
      </c>
      <c r="T69" s="9" t="str">
        <f>IFERROR(MID(VLOOKUP($B69,Seqs!$A:$B,2,0),U69,1),"")</f>
        <v>A</v>
      </c>
      <c r="U69" s="9">
        <v>73</v>
      </c>
      <c r="V69" s="9" t="str">
        <f>IFERROR(MID(VLOOKUP($B69,Seqs!$A:$B,2,0),W69,1),"")</f>
        <v>I</v>
      </c>
      <c r="W69" s="9">
        <v>108</v>
      </c>
      <c r="X69" s="9" t="str">
        <f>IFERROR(MID(VLOOKUP($B69,Seqs!$A:$B,2,0),Y69,1),"")</f>
        <v>P</v>
      </c>
      <c r="Y69" s="9">
        <v>109</v>
      </c>
      <c r="Z69" s="9" t="str">
        <f>IFERROR(MID(VLOOKUP($B69,Seqs!$A:$B,2,0),AA69,1),"")</f>
        <v>V</v>
      </c>
      <c r="AA69" s="9">
        <v>116</v>
      </c>
      <c r="AB69" s="9" t="str">
        <f>IFERROR(MID(VLOOKUP($B69,Seqs!$A:$B,2,0),AC69,1),"")</f>
        <v>T</v>
      </c>
      <c r="AC69" s="9">
        <v>117</v>
      </c>
      <c r="AD69" s="9" t="str">
        <f>IFERROR(MID(VLOOKUP($B69,Seqs!$A:$B,2,0),AE69,1),"")</f>
        <v>G</v>
      </c>
      <c r="AE69" s="9">
        <v>142</v>
      </c>
      <c r="AF69" s="9" t="str">
        <f>IFERROR(MID(VLOOKUP($B69,Seqs!$A:$B,2,0),AG69,1),"")</f>
        <v>C</v>
      </c>
      <c r="AG69" s="9">
        <v>166</v>
      </c>
      <c r="AH69" s="9" t="str">
        <f>IFERROR(MID(VLOOKUP($B69,Seqs!$A:$B,2,0),AI69,1),"")</f>
        <v>F</v>
      </c>
      <c r="AI69" s="9">
        <v>168</v>
      </c>
      <c r="AJ69" s="9" t="str">
        <f>IFERROR(MID(VLOOKUP($B69,Seqs!$A:$B,2,0),AK69,1),"")</f>
        <v>P</v>
      </c>
      <c r="AK69" s="9">
        <v>173</v>
      </c>
      <c r="AL69" s="9" t="str">
        <f>IFERROR(MID(VLOOKUP($B69,Seqs!$A:$B,2,0),AM69,1),"")</f>
        <v>L</v>
      </c>
      <c r="AM69" s="9">
        <v>208</v>
      </c>
      <c r="AN69" s="9" t="str">
        <f>IFERROR(MID(VLOOKUP($B69,Seqs!$A:$B,2,0),AO69,1),"")</f>
        <v>E</v>
      </c>
      <c r="AO69" s="9">
        <v>219</v>
      </c>
      <c r="AP69" s="9" t="str">
        <f>IFERROR(MID(VLOOKUP($B69,Seqs!$A:$B,2,0),AQ69,1),"")</f>
        <v>C</v>
      </c>
      <c r="AQ69" s="9">
        <v>259</v>
      </c>
      <c r="AR69" s="9" t="str">
        <f>IFERROR(MID(VLOOKUP($B69,Seqs!$A:$B,2,0),AS69,1),"")</f>
        <v>P</v>
      </c>
      <c r="AS69" s="9">
        <v>266</v>
      </c>
      <c r="AT69" s="9" t="str">
        <f>IFERROR(MID(VLOOKUP($B69,Seqs!$A:$B,2,0),AU69,1),"")</f>
        <v>R</v>
      </c>
      <c r="AU69" s="9">
        <v>291</v>
      </c>
      <c r="AV69" s="9" t="str">
        <f>IFERROR(MID(VLOOKUP($B69,Seqs!$A:$B,2,0),AW69,1),"")</f>
        <v>I</v>
      </c>
      <c r="AW69" s="9">
        <v>292</v>
      </c>
      <c r="AX69" s="9" t="str">
        <f>IFERROR(MID(VLOOKUP($B69,Seqs!$A:$B,2,0),AY69,1),"")</f>
        <v>H</v>
      </c>
      <c r="AY69" s="9">
        <v>306</v>
      </c>
      <c r="AZ69" s="110" t="str">
        <f>VLOOKUP(B69,Classification!A:D,2,0)</f>
        <v>A</v>
      </c>
      <c r="BA69" s="98" t="str">
        <f>VLOOKUP(B69,Classification!A:D,4,0)</f>
        <v>Adenosine</v>
      </c>
      <c r="BB69" s="36" t="b">
        <f t="shared" ref="BB69" si="336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109">
        <f t="shared" ref="BC69" si="337">_xlfn.AGGREGATE(9,6,CH69:CS69)-_xlfn.AGGREGATE(9,6,BV69:CG69)+12</f>
        <v>263</v>
      </c>
      <c r="BD69" s="13" t="s">
        <v>23</v>
      </c>
      <c r="BE69" s="9" t="s">
        <v>1374</v>
      </c>
      <c r="BF69" s="120">
        <v>4.2</v>
      </c>
      <c r="BG69" s="51" t="s">
        <v>1</v>
      </c>
      <c r="BH69" s="51" t="s">
        <v>1</v>
      </c>
      <c r="BJ69" s="111" t="s">
        <v>1287</v>
      </c>
      <c r="BK69" s="112" t="s">
        <v>1287</v>
      </c>
      <c r="BL69" s="112" t="s">
        <v>1287</v>
      </c>
      <c r="BM69" s="112" t="s">
        <v>1287</v>
      </c>
      <c r="BN69" s="112" t="s">
        <v>1287</v>
      </c>
      <c r="BO69" s="112" t="s">
        <v>1287</v>
      </c>
      <c r="BP69" s="112" t="s">
        <v>1287</v>
      </c>
      <c r="BQ69" s="112" t="s">
        <v>1287</v>
      </c>
      <c r="BR69" s="112" t="s">
        <v>1287</v>
      </c>
      <c r="BS69" s="112" t="s">
        <v>1287</v>
      </c>
      <c r="BT69" s="112" t="s">
        <v>1287</v>
      </c>
      <c r="BU69" s="112" t="s">
        <v>1287</v>
      </c>
      <c r="BV69" s="111">
        <f t="shared" ref="BV69" si="338">E69</f>
        <v>1</v>
      </c>
      <c r="BW69" s="113">
        <f t="shared" ref="BW69" si="339">I69</f>
        <v>35</v>
      </c>
      <c r="BX69" s="114">
        <f t="shared" ref="BX69" si="340">M69</f>
        <v>39</v>
      </c>
      <c r="BY69" s="113">
        <f t="shared" ref="BY69" si="341">Q69</f>
        <v>70</v>
      </c>
      <c r="BZ69" s="114">
        <f t="shared" ref="BZ69" si="342">U69</f>
        <v>73</v>
      </c>
      <c r="CA69" s="113">
        <f t="shared" ref="CA69" si="343">Y69</f>
        <v>109</v>
      </c>
      <c r="CB69" s="114">
        <f t="shared" ref="CB69" si="344">AC69</f>
        <v>117</v>
      </c>
      <c r="CC69" s="113">
        <f t="shared" ref="CC69" si="345">AG69</f>
        <v>166</v>
      </c>
      <c r="CD69" s="114">
        <f t="shared" ref="CD69" si="346">AK69</f>
        <v>173</v>
      </c>
      <c r="CE69" s="113">
        <f t="shared" ref="CE69" si="347">AO69</f>
        <v>219</v>
      </c>
      <c r="CF69" s="114">
        <f t="shared" ref="CF69" si="348">AS69</f>
        <v>266</v>
      </c>
      <c r="CG69" s="113">
        <f t="shared" ref="CG69" si="349">AW69</f>
        <v>292</v>
      </c>
      <c r="CH69" s="111">
        <f t="shared" ref="CH69" si="350">G69</f>
        <v>34</v>
      </c>
      <c r="CI69" s="113">
        <f t="shared" ref="CI69" si="351">K69</f>
        <v>38</v>
      </c>
      <c r="CJ69" s="114">
        <f t="shared" ref="CJ69" si="352">O69</f>
        <v>69</v>
      </c>
      <c r="CK69" s="114">
        <f t="shared" ref="CK69" si="353">S69</f>
        <v>72</v>
      </c>
      <c r="CL69" s="114">
        <f t="shared" ref="CL69" si="354">W69</f>
        <v>108</v>
      </c>
      <c r="CM69" s="114">
        <f t="shared" ref="CM69" si="355">AA69</f>
        <v>116</v>
      </c>
      <c r="CN69" s="114">
        <f t="shared" ref="CN69" si="356">AE69</f>
        <v>142</v>
      </c>
      <c r="CO69" s="114">
        <f t="shared" ref="CO69" si="357">AI69</f>
        <v>168</v>
      </c>
      <c r="CP69" s="114">
        <f t="shared" ref="CP69" si="358">AM69</f>
        <v>208</v>
      </c>
      <c r="CQ69" s="114">
        <f t="shared" ref="CQ69" si="359">AQ69</f>
        <v>259</v>
      </c>
      <c r="CR69" s="114">
        <f t="shared" ref="CR69" si="360">AU69</f>
        <v>291</v>
      </c>
      <c r="CS69" s="114">
        <f t="shared" ref="CS69" si="361">AY69</f>
        <v>306</v>
      </c>
      <c r="CT69" s="109">
        <f t="shared" ref="CT69" si="362">M69-K69</f>
        <v>1</v>
      </c>
    </row>
    <row r="70" spans="1:1029" s="12" customFormat="1" x14ac:dyDescent="0.2">
      <c r="A70" s="9" t="str">
        <f t="shared" ref="A70" si="363">CONCATENATE(B70,"_",C70)</f>
        <v>aa2ar_human_6MH9</v>
      </c>
      <c r="B70" s="9" t="s">
        <v>139</v>
      </c>
      <c r="C70" s="9" t="s">
        <v>1582</v>
      </c>
      <c r="D70" s="9" t="str">
        <f>IFERROR(MID(VLOOKUP($B70,Seqs!$A:$B,2,0),E70,1),"")</f>
        <v>M</v>
      </c>
      <c r="E70" s="9">
        <v>1</v>
      </c>
      <c r="F70" s="9" t="str">
        <f>IFERROR(MID(VLOOKUP($B70,Seqs!$A:$B,2,0),G70,1),"")</f>
        <v>N</v>
      </c>
      <c r="G70" s="9">
        <v>34</v>
      </c>
      <c r="H70" s="9" t="str">
        <f>IFERROR(MID(VLOOKUP($B70,Seqs!$A:$B,2,0),I70,1),"")</f>
        <v>S</v>
      </c>
      <c r="I70" s="109">
        <v>35</v>
      </c>
      <c r="J70" s="9" t="str">
        <f>IFERROR(MID(VLOOKUP($B70,Seqs!$A:$B,2,0),K70,1),"")</f>
        <v>Q</v>
      </c>
      <c r="K70" s="109">
        <v>38</v>
      </c>
      <c r="L70" s="9" t="str">
        <f>IFERROR(MID(VLOOKUP($B70,Seqs!$A:$B,2,0),M70,1),"")</f>
        <v>N</v>
      </c>
      <c r="M70" s="9">
        <v>39</v>
      </c>
      <c r="N70" s="9" t="str">
        <f>IFERROR(MID(VLOOKUP($B70,Seqs!$A:$B,2,0),O70,1),"")</f>
        <v>G</v>
      </c>
      <c r="O70" s="9">
        <v>69</v>
      </c>
      <c r="P70" s="9" t="str">
        <f>IFERROR(MID(VLOOKUP($B70,Seqs!$A:$B,2,0),Q70,1),"")</f>
        <v>F</v>
      </c>
      <c r="Q70" s="9">
        <v>70</v>
      </c>
      <c r="R70" s="9" t="str">
        <f>IFERROR(MID(VLOOKUP($B70,Seqs!$A:$B,2,0),S70,1),"")</f>
        <v>A</v>
      </c>
      <c r="S70" s="9">
        <v>72</v>
      </c>
      <c r="T70" s="9" t="str">
        <f>IFERROR(MID(VLOOKUP($B70,Seqs!$A:$B,2,0),U70,1),"")</f>
        <v>A</v>
      </c>
      <c r="U70" s="9">
        <v>73</v>
      </c>
      <c r="V70" s="9" t="str">
        <f>IFERROR(MID(VLOOKUP($B70,Seqs!$A:$B,2,0),W70,1),"")</f>
        <v>I</v>
      </c>
      <c r="W70" s="9">
        <v>108</v>
      </c>
      <c r="X70" s="9" t="str">
        <f>IFERROR(MID(VLOOKUP($B70,Seqs!$A:$B,2,0),Y70,1),"")</f>
        <v>P</v>
      </c>
      <c r="Y70" s="9">
        <v>109</v>
      </c>
      <c r="Z70" s="9" t="str">
        <f>IFERROR(MID(VLOOKUP($B70,Seqs!$A:$B,2,0),AA70,1),"")</f>
        <v>V</v>
      </c>
      <c r="AA70" s="9">
        <v>116</v>
      </c>
      <c r="AB70" s="9" t="str">
        <f>IFERROR(MID(VLOOKUP($B70,Seqs!$A:$B,2,0),AC70,1),"")</f>
        <v>T</v>
      </c>
      <c r="AC70" s="9">
        <v>117</v>
      </c>
      <c r="AD70" s="9" t="str">
        <f>IFERROR(MID(VLOOKUP($B70,Seqs!$A:$B,2,0),AE70,1),"")</f>
        <v>G</v>
      </c>
      <c r="AE70" s="9">
        <v>142</v>
      </c>
      <c r="AF70" s="9" t="str">
        <f>IFERROR(MID(VLOOKUP($B70,Seqs!$A:$B,2,0),AG70,1),"")</f>
        <v>C</v>
      </c>
      <c r="AG70" s="9">
        <v>166</v>
      </c>
      <c r="AH70" s="9" t="str">
        <f>IFERROR(MID(VLOOKUP($B70,Seqs!$A:$B,2,0),AI70,1),"")</f>
        <v>F</v>
      </c>
      <c r="AI70" s="9">
        <v>168</v>
      </c>
      <c r="AJ70" s="9" t="str">
        <f>IFERROR(MID(VLOOKUP($B70,Seqs!$A:$B,2,0),AK70,1),"")</f>
        <v>P</v>
      </c>
      <c r="AK70" s="9">
        <v>173</v>
      </c>
      <c r="AL70" s="9" t="str">
        <f>IFERROR(MID(VLOOKUP($B70,Seqs!$A:$B,2,0),AM70,1),"")</f>
        <v>L</v>
      </c>
      <c r="AM70" s="9">
        <v>208</v>
      </c>
      <c r="AN70" s="9" t="str">
        <f>IFERROR(MID(VLOOKUP($B70,Seqs!$A:$B,2,0),AO70,1),"")</f>
        <v>E</v>
      </c>
      <c r="AO70" s="9">
        <v>219</v>
      </c>
      <c r="AP70" s="9" t="str">
        <f>IFERROR(MID(VLOOKUP($B70,Seqs!$A:$B,2,0),AQ70,1),"")</f>
        <v>C</v>
      </c>
      <c r="AQ70" s="9">
        <v>259</v>
      </c>
      <c r="AR70" s="9" t="str">
        <f>IFERROR(MID(VLOOKUP($B70,Seqs!$A:$B,2,0),AS70,1),"")</f>
        <v>P</v>
      </c>
      <c r="AS70" s="9">
        <v>266</v>
      </c>
      <c r="AT70" s="9" t="str">
        <f>IFERROR(MID(VLOOKUP($B70,Seqs!$A:$B,2,0),AU70,1),"")</f>
        <v>R</v>
      </c>
      <c r="AU70" s="9">
        <v>291</v>
      </c>
      <c r="AV70" s="9" t="str">
        <f>IFERROR(MID(VLOOKUP($B70,Seqs!$A:$B,2,0),AW70,1),"")</f>
        <v>I</v>
      </c>
      <c r="AW70" s="9">
        <v>292</v>
      </c>
      <c r="AX70" s="9" t="str">
        <f>IFERROR(MID(VLOOKUP($B70,Seqs!$A:$B,2,0),AY70,1),"")</f>
        <v>H</v>
      </c>
      <c r="AY70" s="9">
        <v>306</v>
      </c>
      <c r="AZ70" s="110" t="str">
        <f>VLOOKUP(B70,Classification!A:D,2,0)</f>
        <v>A</v>
      </c>
      <c r="BA70" s="98" t="str">
        <f>VLOOKUP(B70,Classification!A:D,4,0)</f>
        <v>Adenosine</v>
      </c>
      <c r="BB70" s="36" t="b">
        <f t="shared" ref="BB70" si="364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109">
        <f t="shared" ref="BC70" si="365">_xlfn.AGGREGATE(9,6,CH70:CS70)-_xlfn.AGGREGATE(9,6,BV70:CG70)+12</f>
        <v>263</v>
      </c>
      <c r="BD70" s="13" t="s">
        <v>23</v>
      </c>
      <c r="BE70" s="9" t="s">
        <v>1374</v>
      </c>
      <c r="BF70" s="120">
        <v>2</v>
      </c>
      <c r="BG70" s="51" t="s">
        <v>1</v>
      </c>
      <c r="BH70" s="51" t="s">
        <v>1</v>
      </c>
      <c r="BJ70" s="111" t="s">
        <v>1287</v>
      </c>
      <c r="BK70" s="112" t="s">
        <v>1287</v>
      </c>
      <c r="BL70" s="112" t="s">
        <v>1287</v>
      </c>
      <c r="BM70" s="112" t="s">
        <v>1287</v>
      </c>
      <c r="BN70" s="112" t="s">
        <v>1287</v>
      </c>
      <c r="BO70" s="112" t="s">
        <v>1287</v>
      </c>
      <c r="BP70" s="112" t="s">
        <v>1287</v>
      </c>
      <c r="BQ70" s="112" t="s">
        <v>1287</v>
      </c>
      <c r="BR70" s="112" t="s">
        <v>1287</v>
      </c>
      <c r="BS70" s="112" t="s">
        <v>1287</v>
      </c>
      <c r="BT70" s="112" t="s">
        <v>1287</v>
      </c>
      <c r="BU70" s="112" t="s">
        <v>1287</v>
      </c>
      <c r="BV70" s="111">
        <f t="shared" ref="BV70" si="366">E70</f>
        <v>1</v>
      </c>
      <c r="BW70" s="113">
        <f t="shared" ref="BW70" si="367">I70</f>
        <v>35</v>
      </c>
      <c r="BX70" s="114">
        <f t="shared" ref="BX70" si="368">M70</f>
        <v>39</v>
      </c>
      <c r="BY70" s="113">
        <f t="shared" ref="BY70" si="369">Q70</f>
        <v>70</v>
      </c>
      <c r="BZ70" s="114">
        <f t="shared" ref="BZ70" si="370">U70</f>
        <v>73</v>
      </c>
      <c r="CA70" s="113">
        <f t="shared" ref="CA70" si="371">Y70</f>
        <v>109</v>
      </c>
      <c r="CB70" s="114">
        <f t="shared" ref="CB70" si="372">AC70</f>
        <v>117</v>
      </c>
      <c r="CC70" s="113">
        <f t="shared" ref="CC70" si="373">AG70</f>
        <v>166</v>
      </c>
      <c r="CD70" s="114">
        <f t="shared" ref="CD70" si="374">AK70</f>
        <v>173</v>
      </c>
      <c r="CE70" s="113">
        <f t="shared" ref="CE70" si="375">AO70</f>
        <v>219</v>
      </c>
      <c r="CF70" s="114">
        <f t="shared" ref="CF70" si="376">AS70</f>
        <v>266</v>
      </c>
      <c r="CG70" s="113">
        <f t="shared" ref="CG70" si="377">AW70</f>
        <v>292</v>
      </c>
      <c r="CH70" s="111">
        <f t="shared" ref="CH70" si="378">G70</f>
        <v>34</v>
      </c>
      <c r="CI70" s="113">
        <f t="shared" ref="CI70" si="379">K70</f>
        <v>38</v>
      </c>
      <c r="CJ70" s="114">
        <f t="shared" ref="CJ70" si="380">O70</f>
        <v>69</v>
      </c>
      <c r="CK70" s="114">
        <f t="shared" ref="CK70" si="381">S70</f>
        <v>72</v>
      </c>
      <c r="CL70" s="114">
        <f t="shared" ref="CL70" si="382">W70</f>
        <v>108</v>
      </c>
      <c r="CM70" s="114">
        <f t="shared" ref="CM70" si="383">AA70</f>
        <v>116</v>
      </c>
      <c r="CN70" s="114">
        <f t="shared" ref="CN70" si="384">AE70</f>
        <v>142</v>
      </c>
      <c r="CO70" s="114">
        <f t="shared" ref="CO70" si="385">AI70</f>
        <v>168</v>
      </c>
      <c r="CP70" s="114">
        <f t="shared" ref="CP70" si="386">AM70</f>
        <v>208</v>
      </c>
      <c r="CQ70" s="114">
        <f t="shared" ref="CQ70" si="387">AQ70</f>
        <v>259</v>
      </c>
      <c r="CR70" s="114">
        <f t="shared" ref="CR70" si="388">AU70</f>
        <v>291</v>
      </c>
      <c r="CS70" s="114">
        <f t="shared" ref="CS70" si="389">AY70</f>
        <v>306</v>
      </c>
      <c r="CT70" s="109">
        <f t="shared" ref="CT70" si="390">M70-K70</f>
        <v>1</v>
      </c>
    </row>
    <row r="71" spans="1:1029" s="12" customFormat="1" x14ac:dyDescent="0.2">
      <c r="A71" s="9" t="str">
        <f t="shared" ref="A71" si="391">CONCATENATE(B71,"_",C71)</f>
        <v>aa2ar_human_6GT3</v>
      </c>
      <c r="B71" s="9" t="s">
        <v>139</v>
      </c>
      <c r="C71" s="9" t="s">
        <v>1590</v>
      </c>
      <c r="D71" s="9" t="str">
        <f>IFERROR(MID(VLOOKUP($B71,Seqs!$A:$B,2,0),E71,1),"")</f>
        <v>M</v>
      </c>
      <c r="E71" s="9">
        <v>1</v>
      </c>
      <c r="F71" s="9" t="str">
        <f>IFERROR(MID(VLOOKUP($B71,Seqs!$A:$B,2,0),G71,1),"")</f>
        <v>N</v>
      </c>
      <c r="G71" s="9">
        <v>34</v>
      </c>
      <c r="H71" s="9" t="str">
        <f>IFERROR(MID(VLOOKUP($B71,Seqs!$A:$B,2,0),I71,1),"")</f>
        <v>S</v>
      </c>
      <c r="I71" s="109">
        <v>35</v>
      </c>
      <c r="J71" s="9" t="str">
        <f>IFERROR(MID(VLOOKUP($B71,Seqs!$A:$B,2,0),K71,1),"")</f>
        <v>Q</v>
      </c>
      <c r="K71" s="109">
        <v>38</v>
      </c>
      <c r="L71" s="9" t="str">
        <f>IFERROR(MID(VLOOKUP($B71,Seqs!$A:$B,2,0),M71,1),"")</f>
        <v>N</v>
      </c>
      <c r="M71" s="9">
        <v>39</v>
      </c>
      <c r="N71" s="9" t="str">
        <f>IFERROR(MID(VLOOKUP($B71,Seqs!$A:$B,2,0),O71,1),"")</f>
        <v>G</v>
      </c>
      <c r="O71" s="9">
        <v>69</v>
      </c>
      <c r="P71" s="9" t="str">
        <f>IFERROR(MID(VLOOKUP($B71,Seqs!$A:$B,2,0),Q71,1),"")</f>
        <v>F</v>
      </c>
      <c r="Q71" s="9">
        <v>70</v>
      </c>
      <c r="R71" s="9" t="str">
        <f>IFERROR(MID(VLOOKUP($B71,Seqs!$A:$B,2,0),S71,1),"")</f>
        <v>A</v>
      </c>
      <c r="S71" s="9">
        <v>72</v>
      </c>
      <c r="T71" s="9" t="str">
        <f>IFERROR(MID(VLOOKUP($B71,Seqs!$A:$B,2,0),U71,1),"")</f>
        <v>A</v>
      </c>
      <c r="U71" s="9">
        <v>73</v>
      </c>
      <c r="V71" s="9" t="str">
        <f>IFERROR(MID(VLOOKUP($B71,Seqs!$A:$B,2,0),W71,1),"")</f>
        <v>I</v>
      </c>
      <c r="W71" s="9">
        <v>108</v>
      </c>
      <c r="X71" s="9" t="str">
        <f>IFERROR(MID(VLOOKUP($B71,Seqs!$A:$B,2,0),Y71,1),"")</f>
        <v>P</v>
      </c>
      <c r="Y71" s="9">
        <v>109</v>
      </c>
      <c r="Z71" s="9" t="str">
        <f>IFERROR(MID(VLOOKUP($B71,Seqs!$A:$B,2,0),AA71,1),"")</f>
        <v>V</v>
      </c>
      <c r="AA71" s="9">
        <v>116</v>
      </c>
      <c r="AB71" s="9" t="str">
        <f>IFERROR(MID(VLOOKUP($B71,Seqs!$A:$B,2,0),AC71,1),"")</f>
        <v>T</v>
      </c>
      <c r="AC71" s="9">
        <v>117</v>
      </c>
      <c r="AD71" s="9" t="str">
        <f>IFERROR(MID(VLOOKUP($B71,Seqs!$A:$B,2,0),AE71,1),"")</f>
        <v>G</v>
      </c>
      <c r="AE71" s="9">
        <v>142</v>
      </c>
      <c r="AF71" s="9" t="str">
        <f>IFERROR(MID(VLOOKUP($B71,Seqs!$A:$B,2,0),AG71,1),"")</f>
        <v>C</v>
      </c>
      <c r="AG71" s="9">
        <v>166</v>
      </c>
      <c r="AH71" s="9" t="str">
        <f>IFERROR(MID(VLOOKUP($B71,Seqs!$A:$B,2,0),AI71,1),"")</f>
        <v>F</v>
      </c>
      <c r="AI71" s="9">
        <v>168</v>
      </c>
      <c r="AJ71" s="9" t="str">
        <f>IFERROR(MID(VLOOKUP($B71,Seqs!$A:$B,2,0),AK71,1),"")</f>
        <v>P</v>
      </c>
      <c r="AK71" s="9">
        <v>173</v>
      </c>
      <c r="AL71" s="9" t="str">
        <f>IFERROR(MID(VLOOKUP($B71,Seqs!$A:$B,2,0),AM71,1),"")</f>
        <v>L</v>
      </c>
      <c r="AM71" s="9">
        <v>208</v>
      </c>
      <c r="AN71" s="9" t="str">
        <f>IFERROR(MID(VLOOKUP($B71,Seqs!$A:$B,2,0),AO71,1),"")</f>
        <v>E</v>
      </c>
      <c r="AO71" s="9">
        <v>219</v>
      </c>
      <c r="AP71" s="9" t="str">
        <f>IFERROR(MID(VLOOKUP($B71,Seqs!$A:$B,2,0),AQ71,1),"")</f>
        <v>C</v>
      </c>
      <c r="AQ71" s="9">
        <v>259</v>
      </c>
      <c r="AR71" s="9" t="str">
        <f>IFERROR(MID(VLOOKUP($B71,Seqs!$A:$B,2,0),AS71,1),"")</f>
        <v>P</v>
      </c>
      <c r="AS71" s="9">
        <v>266</v>
      </c>
      <c r="AT71" s="9" t="str">
        <f>IFERROR(MID(VLOOKUP($B71,Seqs!$A:$B,2,0),AU71,1),"")</f>
        <v>R</v>
      </c>
      <c r="AU71" s="9">
        <v>291</v>
      </c>
      <c r="AV71" s="9" t="str">
        <f>IFERROR(MID(VLOOKUP($B71,Seqs!$A:$B,2,0),AW71,1),"")</f>
        <v>I</v>
      </c>
      <c r="AW71" s="9">
        <v>292</v>
      </c>
      <c r="AX71" s="9" t="str">
        <f>IFERROR(MID(VLOOKUP($B71,Seqs!$A:$B,2,0),AY71,1),"")</f>
        <v>S</v>
      </c>
      <c r="AY71" s="9">
        <v>305</v>
      </c>
      <c r="AZ71" s="110" t="str">
        <f>VLOOKUP(B71,Classification!A:D,2,0)</f>
        <v>A</v>
      </c>
      <c r="BA71" s="98" t="str">
        <f>VLOOKUP(B71,Classification!A:D,4,0)</f>
        <v>Adenosine</v>
      </c>
      <c r="BB71" s="36" t="b">
        <f t="shared" ref="BB71" si="392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109">
        <f t="shared" ref="BC71" si="393">_xlfn.AGGREGATE(9,6,CH71:CS71)-_xlfn.AGGREGATE(9,6,BV71:CG71)+12</f>
        <v>262</v>
      </c>
      <c r="BD71" s="13" t="s">
        <v>23</v>
      </c>
      <c r="BE71" s="9" t="s">
        <v>1374</v>
      </c>
      <c r="BF71" s="120">
        <v>2</v>
      </c>
      <c r="BG71" s="51" t="s">
        <v>1</v>
      </c>
      <c r="BH71" s="51" t="s">
        <v>1</v>
      </c>
      <c r="BJ71" s="111" t="s">
        <v>1287</v>
      </c>
      <c r="BK71" s="112" t="s">
        <v>1287</v>
      </c>
      <c r="BL71" s="112" t="s">
        <v>1287</v>
      </c>
      <c r="BM71" s="112" t="s">
        <v>1287</v>
      </c>
      <c r="BN71" s="112" t="s">
        <v>1287</v>
      </c>
      <c r="BO71" s="112" t="s">
        <v>1287</v>
      </c>
      <c r="BP71" s="112" t="s">
        <v>1287</v>
      </c>
      <c r="BQ71" s="112" t="s">
        <v>1287</v>
      </c>
      <c r="BR71" s="112" t="s">
        <v>1287</v>
      </c>
      <c r="BS71" s="112" t="s">
        <v>1287</v>
      </c>
      <c r="BT71" s="112" t="s">
        <v>1287</v>
      </c>
      <c r="BU71" s="112" t="s">
        <v>1287</v>
      </c>
      <c r="BV71" s="111">
        <f t="shared" ref="BV71" si="394">E71</f>
        <v>1</v>
      </c>
      <c r="BW71" s="113">
        <f t="shared" ref="BW71" si="395">I71</f>
        <v>35</v>
      </c>
      <c r="BX71" s="114">
        <f t="shared" ref="BX71" si="396">M71</f>
        <v>39</v>
      </c>
      <c r="BY71" s="113">
        <f t="shared" ref="BY71" si="397">Q71</f>
        <v>70</v>
      </c>
      <c r="BZ71" s="114">
        <f t="shared" ref="BZ71" si="398">U71</f>
        <v>73</v>
      </c>
      <c r="CA71" s="113">
        <f t="shared" ref="CA71" si="399">Y71</f>
        <v>109</v>
      </c>
      <c r="CB71" s="114">
        <f t="shared" ref="CB71" si="400">AC71</f>
        <v>117</v>
      </c>
      <c r="CC71" s="113">
        <f t="shared" ref="CC71" si="401">AG71</f>
        <v>166</v>
      </c>
      <c r="CD71" s="114">
        <f t="shared" ref="CD71" si="402">AK71</f>
        <v>173</v>
      </c>
      <c r="CE71" s="113">
        <f t="shared" ref="CE71" si="403">AO71</f>
        <v>219</v>
      </c>
      <c r="CF71" s="114">
        <f t="shared" ref="CF71" si="404">AS71</f>
        <v>266</v>
      </c>
      <c r="CG71" s="113">
        <f t="shared" ref="CG71" si="405">AW71</f>
        <v>292</v>
      </c>
      <c r="CH71" s="111">
        <f t="shared" ref="CH71" si="406">G71</f>
        <v>34</v>
      </c>
      <c r="CI71" s="113">
        <f t="shared" ref="CI71" si="407">K71</f>
        <v>38</v>
      </c>
      <c r="CJ71" s="114">
        <f t="shared" ref="CJ71" si="408">O71</f>
        <v>69</v>
      </c>
      <c r="CK71" s="114">
        <f t="shared" ref="CK71" si="409">S71</f>
        <v>72</v>
      </c>
      <c r="CL71" s="114">
        <f t="shared" ref="CL71" si="410">W71</f>
        <v>108</v>
      </c>
      <c r="CM71" s="114">
        <f t="shared" ref="CM71" si="411">AA71</f>
        <v>116</v>
      </c>
      <c r="CN71" s="114">
        <f t="shared" ref="CN71" si="412">AE71</f>
        <v>142</v>
      </c>
      <c r="CO71" s="114">
        <f t="shared" ref="CO71" si="413">AI71</f>
        <v>168</v>
      </c>
      <c r="CP71" s="114">
        <f t="shared" ref="CP71" si="414">AM71</f>
        <v>208</v>
      </c>
      <c r="CQ71" s="114">
        <f t="shared" ref="CQ71" si="415">AQ71</f>
        <v>259</v>
      </c>
      <c r="CR71" s="114">
        <f t="shared" ref="CR71" si="416">AU71</f>
        <v>291</v>
      </c>
      <c r="CS71" s="114">
        <f t="shared" ref="CS71" si="417">AY71</f>
        <v>305</v>
      </c>
      <c r="CT71" s="109">
        <f t="shared" ref="CT71" si="418">M71-K71</f>
        <v>1</v>
      </c>
    </row>
    <row r="72" spans="1:1029" x14ac:dyDescent="0.2">
      <c r="A72" s="3" t="str">
        <f t="shared" si="0"/>
        <v>acm1_human__wt</v>
      </c>
      <c r="B72" s="3" t="s">
        <v>146</v>
      </c>
      <c r="C72" s="3" t="s">
        <v>100</v>
      </c>
      <c r="D72" s="3" t="str">
        <f>IFERROR(MID(VLOOKUP($B72,Seqs!$A:$B,2,0),E72,1),"")</f>
        <v>P</v>
      </c>
      <c r="E72" s="3">
        <v>22</v>
      </c>
      <c r="F72" s="3" t="str">
        <f>IFERROR(MID(VLOOKUP($B72,Seqs!$A:$B,2,0),G72,1),"")</f>
        <v>N</v>
      </c>
      <c r="G72" s="3">
        <v>53</v>
      </c>
      <c r="H72" s="3" t="str">
        <f>IFERROR(MID(VLOOKUP($B72,Seqs!$A:$B,2,0),I72,1),"")</f>
        <v>T</v>
      </c>
      <c r="I72" s="23">
        <v>54</v>
      </c>
      <c r="J72" s="3" t="str">
        <f>IFERROR(MID(VLOOKUP($B72,Seqs!$A:$B,2,0),K72,1),"")</f>
        <v>K</v>
      </c>
      <c r="K72" s="23">
        <v>57</v>
      </c>
      <c r="L72" s="3" t="str">
        <f>IFERROR(MID(VLOOKUP($B72,Seqs!$A:$B,2,0),M72,1),"")</f>
        <v>T</v>
      </c>
      <c r="M72" s="3">
        <v>58</v>
      </c>
      <c r="N72" s="3" t="str">
        <f>IFERROR(MID(VLOOKUP($B72,Seqs!$A:$B,2,0),O72,1),"")</f>
        <v>G</v>
      </c>
      <c r="O72" s="3">
        <v>89</v>
      </c>
      <c r="P72" s="3" t="str">
        <f>IFERROR(MID(VLOOKUP($B72,Seqs!$A:$B,2,0),Q72,1),"")</f>
        <v>H</v>
      </c>
      <c r="Q72" s="3">
        <v>90</v>
      </c>
      <c r="R72" s="3" t="str">
        <f>IFERROR(MID(VLOOKUP($B72,Seqs!$A:$B,2,0),S72,1),"")</f>
        <v>L</v>
      </c>
      <c r="S72" s="3">
        <v>93</v>
      </c>
      <c r="T72" s="3" t="str">
        <f>IFERROR(MID(VLOOKUP($B72,Seqs!$A:$B,2,0),U72,1),"")</f>
        <v>G</v>
      </c>
      <c r="U72" s="3">
        <v>94</v>
      </c>
      <c r="V72" s="3" t="str">
        <f>IFERROR(MID(VLOOKUP($B72,Seqs!$A:$B,2,0),W72,1),"")</f>
        <v>R</v>
      </c>
      <c r="W72" s="3">
        <v>129</v>
      </c>
      <c r="X72" s="3" t="str">
        <f>IFERROR(MID(VLOOKUP($B72,Seqs!$A:$B,2,0),Y72,1),"")</f>
        <v>P</v>
      </c>
      <c r="Y72" s="3">
        <v>130</v>
      </c>
      <c r="Z72" s="3" t="str">
        <f>IFERROR(MID(VLOOKUP($B72,Seqs!$A:$B,2,0),AA72,1),"")</f>
        <v>R</v>
      </c>
      <c r="AA72" s="3">
        <v>137</v>
      </c>
      <c r="AB72" s="3" t="str">
        <f>IFERROR(MID(VLOOKUP($B72,Seqs!$A:$B,2,0),AC72,1),"")</f>
        <v>T</v>
      </c>
      <c r="AC72" s="3">
        <v>138</v>
      </c>
      <c r="AD72" s="3" t="str">
        <f>IFERROR(MID(VLOOKUP($B72,Seqs!$A:$B,2,0),AE72,1),"")</f>
        <v>G</v>
      </c>
      <c r="AE72" s="3">
        <v>169</v>
      </c>
      <c r="AF72" s="3" t="str">
        <f>IFERROR(MID(VLOOKUP($B72,Seqs!$A:$B,2,0),AG72,1),"")</f>
        <v>C</v>
      </c>
      <c r="AG72" s="3">
        <v>178</v>
      </c>
      <c r="AH72" s="3" t="str">
        <f>IFERROR(MID(VLOOKUP($B72,Seqs!$A:$B,2,0),AI72,1),"")</f>
        <v>I</v>
      </c>
      <c r="AI72" s="3">
        <v>180</v>
      </c>
      <c r="AJ72" s="3" t="str">
        <f>IFERROR(MID(VLOOKUP($B72,Seqs!$A:$B,2,0),AK72,1),"")</f>
        <v>Q</v>
      </c>
      <c r="AK72" s="3">
        <v>185</v>
      </c>
      <c r="AL72" s="3" t="str">
        <f>IFERROR(MID(VLOOKUP($B72,Seqs!$A:$B,2,0),AM72,1),"")</f>
        <v>L</v>
      </c>
      <c r="AM72" s="3">
        <v>225</v>
      </c>
      <c r="AN72" s="3" t="str">
        <f>IFERROR(MID(VLOOKUP($B72,Seqs!$A:$B,2,0),AO72,1),"")</f>
        <v>T</v>
      </c>
      <c r="AO72" s="3">
        <v>354</v>
      </c>
      <c r="AP72" s="3" t="str">
        <f>IFERROR(MID(VLOOKUP($B72,Seqs!$A:$B,2,0),AQ72,1),"")</f>
        <v>C</v>
      </c>
      <c r="AQ72" s="3">
        <v>391</v>
      </c>
      <c r="AR72" s="3" t="str">
        <f>IFERROR(MID(VLOOKUP($B72,Seqs!$A:$B,2,0),AS72,1),"")</f>
        <v>P</v>
      </c>
      <c r="AS72" s="3">
        <v>396</v>
      </c>
      <c r="AT72" s="3" t="str">
        <f>IFERROR(MID(VLOOKUP($B72,Seqs!$A:$B,2,0),AU72,1),"")</f>
        <v>C</v>
      </c>
      <c r="AU72" s="3">
        <v>421</v>
      </c>
      <c r="AV72" s="3" t="str">
        <f>IFERROR(MID(VLOOKUP($B72,Seqs!$A:$B,2,0),AW72,1),"")</f>
        <v>N</v>
      </c>
      <c r="AW72" s="3">
        <v>422</v>
      </c>
      <c r="AX72" s="3" t="str">
        <f>IFERROR(MID(VLOOKUP($B72,Seqs!$A:$B,2,0),AY72,1),"")</f>
        <v>L</v>
      </c>
      <c r="AY72" s="3">
        <v>434</v>
      </c>
      <c r="AZ72" s="77" t="str">
        <f>VLOOKUP(B72,Classification!A:D,2,0)</f>
        <v>A</v>
      </c>
      <c r="BA72" s="94" t="str">
        <f>VLOOKUP(B72,Classification!A:D,4,0)</f>
        <v>Acetylcholine(muscarinic)</v>
      </c>
      <c r="BB72" s="27" t="b">
        <f t="shared" si="1"/>
        <v>1</v>
      </c>
      <c r="BC72" s="23">
        <f t="shared" si="225"/>
        <v>269</v>
      </c>
      <c r="BD72" s="56" t="s">
        <v>23</v>
      </c>
      <c r="BE72" s="3" t="s">
        <v>23</v>
      </c>
      <c r="BF72" s="119" t="s">
        <v>23</v>
      </c>
      <c r="BG72" s="49" t="s">
        <v>1372</v>
      </c>
      <c r="BH72" s="49" t="s">
        <v>1377</v>
      </c>
      <c r="BI72" s="1"/>
      <c r="BJ72" s="70" t="s">
        <v>1287</v>
      </c>
      <c r="BK72" s="57" t="s">
        <v>1287</v>
      </c>
      <c r="BL72" s="57" t="s">
        <v>1287</v>
      </c>
      <c r="BM72" s="57" t="s">
        <v>1287</v>
      </c>
      <c r="BN72" s="57" t="s">
        <v>1287</v>
      </c>
      <c r="BO72" s="57" t="s">
        <v>1287</v>
      </c>
      <c r="BP72" s="57" t="s">
        <v>1287</v>
      </c>
      <c r="BQ72" s="57" t="s">
        <v>1287</v>
      </c>
      <c r="BR72" s="57" t="s">
        <v>1287</v>
      </c>
      <c r="BS72" s="57" t="s">
        <v>1287</v>
      </c>
      <c r="BT72" s="57" t="s">
        <v>1287</v>
      </c>
      <c r="BU72" s="57" t="s">
        <v>1287</v>
      </c>
      <c r="BV72" s="70">
        <f t="shared" si="226"/>
        <v>22</v>
      </c>
      <c r="BW72" s="71">
        <f t="shared" si="227"/>
        <v>54</v>
      </c>
      <c r="BX72" s="72">
        <f t="shared" si="228"/>
        <v>58</v>
      </c>
      <c r="BY72" s="71">
        <f t="shared" si="229"/>
        <v>90</v>
      </c>
      <c r="BZ72" s="72">
        <f t="shared" si="230"/>
        <v>94</v>
      </c>
      <c r="CA72" s="71">
        <f t="shared" si="231"/>
        <v>130</v>
      </c>
      <c r="CB72" s="72">
        <f t="shared" si="232"/>
        <v>138</v>
      </c>
      <c r="CC72" s="71">
        <f t="shared" si="233"/>
        <v>178</v>
      </c>
      <c r="CD72" s="72">
        <f t="shared" si="234"/>
        <v>185</v>
      </c>
      <c r="CE72" s="71">
        <f t="shared" si="235"/>
        <v>354</v>
      </c>
      <c r="CF72" s="72">
        <f t="shared" si="236"/>
        <v>396</v>
      </c>
      <c r="CG72" s="71">
        <f t="shared" si="237"/>
        <v>422</v>
      </c>
      <c r="CH72" s="70">
        <f t="shared" si="238"/>
        <v>53</v>
      </c>
      <c r="CI72" s="71">
        <f t="shared" si="239"/>
        <v>57</v>
      </c>
      <c r="CJ72" s="72">
        <f t="shared" si="240"/>
        <v>89</v>
      </c>
      <c r="CK72" s="72">
        <f t="shared" si="241"/>
        <v>93</v>
      </c>
      <c r="CL72" s="72">
        <f t="shared" si="242"/>
        <v>129</v>
      </c>
      <c r="CM72" s="72">
        <f t="shared" si="243"/>
        <v>137</v>
      </c>
      <c r="CN72" s="72">
        <f t="shared" si="244"/>
        <v>169</v>
      </c>
      <c r="CO72" s="72">
        <f t="shared" si="245"/>
        <v>180</v>
      </c>
      <c r="CP72" s="72">
        <f t="shared" si="246"/>
        <v>225</v>
      </c>
      <c r="CQ72" s="72">
        <f t="shared" si="247"/>
        <v>391</v>
      </c>
      <c r="CR72" s="72">
        <f t="shared" si="248"/>
        <v>421</v>
      </c>
      <c r="CS72" s="72">
        <f t="shared" si="249"/>
        <v>434</v>
      </c>
      <c r="CT72" s="23">
        <f t="shared" si="250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0"/>
        <v>acm1_human_5CXV</v>
      </c>
      <c r="B73" s="3" t="s">
        <v>146</v>
      </c>
      <c r="C73" s="3" t="s">
        <v>62</v>
      </c>
      <c r="D73" s="3" t="str">
        <f>IFERROR(MID(VLOOKUP($B73,Seqs!$A:$B,2,0),E73,1),"")</f>
        <v>P</v>
      </c>
      <c r="E73" s="3">
        <v>22</v>
      </c>
      <c r="F73" s="3" t="str">
        <f>IFERROR(MID(VLOOKUP($B73,Seqs!$A:$B,2,0),G73,1),"")</f>
        <v>N</v>
      </c>
      <c r="G73" s="3">
        <v>53</v>
      </c>
      <c r="H73" s="3" t="str">
        <f>IFERROR(MID(VLOOKUP($B73,Seqs!$A:$B,2,0),I73,1),"")</f>
        <v>T</v>
      </c>
      <c r="I73" s="23">
        <v>54</v>
      </c>
      <c r="J73" s="3" t="str">
        <f>IFERROR(MID(VLOOKUP($B73,Seqs!$A:$B,2,0),K73,1),"")</f>
        <v>K</v>
      </c>
      <c r="K73" s="23">
        <v>57</v>
      </c>
      <c r="L73" s="3" t="str">
        <f>IFERROR(MID(VLOOKUP($B73,Seqs!$A:$B,2,0),M73,1),"")</f>
        <v>T</v>
      </c>
      <c r="M73" s="3">
        <v>58</v>
      </c>
      <c r="N73" s="3" t="str">
        <f>IFERROR(MID(VLOOKUP($B73,Seqs!$A:$B,2,0),O73,1),"")</f>
        <v>G</v>
      </c>
      <c r="O73" s="3">
        <v>89</v>
      </c>
      <c r="P73" s="3" t="str">
        <f>IFERROR(MID(VLOOKUP($B73,Seqs!$A:$B,2,0),Q73,1),"")</f>
        <v>H</v>
      </c>
      <c r="Q73" s="3">
        <v>90</v>
      </c>
      <c r="R73" s="3" t="str">
        <f>IFERROR(MID(VLOOKUP($B73,Seqs!$A:$B,2,0),S73,1),"")</f>
        <v>L</v>
      </c>
      <c r="S73" s="3">
        <v>93</v>
      </c>
      <c r="T73" s="3" t="str">
        <f>IFERROR(MID(VLOOKUP($B73,Seqs!$A:$B,2,0),U73,1),"")</f>
        <v>G</v>
      </c>
      <c r="U73" s="3">
        <v>94</v>
      </c>
      <c r="V73" s="3" t="str">
        <f>IFERROR(MID(VLOOKUP($B73,Seqs!$A:$B,2,0),W73,1),"")</f>
        <v>R</v>
      </c>
      <c r="W73" s="3">
        <v>129</v>
      </c>
      <c r="X73" s="3" t="str">
        <f>IFERROR(MID(VLOOKUP($B73,Seqs!$A:$B,2,0),Y73,1),"")</f>
        <v>P</v>
      </c>
      <c r="Y73" s="3">
        <v>130</v>
      </c>
      <c r="Z73" s="3" t="str">
        <f>IFERROR(MID(VLOOKUP($B73,Seqs!$A:$B,2,0),AA73,1),"")</f>
        <v>R</v>
      </c>
      <c r="AA73" s="3">
        <v>137</v>
      </c>
      <c r="AB73" s="3" t="str">
        <f>IFERROR(MID(VLOOKUP($B73,Seqs!$A:$B,2,0),AC73,1),"")</f>
        <v>T</v>
      </c>
      <c r="AC73" s="9">
        <v>138</v>
      </c>
      <c r="AD73" s="3" t="str">
        <f>IFERROR(MID(VLOOKUP($B73,Seqs!$A:$B,2,0),AE73,1),"")</f>
        <v>G</v>
      </c>
      <c r="AE73" s="3">
        <v>169</v>
      </c>
      <c r="AF73" s="3" t="str">
        <f>IFERROR(MID(VLOOKUP($B73,Seqs!$A:$B,2,0),AG73,1),"")</f>
        <v>C</v>
      </c>
      <c r="AG73" s="3">
        <v>178</v>
      </c>
      <c r="AH73" s="3" t="str">
        <f>IFERROR(MID(VLOOKUP($B73,Seqs!$A:$B,2,0),AI73,1),"")</f>
        <v>I</v>
      </c>
      <c r="AI73" s="3">
        <v>180</v>
      </c>
      <c r="AJ73" s="3" t="str">
        <f>IFERROR(MID(VLOOKUP($B73,Seqs!$A:$B,2,0),AK73,1),"")</f>
        <v>Q</v>
      </c>
      <c r="AK73" s="3">
        <v>185</v>
      </c>
      <c r="AL73" s="3" t="str">
        <f>IFERROR(MID(VLOOKUP($B73,Seqs!$A:$B,2,0),AM73,1),"")</f>
        <v>R</v>
      </c>
      <c r="AM73" s="3">
        <v>213</v>
      </c>
      <c r="AN73" s="3" t="str">
        <f>IFERROR(MID(VLOOKUP($B73,Seqs!$A:$B,2,0),AO73,1),"")</f>
        <v>L</v>
      </c>
      <c r="AO73" s="3">
        <v>357</v>
      </c>
      <c r="AP73" s="3" t="str">
        <f>IFERROR(MID(VLOOKUP($B73,Seqs!$A:$B,2,0),AQ73,1),"")</f>
        <v>C</v>
      </c>
      <c r="AQ73" s="3">
        <v>391</v>
      </c>
      <c r="AR73" s="3" t="str">
        <f>IFERROR(MID(VLOOKUP($B73,Seqs!$A:$B,2,0),AS73,1),"")</f>
        <v>P</v>
      </c>
      <c r="AS73" s="3">
        <v>396</v>
      </c>
      <c r="AT73" s="3" t="str">
        <f>IFERROR(MID(VLOOKUP($B73,Seqs!$A:$B,2,0),AU73,1),"")</f>
        <v>C</v>
      </c>
      <c r="AU73" s="3">
        <v>421</v>
      </c>
      <c r="AV73" s="3" t="str">
        <f>IFERROR(MID(VLOOKUP($B73,Seqs!$A:$B,2,0),AW73,1),"")</f>
        <v>N</v>
      </c>
      <c r="AW73" s="3">
        <v>422</v>
      </c>
      <c r="AX73" s="3" t="str">
        <f>IFERROR(MID(VLOOKUP($B73,Seqs!$A:$B,2,0),AY73,1),"")</f>
        <v>L</v>
      </c>
      <c r="AY73" s="3">
        <v>434</v>
      </c>
      <c r="AZ73" s="77" t="str">
        <f>VLOOKUP(B73,Classification!A:D,2,0)</f>
        <v>A</v>
      </c>
      <c r="BA73" s="94" t="str">
        <f>VLOOKUP(B73,Classification!A:D,4,0)</f>
        <v>Acetylcholine(muscarinic)</v>
      </c>
      <c r="BB73" s="27" t="b">
        <f t="shared" si="1"/>
        <v>1</v>
      </c>
      <c r="BC73" s="23">
        <f t="shared" si="225"/>
        <v>254</v>
      </c>
      <c r="BD73" s="16" t="s">
        <v>1376</v>
      </c>
      <c r="BE73" s="3" t="s">
        <v>1374</v>
      </c>
      <c r="BF73" s="119">
        <v>2.7</v>
      </c>
      <c r="BG73" s="49" t="s">
        <v>1377</v>
      </c>
      <c r="BH73" s="49" t="s">
        <v>1377</v>
      </c>
      <c r="BI73" s="1"/>
      <c r="BJ73" s="70" t="s">
        <v>1287</v>
      </c>
      <c r="BK73" s="57" t="s">
        <v>1287</v>
      </c>
      <c r="BL73" s="57" t="s">
        <v>1287</v>
      </c>
      <c r="BM73" s="57" t="s">
        <v>1287</v>
      </c>
      <c r="BN73" s="57" t="s">
        <v>1287</v>
      </c>
      <c r="BO73" s="57" t="s">
        <v>1287</v>
      </c>
      <c r="BP73" s="57" t="s">
        <v>1287</v>
      </c>
      <c r="BQ73" s="57" t="s">
        <v>1287</v>
      </c>
      <c r="BR73" s="57" t="s">
        <v>1287</v>
      </c>
      <c r="BS73" s="57" t="s">
        <v>1287</v>
      </c>
      <c r="BT73" s="57" t="s">
        <v>1287</v>
      </c>
      <c r="BU73" s="57" t="s">
        <v>1287</v>
      </c>
      <c r="BV73" s="70">
        <f t="shared" si="226"/>
        <v>22</v>
      </c>
      <c r="BW73" s="71">
        <f t="shared" si="227"/>
        <v>54</v>
      </c>
      <c r="BX73" s="72">
        <f t="shared" si="228"/>
        <v>58</v>
      </c>
      <c r="BY73" s="71">
        <f t="shared" si="229"/>
        <v>90</v>
      </c>
      <c r="BZ73" s="72">
        <f t="shared" si="230"/>
        <v>94</v>
      </c>
      <c r="CA73" s="71">
        <f t="shared" si="231"/>
        <v>130</v>
      </c>
      <c r="CB73" s="72">
        <f t="shared" si="232"/>
        <v>138</v>
      </c>
      <c r="CC73" s="71">
        <f t="shared" si="233"/>
        <v>178</v>
      </c>
      <c r="CD73" s="72">
        <f t="shared" si="234"/>
        <v>185</v>
      </c>
      <c r="CE73" s="71">
        <f t="shared" si="235"/>
        <v>357</v>
      </c>
      <c r="CF73" s="72">
        <f t="shared" si="236"/>
        <v>396</v>
      </c>
      <c r="CG73" s="71">
        <f t="shared" si="237"/>
        <v>422</v>
      </c>
      <c r="CH73" s="70">
        <f t="shared" si="238"/>
        <v>53</v>
      </c>
      <c r="CI73" s="71">
        <f t="shared" si="239"/>
        <v>57</v>
      </c>
      <c r="CJ73" s="72">
        <f t="shared" si="240"/>
        <v>89</v>
      </c>
      <c r="CK73" s="72">
        <f t="shared" si="241"/>
        <v>93</v>
      </c>
      <c r="CL73" s="72">
        <f t="shared" si="242"/>
        <v>129</v>
      </c>
      <c r="CM73" s="72">
        <f t="shared" si="243"/>
        <v>137</v>
      </c>
      <c r="CN73" s="72">
        <f t="shared" si="244"/>
        <v>169</v>
      </c>
      <c r="CO73" s="72">
        <f t="shared" si="245"/>
        <v>180</v>
      </c>
      <c r="CP73" s="72">
        <f t="shared" si="246"/>
        <v>213</v>
      </c>
      <c r="CQ73" s="72">
        <f t="shared" si="247"/>
        <v>391</v>
      </c>
      <c r="CR73" s="72">
        <f t="shared" si="248"/>
        <v>421</v>
      </c>
      <c r="CS73" s="72">
        <f t="shared" si="249"/>
        <v>434</v>
      </c>
      <c r="CT73" s="23">
        <f t="shared" si="250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s="12" customFormat="1" x14ac:dyDescent="0.2">
      <c r="A74" s="9" t="str">
        <f t="shared" ref="A74" si="419">CONCATENATE(B74,"_",C74)</f>
        <v>acm1_human_6OIJ</v>
      </c>
      <c r="B74" s="9" t="s">
        <v>146</v>
      </c>
      <c r="C74" s="9" t="s">
        <v>1577</v>
      </c>
      <c r="D74" s="9" t="str">
        <f>IFERROR(MID(VLOOKUP($B74,Seqs!$A:$B,2,0),E74,1),"")</f>
        <v>W</v>
      </c>
      <c r="E74" s="9">
        <v>23</v>
      </c>
      <c r="F74" s="9" t="str">
        <f>IFERROR(MID(VLOOKUP($B74,Seqs!$A:$B,2,0),G74,1),"")</f>
        <v>N</v>
      </c>
      <c r="G74" s="9">
        <v>53</v>
      </c>
      <c r="H74" s="9" t="str">
        <f>IFERROR(MID(VLOOKUP($B74,Seqs!$A:$B,2,0),I74,1),"")</f>
        <v>T</v>
      </c>
      <c r="I74" s="109">
        <v>54</v>
      </c>
      <c r="J74" s="9" t="str">
        <f>IFERROR(MID(VLOOKUP($B74,Seqs!$A:$B,2,0),K74,1),"")</f>
        <v>K</v>
      </c>
      <c r="K74" s="109">
        <v>57</v>
      </c>
      <c r="L74" s="9" t="str">
        <f>IFERROR(MID(VLOOKUP($B74,Seqs!$A:$B,2,0),M74,1),"")</f>
        <v>N</v>
      </c>
      <c r="M74" s="9">
        <v>60</v>
      </c>
      <c r="N74" s="9" t="str">
        <f>IFERROR(MID(VLOOKUP($B74,Seqs!$A:$B,2,0),O74,1),"")</f>
        <v>G</v>
      </c>
      <c r="O74" s="9">
        <v>89</v>
      </c>
      <c r="P74" s="9" t="str">
        <f>IFERROR(MID(VLOOKUP($B74,Seqs!$A:$B,2,0),Q74,1),"")</f>
        <v>H</v>
      </c>
      <c r="Q74" s="9">
        <v>90</v>
      </c>
      <c r="R74" s="9" t="str">
        <f>IFERROR(MID(VLOOKUP($B74,Seqs!$A:$B,2,0),S74,1),"")</f>
        <v>L</v>
      </c>
      <c r="S74" s="9">
        <v>93</v>
      </c>
      <c r="T74" s="9" t="str">
        <f>IFERROR(MID(VLOOKUP($B74,Seqs!$A:$B,2,0),U74,1),"")</f>
        <v>G</v>
      </c>
      <c r="U74" s="9">
        <v>94</v>
      </c>
      <c r="V74" s="9" t="str">
        <f>IFERROR(MID(VLOOKUP($B74,Seqs!$A:$B,2,0),W74,1),"")</f>
        <v>R</v>
      </c>
      <c r="W74" s="9">
        <v>129</v>
      </c>
      <c r="X74" s="9" t="str">
        <f>IFERROR(MID(VLOOKUP($B74,Seqs!$A:$B,2,0),Y74,1),"")</f>
        <v>P</v>
      </c>
      <c r="Y74" s="9">
        <v>130</v>
      </c>
      <c r="Z74" s="9" t="str">
        <f>IFERROR(MID(VLOOKUP($B74,Seqs!$A:$B,2,0),AA74,1),"")</f>
        <v>R</v>
      </c>
      <c r="AA74" s="9">
        <v>137</v>
      </c>
      <c r="AB74" s="9" t="str">
        <f>IFERROR(MID(VLOOKUP($B74,Seqs!$A:$B,2,0),AC74,1),"")</f>
        <v>T</v>
      </c>
      <c r="AC74" s="9">
        <v>138</v>
      </c>
      <c r="AD74" s="9" t="str">
        <f>IFERROR(MID(VLOOKUP($B74,Seqs!$A:$B,2,0),AE74,1),"")</f>
        <v>G</v>
      </c>
      <c r="AE74" s="9">
        <v>169</v>
      </c>
      <c r="AF74" s="9" t="str">
        <f>IFERROR(MID(VLOOKUP($B74,Seqs!$A:$B,2,0),AG74,1),"")</f>
        <v>C</v>
      </c>
      <c r="AG74" s="9">
        <v>178</v>
      </c>
      <c r="AH74" s="9" t="str">
        <f>IFERROR(MID(VLOOKUP($B74,Seqs!$A:$B,2,0),AI74,1),"")</f>
        <v>I</v>
      </c>
      <c r="AI74" s="9">
        <v>180</v>
      </c>
      <c r="AJ74" s="9" t="str">
        <f>IFERROR(MID(VLOOKUP($B74,Seqs!$A:$B,2,0),AK74,1),"")</f>
        <v>Q</v>
      </c>
      <c r="AK74" s="9">
        <v>185</v>
      </c>
      <c r="AL74" s="9" t="str">
        <f>IFERROR(MID(VLOOKUP($B74,Seqs!$A:$B,2,0),AM74,1),"")</f>
        <v>L</v>
      </c>
      <c r="AM74" s="9">
        <v>225</v>
      </c>
      <c r="AN74" s="9" t="str">
        <f>IFERROR(MID(VLOOKUP($B74,Seqs!$A:$B,2,0),AO74,1),"")</f>
        <v>K</v>
      </c>
      <c r="AO74" s="9">
        <v>362</v>
      </c>
      <c r="AP74" s="9" t="str">
        <f>IFERROR(MID(VLOOKUP($B74,Seqs!$A:$B,2,0),AQ74,1),"")</f>
        <v>C</v>
      </c>
      <c r="AQ74" s="9">
        <v>391</v>
      </c>
      <c r="AR74" s="9" t="str">
        <f>IFERROR(MID(VLOOKUP($B74,Seqs!$A:$B,2,0),AS74,1),"")</f>
        <v>E</v>
      </c>
      <c r="AS74" s="9">
        <v>397</v>
      </c>
      <c r="AT74" s="9" t="str">
        <f>IFERROR(MID(VLOOKUP($B74,Seqs!$A:$B,2,0),AU74,1),"")</f>
        <v>C</v>
      </c>
      <c r="AU74" s="9">
        <v>421</v>
      </c>
      <c r="AV74" s="9" t="str">
        <f>IFERROR(MID(VLOOKUP($B74,Seqs!$A:$B,2,0),AW74,1),"")</f>
        <v>N</v>
      </c>
      <c r="AW74" s="9">
        <v>422</v>
      </c>
      <c r="AX74" s="9" t="str">
        <f>IFERROR(MID(VLOOKUP($B74,Seqs!$A:$B,2,0),AY74,1),"")</f>
        <v>L</v>
      </c>
      <c r="AY74" s="9">
        <v>433</v>
      </c>
      <c r="AZ74" s="110" t="str">
        <f>VLOOKUP(B74,Classification!A:D,2,0)</f>
        <v>A</v>
      </c>
      <c r="BA74" s="98" t="str">
        <f>VLOOKUP(B74,Classification!A:D,4,0)</f>
        <v>Acetylcholine(muscarinic)</v>
      </c>
      <c r="BB74" s="36" t="b">
        <f t="shared" ref="BB74" si="420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C74" s="109">
        <f t="shared" ref="BC74" si="421">_xlfn.AGGREGATE(9,6,CH74:CS74)-_xlfn.AGGREGATE(9,6,BV74:CG74)+12</f>
        <v>256</v>
      </c>
      <c r="BD74" s="127" t="s">
        <v>1375</v>
      </c>
      <c r="BE74" s="9" t="s">
        <v>1291</v>
      </c>
      <c r="BF74" s="120">
        <v>3.3</v>
      </c>
      <c r="BG74" s="51" t="s">
        <v>1422</v>
      </c>
      <c r="BH74" s="51" t="s">
        <v>1422</v>
      </c>
      <c r="BJ74" s="111" t="s">
        <v>1287</v>
      </c>
      <c r="BK74" s="112" t="s">
        <v>1287</v>
      </c>
      <c r="BL74" s="112" t="s">
        <v>1287</v>
      </c>
      <c r="BM74" s="112" t="s">
        <v>1287</v>
      </c>
      <c r="BN74" s="112" t="s">
        <v>1287</v>
      </c>
      <c r="BO74" s="112" t="s">
        <v>1287</v>
      </c>
      <c r="BP74" s="112" t="s">
        <v>1287</v>
      </c>
      <c r="BQ74" s="112" t="s">
        <v>1287</v>
      </c>
      <c r="BR74" s="112" t="s">
        <v>1287</v>
      </c>
      <c r="BS74" s="112" t="s">
        <v>1287</v>
      </c>
      <c r="BT74" s="112" t="s">
        <v>1287</v>
      </c>
      <c r="BU74" s="112" t="s">
        <v>1287</v>
      </c>
      <c r="BV74" s="111">
        <f t="shared" ref="BV74" si="422">E74</f>
        <v>23</v>
      </c>
      <c r="BW74" s="113">
        <f t="shared" ref="BW74" si="423">I74</f>
        <v>54</v>
      </c>
      <c r="BX74" s="114">
        <f t="shared" ref="BX74" si="424">M74</f>
        <v>60</v>
      </c>
      <c r="BY74" s="113">
        <f t="shared" ref="BY74" si="425">Q74</f>
        <v>90</v>
      </c>
      <c r="BZ74" s="114">
        <f t="shared" ref="BZ74" si="426">U74</f>
        <v>94</v>
      </c>
      <c r="CA74" s="113">
        <f t="shared" ref="CA74" si="427">Y74</f>
        <v>130</v>
      </c>
      <c r="CB74" s="114">
        <f t="shared" ref="CB74" si="428">AC74</f>
        <v>138</v>
      </c>
      <c r="CC74" s="113">
        <f t="shared" ref="CC74" si="429">AG74</f>
        <v>178</v>
      </c>
      <c r="CD74" s="114">
        <f t="shared" ref="CD74" si="430">AK74</f>
        <v>185</v>
      </c>
      <c r="CE74" s="113">
        <f t="shared" ref="CE74" si="431">AO74</f>
        <v>362</v>
      </c>
      <c r="CF74" s="114">
        <f t="shared" ref="CF74" si="432">AS74</f>
        <v>397</v>
      </c>
      <c r="CG74" s="113">
        <f t="shared" ref="CG74" si="433">AW74</f>
        <v>422</v>
      </c>
      <c r="CH74" s="111">
        <f t="shared" ref="CH74" si="434">G74</f>
        <v>53</v>
      </c>
      <c r="CI74" s="113">
        <f t="shared" ref="CI74" si="435">K74</f>
        <v>57</v>
      </c>
      <c r="CJ74" s="114">
        <f t="shared" ref="CJ74" si="436">O74</f>
        <v>89</v>
      </c>
      <c r="CK74" s="114">
        <f t="shared" ref="CK74" si="437">S74</f>
        <v>93</v>
      </c>
      <c r="CL74" s="114">
        <f t="shared" ref="CL74" si="438">W74</f>
        <v>129</v>
      </c>
      <c r="CM74" s="114">
        <f t="shared" ref="CM74" si="439">AA74</f>
        <v>137</v>
      </c>
      <c r="CN74" s="114">
        <f t="shared" ref="CN74" si="440">AE74</f>
        <v>169</v>
      </c>
      <c r="CO74" s="114">
        <f t="shared" ref="CO74" si="441">AI74</f>
        <v>180</v>
      </c>
      <c r="CP74" s="114">
        <f t="shared" ref="CP74" si="442">AM74</f>
        <v>225</v>
      </c>
      <c r="CQ74" s="114">
        <f t="shared" ref="CQ74" si="443">AQ74</f>
        <v>391</v>
      </c>
      <c r="CR74" s="114">
        <f t="shared" ref="CR74" si="444">AU74</f>
        <v>421</v>
      </c>
      <c r="CS74" s="114">
        <f t="shared" ref="CS74" si="445">AY74</f>
        <v>433</v>
      </c>
      <c r="CT74" s="109">
        <f t="shared" ref="CT74" si="446">M74-K74</f>
        <v>3</v>
      </c>
    </row>
    <row r="75" spans="1:1029" x14ac:dyDescent="0.2">
      <c r="A75" s="3" t="str">
        <f t="shared" si="0"/>
        <v>acm2_human__wt</v>
      </c>
      <c r="B75" s="3" t="s">
        <v>147</v>
      </c>
      <c r="C75" s="3" t="s">
        <v>100</v>
      </c>
      <c r="D75" s="3" t="str">
        <f>IFERROR(MID(VLOOKUP($B75,Seqs!$A:$B,2,0),E75,1),"")</f>
        <v>K</v>
      </c>
      <c r="E75" s="3">
        <v>19</v>
      </c>
      <c r="F75" s="3" t="str">
        <f>IFERROR(MID(VLOOKUP($B75,Seqs!$A:$B,2,0),G75,1),"")</f>
        <v>N</v>
      </c>
      <c r="G75" s="3">
        <v>51</v>
      </c>
      <c r="H75" s="3" t="str">
        <f>IFERROR(MID(VLOOKUP($B75,Seqs!$A:$B,2,0),I75,1),"")</f>
        <v>R</v>
      </c>
      <c r="I75" s="23">
        <v>52</v>
      </c>
      <c r="J75" s="3" t="str">
        <f>IFERROR(MID(VLOOKUP($B75,Seqs!$A:$B,2,0),K75,1),"")</f>
        <v>Q</v>
      </c>
      <c r="K75" s="23">
        <v>55</v>
      </c>
      <c r="L75" s="3" t="str">
        <f>IFERROR(MID(VLOOKUP($B75,Seqs!$A:$B,2,0),M75,1),"")</f>
        <v>T</v>
      </c>
      <c r="M75" s="3">
        <v>56</v>
      </c>
      <c r="N75" s="3" t="str">
        <f>IFERROR(MID(VLOOKUP($B75,Seqs!$A:$B,2,0),O75,1),"")</f>
        <v>G</v>
      </c>
      <c r="O75" s="105">
        <v>87</v>
      </c>
      <c r="P75" s="3" t="str">
        <f>IFERROR(MID(VLOOKUP($B75,Seqs!$A:$B,2,0),Q75,1),"")</f>
        <v>Y</v>
      </c>
      <c r="Q75" s="3">
        <v>88</v>
      </c>
      <c r="R75" s="3" t="str">
        <f>IFERROR(MID(VLOOKUP($B75,Seqs!$A:$B,2,0),S75,1),"")</f>
        <v>L</v>
      </c>
      <c r="S75" s="3">
        <v>91</v>
      </c>
      <c r="T75" s="3" t="str">
        <f>IFERROR(MID(VLOOKUP($B75,Seqs!$A:$B,2,0),U75,1),"")</f>
        <v>G</v>
      </c>
      <c r="U75" s="3">
        <v>92</v>
      </c>
      <c r="V75" s="3" t="str">
        <f>IFERROR(MID(VLOOKUP($B75,Seqs!$A:$B,2,0),W75,1),"")</f>
        <v>K</v>
      </c>
      <c r="W75" s="3">
        <v>127</v>
      </c>
      <c r="X75" s="3" t="str">
        <f>IFERROR(MID(VLOOKUP($B75,Seqs!$A:$B,2,0),Y75,1),"")</f>
        <v>P</v>
      </c>
      <c r="Y75" s="3">
        <v>128</v>
      </c>
      <c r="Z75" s="3" t="str">
        <f>IFERROR(MID(VLOOKUP($B75,Seqs!$A:$B,2,0),AA75,1),"")</f>
        <v>R</v>
      </c>
      <c r="AA75" s="3">
        <v>135</v>
      </c>
      <c r="AB75" s="3" t="str">
        <f>IFERROR(MID(VLOOKUP($B75,Seqs!$A:$B,2,0),AC75,1),"")</f>
        <v>T</v>
      </c>
      <c r="AC75" s="9">
        <v>136</v>
      </c>
      <c r="AD75" s="3" t="str">
        <f>IFERROR(MID(VLOOKUP($B75,Seqs!$A:$B,2,0),AE75,1),"")</f>
        <v>G</v>
      </c>
      <c r="AE75" s="3">
        <v>167</v>
      </c>
      <c r="AF75" s="3" t="str">
        <f>IFERROR(MID(VLOOKUP($B75,Seqs!$A:$B,2,0),AG75,1),"")</f>
        <v>C</v>
      </c>
      <c r="AG75" s="3">
        <v>176</v>
      </c>
      <c r="AH75" s="3" t="str">
        <f>IFERROR(MID(VLOOKUP($B75,Seqs!$A:$B,2,0),AI75,1),"")</f>
        <v>I</v>
      </c>
      <c r="AI75" s="3">
        <v>178</v>
      </c>
      <c r="AJ75" s="3" t="str">
        <f>IFERROR(MID(VLOOKUP($B75,Seqs!$A:$B,2,0),AK75,1),"")</f>
        <v>N</v>
      </c>
      <c r="AK75" s="3">
        <v>183</v>
      </c>
      <c r="AL75" s="3" t="str">
        <f>IFERROR(MID(VLOOKUP($B75,Seqs!$A:$B,2,0),AM75,1),"")</f>
        <v>E</v>
      </c>
      <c r="AM75" s="3">
        <v>223</v>
      </c>
      <c r="AN75" s="3" t="str">
        <f>IFERROR(MID(VLOOKUP($B75,Seqs!$A:$B,2,0),AO75,1),"")</f>
        <v>K</v>
      </c>
      <c r="AO75" s="3">
        <v>376</v>
      </c>
      <c r="AP75" s="3" t="str">
        <f>IFERROR(MID(VLOOKUP($B75,Seqs!$A:$B,2,0),AQ75,1),"")</f>
        <v>C</v>
      </c>
      <c r="AQ75" s="3">
        <v>413</v>
      </c>
      <c r="AR75" s="3" t="str">
        <f>IFERROR(MID(VLOOKUP($B75,Seqs!$A:$B,2,0),AS75,1),"")</f>
        <v>P</v>
      </c>
      <c r="AS75" s="3">
        <v>418</v>
      </c>
      <c r="AT75" s="3" t="str">
        <f>IFERROR(MID(VLOOKUP($B75,Seqs!$A:$B,2,0),AU75,1),"")</f>
        <v>C</v>
      </c>
      <c r="AU75" s="3">
        <v>443</v>
      </c>
      <c r="AV75" s="3" t="str">
        <f>IFERROR(MID(VLOOKUP($B75,Seqs!$A:$B,2,0),AW75,1),"")</f>
        <v>N</v>
      </c>
      <c r="AW75" s="3">
        <v>444</v>
      </c>
      <c r="AX75" s="3" t="str">
        <f>IFERROR(MID(VLOOKUP($B75,Seqs!$A:$B,2,0),AY75,1),"")</f>
        <v>M</v>
      </c>
      <c r="AY75" s="3">
        <v>456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si="1"/>
        <v>1</v>
      </c>
      <c r="BC75" s="23">
        <f t="shared" si="225"/>
        <v>270</v>
      </c>
      <c r="BD75" s="56" t="s">
        <v>23</v>
      </c>
      <c r="BE75" s="3" t="s">
        <v>23</v>
      </c>
      <c r="BF75" s="119" t="s">
        <v>23</v>
      </c>
      <c r="BG75" s="49" t="s">
        <v>1372</v>
      </c>
      <c r="BH75" s="49" t="s">
        <v>1377</v>
      </c>
      <c r="BI75" s="1"/>
      <c r="BJ75" s="70" t="s">
        <v>1287</v>
      </c>
      <c r="BK75" s="57" t="s">
        <v>1287</v>
      </c>
      <c r="BL75" s="57" t="s">
        <v>1287</v>
      </c>
      <c r="BM75" s="57" t="s">
        <v>1287</v>
      </c>
      <c r="BN75" s="57" t="s">
        <v>1287</v>
      </c>
      <c r="BO75" s="57" t="s">
        <v>1287</v>
      </c>
      <c r="BP75" s="57" t="s">
        <v>1287</v>
      </c>
      <c r="BQ75" s="57" t="s">
        <v>1287</v>
      </c>
      <c r="BR75" s="57" t="s">
        <v>1287</v>
      </c>
      <c r="BS75" s="57" t="s">
        <v>1287</v>
      </c>
      <c r="BT75" s="57" t="s">
        <v>1287</v>
      </c>
      <c r="BU75" s="57" t="s">
        <v>1287</v>
      </c>
      <c r="BV75" s="70">
        <f t="shared" si="226"/>
        <v>19</v>
      </c>
      <c r="BW75" s="71">
        <f t="shared" si="227"/>
        <v>52</v>
      </c>
      <c r="BX75" s="72">
        <f t="shared" si="228"/>
        <v>56</v>
      </c>
      <c r="BY75" s="71">
        <f t="shared" si="229"/>
        <v>88</v>
      </c>
      <c r="BZ75" s="72">
        <f t="shared" si="230"/>
        <v>92</v>
      </c>
      <c r="CA75" s="71">
        <f t="shared" si="231"/>
        <v>128</v>
      </c>
      <c r="CB75" s="72">
        <f t="shared" si="232"/>
        <v>136</v>
      </c>
      <c r="CC75" s="71">
        <f t="shared" si="233"/>
        <v>176</v>
      </c>
      <c r="CD75" s="72">
        <f t="shared" si="234"/>
        <v>183</v>
      </c>
      <c r="CE75" s="71">
        <f t="shared" si="235"/>
        <v>376</v>
      </c>
      <c r="CF75" s="72">
        <f t="shared" si="236"/>
        <v>418</v>
      </c>
      <c r="CG75" s="71">
        <f t="shared" si="237"/>
        <v>444</v>
      </c>
      <c r="CH75" s="70">
        <f t="shared" si="238"/>
        <v>51</v>
      </c>
      <c r="CI75" s="71">
        <f t="shared" si="239"/>
        <v>55</v>
      </c>
      <c r="CJ75" s="72">
        <f t="shared" si="240"/>
        <v>87</v>
      </c>
      <c r="CK75" s="72">
        <f t="shared" si="241"/>
        <v>91</v>
      </c>
      <c r="CL75" s="72">
        <f t="shared" si="242"/>
        <v>127</v>
      </c>
      <c r="CM75" s="72">
        <f t="shared" si="243"/>
        <v>135</v>
      </c>
      <c r="CN75" s="72">
        <f t="shared" si="244"/>
        <v>167</v>
      </c>
      <c r="CO75" s="72">
        <f t="shared" si="245"/>
        <v>178</v>
      </c>
      <c r="CP75" s="72">
        <f t="shared" si="246"/>
        <v>223</v>
      </c>
      <c r="CQ75" s="72">
        <f t="shared" si="247"/>
        <v>413</v>
      </c>
      <c r="CR75" s="72">
        <f t="shared" si="248"/>
        <v>443</v>
      </c>
      <c r="CS75" s="72">
        <f t="shared" si="249"/>
        <v>456</v>
      </c>
      <c r="CT75" s="23">
        <f t="shared" si="25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ref="A76:A120" si="447">CONCATENATE(B76,"_",C76)</f>
        <v>acm2_human_3UON</v>
      </c>
      <c r="B76" s="3" t="s">
        <v>147</v>
      </c>
      <c r="C76" s="3" t="s">
        <v>79</v>
      </c>
      <c r="D76" s="3" t="str">
        <f>IFERROR(MID(VLOOKUP($B76,Seqs!$A:$B,2,0),E76,1),"")</f>
        <v>V</v>
      </c>
      <c r="E76" s="3">
        <v>23</v>
      </c>
      <c r="F76" s="3" t="str">
        <f>IFERROR(MID(VLOOKUP($B76,Seqs!$A:$B,2,0),G76,1),"")</f>
        <v>N</v>
      </c>
      <c r="G76" s="3">
        <v>51</v>
      </c>
      <c r="H76" s="3" t="str">
        <f>IFERROR(MID(VLOOKUP($B76,Seqs!$A:$B,2,0),I76,1),"")</f>
        <v>R</v>
      </c>
      <c r="I76" s="23">
        <v>52</v>
      </c>
      <c r="J76" s="3" t="str">
        <f>IFERROR(MID(VLOOKUP($B76,Seqs!$A:$B,2,0),K76,1),"")</f>
        <v>Q</v>
      </c>
      <c r="K76" s="23">
        <v>55</v>
      </c>
      <c r="L76" s="3" t="str">
        <f>IFERROR(MID(VLOOKUP($B76,Seqs!$A:$B,2,0),M76,1),"")</f>
        <v>T</v>
      </c>
      <c r="M76" s="3">
        <v>56</v>
      </c>
      <c r="N76" s="3" t="str">
        <f>IFERROR(MID(VLOOKUP($B76,Seqs!$A:$B,2,0),O76,1),"")</f>
        <v>I</v>
      </c>
      <c r="O76" s="3">
        <v>86</v>
      </c>
      <c r="P76" s="3" t="str">
        <f>IFERROR(MID(VLOOKUP($B76,Seqs!$A:$B,2,0),Q76,1),"")</f>
        <v>Y</v>
      </c>
      <c r="Q76" s="3">
        <v>88</v>
      </c>
      <c r="R76" s="3" t="str">
        <f>IFERROR(MID(VLOOKUP($B76,Seqs!$A:$B,2,0),S76,1),"")</f>
        <v>L</v>
      </c>
      <c r="S76" s="3">
        <v>91</v>
      </c>
      <c r="T76" s="3" t="str">
        <f>IFERROR(MID(VLOOKUP($B76,Seqs!$A:$B,2,0),U76,1),"")</f>
        <v>G</v>
      </c>
      <c r="U76" s="3">
        <v>92</v>
      </c>
      <c r="V76" s="3" t="str">
        <f>IFERROR(MID(VLOOKUP($B76,Seqs!$A:$B,2,0),W76,1),"")</f>
        <v>K</v>
      </c>
      <c r="W76" s="3">
        <v>127</v>
      </c>
      <c r="X76" s="3" t="str">
        <f>IFERROR(MID(VLOOKUP($B76,Seqs!$A:$B,2,0),Y76,1),"")</f>
        <v>P</v>
      </c>
      <c r="Y76" s="3">
        <v>128</v>
      </c>
      <c r="Z76" s="3" t="str">
        <f>IFERROR(MID(VLOOKUP($B76,Seqs!$A:$B,2,0),AA76,1),"")</f>
        <v>R</v>
      </c>
      <c r="AA76" s="3">
        <v>135</v>
      </c>
      <c r="AB76" s="3" t="str">
        <f>IFERROR(MID(VLOOKUP($B76,Seqs!$A:$B,2,0),AC76,1),"")</f>
        <v>T</v>
      </c>
      <c r="AC76" s="9">
        <v>136</v>
      </c>
      <c r="AD76" s="3" t="str">
        <f>IFERROR(MID(VLOOKUP($B76,Seqs!$A:$B,2,0),AE76,1),"")</f>
        <v>G</v>
      </c>
      <c r="AE76" s="3">
        <v>167</v>
      </c>
      <c r="AF76" s="3" t="str">
        <f>IFERROR(MID(VLOOKUP($B76,Seqs!$A:$B,2,0),AG76,1),"")</f>
        <v>C</v>
      </c>
      <c r="AG76" s="3">
        <v>176</v>
      </c>
      <c r="AH76" s="3" t="str">
        <f>IFERROR(MID(VLOOKUP($B76,Seqs!$A:$B,2,0),AI76,1),"")</f>
        <v>I</v>
      </c>
      <c r="AI76" s="3">
        <v>178</v>
      </c>
      <c r="AJ76" s="3" t="str">
        <f>IFERROR(MID(VLOOKUP($B76,Seqs!$A:$B,2,0),AK76,1),"")</f>
        <v>N</v>
      </c>
      <c r="AK76" s="3">
        <v>183</v>
      </c>
      <c r="AL76" s="3" t="str">
        <f>IFERROR(MID(VLOOKUP($B76,Seqs!$A:$B,2,0),AM76,1),"")</f>
        <v>S</v>
      </c>
      <c r="AM76" s="3">
        <v>213</v>
      </c>
      <c r="AN76" s="3" t="str">
        <f>IFERROR(MID(VLOOKUP($B76,Seqs!$A:$B,2,0),AO76,1),"")</f>
        <v>K</v>
      </c>
      <c r="AO76" s="3">
        <v>384</v>
      </c>
      <c r="AP76" s="3" t="str">
        <f>IFERROR(MID(VLOOKUP($B76,Seqs!$A:$B,2,0),AQ76,1),"")</f>
        <v>C</v>
      </c>
      <c r="AQ76" s="3">
        <v>413</v>
      </c>
      <c r="AR76" s="3" t="str">
        <f>IFERROR(MID(VLOOKUP($B76,Seqs!$A:$B,2,0),AS76,1),"")</f>
        <v>P</v>
      </c>
      <c r="AS76" s="3">
        <v>418</v>
      </c>
      <c r="AT76" s="3" t="str">
        <f>IFERROR(MID(VLOOKUP($B76,Seqs!$A:$B,2,0),AU76,1),"")</f>
        <v>C</v>
      </c>
      <c r="AU76" s="3">
        <v>443</v>
      </c>
      <c r="AV76" s="3" t="str">
        <f>IFERROR(MID(VLOOKUP($B76,Seqs!$A:$B,2,0),AW76,1),"")</f>
        <v>N</v>
      </c>
      <c r="AW76" s="3">
        <v>444</v>
      </c>
      <c r="AX76" s="3" t="str">
        <f>IFERROR(MID(VLOOKUP($B76,Seqs!$A:$B,2,0),AY76,1),"")</f>
        <v>M</v>
      </c>
      <c r="AY76" s="3">
        <v>456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ref="BB76:BB120" si="448">AND(E76&lt;G76,OR(G76&lt;I76,I76="-"),OR(I76&lt;K76,I76="-"),OR(K76&lt;M76,K76="-"),M76&lt;O76,OR(O76&lt;Q76,Q76="-"),OR(Q76&lt;S76,Q76="-"),OR(S76&lt;U76,S76="-"),U76&lt;W76,OR(W76&lt;Y76,Y76="-"),OR(Y76&lt;AA76,Y76="-"),OR(AA76&lt;AC76,AA76="-"),AC76&lt;AE76,OR(AE76&lt;AG76,AG76="-"),OR(AG76&lt;AI76,AG76="-"),OR(AI76&lt;AK76,AI76="-"),AK76&lt;AM76,AM76&lt;AO76,AO76&lt;AQ76,AQ76&lt;AS76,AS76&lt;AU76,OR(AU76&lt;AW76,AW76="-"),OR(AW76&lt;AY76,AW76="-"))</f>
        <v>1</v>
      </c>
      <c r="BC76" s="23">
        <f t="shared" si="225"/>
        <v>247</v>
      </c>
      <c r="BD76" s="16" t="s">
        <v>23</v>
      </c>
      <c r="BE76" s="3" t="s">
        <v>1374</v>
      </c>
      <c r="BF76" s="119">
        <v>3</v>
      </c>
      <c r="BG76" s="49" t="s">
        <v>1377</v>
      </c>
      <c r="BH76" s="49" t="s">
        <v>1377</v>
      </c>
      <c r="BI76" s="1"/>
      <c r="BJ76" s="70" t="s">
        <v>1287</v>
      </c>
      <c r="BK76" s="57" t="s">
        <v>1287</v>
      </c>
      <c r="BL76" s="57" t="s">
        <v>1287</v>
      </c>
      <c r="BM76" s="57" t="s">
        <v>1287</v>
      </c>
      <c r="BN76" s="57" t="s">
        <v>1287</v>
      </c>
      <c r="BO76" s="57" t="s">
        <v>1287</v>
      </c>
      <c r="BP76" s="57" t="s">
        <v>1287</v>
      </c>
      <c r="BQ76" s="57" t="s">
        <v>1287</v>
      </c>
      <c r="BR76" s="57" t="s">
        <v>1287</v>
      </c>
      <c r="BS76" s="57" t="s">
        <v>1287</v>
      </c>
      <c r="BT76" s="57" t="s">
        <v>1287</v>
      </c>
      <c r="BU76" s="57" t="s">
        <v>1287</v>
      </c>
      <c r="BV76" s="70">
        <f t="shared" si="226"/>
        <v>23</v>
      </c>
      <c r="BW76" s="71">
        <f t="shared" si="227"/>
        <v>52</v>
      </c>
      <c r="BX76" s="72">
        <f t="shared" si="228"/>
        <v>56</v>
      </c>
      <c r="BY76" s="71">
        <f t="shared" si="229"/>
        <v>88</v>
      </c>
      <c r="BZ76" s="72">
        <f t="shared" si="230"/>
        <v>92</v>
      </c>
      <c r="CA76" s="71">
        <f t="shared" si="231"/>
        <v>128</v>
      </c>
      <c r="CB76" s="72">
        <f t="shared" si="232"/>
        <v>136</v>
      </c>
      <c r="CC76" s="71">
        <f t="shared" si="233"/>
        <v>176</v>
      </c>
      <c r="CD76" s="72">
        <f t="shared" si="234"/>
        <v>183</v>
      </c>
      <c r="CE76" s="71">
        <f t="shared" si="235"/>
        <v>384</v>
      </c>
      <c r="CF76" s="72">
        <f t="shared" si="236"/>
        <v>418</v>
      </c>
      <c r="CG76" s="71">
        <f t="shared" si="237"/>
        <v>444</v>
      </c>
      <c r="CH76" s="70">
        <f t="shared" si="238"/>
        <v>51</v>
      </c>
      <c r="CI76" s="71">
        <f t="shared" si="239"/>
        <v>55</v>
      </c>
      <c r="CJ76" s="72">
        <f t="shared" si="240"/>
        <v>86</v>
      </c>
      <c r="CK76" s="72">
        <f t="shared" si="241"/>
        <v>91</v>
      </c>
      <c r="CL76" s="72">
        <f t="shared" si="242"/>
        <v>127</v>
      </c>
      <c r="CM76" s="72">
        <f t="shared" si="243"/>
        <v>135</v>
      </c>
      <c r="CN76" s="72">
        <f t="shared" si="244"/>
        <v>167</v>
      </c>
      <c r="CO76" s="72">
        <f t="shared" si="245"/>
        <v>178</v>
      </c>
      <c r="CP76" s="72">
        <f t="shared" si="246"/>
        <v>213</v>
      </c>
      <c r="CQ76" s="72">
        <f t="shared" si="247"/>
        <v>413</v>
      </c>
      <c r="CR76" s="72">
        <f t="shared" si="248"/>
        <v>443</v>
      </c>
      <c r="CS76" s="72">
        <f t="shared" si="249"/>
        <v>456</v>
      </c>
      <c r="CT76" s="23">
        <f t="shared" si="250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447"/>
        <v>acm2_human_4MQS</v>
      </c>
      <c r="B77" s="3" t="s">
        <v>147</v>
      </c>
      <c r="C77" s="3" t="s">
        <v>68</v>
      </c>
      <c r="D77" s="3" t="str">
        <f>IFERROR(MID(VLOOKUP($B77,Seqs!$A:$B,2,0),E77,1),"")</f>
        <v>K</v>
      </c>
      <c r="E77" s="3">
        <v>19</v>
      </c>
      <c r="F77" s="3" t="str">
        <f>IFERROR(MID(VLOOKUP($B77,Seqs!$A:$B,2,0),G77,1),"")</f>
        <v>N</v>
      </c>
      <c r="G77" s="3">
        <v>51</v>
      </c>
      <c r="H77" s="3" t="str">
        <f>IFERROR(MID(VLOOKUP($B77,Seqs!$A:$B,2,0),I77,1),"")</f>
        <v>R</v>
      </c>
      <c r="I77" s="23">
        <v>52</v>
      </c>
      <c r="J77" s="3" t="str">
        <f>IFERROR(MID(VLOOKUP($B77,Seqs!$A:$B,2,0),K77,1),"")</f>
        <v>Q</v>
      </c>
      <c r="K77" s="23">
        <v>55</v>
      </c>
      <c r="L77" s="3" t="str">
        <f>IFERROR(MID(VLOOKUP($B77,Seqs!$A:$B,2,0),M77,1),"")</f>
        <v>T</v>
      </c>
      <c r="M77" s="3">
        <v>56</v>
      </c>
      <c r="N77" s="3" t="str">
        <f>IFERROR(MID(VLOOKUP($B77,Seqs!$A:$B,2,0),O77,1),"")</f>
        <v>G</v>
      </c>
      <c r="O77" s="3">
        <v>87</v>
      </c>
      <c r="P77" s="3" t="str">
        <f>IFERROR(MID(VLOOKUP($B77,Seqs!$A:$B,2,0),Q77,1),"")</f>
        <v>Y</v>
      </c>
      <c r="Q77" s="3">
        <v>88</v>
      </c>
      <c r="R77" s="3" t="str">
        <f>IFERROR(MID(VLOOKUP($B77,Seqs!$A:$B,2,0),S77,1),"")</f>
        <v>L</v>
      </c>
      <c r="S77" s="3">
        <v>91</v>
      </c>
      <c r="T77" s="3" t="str">
        <f>IFERROR(MID(VLOOKUP($B77,Seqs!$A:$B,2,0),U77,1),"")</f>
        <v>G</v>
      </c>
      <c r="U77" s="3">
        <v>92</v>
      </c>
      <c r="V77" s="3" t="str">
        <f>IFERROR(MID(VLOOKUP($B77,Seqs!$A:$B,2,0),W77,1),"")</f>
        <v>K</v>
      </c>
      <c r="W77" s="3">
        <v>127</v>
      </c>
      <c r="X77" s="3" t="str">
        <f>IFERROR(MID(VLOOKUP($B77,Seqs!$A:$B,2,0),Y77,1),"")</f>
        <v>P</v>
      </c>
      <c r="Y77" s="3">
        <v>128</v>
      </c>
      <c r="Z77" s="3" t="str">
        <f>IFERROR(MID(VLOOKUP($B77,Seqs!$A:$B,2,0),AA77,1),"")</f>
        <v>R</v>
      </c>
      <c r="AA77" s="3">
        <v>135</v>
      </c>
      <c r="AB77" s="3" t="str">
        <f>IFERROR(MID(VLOOKUP($B77,Seqs!$A:$B,2,0),AC77,1),"")</f>
        <v>T</v>
      </c>
      <c r="AC77" s="9">
        <v>136</v>
      </c>
      <c r="AD77" s="3" t="str">
        <f>IFERROR(MID(VLOOKUP($B77,Seqs!$A:$B,2,0),AE77,1),"")</f>
        <v>G</v>
      </c>
      <c r="AE77" s="3">
        <v>167</v>
      </c>
      <c r="AF77" s="3" t="str">
        <f>IFERROR(MID(VLOOKUP($B77,Seqs!$A:$B,2,0),AG77,1),"")</f>
        <v>C</v>
      </c>
      <c r="AG77" s="3">
        <v>176</v>
      </c>
      <c r="AH77" s="3" t="str">
        <f>IFERROR(MID(VLOOKUP($B77,Seqs!$A:$B,2,0),AI77,1),"")</f>
        <v>I</v>
      </c>
      <c r="AI77" s="3">
        <v>178</v>
      </c>
      <c r="AJ77" s="3" t="str">
        <f>IFERROR(MID(VLOOKUP($B77,Seqs!$A:$B,2,0),AK77,1),"")</f>
        <v>N</v>
      </c>
      <c r="AK77" s="3">
        <v>183</v>
      </c>
      <c r="AL77" s="3" t="str">
        <f>IFERROR(MID(VLOOKUP($B77,Seqs!$A:$B,2,0),AM77,1),"")</f>
        <v>K</v>
      </c>
      <c r="AM77" s="3">
        <v>214</v>
      </c>
      <c r="AN77" s="3" t="str">
        <f>IFERROR(MID(VLOOKUP($B77,Seqs!$A:$B,2,0),AO77,1),"")</f>
        <v>S</v>
      </c>
      <c r="AO77" s="3">
        <v>380</v>
      </c>
      <c r="AP77" s="3" t="str">
        <f>IFERROR(MID(VLOOKUP($B77,Seqs!$A:$B,2,0),AQ77,1),"")</f>
        <v>C</v>
      </c>
      <c r="AQ77" s="3">
        <v>413</v>
      </c>
      <c r="AR77" s="3" t="str">
        <f>IFERROR(MID(VLOOKUP($B77,Seqs!$A:$B,2,0),AS77,1),"")</f>
        <v>P</v>
      </c>
      <c r="AS77" s="3">
        <v>418</v>
      </c>
      <c r="AT77" s="3" t="str">
        <f>IFERROR(MID(VLOOKUP($B77,Seqs!$A:$B,2,0),AU77,1),"")</f>
        <v>C</v>
      </c>
      <c r="AU77" s="3">
        <v>443</v>
      </c>
      <c r="AV77" s="3" t="str">
        <f>IFERROR(MID(VLOOKUP($B77,Seqs!$A:$B,2,0),AW77,1),"")</f>
        <v>N</v>
      </c>
      <c r="AW77" s="3">
        <v>444</v>
      </c>
      <c r="AX77" s="3" t="str">
        <f>IFERROR(MID(VLOOKUP($B77,Seqs!$A:$B,2,0),AY77,1),"")</f>
        <v>M</v>
      </c>
      <c r="AY77" s="3">
        <v>456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448"/>
        <v>1</v>
      </c>
      <c r="BC77" s="23">
        <f t="shared" si="225"/>
        <v>257</v>
      </c>
      <c r="BD77" s="4" t="s">
        <v>23</v>
      </c>
      <c r="BE77" s="3" t="s">
        <v>1291</v>
      </c>
      <c r="BF77" s="119">
        <v>3.5</v>
      </c>
      <c r="BG77" s="49" t="s">
        <v>1377</v>
      </c>
      <c r="BH77" s="49" t="s">
        <v>1377</v>
      </c>
      <c r="BI77" s="1"/>
      <c r="BJ77" s="70" t="s">
        <v>1287</v>
      </c>
      <c r="BK77" s="57" t="s">
        <v>1287</v>
      </c>
      <c r="BL77" s="57" t="s">
        <v>1287</v>
      </c>
      <c r="BM77" s="57" t="s">
        <v>1287</v>
      </c>
      <c r="BN77" s="57" t="s">
        <v>1287</v>
      </c>
      <c r="BO77" s="57" t="s">
        <v>1287</v>
      </c>
      <c r="BP77" s="57" t="s">
        <v>1287</v>
      </c>
      <c r="BQ77" s="57" t="s">
        <v>1287</v>
      </c>
      <c r="BR77" s="57" t="s">
        <v>1287</v>
      </c>
      <c r="BS77" s="57" t="s">
        <v>1287</v>
      </c>
      <c r="BT77" s="57" t="s">
        <v>1287</v>
      </c>
      <c r="BU77" s="57" t="s">
        <v>1287</v>
      </c>
      <c r="BV77" s="70">
        <f t="shared" si="226"/>
        <v>19</v>
      </c>
      <c r="BW77" s="71">
        <f t="shared" si="227"/>
        <v>52</v>
      </c>
      <c r="BX77" s="72">
        <f t="shared" si="228"/>
        <v>56</v>
      </c>
      <c r="BY77" s="71">
        <f t="shared" si="229"/>
        <v>88</v>
      </c>
      <c r="BZ77" s="72">
        <f t="shared" si="230"/>
        <v>92</v>
      </c>
      <c r="CA77" s="71">
        <f t="shared" si="231"/>
        <v>128</v>
      </c>
      <c r="CB77" s="72">
        <f t="shared" si="232"/>
        <v>136</v>
      </c>
      <c r="CC77" s="71">
        <f t="shared" si="233"/>
        <v>176</v>
      </c>
      <c r="CD77" s="72">
        <f t="shared" si="234"/>
        <v>183</v>
      </c>
      <c r="CE77" s="71">
        <f t="shared" si="235"/>
        <v>380</v>
      </c>
      <c r="CF77" s="72">
        <f t="shared" si="236"/>
        <v>418</v>
      </c>
      <c r="CG77" s="71">
        <f t="shared" si="237"/>
        <v>444</v>
      </c>
      <c r="CH77" s="70">
        <f t="shared" si="238"/>
        <v>51</v>
      </c>
      <c r="CI77" s="71">
        <f t="shared" si="239"/>
        <v>55</v>
      </c>
      <c r="CJ77" s="72">
        <f t="shared" si="240"/>
        <v>87</v>
      </c>
      <c r="CK77" s="72">
        <f t="shared" si="241"/>
        <v>91</v>
      </c>
      <c r="CL77" s="72">
        <f t="shared" si="242"/>
        <v>127</v>
      </c>
      <c r="CM77" s="72">
        <f t="shared" si="243"/>
        <v>135</v>
      </c>
      <c r="CN77" s="72">
        <f t="shared" si="244"/>
        <v>167</v>
      </c>
      <c r="CO77" s="72">
        <f t="shared" si="245"/>
        <v>178</v>
      </c>
      <c r="CP77" s="72">
        <f t="shared" si="246"/>
        <v>214</v>
      </c>
      <c r="CQ77" s="72">
        <f t="shared" si="247"/>
        <v>413</v>
      </c>
      <c r="CR77" s="72">
        <f t="shared" si="248"/>
        <v>443</v>
      </c>
      <c r="CS77" s="72">
        <f t="shared" si="249"/>
        <v>456</v>
      </c>
      <c r="CT77" s="23">
        <f t="shared" si="25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447"/>
        <v>acm2_human_4MQT</v>
      </c>
      <c r="B78" s="3" t="s">
        <v>147</v>
      </c>
      <c r="C78" s="3" t="s">
        <v>1046</v>
      </c>
      <c r="D78" s="3" t="str">
        <f>IFERROR(MID(VLOOKUP($B78,Seqs!$A:$B,2,0),E78,1),"")</f>
        <v>K</v>
      </c>
      <c r="E78" s="3">
        <v>19</v>
      </c>
      <c r="F78" s="3" t="str">
        <f>IFERROR(MID(VLOOKUP($B78,Seqs!$A:$B,2,0),G78,1),"")</f>
        <v>N</v>
      </c>
      <c r="G78" s="3">
        <v>51</v>
      </c>
      <c r="H78" s="3" t="str">
        <f>IFERROR(MID(VLOOKUP($B78,Seqs!$A:$B,2,0),I78,1),"")</f>
        <v>R</v>
      </c>
      <c r="I78" s="23">
        <v>52</v>
      </c>
      <c r="J78" s="3" t="str">
        <f>IFERROR(MID(VLOOKUP($B78,Seqs!$A:$B,2,0),K78,1),"")</f>
        <v>Q</v>
      </c>
      <c r="K78" s="23">
        <v>55</v>
      </c>
      <c r="L78" s="3" t="str">
        <f>IFERROR(MID(VLOOKUP($B78,Seqs!$A:$B,2,0),M78,1),"")</f>
        <v>T</v>
      </c>
      <c r="M78" s="3">
        <v>56</v>
      </c>
      <c r="N78" s="3" t="str">
        <f>IFERROR(MID(VLOOKUP($B78,Seqs!$A:$B,2,0),O78,1),"")</f>
        <v>G</v>
      </c>
      <c r="O78" s="3">
        <v>87</v>
      </c>
      <c r="P78" s="3" t="str">
        <f>IFERROR(MID(VLOOKUP($B78,Seqs!$A:$B,2,0),Q78,1),"")</f>
        <v>Y</v>
      </c>
      <c r="Q78" s="3">
        <v>88</v>
      </c>
      <c r="R78" s="3" t="str">
        <f>IFERROR(MID(VLOOKUP($B78,Seqs!$A:$B,2,0),S78,1),"")</f>
        <v>L</v>
      </c>
      <c r="S78" s="3">
        <v>91</v>
      </c>
      <c r="T78" s="3" t="str">
        <f>IFERROR(MID(VLOOKUP($B78,Seqs!$A:$B,2,0),U78,1),"")</f>
        <v>G</v>
      </c>
      <c r="U78" s="3">
        <v>92</v>
      </c>
      <c r="V78" s="3" t="str">
        <f>IFERROR(MID(VLOOKUP($B78,Seqs!$A:$B,2,0),W78,1),"")</f>
        <v>K</v>
      </c>
      <c r="W78" s="3">
        <v>127</v>
      </c>
      <c r="X78" s="3" t="str">
        <f>IFERROR(MID(VLOOKUP($B78,Seqs!$A:$B,2,0),Y78,1),"")</f>
        <v>P</v>
      </c>
      <c r="Y78" s="3">
        <v>128</v>
      </c>
      <c r="Z78" s="3" t="str">
        <f>IFERROR(MID(VLOOKUP($B78,Seqs!$A:$B,2,0),AA78,1),"")</f>
        <v>R</v>
      </c>
      <c r="AA78" s="3">
        <v>135</v>
      </c>
      <c r="AB78" s="3" t="str">
        <f>IFERROR(MID(VLOOKUP($B78,Seqs!$A:$B,2,0),AC78,1),"")</f>
        <v>T</v>
      </c>
      <c r="AC78" s="9">
        <v>136</v>
      </c>
      <c r="AD78" s="3" t="str">
        <f>IFERROR(MID(VLOOKUP($B78,Seqs!$A:$B,2,0),AE78,1),"")</f>
        <v>G</v>
      </c>
      <c r="AE78" s="3">
        <v>167</v>
      </c>
      <c r="AF78" s="3" t="str">
        <f>IFERROR(MID(VLOOKUP($B78,Seqs!$A:$B,2,0),AG78,1),"")</f>
        <v>C</v>
      </c>
      <c r="AG78" s="3">
        <v>176</v>
      </c>
      <c r="AH78" s="3" t="str">
        <f>IFERROR(MID(VLOOKUP($B78,Seqs!$A:$B,2,0),AI78,1),"")</f>
        <v>I</v>
      </c>
      <c r="AI78" s="3">
        <v>178</v>
      </c>
      <c r="AJ78" s="3" t="str">
        <f>IFERROR(MID(VLOOKUP($B78,Seqs!$A:$B,2,0),AK78,1),"")</f>
        <v>N</v>
      </c>
      <c r="AK78" s="3">
        <v>183</v>
      </c>
      <c r="AL78" s="3" t="str">
        <f>IFERROR(MID(VLOOKUP($B78,Seqs!$A:$B,2,0),AM78,1),"")</f>
        <v>S</v>
      </c>
      <c r="AM78" s="3">
        <v>215</v>
      </c>
      <c r="AN78" s="3" t="str">
        <f>IFERROR(MID(VLOOKUP($B78,Seqs!$A:$B,2,0),AO78,1),"")</f>
        <v>P</v>
      </c>
      <c r="AO78" s="3">
        <v>379</v>
      </c>
      <c r="AP78" s="3" t="str">
        <f>IFERROR(MID(VLOOKUP($B78,Seqs!$A:$B,2,0),AQ78,1),"")</f>
        <v>C</v>
      </c>
      <c r="AQ78" s="3">
        <v>413</v>
      </c>
      <c r="AR78" s="3" t="str">
        <f>IFERROR(MID(VLOOKUP($B78,Seqs!$A:$B,2,0),AS78,1),"")</f>
        <v>P</v>
      </c>
      <c r="AS78" s="3">
        <v>418</v>
      </c>
      <c r="AT78" s="3" t="str">
        <f>IFERROR(MID(VLOOKUP($B78,Seqs!$A:$B,2,0),AU78,1),"")</f>
        <v>C</v>
      </c>
      <c r="AU78" s="3">
        <v>443</v>
      </c>
      <c r="AV78" s="3" t="str">
        <f>IFERROR(MID(VLOOKUP($B78,Seqs!$A:$B,2,0),AW78,1),"")</f>
        <v>N</v>
      </c>
      <c r="AW78" s="3">
        <v>444</v>
      </c>
      <c r="AX78" s="3" t="str">
        <f>IFERROR(MID(VLOOKUP($B78,Seqs!$A:$B,2,0),AY78,1),"")</f>
        <v>C</v>
      </c>
      <c r="AY78" s="3">
        <v>457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si="448"/>
        <v>1</v>
      </c>
      <c r="BC78" s="23">
        <f t="shared" si="225"/>
        <v>260</v>
      </c>
      <c r="BD78" s="4" t="s">
        <v>1375</v>
      </c>
      <c r="BE78" s="3" t="s">
        <v>1291</v>
      </c>
      <c r="BF78" s="119">
        <v>3.7</v>
      </c>
      <c r="BG78" s="49" t="s">
        <v>1377</v>
      </c>
      <c r="BH78" s="49" t="s">
        <v>1377</v>
      </c>
      <c r="BI78" s="1"/>
      <c r="BJ78" s="70" t="s">
        <v>1287</v>
      </c>
      <c r="BK78" s="57" t="s">
        <v>1287</v>
      </c>
      <c r="BL78" s="57" t="s">
        <v>1287</v>
      </c>
      <c r="BM78" s="57" t="s">
        <v>1287</v>
      </c>
      <c r="BN78" s="57" t="s">
        <v>1287</v>
      </c>
      <c r="BO78" s="57" t="s">
        <v>1287</v>
      </c>
      <c r="BP78" s="57" t="s">
        <v>1287</v>
      </c>
      <c r="BQ78" s="57" t="s">
        <v>1287</v>
      </c>
      <c r="BR78" s="57" t="s">
        <v>1287</v>
      </c>
      <c r="BS78" s="57" t="s">
        <v>1287</v>
      </c>
      <c r="BT78" s="57" t="s">
        <v>1287</v>
      </c>
      <c r="BU78" s="57" t="s">
        <v>1287</v>
      </c>
      <c r="BV78" s="70">
        <f t="shared" si="226"/>
        <v>19</v>
      </c>
      <c r="BW78" s="71">
        <f t="shared" si="227"/>
        <v>52</v>
      </c>
      <c r="BX78" s="72">
        <f t="shared" si="228"/>
        <v>56</v>
      </c>
      <c r="BY78" s="71">
        <f t="shared" si="229"/>
        <v>88</v>
      </c>
      <c r="BZ78" s="72">
        <f t="shared" si="230"/>
        <v>92</v>
      </c>
      <c r="CA78" s="71">
        <f t="shared" si="231"/>
        <v>128</v>
      </c>
      <c r="CB78" s="72">
        <f t="shared" si="232"/>
        <v>136</v>
      </c>
      <c r="CC78" s="71">
        <f t="shared" si="233"/>
        <v>176</v>
      </c>
      <c r="CD78" s="72">
        <f t="shared" si="234"/>
        <v>183</v>
      </c>
      <c r="CE78" s="71">
        <f t="shared" si="235"/>
        <v>379</v>
      </c>
      <c r="CF78" s="72">
        <f t="shared" si="236"/>
        <v>418</v>
      </c>
      <c r="CG78" s="71">
        <f t="shared" si="237"/>
        <v>444</v>
      </c>
      <c r="CH78" s="70">
        <f t="shared" si="238"/>
        <v>51</v>
      </c>
      <c r="CI78" s="71">
        <f t="shared" si="239"/>
        <v>55</v>
      </c>
      <c r="CJ78" s="72">
        <f t="shared" si="240"/>
        <v>87</v>
      </c>
      <c r="CK78" s="72">
        <f t="shared" si="241"/>
        <v>91</v>
      </c>
      <c r="CL78" s="72">
        <f t="shared" si="242"/>
        <v>127</v>
      </c>
      <c r="CM78" s="72">
        <f t="shared" si="243"/>
        <v>135</v>
      </c>
      <c r="CN78" s="72">
        <f t="shared" si="244"/>
        <v>167</v>
      </c>
      <c r="CO78" s="72">
        <f t="shared" si="245"/>
        <v>178</v>
      </c>
      <c r="CP78" s="72">
        <f t="shared" si="246"/>
        <v>215</v>
      </c>
      <c r="CQ78" s="72">
        <f t="shared" si="247"/>
        <v>413</v>
      </c>
      <c r="CR78" s="72">
        <f t="shared" si="248"/>
        <v>443</v>
      </c>
      <c r="CS78" s="72">
        <f t="shared" si="249"/>
        <v>457</v>
      </c>
      <c r="CT78" s="23">
        <f t="shared" si="250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ref="A79" si="449">CONCATENATE(B79,"_",C79)</f>
        <v>acm2_human_5ZKC</v>
      </c>
      <c r="B79" s="3" t="s">
        <v>147</v>
      </c>
      <c r="C79" s="3" t="s">
        <v>1530</v>
      </c>
      <c r="D79" s="3" t="str">
        <f>IFERROR(MID(VLOOKUP($B79,Seqs!$A:$B,2,0),E79,1),"")</f>
        <v>P</v>
      </c>
      <c r="E79" s="3">
        <v>17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3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3">
        <v>136</v>
      </c>
      <c r="AD79" s="3" t="str">
        <f>IFERROR(MID(VLOOKUP($B79,Seqs!$A:$B,2,0),AE79,1),"")</f>
        <v>V</v>
      </c>
      <c r="AE79" s="3">
        <v>166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K</v>
      </c>
      <c r="AM79" s="3">
        <v>214</v>
      </c>
      <c r="AN79" s="3" t="str">
        <f>IFERROR(MID(VLOOKUP($B79,Seqs!$A:$B,2,0),AO79,1),"")</f>
        <v>R</v>
      </c>
      <c r="AO79" s="3">
        <v>381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105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M</v>
      </c>
      <c r="AY79" s="3">
        <v>456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ref="BB79" si="450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23">
        <f t="shared" ref="BC79" si="451">_xlfn.AGGREGATE(9,6,CH79:CS79)-_xlfn.AGGREGATE(9,6,BV79:CG79)+12</f>
        <v>257</v>
      </c>
      <c r="BD79" s="4" t="s">
        <v>1376</v>
      </c>
      <c r="BE79" s="3" t="s">
        <v>1374</v>
      </c>
      <c r="BF79" s="119">
        <v>2.2999999999999998</v>
      </c>
      <c r="BG79" s="49" t="s">
        <v>1</v>
      </c>
      <c r="BH79" s="49" t="s">
        <v>1</v>
      </c>
      <c r="BI79" s="1"/>
      <c r="BJ79" s="70" t="s">
        <v>1287</v>
      </c>
      <c r="BK79" s="57" t="s">
        <v>1287</v>
      </c>
      <c r="BL79" s="57" t="s">
        <v>1287</v>
      </c>
      <c r="BM79" s="57" t="s">
        <v>1287</v>
      </c>
      <c r="BN79" s="57" t="s">
        <v>1287</v>
      </c>
      <c r="BO79" s="57" t="s">
        <v>1287</v>
      </c>
      <c r="BP79" s="57" t="s">
        <v>1287</v>
      </c>
      <c r="BQ79" s="57" t="s">
        <v>1287</v>
      </c>
      <c r="BR79" s="57" t="s">
        <v>1287</v>
      </c>
      <c r="BS79" s="57" t="s">
        <v>1287</v>
      </c>
      <c r="BT79" s="57" t="s">
        <v>1287</v>
      </c>
      <c r="BU79" s="57" t="s">
        <v>1287</v>
      </c>
      <c r="BV79" s="70">
        <f t="shared" ref="BV79" si="452">E79</f>
        <v>17</v>
      </c>
      <c r="BW79" s="71">
        <f t="shared" ref="BW79" si="453">I79</f>
        <v>52</v>
      </c>
      <c r="BX79" s="72">
        <f t="shared" ref="BX79" si="454">M79</f>
        <v>56</v>
      </c>
      <c r="BY79" s="71">
        <f t="shared" ref="BY79" si="455">Q79</f>
        <v>88</v>
      </c>
      <c r="BZ79" s="72">
        <f t="shared" ref="BZ79" si="456">U79</f>
        <v>92</v>
      </c>
      <c r="CA79" s="71">
        <f t="shared" ref="CA79" si="457">Y79</f>
        <v>128</v>
      </c>
      <c r="CB79" s="72">
        <f t="shared" ref="CB79" si="458">AC79</f>
        <v>136</v>
      </c>
      <c r="CC79" s="71">
        <f t="shared" ref="CC79" si="459">AG79</f>
        <v>176</v>
      </c>
      <c r="CD79" s="72">
        <f t="shared" ref="CD79" si="460">AK79</f>
        <v>183</v>
      </c>
      <c r="CE79" s="71">
        <f t="shared" ref="CE79" si="461">AO79</f>
        <v>381</v>
      </c>
      <c r="CF79" s="72">
        <f t="shared" ref="CF79" si="462">AS79</f>
        <v>418</v>
      </c>
      <c r="CG79" s="71">
        <f t="shared" ref="CG79" si="463">AW79</f>
        <v>444</v>
      </c>
      <c r="CH79" s="70">
        <f t="shared" ref="CH79" si="464">G79</f>
        <v>51</v>
      </c>
      <c r="CI79" s="71">
        <f t="shared" ref="CI79" si="465">K79</f>
        <v>55</v>
      </c>
      <c r="CJ79" s="72">
        <f t="shared" ref="CJ79" si="466">O79</f>
        <v>87</v>
      </c>
      <c r="CK79" s="72">
        <f t="shared" ref="CK79" si="467">S79</f>
        <v>91</v>
      </c>
      <c r="CL79" s="72">
        <f t="shared" ref="CL79" si="468">W79</f>
        <v>127</v>
      </c>
      <c r="CM79" s="72">
        <f t="shared" ref="CM79" si="469">AA79</f>
        <v>135</v>
      </c>
      <c r="CN79" s="72">
        <f t="shared" ref="CN79" si="470">AE79</f>
        <v>166</v>
      </c>
      <c r="CO79" s="72">
        <f t="shared" ref="CO79" si="471">AI79</f>
        <v>178</v>
      </c>
      <c r="CP79" s="72">
        <f t="shared" ref="CP79" si="472">AM79</f>
        <v>214</v>
      </c>
      <c r="CQ79" s="72">
        <f t="shared" ref="CQ79" si="473">AQ79</f>
        <v>413</v>
      </c>
      <c r="CR79" s="72">
        <f t="shared" ref="CR79" si="474">AU79</f>
        <v>443</v>
      </c>
      <c r="CS79" s="72">
        <f t="shared" ref="CS79" si="475">AY79</f>
        <v>456</v>
      </c>
      <c r="CT79" s="23">
        <f t="shared" ref="CT79" si="476">M79-K79</f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ref="A80" si="477">CONCATENATE(B80,"_",C80)</f>
        <v>acm2_human_5ZKB</v>
      </c>
      <c r="B80" s="3" t="s">
        <v>147</v>
      </c>
      <c r="C80" s="3" t="s">
        <v>1531</v>
      </c>
      <c r="D80" s="3" t="str">
        <f>IFERROR(MID(VLOOKUP($B80,Seqs!$A:$B,2,0),E80,1),"")</f>
        <v>Y</v>
      </c>
      <c r="E80" s="3">
        <v>18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G</v>
      </c>
      <c r="O80" s="3">
        <v>87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3">
        <v>136</v>
      </c>
      <c r="AD80" s="3" t="str">
        <f>IFERROR(MID(VLOOKUP($B80,Seqs!$A:$B,2,0),AE80,1),"")</f>
        <v>V</v>
      </c>
      <c r="AE80" s="3">
        <v>166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K</v>
      </c>
      <c r="AM80" s="3">
        <v>214</v>
      </c>
      <c r="AN80" s="3" t="str">
        <f>IFERROR(MID(VLOOKUP($B80,Seqs!$A:$B,2,0),AO80,1),"")</f>
        <v>S</v>
      </c>
      <c r="AO80" s="3">
        <v>380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105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M</v>
      </c>
      <c r="AY80" s="3">
        <v>456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ref="BB80" si="478">AND(E80&lt;G80,OR(G80&lt;I80,I80="-"),OR(I80&lt;K80,I80="-"),OR(K80&lt;M80,K80="-"),M80&lt;O80,OR(O80&lt;Q80,Q80="-"),OR(Q80&lt;S80,Q80="-"),OR(S80&lt;U80,S80="-"),U80&lt;W80,OR(W80&lt;Y80,Y80="-"),OR(Y80&lt;AA80,Y80="-"),OR(AA80&lt;AC80,AA80="-"),AC80&lt;AE80,OR(AE80&lt;AG80,AG80="-"),OR(AG80&lt;AI80,AG80="-"),OR(AI80&lt;AK80,AI80="-"),AK80&lt;AM80,AM80&lt;AO80,AO80&lt;AQ80,AQ80&lt;AS80,AS80&lt;AU80,OR(AU80&lt;AW80,AW80="-"),OR(AW80&lt;AY80,AW80="-"))</f>
        <v>1</v>
      </c>
      <c r="BC80" s="23">
        <f t="shared" ref="BC80" si="479">_xlfn.AGGREGATE(9,6,CH80:CS80)-_xlfn.AGGREGATE(9,6,BV80:CG80)+12</f>
        <v>257</v>
      </c>
      <c r="BD80" s="4" t="s">
        <v>23</v>
      </c>
      <c r="BE80" s="3" t="s">
        <v>1374</v>
      </c>
      <c r="BF80" s="119">
        <v>2.95</v>
      </c>
      <c r="BG80" s="49" t="s">
        <v>1</v>
      </c>
      <c r="BH80" s="49" t="s">
        <v>1</v>
      </c>
      <c r="BI80" s="1"/>
      <c r="BJ80" s="70" t="s">
        <v>1287</v>
      </c>
      <c r="BK80" s="57" t="s">
        <v>1287</v>
      </c>
      <c r="BL80" s="57" t="s">
        <v>1287</v>
      </c>
      <c r="BM80" s="57" t="s">
        <v>1287</v>
      </c>
      <c r="BN80" s="57" t="s">
        <v>1287</v>
      </c>
      <c r="BO80" s="57" t="s">
        <v>1287</v>
      </c>
      <c r="BP80" s="57" t="s">
        <v>1287</v>
      </c>
      <c r="BQ80" s="57" t="s">
        <v>1287</v>
      </c>
      <c r="BR80" s="57" t="s">
        <v>1287</v>
      </c>
      <c r="BS80" s="57" t="s">
        <v>1287</v>
      </c>
      <c r="BT80" s="57" t="s">
        <v>1287</v>
      </c>
      <c r="BU80" s="57" t="s">
        <v>1287</v>
      </c>
      <c r="BV80" s="70">
        <f t="shared" ref="BV80" si="480">E80</f>
        <v>18</v>
      </c>
      <c r="BW80" s="71">
        <f t="shared" ref="BW80" si="481">I80</f>
        <v>52</v>
      </c>
      <c r="BX80" s="72">
        <f t="shared" ref="BX80" si="482">M80</f>
        <v>56</v>
      </c>
      <c r="BY80" s="71">
        <f t="shared" ref="BY80" si="483">Q80</f>
        <v>88</v>
      </c>
      <c r="BZ80" s="72">
        <f t="shared" ref="BZ80" si="484">U80</f>
        <v>92</v>
      </c>
      <c r="CA80" s="71">
        <f t="shared" ref="CA80" si="485">Y80</f>
        <v>128</v>
      </c>
      <c r="CB80" s="72">
        <f t="shared" ref="CB80" si="486">AC80</f>
        <v>136</v>
      </c>
      <c r="CC80" s="71">
        <f t="shared" ref="CC80" si="487">AG80</f>
        <v>176</v>
      </c>
      <c r="CD80" s="72">
        <f t="shared" ref="CD80" si="488">AK80</f>
        <v>183</v>
      </c>
      <c r="CE80" s="71">
        <f t="shared" ref="CE80" si="489">AO80</f>
        <v>380</v>
      </c>
      <c r="CF80" s="72">
        <f t="shared" ref="CF80" si="490">AS80</f>
        <v>418</v>
      </c>
      <c r="CG80" s="71">
        <f t="shared" ref="CG80" si="491">AW80</f>
        <v>444</v>
      </c>
      <c r="CH80" s="70">
        <f t="shared" ref="CH80" si="492">G80</f>
        <v>51</v>
      </c>
      <c r="CI80" s="71">
        <f t="shared" ref="CI80" si="493">K80</f>
        <v>55</v>
      </c>
      <c r="CJ80" s="72">
        <f t="shared" ref="CJ80" si="494">O80</f>
        <v>87</v>
      </c>
      <c r="CK80" s="72">
        <f t="shared" ref="CK80" si="495">S80</f>
        <v>91</v>
      </c>
      <c r="CL80" s="72">
        <f t="shared" ref="CL80" si="496">W80</f>
        <v>127</v>
      </c>
      <c r="CM80" s="72">
        <f t="shared" ref="CM80" si="497">AA80</f>
        <v>135</v>
      </c>
      <c r="CN80" s="72">
        <f t="shared" ref="CN80" si="498">AE80</f>
        <v>166</v>
      </c>
      <c r="CO80" s="72">
        <f t="shared" ref="CO80" si="499">AI80</f>
        <v>178</v>
      </c>
      <c r="CP80" s="72">
        <f t="shared" ref="CP80" si="500">AM80</f>
        <v>214</v>
      </c>
      <c r="CQ80" s="72">
        <f t="shared" ref="CQ80" si="501">AQ80</f>
        <v>413</v>
      </c>
      <c r="CR80" s="72">
        <f t="shared" ref="CR80" si="502">AU80</f>
        <v>443</v>
      </c>
      <c r="CS80" s="72">
        <f t="shared" ref="CS80" si="503">AY80</f>
        <v>456</v>
      </c>
      <c r="CT80" s="23">
        <f t="shared" ref="CT80" si="504">M80-K80</f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ref="A81" si="505">CONCATENATE(B81,"_",C81)</f>
        <v>acm2_human_5ZK8</v>
      </c>
      <c r="B81" s="3" t="s">
        <v>147</v>
      </c>
      <c r="C81" s="3" t="s">
        <v>1532</v>
      </c>
      <c r="D81" s="3" t="str">
        <f>IFERROR(MID(VLOOKUP($B81,Seqs!$A:$B,2,0),E81,1),"")</f>
        <v>Y</v>
      </c>
      <c r="E81" s="3">
        <v>18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G</v>
      </c>
      <c r="O81" s="3">
        <v>87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3">
        <v>136</v>
      </c>
      <c r="AD81" s="3" t="str">
        <f>IFERROR(MID(VLOOKUP($B81,Seqs!$A:$B,2,0),AE81,1),"")</f>
        <v>G</v>
      </c>
      <c r="AE81" s="3">
        <v>167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K</v>
      </c>
      <c r="AM81" s="3">
        <v>214</v>
      </c>
      <c r="AN81" s="3" t="str">
        <f>IFERROR(MID(VLOOKUP($B81,Seqs!$A:$B,2,0),AO81,1),"")</f>
        <v>K</v>
      </c>
      <c r="AO81" s="3">
        <v>383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105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ref="BB81" si="506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" si="507">_xlfn.AGGREGATE(9,6,CH81:CS81)-_xlfn.AGGREGATE(9,6,BV81:CG81)+12</f>
        <v>255</v>
      </c>
      <c r="BD81" s="4" t="s">
        <v>23</v>
      </c>
      <c r="BE81" s="3" t="s">
        <v>1374</v>
      </c>
      <c r="BF81" s="119">
        <v>3</v>
      </c>
      <c r="BG81" s="49" t="s">
        <v>1</v>
      </c>
      <c r="BH81" s="49" t="s">
        <v>1</v>
      </c>
      <c r="BI81" s="1"/>
      <c r="BJ81" s="70" t="s">
        <v>1287</v>
      </c>
      <c r="BK81" s="57" t="s">
        <v>1287</v>
      </c>
      <c r="BL81" s="57" t="s">
        <v>1287</v>
      </c>
      <c r="BM81" s="57" t="s">
        <v>1287</v>
      </c>
      <c r="BN81" s="57" t="s">
        <v>1287</v>
      </c>
      <c r="BO81" s="57" t="s">
        <v>1287</v>
      </c>
      <c r="BP81" s="57" t="s">
        <v>1287</v>
      </c>
      <c r="BQ81" s="57" t="s">
        <v>1287</v>
      </c>
      <c r="BR81" s="57" t="s">
        <v>1287</v>
      </c>
      <c r="BS81" s="57" t="s">
        <v>1287</v>
      </c>
      <c r="BT81" s="57" t="s">
        <v>1287</v>
      </c>
      <c r="BU81" s="57" t="s">
        <v>1287</v>
      </c>
      <c r="BV81" s="70">
        <f t="shared" ref="BV81" si="508">E81</f>
        <v>18</v>
      </c>
      <c r="BW81" s="71">
        <f t="shared" ref="BW81" si="509">I81</f>
        <v>52</v>
      </c>
      <c r="BX81" s="72">
        <f t="shared" ref="BX81" si="510">M81</f>
        <v>56</v>
      </c>
      <c r="BY81" s="71">
        <f t="shared" ref="BY81" si="511">Q81</f>
        <v>88</v>
      </c>
      <c r="BZ81" s="72">
        <f t="shared" ref="BZ81" si="512">U81</f>
        <v>92</v>
      </c>
      <c r="CA81" s="71">
        <f t="shared" ref="CA81" si="513">Y81</f>
        <v>128</v>
      </c>
      <c r="CB81" s="72">
        <f t="shared" ref="CB81" si="514">AC81</f>
        <v>136</v>
      </c>
      <c r="CC81" s="71">
        <f t="shared" ref="CC81" si="515">AG81</f>
        <v>176</v>
      </c>
      <c r="CD81" s="72">
        <f t="shared" ref="CD81" si="516">AK81</f>
        <v>183</v>
      </c>
      <c r="CE81" s="71">
        <f t="shared" ref="CE81" si="517">AO81</f>
        <v>383</v>
      </c>
      <c r="CF81" s="72">
        <f t="shared" ref="CF81" si="518">AS81</f>
        <v>418</v>
      </c>
      <c r="CG81" s="71">
        <f t="shared" ref="CG81" si="519">AW81</f>
        <v>444</v>
      </c>
      <c r="CH81" s="70">
        <f t="shared" ref="CH81" si="520">G81</f>
        <v>51</v>
      </c>
      <c r="CI81" s="71">
        <f t="shared" ref="CI81" si="521">K81</f>
        <v>55</v>
      </c>
      <c r="CJ81" s="72">
        <f t="shared" ref="CJ81" si="522">O81</f>
        <v>87</v>
      </c>
      <c r="CK81" s="72">
        <f t="shared" ref="CK81" si="523">S81</f>
        <v>91</v>
      </c>
      <c r="CL81" s="72">
        <f t="shared" ref="CL81" si="524">W81</f>
        <v>127</v>
      </c>
      <c r="CM81" s="72">
        <f t="shared" ref="CM81" si="525">AA81</f>
        <v>135</v>
      </c>
      <c r="CN81" s="72">
        <f t="shared" ref="CN81" si="526">AE81</f>
        <v>167</v>
      </c>
      <c r="CO81" s="72">
        <f t="shared" ref="CO81" si="527">AI81</f>
        <v>178</v>
      </c>
      <c r="CP81" s="72">
        <f t="shared" ref="CP81" si="528">AM81</f>
        <v>214</v>
      </c>
      <c r="CQ81" s="72">
        <f t="shared" ref="CQ81" si="529">AQ81</f>
        <v>413</v>
      </c>
      <c r="CR81" s="72">
        <f t="shared" ref="CR81" si="530">AU81</f>
        <v>443</v>
      </c>
      <c r="CS81" s="72">
        <f t="shared" ref="CS81" si="531">AY81</f>
        <v>456</v>
      </c>
      <c r="CT81" s="23">
        <f t="shared" ref="CT81" si="532">M81-K81</f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ref="A82" si="533">CONCATENATE(B82,"_",C82)</f>
        <v>acm2_human_5ZK3</v>
      </c>
      <c r="B82" s="3" t="s">
        <v>147</v>
      </c>
      <c r="C82" s="3" t="s">
        <v>1533</v>
      </c>
      <c r="D82" s="3" t="str">
        <f>IFERROR(MID(VLOOKUP($B82,Seqs!$A:$B,2,0),E82,1),"")</f>
        <v>Y</v>
      </c>
      <c r="E82" s="3">
        <v>18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3">
        <v>136</v>
      </c>
      <c r="AD82" s="3" t="str">
        <f>IFERROR(MID(VLOOKUP($B82,Seqs!$A:$B,2,0),AE82,1),"")</f>
        <v>G</v>
      </c>
      <c r="AE82" s="3">
        <v>167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K</v>
      </c>
      <c r="AM82" s="3">
        <v>214</v>
      </c>
      <c r="AN82" s="3" t="str">
        <f>IFERROR(MID(VLOOKUP($B82,Seqs!$A:$B,2,0),AO82,1),"")</f>
        <v>E</v>
      </c>
      <c r="AO82" s="3">
        <v>382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105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M</v>
      </c>
      <c r="AY82" s="3">
        <v>456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ref="BB82" si="534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23">
        <f t="shared" ref="BC82" si="535">_xlfn.AGGREGATE(9,6,CH82:CS82)-_xlfn.AGGREGATE(9,6,BV82:CG82)+12</f>
        <v>256</v>
      </c>
      <c r="BD82" s="4" t="s">
        <v>23</v>
      </c>
      <c r="BE82" s="3" t="s">
        <v>1374</v>
      </c>
      <c r="BF82" s="119">
        <v>2.6</v>
      </c>
      <c r="BG82" s="49" t="s">
        <v>1</v>
      </c>
      <c r="BH82" s="49" t="s">
        <v>1</v>
      </c>
      <c r="BI82" s="1"/>
      <c r="BJ82" s="70" t="s">
        <v>1287</v>
      </c>
      <c r="BK82" s="57" t="s">
        <v>1287</v>
      </c>
      <c r="BL82" s="57" t="s">
        <v>1287</v>
      </c>
      <c r="BM82" s="57" t="s">
        <v>1287</v>
      </c>
      <c r="BN82" s="57" t="s">
        <v>1287</v>
      </c>
      <c r="BO82" s="57" t="s">
        <v>1287</v>
      </c>
      <c r="BP82" s="57" t="s">
        <v>1287</v>
      </c>
      <c r="BQ82" s="57" t="s">
        <v>1287</v>
      </c>
      <c r="BR82" s="57" t="s">
        <v>1287</v>
      </c>
      <c r="BS82" s="57" t="s">
        <v>1287</v>
      </c>
      <c r="BT82" s="57" t="s">
        <v>1287</v>
      </c>
      <c r="BU82" s="57" t="s">
        <v>1287</v>
      </c>
      <c r="BV82" s="70">
        <f t="shared" ref="BV82" si="536">E82</f>
        <v>18</v>
      </c>
      <c r="BW82" s="71">
        <f t="shared" ref="BW82" si="537">I82</f>
        <v>52</v>
      </c>
      <c r="BX82" s="72">
        <f t="shared" ref="BX82" si="538">M82</f>
        <v>56</v>
      </c>
      <c r="BY82" s="71">
        <f t="shared" ref="BY82" si="539">Q82</f>
        <v>88</v>
      </c>
      <c r="BZ82" s="72">
        <f t="shared" ref="BZ82" si="540">U82</f>
        <v>92</v>
      </c>
      <c r="CA82" s="71">
        <f t="shared" ref="CA82" si="541">Y82</f>
        <v>128</v>
      </c>
      <c r="CB82" s="72">
        <f t="shared" ref="CB82" si="542">AC82</f>
        <v>136</v>
      </c>
      <c r="CC82" s="71">
        <f t="shared" ref="CC82" si="543">AG82</f>
        <v>176</v>
      </c>
      <c r="CD82" s="72">
        <f t="shared" ref="CD82" si="544">AK82</f>
        <v>183</v>
      </c>
      <c r="CE82" s="71">
        <f t="shared" ref="CE82" si="545">AO82</f>
        <v>382</v>
      </c>
      <c r="CF82" s="72">
        <f t="shared" ref="CF82" si="546">AS82</f>
        <v>418</v>
      </c>
      <c r="CG82" s="71">
        <f t="shared" ref="CG82" si="547">AW82</f>
        <v>444</v>
      </c>
      <c r="CH82" s="70">
        <f t="shared" ref="CH82" si="548">G82</f>
        <v>51</v>
      </c>
      <c r="CI82" s="71">
        <f t="shared" ref="CI82" si="549">K82</f>
        <v>55</v>
      </c>
      <c r="CJ82" s="72">
        <f t="shared" ref="CJ82" si="550">O82</f>
        <v>87</v>
      </c>
      <c r="CK82" s="72">
        <f t="shared" ref="CK82" si="551">S82</f>
        <v>91</v>
      </c>
      <c r="CL82" s="72">
        <f t="shared" ref="CL82" si="552">W82</f>
        <v>127</v>
      </c>
      <c r="CM82" s="72">
        <f t="shared" ref="CM82" si="553">AA82</f>
        <v>135</v>
      </c>
      <c r="CN82" s="72">
        <f t="shared" ref="CN82" si="554">AE82</f>
        <v>167</v>
      </c>
      <c r="CO82" s="72">
        <f t="shared" ref="CO82" si="555">AI82</f>
        <v>178</v>
      </c>
      <c r="CP82" s="72">
        <f t="shared" ref="CP82" si="556">AM82</f>
        <v>214</v>
      </c>
      <c r="CQ82" s="72">
        <f t="shared" ref="CQ82" si="557">AQ82</f>
        <v>413</v>
      </c>
      <c r="CR82" s="72">
        <f t="shared" ref="CR82" si="558">AU82</f>
        <v>443</v>
      </c>
      <c r="CS82" s="72">
        <f t="shared" ref="CS82" si="559">AY82</f>
        <v>456</v>
      </c>
      <c r="CT82" s="23">
        <f t="shared" ref="CT82" si="560">M82-K82</f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ref="A83" si="561">CONCATENATE(B83,"_",C83)</f>
        <v>acm2_human_5YC8</v>
      </c>
      <c r="B83" s="3" t="s">
        <v>147</v>
      </c>
      <c r="C83" s="3" t="s">
        <v>1534</v>
      </c>
      <c r="D83" s="3" t="str">
        <f>IFERROR(MID(VLOOKUP($B83,Seqs!$A:$B,2,0),E83,1),"")</f>
        <v>Y</v>
      </c>
      <c r="E83" s="3">
        <v>18</v>
      </c>
      <c r="F83" s="3" t="str">
        <f>IFERROR(MID(VLOOKUP($B83,Seqs!$A:$B,2,0),G83,1),"")</f>
        <v>N</v>
      </c>
      <c r="G83" s="3">
        <v>51</v>
      </c>
      <c r="H83" s="3" t="str">
        <f>IFERROR(MID(VLOOKUP($B83,Seqs!$A:$B,2,0),I83,1),"")</f>
        <v>R</v>
      </c>
      <c r="I83" s="23">
        <v>52</v>
      </c>
      <c r="J83" s="3" t="str">
        <f>IFERROR(MID(VLOOKUP($B83,Seqs!$A:$B,2,0),K83,1),"")</f>
        <v>Q</v>
      </c>
      <c r="K83" s="23">
        <v>55</v>
      </c>
      <c r="L83" s="3" t="str">
        <f>IFERROR(MID(VLOOKUP($B83,Seqs!$A:$B,2,0),M83,1),"")</f>
        <v>T</v>
      </c>
      <c r="M83" s="3">
        <v>56</v>
      </c>
      <c r="N83" s="3" t="str">
        <f>IFERROR(MID(VLOOKUP($B83,Seqs!$A:$B,2,0),O83,1),"")</f>
        <v>G</v>
      </c>
      <c r="O83" s="3">
        <v>87</v>
      </c>
      <c r="P83" s="3" t="str">
        <f>IFERROR(MID(VLOOKUP($B83,Seqs!$A:$B,2,0),Q83,1),"")</f>
        <v>Y</v>
      </c>
      <c r="Q83" s="3">
        <v>88</v>
      </c>
      <c r="R83" s="3" t="str">
        <f>IFERROR(MID(VLOOKUP($B83,Seqs!$A:$B,2,0),S83,1),"")</f>
        <v>L</v>
      </c>
      <c r="S83" s="3">
        <v>91</v>
      </c>
      <c r="T83" s="3" t="str">
        <f>IFERROR(MID(VLOOKUP($B83,Seqs!$A:$B,2,0),U83,1),"")</f>
        <v>G</v>
      </c>
      <c r="U83" s="3">
        <v>92</v>
      </c>
      <c r="V83" s="3" t="str">
        <f>IFERROR(MID(VLOOKUP($B83,Seqs!$A:$B,2,0),W83,1),"")</f>
        <v>K</v>
      </c>
      <c r="W83" s="3">
        <v>127</v>
      </c>
      <c r="X83" s="3" t="str">
        <f>IFERROR(MID(VLOOKUP($B83,Seqs!$A:$B,2,0),Y83,1),"")</f>
        <v>P</v>
      </c>
      <c r="Y83" s="3">
        <v>128</v>
      </c>
      <c r="Z83" s="3" t="str">
        <f>IFERROR(MID(VLOOKUP($B83,Seqs!$A:$B,2,0),AA83,1),"")</f>
        <v>R</v>
      </c>
      <c r="AA83" s="3">
        <v>135</v>
      </c>
      <c r="AB83" s="3" t="str">
        <f>IFERROR(MID(VLOOKUP($B83,Seqs!$A:$B,2,0),AC83,1),"")</f>
        <v>T</v>
      </c>
      <c r="AC83" s="3">
        <v>136</v>
      </c>
      <c r="AD83" s="3" t="str">
        <f>IFERROR(MID(VLOOKUP($B83,Seqs!$A:$B,2,0),AE83,1),"")</f>
        <v>G</v>
      </c>
      <c r="AE83" s="3">
        <v>167</v>
      </c>
      <c r="AF83" s="3" t="str">
        <f>IFERROR(MID(VLOOKUP($B83,Seqs!$A:$B,2,0),AG83,1),"")</f>
        <v>C</v>
      </c>
      <c r="AG83" s="3">
        <v>176</v>
      </c>
      <c r="AH83" s="3" t="str">
        <f>IFERROR(MID(VLOOKUP($B83,Seqs!$A:$B,2,0),AI83,1),"")</f>
        <v>I</v>
      </c>
      <c r="AI83" s="3">
        <v>178</v>
      </c>
      <c r="AJ83" s="3" t="str">
        <f>IFERROR(MID(VLOOKUP($B83,Seqs!$A:$B,2,0),AK83,1),"")</f>
        <v>N</v>
      </c>
      <c r="AK83" s="3">
        <v>183</v>
      </c>
      <c r="AL83" s="3" t="str">
        <f>IFERROR(MID(VLOOKUP($B83,Seqs!$A:$B,2,0),AM83,1),"")</f>
        <v>K</v>
      </c>
      <c r="AM83" s="3">
        <v>214</v>
      </c>
      <c r="AN83" s="3" t="str">
        <f>IFERROR(MID(VLOOKUP($B83,Seqs!$A:$B,2,0),AO83,1),"")</f>
        <v>R</v>
      </c>
      <c r="AO83" s="3">
        <v>381</v>
      </c>
      <c r="AP83" s="3" t="str">
        <f>IFERROR(MID(VLOOKUP($B83,Seqs!$A:$B,2,0),AQ83,1),"")</f>
        <v>C</v>
      </c>
      <c r="AQ83" s="3">
        <v>413</v>
      </c>
      <c r="AR83" s="3" t="str">
        <f>IFERROR(MID(VLOOKUP($B83,Seqs!$A:$B,2,0),AS83,1),"")</f>
        <v>P</v>
      </c>
      <c r="AS83" s="3">
        <v>418</v>
      </c>
      <c r="AT83" s="3" t="str">
        <f>IFERROR(MID(VLOOKUP($B83,Seqs!$A:$B,2,0),AU83,1),"")</f>
        <v>C</v>
      </c>
      <c r="AU83" s="105">
        <v>443</v>
      </c>
      <c r="AV83" s="3" t="str">
        <f>IFERROR(MID(VLOOKUP($B83,Seqs!$A:$B,2,0),AW83,1),"")</f>
        <v>N</v>
      </c>
      <c r="AW83" s="3">
        <v>444</v>
      </c>
      <c r="AX83" s="3" t="str">
        <f>IFERROR(MID(VLOOKUP($B83,Seqs!$A:$B,2,0),AY83,1),"")</f>
        <v>M</v>
      </c>
      <c r="AY83" s="3">
        <v>456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ref="BB83" si="562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563">_xlfn.AGGREGATE(9,6,CH83:CS83)-_xlfn.AGGREGATE(9,6,BV83:CG83)+12</f>
        <v>257</v>
      </c>
      <c r="BD83" s="4" t="s">
        <v>23</v>
      </c>
      <c r="BE83" s="3" t="s">
        <v>1374</v>
      </c>
      <c r="BF83" s="119">
        <v>2.5</v>
      </c>
      <c r="BG83" s="49" t="s">
        <v>1</v>
      </c>
      <c r="BH83" s="49" t="s">
        <v>1</v>
      </c>
      <c r="BI83" s="1"/>
      <c r="BJ83" s="70" t="s">
        <v>1287</v>
      </c>
      <c r="BK83" s="57" t="s">
        <v>1287</v>
      </c>
      <c r="BL83" s="57" t="s">
        <v>1287</v>
      </c>
      <c r="BM83" s="57" t="s">
        <v>1287</v>
      </c>
      <c r="BN83" s="57" t="s">
        <v>1287</v>
      </c>
      <c r="BO83" s="57" t="s">
        <v>1287</v>
      </c>
      <c r="BP83" s="57" t="s">
        <v>1287</v>
      </c>
      <c r="BQ83" s="57" t="s">
        <v>1287</v>
      </c>
      <c r="BR83" s="57" t="s">
        <v>1287</v>
      </c>
      <c r="BS83" s="57" t="s">
        <v>1287</v>
      </c>
      <c r="BT83" s="57" t="s">
        <v>1287</v>
      </c>
      <c r="BU83" s="57" t="s">
        <v>1287</v>
      </c>
      <c r="BV83" s="70">
        <f t="shared" ref="BV83" si="564">E83</f>
        <v>18</v>
      </c>
      <c r="BW83" s="71">
        <f t="shared" ref="BW83" si="565">I83</f>
        <v>52</v>
      </c>
      <c r="BX83" s="72">
        <f t="shared" ref="BX83" si="566">M83</f>
        <v>56</v>
      </c>
      <c r="BY83" s="71">
        <f t="shared" ref="BY83" si="567">Q83</f>
        <v>88</v>
      </c>
      <c r="BZ83" s="72">
        <f t="shared" ref="BZ83" si="568">U83</f>
        <v>92</v>
      </c>
      <c r="CA83" s="71">
        <f t="shared" ref="CA83" si="569">Y83</f>
        <v>128</v>
      </c>
      <c r="CB83" s="72">
        <f t="shared" ref="CB83" si="570">AC83</f>
        <v>136</v>
      </c>
      <c r="CC83" s="71">
        <f t="shared" ref="CC83" si="571">AG83</f>
        <v>176</v>
      </c>
      <c r="CD83" s="72">
        <f t="shared" ref="CD83" si="572">AK83</f>
        <v>183</v>
      </c>
      <c r="CE83" s="71">
        <f t="shared" ref="CE83" si="573">AO83</f>
        <v>381</v>
      </c>
      <c r="CF83" s="72">
        <f t="shared" ref="CF83" si="574">AS83</f>
        <v>418</v>
      </c>
      <c r="CG83" s="71">
        <f t="shared" ref="CG83" si="575">AW83</f>
        <v>444</v>
      </c>
      <c r="CH83" s="70">
        <f t="shared" ref="CH83" si="576">G83</f>
        <v>51</v>
      </c>
      <c r="CI83" s="71">
        <f t="shared" ref="CI83" si="577">K83</f>
        <v>55</v>
      </c>
      <c r="CJ83" s="72">
        <f t="shared" ref="CJ83" si="578">O83</f>
        <v>87</v>
      </c>
      <c r="CK83" s="72">
        <f t="shared" ref="CK83" si="579">S83</f>
        <v>91</v>
      </c>
      <c r="CL83" s="72">
        <f t="shared" ref="CL83" si="580">W83</f>
        <v>127</v>
      </c>
      <c r="CM83" s="72">
        <f t="shared" ref="CM83" si="581">AA83</f>
        <v>135</v>
      </c>
      <c r="CN83" s="72">
        <f t="shared" ref="CN83" si="582">AE83</f>
        <v>167</v>
      </c>
      <c r="CO83" s="72">
        <f t="shared" ref="CO83" si="583">AI83</f>
        <v>178</v>
      </c>
      <c r="CP83" s="72">
        <f t="shared" ref="CP83" si="584">AM83</f>
        <v>214</v>
      </c>
      <c r="CQ83" s="72">
        <f t="shared" ref="CQ83" si="585">AQ83</f>
        <v>413</v>
      </c>
      <c r="CR83" s="72">
        <f t="shared" ref="CR83" si="586">AU83</f>
        <v>443</v>
      </c>
      <c r="CS83" s="72">
        <f t="shared" ref="CS83" si="587">AY83</f>
        <v>456</v>
      </c>
      <c r="CT83" s="23">
        <f t="shared" ref="CT83" si="588">M83-K83</f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s="12" customFormat="1" x14ac:dyDescent="0.2">
      <c r="A84" s="9" t="str">
        <f t="shared" ref="A84" si="589">CONCATENATE(B84,"_",C84)</f>
        <v>acm2_human_6OIK</v>
      </c>
      <c r="B84" s="9" t="s">
        <v>147</v>
      </c>
      <c r="C84" s="9" t="s">
        <v>1578</v>
      </c>
      <c r="D84" s="9" t="str">
        <f>IFERROR(MID(VLOOKUP($B84,Seqs!$A:$B,2,0),E84,1),"")</f>
        <v>T</v>
      </c>
      <c r="E84" s="9">
        <v>20</v>
      </c>
      <c r="F84" s="9" t="str">
        <f>IFERROR(MID(VLOOKUP($B84,Seqs!$A:$B,2,0),G84,1),"")</f>
        <v>V</v>
      </c>
      <c r="G84" s="9">
        <v>50</v>
      </c>
      <c r="H84" s="9" t="str">
        <f>IFERROR(MID(VLOOKUP($B84,Seqs!$A:$B,2,0),I84,1),"")</f>
        <v>R</v>
      </c>
      <c r="I84" s="109">
        <v>52</v>
      </c>
      <c r="J84" s="9" t="str">
        <f>IFERROR(MID(VLOOKUP($B84,Seqs!$A:$B,2,0),K84,1),"")</f>
        <v>Q</v>
      </c>
      <c r="K84" s="109">
        <v>55</v>
      </c>
      <c r="L84" s="9" t="str">
        <f>IFERROR(MID(VLOOKUP($B84,Seqs!$A:$B,2,0),M84,1),"")</f>
        <v>T</v>
      </c>
      <c r="M84" s="9">
        <v>56</v>
      </c>
      <c r="N84" s="9" t="str">
        <f>IFERROR(MID(VLOOKUP($B84,Seqs!$A:$B,2,0),O84,1),"")</f>
        <v>G</v>
      </c>
      <c r="O84" s="9">
        <v>87</v>
      </c>
      <c r="P84" s="9" t="str">
        <f>IFERROR(MID(VLOOKUP($B84,Seqs!$A:$B,2,0),Q84,1),"")</f>
        <v>Y</v>
      </c>
      <c r="Q84" s="9">
        <v>88</v>
      </c>
      <c r="R84" s="9" t="str">
        <f>IFERROR(MID(VLOOKUP($B84,Seqs!$A:$B,2,0),S84,1),"")</f>
        <v>L</v>
      </c>
      <c r="S84" s="9">
        <v>91</v>
      </c>
      <c r="T84" s="9" t="str">
        <f>IFERROR(MID(VLOOKUP($B84,Seqs!$A:$B,2,0),U84,1),"")</f>
        <v>G</v>
      </c>
      <c r="U84" s="9">
        <v>92</v>
      </c>
      <c r="V84" s="9" t="str">
        <f>IFERROR(MID(VLOOKUP($B84,Seqs!$A:$B,2,0),W84,1),"")</f>
        <v>K</v>
      </c>
      <c r="W84" s="9">
        <v>127</v>
      </c>
      <c r="X84" s="9" t="str">
        <f>IFERROR(MID(VLOOKUP($B84,Seqs!$A:$B,2,0),Y84,1),"")</f>
        <v>P</v>
      </c>
      <c r="Y84" s="9">
        <v>128</v>
      </c>
      <c r="Z84" s="9" t="str">
        <f>IFERROR(MID(VLOOKUP($B84,Seqs!$A:$B,2,0),AA84,1),"")</f>
        <v>R</v>
      </c>
      <c r="AA84" s="9">
        <v>135</v>
      </c>
      <c r="AB84" s="9" t="str">
        <f>IFERROR(MID(VLOOKUP($B84,Seqs!$A:$B,2,0),AC84,1),"")</f>
        <v>T</v>
      </c>
      <c r="AC84" s="9">
        <v>136</v>
      </c>
      <c r="AD84" s="9" t="str">
        <f>IFERROR(MID(VLOOKUP($B84,Seqs!$A:$B,2,0),AE84,1),"")</f>
        <v>G</v>
      </c>
      <c r="AE84" s="9">
        <v>167</v>
      </c>
      <c r="AF84" s="9" t="str">
        <f>IFERROR(MID(VLOOKUP($B84,Seqs!$A:$B,2,0),AG84,1),"")</f>
        <v>C</v>
      </c>
      <c r="AG84" s="9">
        <v>176</v>
      </c>
      <c r="AH84" s="9" t="str">
        <f>IFERROR(MID(VLOOKUP($B84,Seqs!$A:$B,2,0),AI84,1),"")</f>
        <v>I</v>
      </c>
      <c r="AI84" s="9">
        <v>178</v>
      </c>
      <c r="AJ84" s="9" t="str">
        <f>IFERROR(MID(VLOOKUP($B84,Seqs!$A:$B,2,0),AK84,1),"")</f>
        <v>A</v>
      </c>
      <c r="AK84" s="9">
        <v>184</v>
      </c>
      <c r="AL84" s="9" t="str">
        <f>IFERROR(MID(VLOOKUP($B84,Seqs!$A:$B,2,0),AM84,1),"")</f>
        <v>S</v>
      </c>
      <c r="AM84" s="9">
        <v>213</v>
      </c>
      <c r="AN84" s="9" t="str">
        <f>IFERROR(MID(VLOOKUP($B84,Seqs!$A:$B,2,0),AO84,1),"")</f>
        <v>E</v>
      </c>
      <c r="AO84" s="9">
        <v>382</v>
      </c>
      <c r="AP84" s="9" t="str">
        <f>IFERROR(MID(VLOOKUP($B84,Seqs!$A:$B,2,0),AQ84,1),"")</f>
        <v>C</v>
      </c>
      <c r="AQ84" s="9">
        <v>413</v>
      </c>
      <c r="AR84" s="9" t="str">
        <f>IFERROR(MID(VLOOKUP($B84,Seqs!$A:$B,2,0),AS84,1),"")</f>
        <v>N</v>
      </c>
      <c r="AS84" s="9">
        <v>419</v>
      </c>
      <c r="AT84" s="9" t="str">
        <f>IFERROR(MID(VLOOKUP($B84,Seqs!$A:$B,2,0),AU84,1),"")</f>
        <v>C</v>
      </c>
      <c r="AU84" s="9">
        <v>443</v>
      </c>
      <c r="AV84" s="9" t="str">
        <f>IFERROR(MID(VLOOKUP($B84,Seqs!$A:$B,2,0),AW84,1),"")</f>
        <v>N</v>
      </c>
      <c r="AW84" s="9">
        <v>444</v>
      </c>
      <c r="AX84" s="9" t="str">
        <f>IFERROR(MID(VLOOKUP($B84,Seqs!$A:$B,2,0),AY84,1),"")</f>
        <v>L</v>
      </c>
      <c r="AY84" s="9">
        <v>454</v>
      </c>
      <c r="AZ84" s="110" t="str">
        <f>VLOOKUP(B84,Classification!A:D,2,0)</f>
        <v>A</v>
      </c>
      <c r="BA84" s="98" t="str">
        <f>VLOOKUP(B84,Classification!A:D,4,0)</f>
        <v>Acetylcholine(muscarinic)</v>
      </c>
      <c r="BB84" s="36" t="b">
        <f t="shared" ref="BB84" si="590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109">
        <f t="shared" ref="BC84" si="591">_xlfn.AGGREGATE(9,6,CH84:CS84)-_xlfn.AGGREGATE(9,6,BV84:CG84)+12</f>
        <v>248</v>
      </c>
      <c r="BD84" s="11" t="s">
        <v>23</v>
      </c>
      <c r="BE84" s="9" t="s">
        <v>1291</v>
      </c>
      <c r="BF84" s="120">
        <v>3.6</v>
      </c>
      <c r="BG84" s="51" t="s">
        <v>1422</v>
      </c>
      <c r="BH84" s="51" t="s">
        <v>1422</v>
      </c>
      <c r="BJ84" s="111" t="s">
        <v>1287</v>
      </c>
      <c r="BK84" s="112" t="s">
        <v>1287</v>
      </c>
      <c r="BL84" s="112" t="s">
        <v>1287</v>
      </c>
      <c r="BM84" s="112" t="s">
        <v>1287</v>
      </c>
      <c r="BN84" s="112" t="s">
        <v>1287</v>
      </c>
      <c r="BO84" s="112" t="s">
        <v>1287</v>
      </c>
      <c r="BP84" s="112" t="s">
        <v>1287</v>
      </c>
      <c r="BQ84" s="112" t="s">
        <v>1287</v>
      </c>
      <c r="BR84" s="112" t="s">
        <v>1287</v>
      </c>
      <c r="BS84" s="112" t="s">
        <v>1287</v>
      </c>
      <c r="BT84" s="112" t="s">
        <v>1287</v>
      </c>
      <c r="BU84" s="112" t="s">
        <v>1287</v>
      </c>
      <c r="BV84" s="111">
        <f t="shared" ref="BV84" si="592">E84</f>
        <v>20</v>
      </c>
      <c r="BW84" s="113">
        <f t="shared" ref="BW84" si="593">I84</f>
        <v>52</v>
      </c>
      <c r="BX84" s="114">
        <f t="shared" ref="BX84" si="594">M84</f>
        <v>56</v>
      </c>
      <c r="BY84" s="113">
        <f t="shared" ref="BY84" si="595">Q84</f>
        <v>88</v>
      </c>
      <c r="BZ84" s="114">
        <f t="shared" ref="BZ84" si="596">U84</f>
        <v>92</v>
      </c>
      <c r="CA84" s="113">
        <f t="shared" ref="CA84" si="597">Y84</f>
        <v>128</v>
      </c>
      <c r="CB84" s="114">
        <f t="shared" ref="CB84" si="598">AC84</f>
        <v>136</v>
      </c>
      <c r="CC84" s="113">
        <f t="shared" ref="CC84" si="599">AG84</f>
        <v>176</v>
      </c>
      <c r="CD84" s="114">
        <f t="shared" ref="CD84" si="600">AK84</f>
        <v>184</v>
      </c>
      <c r="CE84" s="113">
        <f t="shared" ref="CE84" si="601">AO84</f>
        <v>382</v>
      </c>
      <c r="CF84" s="114">
        <f t="shared" ref="CF84" si="602">AS84</f>
        <v>419</v>
      </c>
      <c r="CG84" s="113">
        <f t="shared" ref="CG84" si="603">AW84</f>
        <v>444</v>
      </c>
      <c r="CH84" s="111">
        <f t="shared" ref="CH84" si="604">G84</f>
        <v>50</v>
      </c>
      <c r="CI84" s="113">
        <f t="shared" ref="CI84" si="605">K84</f>
        <v>55</v>
      </c>
      <c r="CJ84" s="114">
        <f t="shared" ref="CJ84" si="606">O84</f>
        <v>87</v>
      </c>
      <c r="CK84" s="114">
        <f t="shared" ref="CK84" si="607">S84</f>
        <v>91</v>
      </c>
      <c r="CL84" s="114">
        <f t="shared" ref="CL84" si="608">W84</f>
        <v>127</v>
      </c>
      <c r="CM84" s="114">
        <f t="shared" ref="CM84" si="609">AA84</f>
        <v>135</v>
      </c>
      <c r="CN84" s="114">
        <f t="shared" ref="CN84" si="610">AE84</f>
        <v>167</v>
      </c>
      <c r="CO84" s="114">
        <f t="shared" ref="CO84" si="611">AI84</f>
        <v>178</v>
      </c>
      <c r="CP84" s="114">
        <f t="shared" ref="CP84" si="612">AM84</f>
        <v>213</v>
      </c>
      <c r="CQ84" s="114">
        <f t="shared" ref="CQ84" si="613">AQ84</f>
        <v>413</v>
      </c>
      <c r="CR84" s="114">
        <f t="shared" ref="CR84" si="614">AU84</f>
        <v>443</v>
      </c>
      <c r="CS84" s="114">
        <f t="shared" ref="CS84" si="615">AY84</f>
        <v>454</v>
      </c>
      <c r="CT84" s="109">
        <f t="shared" ref="CT84" si="616">M84-K84</f>
        <v>1</v>
      </c>
    </row>
    <row r="85" spans="1:1029" x14ac:dyDescent="0.2">
      <c r="A85" s="3" t="str">
        <f t="shared" si="447"/>
        <v>acm3_rat__wt</v>
      </c>
      <c r="B85" s="3" t="s">
        <v>909</v>
      </c>
      <c r="C85" s="3" t="s">
        <v>100</v>
      </c>
      <c r="D85" s="3" t="str">
        <f>IFERROR(MID(VLOOKUP($B85,Seqs!$A:$B,2,0),E85,1),"")</f>
        <v>T</v>
      </c>
      <c r="E85" s="105">
        <v>63</v>
      </c>
      <c r="F85" s="3" t="str">
        <f>IFERROR(MID(VLOOKUP($B85,Seqs!$A:$B,2,0),G85,1),"")</f>
        <v>N</v>
      </c>
      <c r="G85" s="3">
        <v>95</v>
      </c>
      <c r="H85" s="3" t="str">
        <f>IFERROR(MID(VLOOKUP($B85,Seqs!$A:$B,2,0),I85,1),"")</f>
        <v>K</v>
      </c>
      <c r="I85" s="23">
        <v>96</v>
      </c>
      <c r="J85" s="3" t="str">
        <f>IFERROR(MID(VLOOKUP($B85,Seqs!$A:$B,2,0),K85,1),"")</f>
        <v>K</v>
      </c>
      <c r="K85" s="23">
        <v>99</v>
      </c>
      <c r="L85" s="3" t="str">
        <f>IFERROR(MID(VLOOKUP($B85,Seqs!$A:$B,2,0),M85,1),"")</f>
        <v>T</v>
      </c>
      <c r="M85" s="3">
        <v>100</v>
      </c>
      <c r="N85" s="3" t="str">
        <f>IFERROR(MID(VLOOKUP($B85,Seqs!$A:$B,2,0),O85,1),"")</f>
        <v>M</v>
      </c>
      <c r="O85" s="3">
        <v>130</v>
      </c>
      <c r="P85" s="3" t="str">
        <f>IFERROR(MID(VLOOKUP($B85,Seqs!$A:$B,2,0),Q85,1),"")</f>
        <v>R</v>
      </c>
      <c r="Q85" s="3">
        <v>132</v>
      </c>
      <c r="R85" s="3" t="str">
        <f>IFERROR(MID(VLOOKUP($B85,Seqs!$A:$B,2,0),S85,1),"")</f>
        <v>L</v>
      </c>
      <c r="S85" s="3">
        <v>135</v>
      </c>
      <c r="T85" s="3" t="str">
        <f>IFERROR(MID(VLOOKUP($B85,Seqs!$A:$B,2,0),U85,1),"")</f>
        <v>G</v>
      </c>
      <c r="U85" s="3">
        <v>136</v>
      </c>
      <c r="V85" s="3" t="str">
        <f>IFERROR(MID(VLOOKUP($B85,Seqs!$A:$B,2,0),W85,1),"")</f>
        <v>R</v>
      </c>
      <c r="W85" s="3">
        <v>171</v>
      </c>
      <c r="X85" s="3" t="str">
        <f>IFERROR(MID(VLOOKUP($B85,Seqs!$A:$B,2,0),Y85,1),"")</f>
        <v>P</v>
      </c>
      <c r="Y85" s="3">
        <v>172</v>
      </c>
      <c r="Z85" s="3" t="str">
        <f>IFERROR(MID(VLOOKUP($B85,Seqs!$A:$B,2,0),AA85,1),"")</f>
        <v>R</v>
      </c>
      <c r="AA85" s="3">
        <v>179</v>
      </c>
      <c r="AB85" s="3" t="str">
        <f>IFERROR(MID(VLOOKUP($B85,Seqs!$A:$B,2,0),AC85,1),"")</f>
        <v>T</v>
      </c>
      <c r="AC85" s="3">
        <v>180</v>
      </c>
      <c r="AD85" s="3" t="str">
        <f>IFERROR(MID(VLOOKUP($B85,Seqs!$A:$B,2,0),AE85,1),"")</f>
        <v>G</v>
      </c>
      <c r="AE85" s="3">
        <v>211</v>
      </c>
      <c r="AF85" s="3" t="str">
        <f>IFERROR(MID(VLOOKUP($B85,Seqs!$A:$B,2,0),AG85,1),"")</f>
        <v>C</v>
      </c>
      <c r="AG85" s="3">
        <v>220</v>
      </c>
      <c r="AH85" s="3" t="str">
        <f>IFERROR(MID(VLOOKUP($B85,Seqs!$A:$B,2,0),AI85,1),"")</f>
        <v>I</v>
      </c>
      <c r="AI85" s="3">
        <v>222</v>
      </c>
      <c r="AJ85" s="3" t="str">
        <f>IFERROR(MID(VLOOKUP($B85,Seqs!$A:$B,2,0),AK85,1),"")</f>
        <v>E</v>
      </c>
      <c r="AK85" s="3">
        <v>227</v>
      </c>
      <c r="AL85" s="3" t="str">
        <f>IFERROR(MID(VLOOKUP($B85,Seqs!$A:$B,2,0),AM85,1),"")</f>
        <v>L</v>
      </c>
      <c r="AM85" s="3">
        <v>267</v>
      </c>
      <c r="AN85" s="3" t="str">
        <f>IFERROR(MID(VLOOKUP($B85,Seqs!$A:$B,2,0),AO85,1),"")</f>
        <v>R</v>
      </c>
      <c r="AO85" s="3">
        <v>479</v>
      </c>
      <c r="AP85" s="3" t="str">
        <f>IFERROR(MID(VLOOKUP($B85,Seqs!$A:$B,2,0),AQ85,1),"")</f>
        <v>C</v>
      </c>
      <c r="AQ85" s="3">
        <v>516</v>
      </c>
      <c r="AR85" s="3" t="str">
        <f>IFERROR(MID(VLOOKUP($B85,Seqs!$A:$B,2,0),AS85,1),"")</f>
        <v>P</v>
      </c>
      <c r="AS85" s="3">
        <v>521</v>
      </c>
      <c r="AT85" s="3" t="str">
        <f>IFERROR(MID(VLOOKUP($B85,Seqs!$A:$B,2,0),AU85,1),"")</f>
        <v>C</v>
      </c>
      <c r="AU85" s="3">
        <v>546</v>
      </c>
      <c r="AV85" s="3" t="str">
        <f>IFERROR(MID(VLOOKUP($B85,Seqs!$A:$B,2,0),AW85,1),"")</f>
        <v>N</v>
      </c>
      <c r="AW85" s="3">
        <v>547</v>
      </c>
      <c r="AX85" s="3" t="str">
        <f>IFERROR(MID(VLOOKUP($B85,Seqs!$A:$B,2,0),AY85,1),"")</f>
        <v>C</v>
      </c>
      <c r="AY85" s="3">
        <v>560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si="448"/>
        <v>1</v>
      </c>
      <c r="BC85" s="23">
        <f t="shared" si="225"/>
        <v>270</v>
      </c>
      <c r="BD85" s="56" t="s">
        <v>23</v>
      </c>
      <c r="BE85" s="3" t="s">
        <v>23</v>
      </c>
      <c r="BF85" s="119" t="s">
        <v>23</v>
      </c>
      <c r="BG85" s="49" t="s">
        <v>1372</v>
      </c>
      <c r="BH85" s="49" t="s">
        <v>1377</v>
      </c>
      <c r="BI85" s="1"/>
      <c r="BJ85" s="70" t="s">
        <v>1287</v>
      </c>
      <c r="BK85" s="57" t="s">
        <v>1287</v>
      </c>
      <c r="BL85" s="57" t="s">
        <v>1287</v>
      </c>
      <c r="BM85" s="57" t="s">
        <v>1287</v>
      </c>
      <c r="BN85" s="57" t="s">
        <v>1287</v>
      </c>
      <c r="BO85" s="57" t="s">
        <v>1287</v>
      </c>
      <c r="BP85" s="57" t="s">
        <v>1287</v>
      </c>
      <c r="BQ85" s="57" t="s">
        <v>1287</v>
      </c>
      <c r="BR85" s="57" t="s">
        <v>1287</v>
      </c>
      <c r="BS85" s="57" t="s">
        <v>1287</v>
      </c>
      <c r="BT85" s="57" t="s">
        <v>1287</v>
      </c>
      <c r="BU85" s="57" t="s">
        <v>1287</v>
      </c>
      <c r="BV85" s="70">
        <f t="shared" si="226"/>
        <v>63</v>
      </c>
      <c r="BW85" s="71">
        <f t="shared" si="227"/>
        <v>96</v>
      </c>
      <c r="BX85" s="72">
        <f t="shared" si="228"/>
        <v>100</v>
      </c>
      <c r="BY85" s="71">
        <f t="shared" si="229"/>
        <v>132</v>
      </c>
      <c r="BZ85" s="72">
        <f t="shared" si="230"/>
        <v>136</v>
      </c>
      <c r="CA85" s="71">
        <f t="shared" si="231"/>
        <v>172</v>
      </c>
      <c r="CB85" s="72">
        <f t="shared" si="232"/>
        <v>180</v>
      </c>
      <c r="CC85" s="71">
        <f t="shared" si="233"/>
        <v>220</v>
      </c>
      <c r="CD85" s="72">
        <f t="shared" si="234"/>
        <v>227</v>
      </c>
      <c r="CE85" s="71">
        <f t="shared" si="235"/>
        <v>479</v>
      </c>
      <c r="CF85" s="72">
        <f t="shared" si="236"/>
        <v>521</v>
      </c>
      <c r="CG85" s="71">
        <f t="shared" si="237"/>
        <v>547</v>
      </c>
      <c r="CH85" s="70">
        <f t="shared" si="238"/>
        <v>95</v>
      </c>
      <c r="CI85" s="71">
        <f t="shared" si="239"/>
        <v>99</v>
      </c>
      <c r="CJ85" s="72">
        <f t="shared" si="240"/>
        <v>130</v>
      </c>
      <c r="CK85" s="72">
        <f t="shared" si="241"/>
        <v>135</v>
      </c>
      <c r="CL85" s="72">
        <f t="shared" si="242"/>
        <v>171</v>
      </c>
      <c r="CM85" s="72">
        <f t="shared" si="243"/>
        <v>179</v>
      </c>
      <c r="CN85" s="72">
        <f t="shared" si="244"/>
        <v>211</v>
      </c>
      <c r="CO85" s="72">
        <f t="shared" si="245"/>
        <v>222</v>
      </c>
      <c r="CP85" s="72">
        <f t="shared" si="246"/>
        <v>267</v>
      </c>
      <c r="CQ85" s="72">
        <f t="shared" si="247"/>
        <v>516</v>
      </c>
      <c r="CR85" s="72">
        <f t="shared" si="248"/>
        <v>546</v>
      </c>
      <c r="CS85" s="72">
        <f t="shared" si="249"/>
        <v>560</v>
      </c>
      <c r="CT85" s="23">
        <f t="shared" si="250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447"/>
        <v>acm3_rat_4U15</v>
      </c>
      <c r="B86" s="3" t="s">
        <v>909</v>
      </c>
      <c r="C86" s="3" t="s">
        <v>71</v>
      </c>
      <c r="D86" s="3" t="str">
        <f>IFERROR(MID(VLOOKUP($B86,Seqs!$A:$B,2,0),E86,1),"")</f>
        <v>I</v>
      </c>
      <c r="E86" s="3">
        <v>64</v>
      </c>
      <c r="F86" s="3" t="str">
        <f>IFERROR(MID(VLOOKUP($B86,Seqs!$A:$B,2,0),G86,1),"")</f>
        <v>N</v>
      </c>
      <c r="G86" s="3">
        <v>95</v>
      </c>
      <c r="H86" s="3" t="str">
        <f>IFERROR(MID(VLOOKUP($B86,Seqs!$A:$B,2,0),I86,1),"")</f>
        <v>K</v>
      </c>
      <c r="I86" s="23">
        <v>96</v>
      </c>
      <c r="J86" s="3" t="str">
        <f>IFERROR(MID(VLOOKUP($B86,Seqs!$A:$B,2,0),K86,1),"")</f>
        <v>K</v>
      </c>
      <c r="K86" s="23">
        <v>99</v>
      </c>
      <c r="L86" s="3" t="str">
        <f>IFERROR(MID(VLOOKUP($B86,Seqs!$A:$B,2,0),M86,1),"")</f>
        <v>T</v>
      </c>
      <c r="M86" s="3">
        <v>100</v>
      </c>
      <c r="N86" s="3" t="str">
        <f>IFERROR(MID(VLOOKUP($B86,Seqs!$A:$B,2,0),O86,1),"")</f>
        <v>M</v>
      </c>
      <c r="O86" s="3">
        <v>130</v>
      </c>
      <c r="P86" s="3" t="str">
        <f>IFERROR(MID(VLOOKUP($B86,Seqs!$A:$B,2,0),Q86,1),"")</f>
        <v>R</v>
      </c>
      <c r="Q86" s="3">
        <v>132</v>
      </c>
      <c r="R86" s="3" t="str">
        <f>IFERROR(MID(VLOOKUP($B86,Seqs!$A:$B,2,0),S86,1),"")</f>
        <v>L</v>
      </c>
      <c r="S86" s="3">
        <v>135</v>
      </c>
      <c r="T86" s="3" t="str">
        <f>IFERROR(MID(VLOOKUP($B86,Seqs!$A:$B,2,0),U86,1),"")</f>
        <v>G</v>
      </c>
      <c r="U86" s="3">
        <v>136</v>
      </c>
      <c r="V86" s="3" t="str">
        <f>IFERROR(MID(VLOOKUP($B86,Seqs!$A:$B,2,0),W86,1),"")</f>
        <v>R</v>
      </c>
      <c r="W86" s="3">
        <v>171</v>
      </c>
      <c r="X86" s="3" t="str">
        <f>IFERROR(MID(VLOOKUP($B86,Seqs!$A:$B,2,0),Y86,1),"")</f>
        <v>P</v>
      </c>
      <c r="Y86" s="3">
        <v>172</v>
      </c>
      <c r="Z86" s="3" t="str">
        <f>IFERROR(MID(VLOOKUP($B86,Seqs!$A:$B,2,0),AA86,1),"")</f>
        <v>R</v>
      </c>
      <c r="AA86" s="3">
        <v>179</v>
      </c>
      <c r="AB86" s="3" t="str">
        <f>IFERROR(MID(VLOOKUP($B86,Seqs!$A:$B,2,0),AC86,1),"")</f>
        <v>T</v>
      </c>
      <c r="AC86" s="9">
        <v>180</v>
      </c>
      <c r="AD86" s="3" t="str">
        <f>IFERROR(MID(VLOOKUP($B86,Seqs!$A:$B,2,0),AE86,1),"")</f>
        <v>G</v>
      </c>
      <c r="AE86" s="3">
        <v>211</v>
      </c>
      <c r="AF86" s="3" t="str">
        <f>IFERROR(MID(VLOOKUP($B86,Seqs!$A:$B,2,0),AG86,1),"")</f>
        <v>C</v>
      </c>
      <c r="AG86" s="3">
        <v>220</v>
      </c>
      <c r="AH86" s="3" t="str">
        <f>IFERROR(MID(VLOOKUP($B86,Seqs!$A:$B,2,0),AI86,1),"")</f>
        <v>I</v>
      </c>
      <c r="AI86" s="3">
        <v>222</v>
      </c>
      <c r="AJ86" s="3" t="str">
        <f>IFERROR(MID(VLOOKUP($B86,Seqs!$A:$B,2,0),AK86,1),"")</f>
        <v>E</v>
      </c>
      <c r="AK86" s="3">
        <v>227</v>
      </c>
      <c r="AL86" s="3" t="str">
        <f>IFERROR(MID(VLOOKUP($B86,Seqs!$A:$B,2,0),AM86,1),"")</f>
        <v>K</v>
      </c>
      <c r="AM86" s="3">
        <v>259</v>
      </c>
      <c r="AN86" s="3" t="str">
        <f>IFERROR(MID(VLOOKUP($B86,Seqs!$A:$B,2,0),AO86,1),"")</f>
        <v>I</v>
      </c>
      <c r="AO86" s="3">
        <v>483</v>
      </c>
      <c r="AP86" s="3" t="str">
        <f>IFERROR(MID(VLOOKUP($B86,Seqs!$A:$B,2,0),AQ86,1),"")</f>
        <v>C</v>
      </c>
      <c r="AQ86" s="3">
        <v>516</v>
      </c>
      <c r="AR86" s="3" t="str">
        <f>IFERROR(MID(VLOOKUP($B86,Seqs!$A:$B,2,0),AS86,1),"")</f>
        <v>P</v>
      </c>
      <c r="AS86" s="3">
        <v>521</v>
      </c>
      <c r="AT86" s="3" t="str">
        <f>IFERROR(MID(VLOOKUP($B86,Seqs!$A:$B,2,0),AU86,1),"")</f>
        <v>C</v>
      </c>
      <c r="AU86" s="3">
        <v>546</v>
      </c>
      <c r="AV86" s="3" t="str">
        <f>IFERROR(MID(VLOOKUP($B86,Seqs!$A:$B,2,0),AW86,1),"")</f>
        <v>N</v>
      </c>
      <c r="AW86" s="3">
        <v>547</v>
      </c>
      <c r="AX86" s="3" t="str">
        <f>IFERROR(MID(VLOOKUP($B86,Seqs!$A:$B,2,0),AY86,1),"")</f>
        <v>L</v>
      </c>
      <c r="AY86" s="3">
        <v>558</v>
      </c>
      <c r="AZ86" s="77" t="str">
        <f>VLOOKUP(B86,Classification!A:D,2,0)</f>
        <v>A</v>
      </c>
      <c r="BA86" s="94" t="str">
        <f>VLOOKUP(B86,Classification!A:D,4,0)</f>
        <v>Acetylcholine(muscarinic)</v>
      </c>
      <c r="BB86" s="27" t="b">
        <f t="shared" si="448"/>
        <v>1</v>
      </c>
      <c r="BC86" s="23">
        <f t="shared" si="225"/>
        <v>255</v>
      </c>
      <c r="BD86" s="16" t="s">
        <v>23</v>
      </c>
      <c r="BE86" s="3" t="s">
        <v>1374</v>
      </c>
      <c r="BF86" s="119">
        <v>2.8</v>
      </c>
      <c r="BG86" s="49" t="s">
        <v>1377</v>
      </c>
      <c r="BH86" s="49" t="s">
        <v>1377</v>
      </c>
      <c r="BI86" s="1"/>
      <c r="BJ86" s="70" t="s">
        <v>1287</v>
      </c>
      <c r="BK86" s="57" t="s">
        <v>1287</v>
      </c>
      <c r="BL86" s="57" t="s">
        <v>1287</v>
      </c>
      <c r="BM86" s="57" t="s">
        <v>1287</v>
      </c>
      <c r="BN86" s="57" t="s">
        <v>1287</v>
      </c>
      <c r="BO86" s="57" t="s">
        <v>1287</v>
      </c>
      <c r="BP86" s="57" t="s">
        <v>1287</v>
      </c>
      <c r="BQ86" s="57" t="s">
        <v>1287</v>
      </c>
      <c r="BR86" s="57" t="s">
        <v>1287</v>
      </c>
      <c r="BS86" s="57" t="s">
        <v>1287</v>
      </c>
      <c r="BT86" s="57" t="s">
        <v>1287</v>
      </c>
      <c r="BU86" s="57" t="s">
        <v>1287</v>
      </c>
      <c r="BV86" s="70">
        <f t="shared" si="226"/>
        <v>64</v>
      </c>
      <c r="BW86" s="71">
        <f t="shared" si="227"/>
        <v>96</v>
      </c>
      <c r="BX86" s="72">
        <f t="shared" si="228"/>
        <v>100</v>
      </c>
      <c r="BY86" s="71">
        <f t="shared" si="229"/>
        <v>132</v>
      </c>
      <c r="BZ86" s="72">
        <f t="shared" si="230"/>
        <v>136</v>
      </c>
      <c r="CA86" s="71">
        <f t="shared" si="231"/>
        <v>172</v>
      </c>
      <c r="CB86" s="72">
        <f t="shared" si="232"/>
        <v>180</v>
      </c>
      <c r="CC86" s="71">
        <f t="shared" si="233"/>
        <v>220</v>
      </c>
      <c r="CD86" s="72">
        <f t="shared" si="234"/>
        <v>227</v>
      </c>
      <c r="CE86" s="71">
        <f t="shared" si="235"/>
        <v>483</v>
      </c>
      <c r="CF86" s="72">
        <f t="shared" si="236"/>
        <v>521</v>
      </c>
      <c r="CG86" s="71">
        <f t="shared" si="237"/>
        <v>547</v>
      </c>
      <c r="CH86" s="70">
        <f t="shared" si="238"/>
        <v>95</v>
      </c>
      <c r="CI86" s="71">
        <f t="shared" si="239"/>
        <v>99</v>
      </c>
      <c r="CJ86" s="72">
        <f t="shared" si="240"/>
        <v>130</v>
      </c>
      <c r="CK86" s="72">
        <f t="shared" si="241"/>
        <v>135</v>
      </c>
      <c r="CL86" s="72">
        <f t="shared" si="242"/>
        <v>171</v>
      </c>
      <c r="CM86" s="72">
        <f t="shared" si="243"/>
        <v>179</v>
      </c>
      <c r="CN86" s="72">
        <f t="shared" si="244"/>
        <v>211</v>
      </c>
      <c r="CO86" s="72">
        <f t="shared" si="245"/>
        <v>222</v>
      </c>
      <c r="CP86" s="72">
        <f t="shared" si="246"/>
        <v>259</v>
      </c>
      <c r="CQ86" s="72">
        <f t="shared" si="247"/>
        <v>516</v>
      </c>
      <c r="CR86" s="72">
        <f t="shared" si="248"/>
        <v>546</v>
      </c>
      <c r="CS86" s="72">
        <f t="shared" si="249"/>
        <v>558</v>
      </c>
      <c r="CT86" s="23">
        <f t="shared" si="250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447"/>
        <v>acm3_rat_4U16</v>
      </c>
      <c r="B87" s="3" t="s">
        <v>909</v>
      </c>
      <c r="C87" s="3" t="s">
        <v>1053</v>
      </c>
      <c r="D87" s="3" t="str">
        <f>IFERROR(MID(VLOOKUP($B87,Seqs!$A:$B,2,0),E87,1),"")</f>
        <v>I</v>
      </c>
      <c r="E87" s="3">
        <v>64</v>
      </c>
      <c r="F87" s="3" t="str">
        <f>IFERROR(MID(VLOOKUP($B87,Seqs!$A:$B,2,0),G87,1),"")</f>
        <v>N</v>
      </c>
      <c r="G87" s="3">
        <v>95</v>
      </c>
      <c r="H87" s="3" t="str">
        <f>IFERROR(MID(VLOOKUP($B87,Seqs!$A:$B,2,0),I87,1),"")</f>
        <v>K</v>
      </c>
      <c r="I87" s="23">
        <v>96</v>
      </c>
      <c r="J87" s="3" t="str">
        <f>IFERROR(MID(VLOOKUP($B87,Seqs!$A:$B,2,0),K87,1),"")</f>
        <v>K</v>
      </c>
      <c r="K87" s="23">
        <v>99</v>
      </c>
      <c r="L87" s="3" t="str">
        <f>IFERROR(MID(VLOOKUP($B87,Seqs!$A:$B,2,0),M87,1),"")</f>
        <v>T</v>
      </c>
      <c r="M87" s="3">
        <v>100</v>
      </c>
      <c r="N87" s="3" t="str">
        <f>IFERROR(MID(VLOOKUP($B87,Seqs!$A:$B,2,0),O87,1),"")</f>
        <v>M</v>
      </c>
      <c r="O87" s="3">
        <v>130</v>
      </c>
      <c r="P87" s="3" t="str">
        <f>IFERROR(MID(VLOOKUP($B87,Seqs!$A:$B,2,0),Q87,1),"")</f>
        <v>R</v>
      </c>
      <c r="Q87" s="3">
        <v>132</v>
      </c>
      <c r="R87" s="3" t="str">
        <f>IFERROR(MID(VLOOKUP($B87,Seqs!$A:$B,2,0),S87,1),"")</f>
        <v>L</v>
      </c>
      <c r="S87" s="3">
        <v>135</v>
      </c>
      <c r="T87" s="3" t="str">
        <f>IFERROR(MID(VLOOKUP($B87,Seqs!$A:$B,2,0),U87,1),"")</f>
        <v>G</v>
      </c>
      <c r="U87" s="3">
        <v>136</v>
      </c>
      <c r="V87" s="3" t="str">
        <f>IFERROR(MID(VLOOKUP($B87,Seqs!$A:$B,2,0),W87,1),"")</f>
        <v>R</v>
      </c>
      <c r="W87" s="3">
        <v>171</v>
      </c>
      <c r="X87" s="3" t="str">
        <f>IFERROR(MID(VLOOKUP($B87,Seqs!$A:$B,2,0),Y87,1),"")</f>
        <v>P</v>
      </c>
      <c r="Y87" s="3">
        <v>172</v>
      </c>
      <c r="Z87" s="3" t="str">
        <f>IFERROR(MID(VLOOKUP($B87,Seqs!$A:$B,2,0),AA87,1),"")</f>
        <v>R</v>
      </c>
      <c r="AA87" s="3">
        <v>179</v>
      </c>
      <c r="AB87" s="3" t="str">
        <f>IFERROR(MID(VLOOKUP($B87,Seqs!$A:$B,2,0),AC87,1),"")</f>
        <v>T</v>
      </c>
      <c r="AC87" s="9">
        <v>180</v>
      </c>
      <c r="AD87" s="3" t="str">
        <f>IFERROR(MID(VLOOKUP($B87,Seqs!$A:$B,2,0),AE87,1),"")</f>
        <v>G</v>
      </c>
      <c r="AE87" s="3">
        <v>211</v>
      </c>
      <c r="AF87" s="3" t="str">
        <f>IFERROR(MID(VLOOKUP($B87,Seqs!$A:$B,2,0),AG87,1),"")</f>
        <v>C</v>
      </c>
      <c r="AG87" s="3">
        <v>220</v>
      </c>
      <c r="AH87" s="3" t="str">
        <f>IFERROR(MID(VLOOKUP($B87,Seqs!$A:$B,2,0),AI87,1),"")</f>
        <v>I</v>
      </c>
      <c r="AI87" s="3">
        <v>222</v>
      </c>
      <c r="AJ87" s="3" t="str">
        <f>IFERROR(MID(VLOOKUP($B87,Seqs!$A:$B,2,0),AK87,1),"")</f>
        <v>E</v>
      </c>
      <c r="AK87" s="3">
        <v>227</v>
      </c>
      <c r="AL87" s="3" t="str">
        <f>IFERROR(MID(VLOOKUP($B87,Seqs!$A:$B,2,0),AM87,1),"")</f>
        <v>K</v>
      </c>
      <c r="AM87" s="3">
        <v>259</v>
      </c>
      <c r="AN87" s="3" t="str">
        <f>IFERROR(MID(VLOOKUP($B87,Seqs!$A:$B,2,0),AO87,1),"")</f>
        <v>I</v>
      </c>
      <c r="AO87" s="3">
        <v>483</v>
      </c>
      <c r="AP87" s="3" t="str">
        <f>IFERROR(MID(VLOOKUP($B87,Seqs!$A:$B,2,0),AQ87,1),"")</f>
        <v>C</v>
      </c>
      <c r="AQ87" s="3">
        <v>516</v>
      </c>
      <c r="AR87" s="3" t="str">
        <f>IFERROR(MID(VLOOKUP($B87,Seqs!$A:$B,2,0),AS87,1),"")</f>
        <v>P</v>
      </c>
      <c r="AS87" s="3">
        <v>521</v>
      </c>
      <c r="AT87" s="3" t="str">
        <f>IFERROR(MID(VLOOKUP($B87,Seqs!$A:$B,2,0),AU87,1),"")</f>
        <v>C</v>
      </c>
      <c r="AU87" s="3">
        <v>546</v>
      </c>
      <c r="AV87" s="3" t="str">
        <f>IFERROR(MID(VLOOKUP($B87,Seqs!$A:$B,2,0),AW87,1),"")</f>
        <v/>
      </c>
      <c r="AW87" s="3" t="s">
        <v>23</v>
      </c>
      <c r="AX87" s="3" t="str">
        <f>IFERROR(MID(VLOOKUP($B87,Seqs!$A:$B,2,0),AY87,1),"")</f>
        <v/>
      </c>
      <c r="AY87" s="3" t="s">
        <v>23</v>
      </c>
      <c r="AZ87" s="77" t="str">
        <f>VLOOKUP(B87,Classification!A:D,2,0)</f>
        <v>A</v>
      </c>
      <c r="BA87" s="94" t="str">
        <f>VLOOKUP(B87,Classification!A:D,4,0)</f>
        <v>Acetylcholine(muscarinic)</v>
      </c>
      <c r="BB87" s="27" t="b">
        <f t="shared" si="448"/>
        <v>1</v>
      </c>
      <c r="BC87" s="23">
        <f t="shared" si="225"/>
        <v>244</v>
      </c>
      <c r="BD87" s="4" t="s">
        <v>23</v>
      </c>
      <c r="BE87" s="3" t="s">
        <v>1374</v>
      </c>
      <c r="BF87" s="119">
        <v>3.7</v>
      </c>
      <c r="BG87" s="49" t="s">
        <v>1377</v>
      </c>
      <c r="BH87" s="49" t="s">
        <v>1377</v>
      </c>
      <c r="BI87" s="1"/>
      <c r="BJ87" s="70" t="s">
        <v>1287</v>
      </c>
      <c r="BK87" s="57" t="s">
        <v>1287</v>
      </c>
      <c r="BL87" s="57" t="s">
        <v>1287</v>
      </c>
      <c r="BM87" s="57" t="s">
        <v>1287</v>
      </c>
      <c r="BN87" s="57" t="s">
        <v>1287</v>
      </c>
      <c r="BO87" s="57" t="s">
        <v>1287</v>
      </c>
      <c r="BP87" s="57" t="s">
        <v>1287</v>
      </c>
      <c r="BQ87" s="57" t="s">
        <v>1287</v>
      </c>
      <c r="BR87" s="57" t="s">
        <v>1287</v>
      </c>
      <c r="BS87" s="57" t="s">
        <v>1287</v>
      </c>
      <c r="BT87" s="57" t="s">
        <v>1287</v>
      </c>
      <c r="BU87" s="57" t="s">
        <v>1287</v>
      </c>
      <c r="BV87" s="70">
        <f t="shared" si="226"/>
        <v>64</v>
      </c>
      <c r="BW87" s="71">
        <f t="shared" si="227"/>
        <v>96</v>
      </c>
      <c r="BX87" s="72">
        <f t="shared" si="228"/>
        <v>100</v>
      </c>
      <c r="BY87" s="71">
        <f t="shared" si="229"/>
        <v>132</v>
      </c>
      <c r="BZ87" s="72">
        <f t="shared" si="230"/>
        <v>136</v>
      </c>
      <c r="CA87" s="71">
        <f t="shared" si="231"/>
        <v>172</v>
      </c>
      <c r="CB87" s="72">
        <f t="shared" si="232"/>
        <v>180</v>
      </c>
      <c r="CC87" s="71">
        <f t="shared" si="233"/>
        <v>220</v>
      </c>
      <c r="CD87" s="72">
        <f t="shared" si="234"/>
        <v>227</v>
      </c>
      <c r="CE87" s="71">
        <f t="shared" si="235"/>
        <v>483</v>
      </c>
      <c r="CF87" s="72">
        <f t="shared" si="236"/>
        <v>521</v>
      </c>
      <c r="CG87" s="71" t="str">
        <f t="shared" si="237"/>
        <v>-</v>
      </c>
      <c r="CH87" s="70">
        <f t="shared" si="238"/>
        <v>95</v>
      </c>
      <c r="CI87" s="71">
        <f t="shared" si="239"/>
        <v>99</v>
      </c>
      <c r="CJ87" s="72">
        <f t="shared" si="240"/>
        <v>130</v>
      </c>
      <c r="CK87" s="72">
        <f t="shared" si="241"/>
        <v>135</v>
      </c>
      <c r="CL87" s="72">
        <f t="shared" si="242"/>
        <v>171</v>
      </c>
      <c r="CM87" s="72">
        <f t="shared" si="243"/>
        <v>179</v>
      </c>
      <c r="CN87" s="72">
        <f t="shared" si="244"/>
        <v>211</v>
      </c>
      <c r="CO87" s="72">
        <f t="shared" si="245"/>
        <v>222</v>
      </c>
      <c r="CP87" s="72">
        <f t="shared" si="246"/>
        <v>259</v>
      </c>
      <c r="CQ87" s="72">
        <f t="shared" si="247"/>
        <v>516</v>
      </c>
      <c r="CR87" s="72">
        <f t="shared" si="248"/>
        <v>546</v>
      </c>
      <c r="CS87" s="72" t="str">
        <f t="shared" si="249"/>
        <v>-</v>
      </c>
      <c r="CT87" s="23">
        <f t="shared" si="250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s="12" customFormat="1" x14ac:dyDescent="0.2">
      <c r="A88" s="9" t="str">
        <f t="shared" ref="A88" si="617">CONCATENATE(B88,"_",C88)</f>
        <v>acm3_rat_5ZHP</v>
      </c>
      <c r="B88" s="9" t="s">
        <v>909</v>
      </c>
      <c r="C88" s="9" t="s">
        <v>1576</v>
      </c>
      <c r="D88" s="9" t="str">
        <f>IFERROR(MID(VLOOKUP($B88,Seqs!$A:$B,2,0),E88,1),"")</f>
        <v>T</v>
      </c>
      <c r="E88" s="9">
        <v>63</v>
      </c>
      <c r="F88" s="9" t="str">
        <f>IFERROR(MID(VLOOKUP($B88,Seqs!$A:$B,2,0),G88,1),"")</f>
        <v>N</v>
      </c>
      <c r="G88" s="9">
        <v>95</v>
      </c>
      <c r="H88" s="9" t="str">
        <f>IFERROR(MID(VLOOKUP($B88,Seqs!$A:$B,2,0),I88,1),"")</f>
        <v>K</v>
      </c>
      <c r="I88" s="109">
        <v>96</v>
      </c>
      <c r="J88" s="9" t="str">
        <f>IFERROR(MID(VLOOKUP($B88,Seqs!$A:$B,2,0),K88,1),"")</f>
        <v>K</v>
      </c>
      <c r="K88" s="109">
        <v>99</v>
      </c>
      <c r="L88" s="9" t="str">
        <f>IFERROR(MID(VLOOKUP($B88,Seqs!$A:$B,2,0),M88,1),"")</f>
        <v>T</v>
      </c>
      <c r="M88" s="9">
        <v>100</v>
      </c>
      <c r="N88" s="9" t="str">
        <f>IFERROR(MID(VLOOKUP($B88,Seqs!$A:$B,2,0),O88,1),"")</f>
        <v>M</v>
      </c>
      <c r="O88" s="9">
        <v>130</v>
      </c>
      <c r="P88" s="9" t="str">
        <f>IFERROR(MID(VLOOKUP($B88,Seqs!$A:$B,2,0),Q88,1),"")</f>
        <v>R</v>
      </c>
      <c r="Q88" s="9">
        <v>132</v>
      </c>
      <c r="R88" s="9" t="str">
        <f>IFERROR(MID(VLOOKUP($B88,Seqs!$A:$B,2,0),S88,1),"")</f>
        <v>L</v>
      </c>
      <c r="S88" s="9">
        <v>135</v>
      </c>
      <c r="T88" s="9" t="str">
        <f>IFERROR(MID(VLOOKUP($B88,Seqs!$A:$B,2,0),U88,1),"")</f>
        <v>G</v>
      </c>
      <c r="U88" s="9">
        <v>136</v>
      </c>
      <c r="V88" s="9" t="str">
        <f>IFERROR(MID(VLOOKUP($B88,Seqs!$A:$B,2,0),W88,1),"")</f>
        <v>R</v>
      </c>
      <c r="W88" s="9">
        <v>171</v>
      </c>
      <c r="X88" s="9" t="str">
        <f>IFERROR(MID(VLOOKUP($B88,Seqs!$A:$B,2,0),Y88,1),"")</f>
        <v>P</v>
      </c>
      <c r="Y88" s="9">
        <v>172</v>
      </c>
      <c r="Z88" s="9" t="str">
        <f>IFERROR(MID(VLOOKUP($B88,Seqs!$A:$B,2,0),AA88,1),"")</f>
        <v>R</v>
      </c>
      <c r="AA88" s="9">
        <v>179</v>
      </c>
      <c r="AB88" s="9" t="str">
        <f>IFERROR(MID(VLOOKUP($B88,Seqs!$A:$B,2,0),AC88,1),"")</f>
        <v>T</v>
      </c>
      <c r="AC88" s="9">
        <v>180</v>
      </c>
      <c r="AD88" s="9" t="str">
        <f>IFERROR(MID(VLOOKUP($B88,Seqs!$A:$B,2,0),AE88,1),"")</f>
        <v>G</v>
      </c>
      <c r="AE88" s="9">
        <v>211</v>
      </c>
      <c r="AF88" s="9" t="str">
        <f>IFERROR(MID(VLOOKUP($B88,Seqs!$A:$B,2,0),AG88,1),"")</f>
        <v>C</v>
      </c>
      <c r="AG88" s="9">
        <v>220</v>
      </c>
      <c r="AH88" s="9" t="str">
        <f>IFERROR(MID(VLOOKUP($B88,Seqs!$A:$B,2,0),AI88,1),"")</f>
        <v>I</v>
      </c>
      <c r="AI88" s="9">
        <v>222</v>
      </c>
      <c r="AJ88" s="9" t="str">
        <f>IFERROR(MID(VLOOKUP($B88,Seqs!$A:$B,2,0),AK88,1),"")</f>
        <v>E</v>
      </c>
      <c r="AK88" s="9">
        <v>227</v>
      </c>
      <c r="AL88" s="9" t="str">
        <f>IFERROR(MID(VLOOKUP($B88,Seqs!$A:$B,2,0),AM88,1),"")</f>
        <v>K</v>
      </c>
      <c r="AM88" s="9">
        <v>259</v>
      </c>
      <c r="AN88" s="9" t="str">
        <f>IFERROR(MID(VLOOKUP($B88,Seqs!$A:$B,2,0),AO88,1),"")</f>
        <v>L</v>
      </c>
      <c r="AO88" s="9">
        <v>482</v>
      </c>
      <c r="AP88" s="9" t="str">
        <f>IFERROR(MID(VLOOKUP($B88,Seqs!$A:$B,2,0),AQ88,1),"")</f>
        <v>C</v>
      </c>
      <c r="AQ88" s="9">
        <v>516</v>
      </c>
      <c r="AR88" s="9" t="str">
        <f>IFERROR(MID(VLOOKUP($B88,Seqs!$A:$B,2,0),AS88,1),"")</f>
        <v>P</v>
      </c>
      <c r="AS88" s="9">
        <v>521</v>
      </c>
      <c r="AT88" s="9" t="str">
        <f>IFERROR(MID(VLOOKUP($B88,Seqs!$A:$B,2,0),AU88,1),"")</f>
        <v>C</v>
      </c>
      <c r="AU88" s="9">
        <v>546</v>
      </c>
      <c r="AV88" s="9" t="str">
        <f>IFERROR(MID(VLOOKUP($B88,Seqs!$A:$B,2,0),AW88,1),"")</f>
        <v>N</v>
      </c>
      <c r="AW88" s="9">
        <v>547</v>
      </c>
      <c r="AX88" s="9" t="str">
        <f>IFERROR(MID(VLOOKUP($B88,Seqs!$A:$B,2,0),AY88,1),"")</f>
        <v>C</v>
      </c>
      <c r="AY88" s="9">
        <v>560</v>
      </c>
      <c r="AZ88" s="110" t="str">
        <f>VLOOKUP(B88,Classification!A:D,2,0)</f>
        <v>A</v>
      </c>
      <c r="BA88" s="98" t="str">
        <f>VLOOKUP(B88,Classification!A:D,4,0)</f>
        <v>Acetylcholine(muscarinic)</v>
      </c>
      <c r="BB88" s="36" t="b">
        <f t="shared" ref="BB88" si="618">AND(E88&lt;G88,OR(G88&lt;I88,I88="-"),OR(I88&lt;K88,I88="-"),OR(K88&lt;M88,K88="-"),M88&lt;O88,OR(O88&lt;Q88,Q88="-"),OR(Q88&lt;S88,Q88="-"),OR(S88&lt;U88,S88="-"),U88&lt;W88,OR(W88&lt;Y88,Y88="-"),OR(Y88&lt;AA88,Y88="-"),OR(AA88&lt;AC88,AA88="-"),AC88&lt;AE88,OR(AE88&lt;AG88,AG88="-"),OR(AG88&lt;AI88,AG88="-"),OR(AI88&lt;AK88,AI88="-"),AK88&lt;AM88,AM88&lt;AO88,AO88&lt;AQ88,AQ88&lt;AS88,AS88&lt;AU88,OR(AU88&lt;AW88,AW88="-"),OR(AW88&lt;AY88,AW88="-"))</f>
        <v>1</v>
      </c>
      <c r="BC88" s="109">
        <f t="shared" ref="BC88" si="619">_xlfn.AGGREGATE(9,6,CH88:CS88)-_xlfn.AGGREGATE(9,6,BV88:CG88)+12</f>
        <v>259</v>
      </c>
      <c r="BD88" s="11" t="s">
        <v>1376</v>
      </c>
      <c r="BE88" s="9" t="s">
        <v>1374</v>
      </c>
      <c r="BF88" s="120">
        <v>3.1</v>
      </c>
      <c r="BG88" s="51" t="s">
        <v>1281</v>
      </c>
      <c r="BH88" s="51" t="s">
        <v>1281</v>
      </c>
      <c r="BJ88" s="111" t="s">
        <v>1287</v>
      </c>
      <c r="BK88" s="112" t="s">
        <v>1287</v>
      </c>
      <c r="BL88" s="112" t="s">
        <v>1287</v>
      </c>
      <c r="BM88" s="112" t="s">
        <v>1287</v>
      </c>
      <c r="BN88" s="112" t="s">
        <v>1287</v>
      </c>
      <c r="BO88" s="112" t="s">
        <v>1287</v>
      </c>
      <c r="BP88" s="112" t="s">
        <v>1287</v>
      </c>
      <c r="BQ88" s="112" t="s">
        <v>1287</v>
      </c>
      <c r="BR88" s="112" t="s">
        <v>1287</v>
      </c>
      <c r="BS88" s="112" t="s">
        <v>1287</v>
      </c>
      <c r="BT88" s="112" t="s">
        <v>1287</v>
      </c>
      <c r="BU88" s="112" t="s">
        <v>1287</v>
      </c>
      <c r="BV88" s="111">
        <f t="shared" ref="BV88" si="620">E88</f>
        <v>63</v>
      </c>
      <c r="BW88" s="113">
        <f t="shared" ref="BW88" si="621">I88</f>
        <v>96</v>
      </c>
      <c r="BX88" s="114">
        <f t="shared" ref="BX88" si="622">M88</f>
        <v>100</v>
      </c>
      <c r="BY88" s="113">
        <f t="shared" ref="BY88" si="623">Q88</f>
        <v>132</v>
      </c>
      <c r="BZ88" s="114">
        <f t="shared" ref="BZ88" si="624">U88</f>
        <v>136</v>
      </c>
      <c r="CA88" s="113">
        <f t="shared" ref="CA88" si="625">Y88</f>
        <v>172</v>
      </c>
      <c r="CB88" s="114">
        <f t="shared" ref="CB88" si="626">AC88</f>
        <v>180</v>
      </c>
      <c r="CC88" s="113">
        <f t="shared" ref="CC88" si="627">AG88</f>
        <v>220</v>
      </c>
      <c r="CD88" s="114">
        <f t="shared" ref="CD88" si="628">AK88</f>
        <v>227</v>
      </c>
      <c r="CE88" s="113">
        <f t="shared" ref="CE88" si="629">AO88</f>
        <v>482</v>
      </c>
      <c r="CF88" s="114">
        <f t="shared" ref="CF88" si="630">AS88</f>
        <v>521</v>
      </c>
      <c r="CG88" s="113">
        <f t="shared" ref="CG88" si="631">AW88</f>
        <v>547</v>
      </c>
      <c r="CH88" s="111">
        <f t="shared" ref="CH88" si="632">G88</f>
        <v>95</v>
      </c>
      <c r="CI88" s="113">
        <f t="shared" ref="CI88" si="633">K88</f>
        <v>99</v>
      </c>
      <c r="CJ88" s="114">
        <f t="shared" ref="CJ88" si="634">O88</f>
        <v>130</v>
      </c>
      <c r="CK88" s="114">
        <f t="shared" ref="CK88" si="635">S88</f>
        <v>135</v>
      </c>
      <c r="CL88" s="114">
        <f t="shared" ref="CL88" si="636">W88</f>
        <v>171</v>
      </c>
      <c r="CM88" s="114">
        <f t="shared" ref="CM88" si="637">AA88</f>
        <v>179</v>
      </c>
      <c r="CN88" s="114">
        <f t="shared" ref="CN88" si="638">AE88</f>
        <v>211</v>
      </c>
      <c r="CO88" s="114">
        <f t="shared" ref="CO88" si="639">AI88</f>
        <v>222</v>
      </c>
      <c r="CP88" s="114">
        <f t="shared" ref="CP88" si="640">AM88</f>
        <v>259</v>
      </c>
      <c r="CQ88" s="114">
        <f t="shared" ref="CQ88" si="641">AQ88</f>
        <v>516</v>
      </c>
      <c r="CR88" s="114">
        <f t="shared" ref="CR88" si="642">AU88</f>
        <v>546</v>
      </c>
      <c r="CS88" s="114">
        <f t="shared" ref="CS88" si="643">AY88</f>
        <v>560</v>
      </c>
      <c r="CT88" s="109">
        <f t="shared" ref="CT88" si="644">M88-K88</f>
        <v>1</v>
      </c>
    </row>
    <row r="89" spans="1:1029" x14ac:dyDescent="0.2">
      <c r="A89" s="3" t="str">
        <f t="shared" si="447"/>
        <v>acm4_human__wt</v>
      </c>
      <c r="B89" s="3" t="s">
        <v>149</v>
      </c>
      <c r="C89" s="3" t="s">
        <v>100</v>
      </c>
      <c r="D89" s="3" t="str">
        <f>IFERROR(MID(VLOOKUP($B89,Seqs!$A:$B,2,0),E89,1),"")</f>
        <v>R</v>
      </c>
      <c r="E89" s="3">
        <v>26</v>
      </c>
      <c r="F89" s="3" t="str">
        <f>IFERROR(MID(VLOOKUP($B89,Seqs!$A:$B,2,0),G89,1),"")</f>
        <v>N</v>
      </c>
      <c r="G89" s="3">
        <v>60</v>
      </c>
      <c r="H89" s="3" t="str">
        <f>IFERROR(MID(VLOOKUP($B89,Seqs!$A:$B,2,0),I89,1),"")</f>
        <v>R</v>
      </c>
      <c r="I89" s="23">
        <v>61</v>
      </c>
      <c r="J89" s="3" t="str">
        <f>IFERROR(MID(VLOOKUP($B89,Seqs!$A:$B,2,0),K89,1),"")</f>
        <v>Q</v>
      </c>
      <c r="K89" s="23">
        <v>64</v>
      </c>
      <c r="L89" s="3" t="str">
        <f>IFERROR(MID(VLOOKUP($B89,Seqs!$A:$B,2,0),M89,1),"")</f>
        <v>T</v>
      </c>
      <c r="M89" s="3">
        <v>65</v>
      </c>
      <c r="N89" s="3" t="str">
        <f>IFERROR(MID(VLOOKUP($B89,Seqs!$A:$B,2,0),O89,1),"")</f>
        <v>K</v>
      </c>
      <c r="O89" s="3">
        <v>95</v>
      </c>
      <c r="P89" s="3" t="str">
        <f>IFERROR(MID(VLOOKUP($B89,Seqs!$A:$B,2,0),Q89,1),"")</f>
        <v>Y</v>
      </c>
      <c r="Q89" s="3">
        <v>97</v>
      </c>
      <c r="R89" s="3" t="str">
        <f>IFERROR(MID(VLOOKUP($B89,Seqs!$A:$B,2,0),S89,1),"")</f>
        <v>L</v>
      </c>
      <c r="S89" s="3">
        <v>100</v>
      </c>
      <c r="T89" s="3" t="str">
        <f>IFERROR(MID(VLOOKUP($B89,Seqs!$A:$B,2,0),U89,1),"")</f>
        <v>G</v>
      </c>
      <c r="U89" s="3">
        <v>101</v>
      </c>
      <c r="V89" s="3" t="str">
        <f>IFERROR(MID(VLOOKUP($B89,Seqs!$A:$B,2,0),W89,1),"")</f>
        <v>K</v>
      </c>
      <c r="W89" s="3">
        <v>136</v>
      </c>
      <c r="X89" s="3" t="str">
        <f>IFERROR(MID(VLOOKUP($B89,Seqs!$A:$B,2,0),Y89,1),"")</f>
        <v>P</v>
      </c>
      <c r="Y89" s="3">
        <v>137</v>
      </c>
      <c r="Z89" s="3" t="str">
        <f>IFERROR(MID(VLOOKUP($B89,Seqs!$A:$B,2,0),AA89,1),"")</f>
        <v>R</v>
      </c>
      <c r="AA89" s="3">
        <v>144</v>
      </c>
      <c r="AB89" s="3" t="str">
        <f>IFERROR(MID(VLOOKUP($B89,Seqs!$A:$B,2,0),AC89,1),"")</f>
        <v>T</v>
      </c>
      <c r="AC89" s="9">
        <v>145</v>
      </c>
      <c r="AD89" s="3" t="str">
        <f>IFERROR(MID(VLOOKUP($B89,Seqs!$A:$B,2,0),AE89,1),"")</f>
        <v>G</v>
      </c>
      <c r="AE89" s="3">
        <v>176</v>
      </c>
      <c r="AF89" s="3" t="str">
        <f>IFERROR(MID(VLOOKUP($B89,Seqs!$A:$B,2,0),AG89,1),"")</f>
        <v>C</v>
      </c>
      <c r="AG89" s="3">
        <v>185</v>
      </c>
      <c r="AH89" s="3" t="str">
        <f>IFERROR(MID(VLOOKUP($B89,Seqs!$A:$B,2,0),AI89,1),"")</f>
        <v>I</v>
      </c>
      <c r="AI89" s="3">
        <v>187</v>
      </c>
      <c r="AJ89" s="3" t="str">
        <f>IFERROR(MID(VLOOKUP($B89,Seqs!$A:$B,2,0),AK89,1),"")</f>
        <v>N</v>
      </c>
      <c r="AK89" s="3">
        <v>192</v>
      </c>
      <c r="AL89" s="3" t="str">
        <f>IFERROR(MID(VLOOKUP($B89,Seqs!$A:$B,2,0),AM89,1),"")</f>
        <v>E</v>
      </c>
      <c r="AM89" s="3">
        <v>232</v>
      </c>
      <c r="AN89" s="3" t="str">
        <f>IFERROR(MID(VLOOKUP($B89,Seqs!$A:$B,2,0),AO89,1),"")</f>
        <v>R</v>
      </c>
      <c r="AO89" s="3">
        <v>389</v>
      </c>
      <c r="AP89" s="3" t="str">
        <f>IFERROR(MID(VLOOKUP($B89,Seqs!$A:$B,2,0),AQ89,1),"")</f>
        <v>C</v>
      </c>
      <c r="AQ89" s="3">
        <v>426</v>
      </c>
      <c r="AR89" s="3" t="str">
        <f>IFERROR(MID(VLOOKUP($B89,Seqs!$A:$B,2,0),AS89,1),"")</f>
        <v>P</v>
      </c>
      <c r="AS89" s="3">
        <v>431</v>
      </c>
      <c r="AT89" s="3" t="str">
        <f>IFERROR(MID(VLOOKUP($B89,Seqs!$A:$B,2,0),AU89,1),"")</f>
        <v>C</v>
      </c>
      <c r="AU89" s="3">
        <v>456</v>
      </c>
      <c r="AV89" s="3" t="str">
        <f>IFERROR(MID(VLOOKUP($B89,Seqs!$A:$B,2,0),AW89,1),"")</f>
        <v>N</v>
      </c>
      <c r="AW89" s="3">
        <v>457</v>
      </c>
      <c r="AX89" s="3" t="str">
        <f>IFERROR(MID(VLOOKUP($B89,Seqs!$A:$B,2,0),AY89,1),"")</f>
        <v>L</v>
      </c>
      <c r="AY89" s="3">
        <v>469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si="448"/>
        <v>1</v>
      </c>
      <c r="BC89" s="23">
        <f t="shared" si="225"/>
        <v>271</v>
      </c>
      <c r="BD89" s="34" t="s">
        <v>23</v>
      </c>
      <c r="BE89" s="3" t="s">
        <v>23</v>
      </c>
      <c r="BF89" s="119" t="s">
        <v>23</v>
      </c>
      <c r="BG89" s="49" t="s">
        <v>1372</v>
      </c>
      <c r="BH89" s="49" t="s">
        <v>1377</v>
      </c>
      <c r="BI89" s="1"/>
      <c r="BJ89" s="70" t="s">
        <v>1287</v>
      </c>
      <c r="BK89" s="57" t="s">
        <v>1287</v>
      </c>
      <c r="BL89" s="57" t="s">
        <v>1287</v>
      </c>
      <c r="BM89" s="57" t="s">
        <v>1287</v>
      </c>
      <c r="BN89" s="57" t="s">
        <v>1287</v>
      </c>
      <c r="BO89" s="57" t="s">
        <v>1287</v>
      </c>
      <c r="BP89" s="57" t="s">
        <v>1287</v>
      </c>
      <c r="BQ89" s="57" t="s">
        <v>1287</v>
      </c>
      <c r="BR89" s="57" t="s">
        <v>1287</v>
      </c>
      <c r="BS89" s="57" t="s">
        <v>1287</v>
      </c>
      <c r="BT89" s="57" t="s">
        <v>1287</v>
      </c>
      <c r="BU89" s="57" t="s">
        <v>1287</v>
      </c>
      <c r="BV89" s="70">
        <f t="shared" si="226"/>
        <v>26</v>
      </c>
      <c r="BW89" s="71">
        <f t="shared" si="227"/>
        <v>61</v>
      </c>
      <c r="BX89" s="72">
        <f t="shared" si="228"/>
        <v>65</v>
      </c>
      <c r="BY89" s="71">
        <f t="shared" si="229"/>
        <v>97</v>
      </c>
      <c r="BZ89" s="72">
        <f t="shared" si="230"/>
        <v>101</v>
      </c>
      <c r="CA89" s="71">
        <f t="shared" si="231"/>
        <v>137</v>
      </c>
      <c r="CB89" s="72">
        <f t="shared" si="232"/>
        <v>145</v>
      </c>
      <c r="CC89" s="71">
        <f t="shared" si="233"/>
        <v>185</v>
      </c>
      <c r="CD89" s="72">
        <f t="shared" si="234"/>
        <v>192</v>
      </c>
      <c r="CE89" s="71">
        <f t="shared" si="235"/>
        <v>389</v>
      </c>
      <c r="CF89" s="72">
        <f t="shared" si="236"/>
        <v>431</v>
      </c>
      <c r="CG89" s="71">
        <f t="shared" si="237"/>
        <v>457</v>
      </c>
      <c r="CH89" s="70">
        <f t="shared" si="238"/>
        <v>60</v>
      </c>
      <c r="CI89" s="71">
        <f t="shared" si="239"/>
        <v>64</v>
      </c>
      <c r="CJ89" s="72">
        <f t="shared" si="240"/>
        <v>95</v>
      </c>
      <c r="CK89" s="72">
        <f t="shared" si="241"/>
        <v>100</v>
      </c>
      <c r="CL89" s="72">
        <f t="shared" si="242"/>
        <v>136</v>
      </c>
      <c r="CM89" s="72">
        <f t="shared" si="243"/>
        <v>144</v>
      </c>
      <c r="CN89" s="72">
        <f t="shared" si="244"/>
        <v>176</v>
      </c>
      <c r="CO89" s="72">
        <f t="shared" si="245"/>
        <v>187</v>
      </c>
      <c r="CP89" s="72">
        <f t="shared" si="246"/>
        <v>232</v>
      </c>
      <c r="CQ89" s="72">
        <f t="shared" si="247"/>
        <v>426</v>
      </c>
      <c r="CR89" s="72">
        <f t="shared" si="248"/>
        <v>456</v>
      </c>
      <c r="CS89" s="72">
        <f t="shared" si="249"/>
        <v>469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447"/>
        <v>acm4_human_5DSG</v>
      </c>
      <c r="B90" s="3" t="s">
        <v>149</v>
      </c>
      <c r="C90" s="3" t="s">
        <v>61</v>
      </c>
      <c r="D90" s="3" t="str">
        <f>IFERROR(MID(VLOOKUP($B90,Seqs!$A:$B,2,0),E90,1),"")</f>
        <v>R</v>
      </c>
      <c r="E90" s="3">
        <v>26</v>
      </c>
      <c r="F90" s="3" t="str">
        <f>IFERROR(MID(VLOOKUP($B90,Seqs!$A:$B,2,0),G90,1),"")</f>
        <v>N</v>
      </c>
      <c r="G90" s="3">
        <v>60</v>
      </c>
      <c r="H90" s="3" t="str">
        <f>IFERROR(MID(VLOOKUP($B90,Seqs!$A:$B,2,0),I90,1),"")</f>
        <v>R</v>
      </c>
      <c r="I90" s="23">
        <v>61</v>
      </c>
      <c r="J90" s="3" t="str">
        <f>IFERROR(MID(VLOOKUP($B90,Seqs!$A:$B,2,0),K90,1),"")</f>
        <v>Q</v>
      </c>
      <c r="K90" s="23">
        <v>64</v>
      </c>
      <c r="L90" s="3" t="str">
        <f>IFERROR(MID(VLOOKUP($B90,Seqs!$A:$B,2,0),M90,1),"")</f>
        <v>T</v>
      </c>
      <c r="M90" s="3">
        <v>65</v>
      </c>
      <c r="N90" s="3" t="str">
        <f>IFERROR(MID(VLOOKUP($B90,Seqs!$A:$B,2,0),O90,1),"")</f>
        <v>K</v>
      </c>
      <c r="O90" s="3">
        <v>95</v>
      </c>
      <c r="P90" s="3" t="str">
        <f>IFERROR(MID(VLOOKUP($B90,Seqs!$A:$B,2,0),Q90,1),"")</f>
        <v>Y</v>
      </c>
      <c r="Q90" s="3">
        <v>97</v>
      </c>
      <c r="R90" s="3" t="str">
        <f>IFERROR(MID(VLOOKUP($B90,Seqs!$A:$B,2,0),S90,1),"")</f>
        <v>L</v>
      </c>
      <c r="S90" s="3">
        <v>100</v>
      </c>
      <c r="T90" s="3" t="str">
        <f>IFERROR(MID(VLOOKUP($B90,Seqs!$A:$B,2,0),U90,1),"")</f>
        <v>G</v>
      </c>
      <c r="U90" s="3">
        <v>101</v>
      </c>
      <c r="V90" s="3" t="str">
        <f>IFERROR(MID(VLOOKUP($B90,Seqs!$A:$B,2,0),W90,1),"")</f>
        <v>K</v>
      </c>
      <c r="W90" s="3">
        <v>136</v>
      </c>
      <c r="X90" s="3" t="str">
        <f>IFERROR(MID(VLOOKUP($B90,Seqs!$A:$B,2,0),Y90,1),"")</f>
        <v>P</v>
      </c>
      <c r="Y90" s="3">
        <v>137</v>
      </c>
      <c r="Z90" s="3" t="str">
        <f>IFERROR(MID(VLOOKUP($B90,Seqs!$A:$B,2,0),AA90,1),"")</f>
        <v>R</v>
      </c>
      <c r="AA90" s="3">
        <v>144</v>
      </c>
      <c r="AB90" s="3" t="str">
        <f>IFERROR(MID(VLOOKUP($B90,Seqs!$A:$B,2,0),AC90,1),"")</f>
        <v>T</v>
      </c>
      <c r="AC90" s="9">
        <v>145</v>
      </c>
      <c r="AD90" s="3" t="str">
        <f>IFERROR(MID(VLOOKUP($B90,Seqs!$A:$B,2,0),AE90,1),"")</f>
        <v>G</v>
      </c>
      <c r="AE90" s="3">
        <v>176</v>
      </c>
      <c r="AF90" s="3" t="str">
        <f>IFERROR(MID(VLOOKUP($B90,Seqs!$A:$B,2,0),AG90,1),"")</f>
        <v>C</v>
      </c>
      <c r="AG90" s="3">
        <v>185</v>
      </c>
      <c r="AH90" s="3" t="str">
        <f>IFERROR(MID(VLOOKUP($B90,Seqs!$A:$B,2,0),AI90,1),"")</f>
        <v>I</v>
      </c>
      <c r="AI90" s="3">
        <v>187</v>
      </c>
      <c r="AJ90" s="3" t="str">
        <f>IFERROR(MID(VLOOKUP($B90,Seqs!$A:$B,2,0),AK90,1),"")</f>
        <v>N</v>
      </c>
      <c r="AK90" s="3">
        <v>192</v>
      </c>
      <c r="AL90" s="3" t="str">
        <f>IFERROR(MID(VLOOKUP($B90,Seqs!$A:$B,2,0),AM90,1),"")</f>
        <v>L</v>
      </c>
      <c r="AM90" s="3">
        <v>220</v>
      </c>
      <c r="AN90" s="3" t="str">
        <f>IFERROR(MID(VLOOKUP($B90,Seqs!$A:$B,2,0),AO90,1),"")</f>
        <v>R</v>
      </c>
      <c r="AO90" s="3">
        <v>396</v>
      </c>
      <c r="AP90" s="3" t="str">
        <f>IFERROR(MID(VLOOKUP($B90,Seqs!$A:$B,2,0),AQ90,1),"")</f>
        <v>C</v>
      </c>
      <c r="AQ90" s="3">
        <v>426</v>
      </c>
      <c r="AR90" s="3" t="str">
        <f>IFERROR(MID(VLOOKUP($B90,Seqs!$A:$B,2,0),AS90,1),"")</f>
        <v>P</v>
      </c>
      <c r="AS90" s="3">
        <v>431</v>
      </c>
      <c r="AT90" s="3" t="str">
        <f>IFERROR(MID(VLOOKUP($B90,Seqs!$A:$B,2,0),AU90,1),"")</f>
        <v>C</v>
      </c>
      <c r="AU90" s="3">
        <v>456</v>
      </c>
      <c r="AV90" s="3" t="str">
        <f>IFERROR(MID(VLOOKUP($B90,Seqs!$A:$B,2,0),AW90,1),"")</f>
        <v>N</v>
      </c>
      <c r="AW90" s="3">
        <v>457</v>
      </c>
      <c r="AX90" s="3" t="str">
        <f>IFERROR(MID(VLOOKUP($B90,Seqs!$A:$B,2,0),AY90,1),"")</f>
        <v>L</v>
      </c>
      <c r="AY90" s="3">
        <v>469</v>
      </c>
      <c r="AZ90" s="77" t="str">
        <f>VLOOKUP(B90,Classification!A:D,2,0)</f>
        <v>A</v>
      </c>
      <c r="BA90" s="94" t="str">
        <f>VLOOKUP(B90,Classification!A:D,4,0)</f>
        <v>Acetylcholine(muscarinic)</v>
      </c>
      <c r="BB90" s="27" t="b">
        <f t="shared" si="448"/>
        <v>1</v>
      </c>
      <c r="BC90" s="23">
        <f t="shared" si="225"/>
        <v>252</v>
      </c>
      <c r="BD90" s="2" t="s">
        <v>1376</v>
      </c>
      <c r="BE90" s="3" t="s">
        <v>1374</v>
      </c>
      <c r="BF90" s="119">
        <v>2.6</v>
      </c>
      <c r="BG90" s="49" t="s">
        <v>1377</v>
      </c>
      <c r="BH90" s="49" t="s">
        <v>1377</v>
      </c>
      <c r="BI90" s="1"/>
      <c r="BJ90" s="70" t="s">
        <v>1287</v>
      </c>
      <c r="BK90" s="57" t="s">
        <v>1287</v>
      </c>
      <c r="BL90" s="57" t="s">
        <v>1287</v>
      </c>
      <c r="BM90" s="57" t="s">
        <v>1287</v>
      </c>
      <c r="BN90" s="57" t="s">
        <v>1287</v>
      </c>
      <c r="BO90" s="57" t="s">
        <v>1287</v>
      </c>
      <c r="BP90" s="57" t="s">
        <v>1287</v>
      </c>
      <c r="BQ90" s="57" t="s">
        <v>1287</v>
      </c>
      <c r="BR90" s="57" t="s">
        <v>1287</v>
      </c>
      <c r="BS90" s="57" t="s">
        <v>1287</v>
      </c>
      <c r="BT90" s="57" t="s">
        <v>1287</v>
      </c>
      <c r="BU90" s="57" t="s">
        <v>1287</v>
      </c>
      <c r="BV90" s="70">
        <f t="shared" si="226"/>
        <v>26</v>
      </c>
      <c r="BW90" s="71">
        <f t="shared" si="227"/>
        <v>61</v>
      </c>
      <c r="BX90" s="72">
        <f t="shared" si="228"/>
        <v>65</v>
      </c>
      <c r="BY90" s="71">
        <f t="shared" si="229"/>
        <v>97</v>
      </c>
      <c r="BZ90" s="72">
        <f t="shared" si="230"/>
        <v>101</v>
      </c>
      <c r="CA90" s="71">
        <f t="shared" si="231"/>
        <v>137</v>
      </c>
      <c r="CB90" s="72">
        <f t="shared" si="232"/>
        <v>145</v>
      </c>
      <c r="CC90" s="71">
        <f t="shared" si="233"/>
        <v>185</v>
      </c>
      <c r="CD90" s="72">
        <f t="shared" si="234"/>
        <v>192</v>
      </c>
      <c r="CE90" s="71">
        <f t="shared" si="235"/>
        <v>396</v>
      </c>
      <c r="CF90" s="72">
        <f t="shared" si="236"/>
        <v>431</v>
      </c>
      <c r="CG90" s="71">
        <f t="shared" si="237"/>
        <v>457</v>
      </c>
      <c r="CH90" s="70">
        <f t="shared" si="238"/>
        <v>60</v>
      </c>
      <c r="CI90" s="71">
        <f t="shared" si="239"/>
        <v>64</v>
      </c>
      <c r="CJ90" s="72">
        <f t="shared" si="240"/>
        <v>95</v>
      </c>
      <c r="CK90" s="72">
        <f t="shared" si="241"/>
        <v>100</v>
      </c>
      <c r="CL90" s="72">
        <f t="shared" si="242"/>
        <v>136</v>
      </c>
      <c r="CM90" s="72">
        <f t="shared" si="243"/>
        <v>144</v>
      </c>
      <c r="CN90" s="72">
        <f t="shared" si="244"/>
        <v>176</v>
      </c>
      <c r="CO90" s="72">
        <f t="shared" si="245"/>
        <v>187</v>
      </c>
      <c r="CP90" s="72">
        <f t="shared" si="246"/>
        <v>220</v>
      </c>
      <c r="CQ90" s="72">
        <f t="shared" si="247"/>
        <v>426</v>
      </c>
      <c r="CR90" s="72">
        <f t="shared" si="248"/>
        <v>456</v>
      </c>
      <c r="CS90" s="72">
        <f t="shared" si="249"/>
        <v>469</v>
      </c>
      <c r="CT90" s="23">
        <f t="shared" si="250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447"/>
        <v>adrb1_melga__wt</v>
      </c>
      <c r="B91" s="3" t="s">
        <v>911</v>
      </c>
      <c r="C91" s="3" t="s">
        <v>100</v>
      </c>
      <c r="D91" s="3" t="str">
        <f>IFERROR(MID(VLOOKUP($B91,Seqs!$A:$B,2,0),E91,1),"")</f>
        <v>A</v>
      </c>
      <c r="E91" s="3">
        <v>33</v>
      </c>
      <c r="F91" s="3" t="str">
        <f>IFERROR(MID(VLOOKUP($B91,Seqs!$A:$B,2,0),G91,1),"")</f>
        <v>T</v>
      </c>
      <c r="G91" s="3">
        <v>69</v>
      </c>
      <c r="H91" s="3" t="str">
        <f>IFERROR(MID(VLOOKUP($B91,Seqs!$A:$B,2,0),I91,1),"")</f>
        <v>Q</v>
      </c>
      <c r="I91" s="23">
        <v>70</v>
      </c>
      <c r="J91" s="3" t="str">
        <f>IFERROR(MID(VLOOKUP($B91,Seqs!$A:$B,2,0),K91,1),"")</f>
        <v>Q</v>
      </c>
      <c r="K91" s="23">
        <v>73</v>
      </c>
      <c r="L91" s="3" t="str">
        <f>IFERROR(MID(VLOOKUP($B91,Seqs!$A:$B,2,0),M91,1),"")</f>
        <v>T</v>
      </c>
      <c r="M91" s="3">
        <v>74</v>
      </c>
      <c r="N91" s="3" t="str">
        <f>IFERROR(MID(VLOOKUP($B91,Seqs!$A:$B,2,0),O91,1),"")</f>
        <v>R</v>
      </c>
      <c r="O91" s="3">
        <v>104</v>
      </c>
      <c r="P91" s="3" t="str">
        <f>IFERROR(MID(VLOOKUP($B91,Seqs!$A:$B,2,0),Q91,1),"")</f>
        <v>T</v>
      </c>
      <c r="Q91" s="3">
        <v>106</v>
      </c>
      <c r="R91" s="3" t="str">
        <f>IFERROR(MID(VLOOKUP($B91,Seqs!$A:$B,2,0),S91,1),"")</f>
        <v>W</v>
      </c>
      <c r="S91" s="3">
        <v>109</v>
      </c>
      <c r="T91" s="3" t="str">
        <f>IFERROR(MID(VLOOKUP($B91,Seqs!$A:$B,2,0),U91,1),"")</f>
        <v>G</v>
      </c>
      <c r="U91" s="3">
        <v>110</v>
      </c>
      <c r="V91" s="3" t="str">
        <f>IFERROR(MID(VLOOKUP($B91,Seqs!$A:$B,2,0),W91,1),"")</f>
        <v>S</v>
      </c>
      <c r="W91" s="3">
        <v>145</v>
      </c>
      <c r="X91" s="3" t="str">
        <f>IFERROR(MID(VLOOKUP($B91,Seqs!$A:$B,2,0),Y91,1),"")</f>
        <v>P</v>
      </c>
      <c r="Y91" s="3">
        <v>146</v>
      </c>
      <c r="Z91" s="3" t="str">
        <f>IFERROR(MID(VLOOKUP($B91,Seqs!$A:$B,2,0),AA91,1),"")</f>
        <v>M</v>
      </c>
      <c r="AA91" s="3">
        <v>153</v>
      </c>
      <c r="AB91" s="3" t="str">
        <f>IFERROR(MID(VLOOKUP($B91,Seqs!$A:$B,2,0),AC91,1),"")</f>
        <v>T</v>
      </c>
      <c r="AC91" s="9">
        <v>154</v>
      </c>
      <c r="AD91" s="3" t="str">
        <f>IFERROR(MID(VLOOKUP($B91,Seqs!$A:$B,2,0),AE91,1),"")</f>
        <v>H</v>
      </c>
      <c r="AE91" s="3">
        <v>180</v>
      </c>
      <c r="AF91" s="3" t="str">
        <f>IFERROR(MID(VLOOKUP($B91,Seqs!$A:$B,2,0),AG91,1),"")</f>
        <v>C</v>
      </c>
      <c r="AG91" s="3">
        <v>199</v>
      </c>
      <c r="AH91" s="3" t="str">
        <f>IFERROR(MID(VLOOKUP($B91,Seqs!$A:$B,2,0),AI91,1),"")</f>
        <v>F</v>
      </c>
      <c r="AI91" s="3">
        <v>201</v>
      </c>
      <c r="AJ91" s="3" t="str">
        <f>IFERROR(MID(VLOOKUP($B91,Seqs!$A:$B,2,0),AK91,1),"")</f>
        <v>N</v>
      </c>
      <c r="AK91" s="3">
        <v>204</v>
      </c>
      <c r="AL91" s="3" t="str">
        <f>IFERROR(MID(VLOOKUP($B91,Seqs!$A:$B,2,0),AM91,1),"")</f>
        <v>E</v>
      </c>
      <c r="AM91" s="3">
        <v>245</v>
      </c>
      <c r="AN91" s="3" t="str">
        <f>IFERROR(MID(VLOOKUP($B91,Seqs!$A:$B,2,0),AO91,1),"")</f>
        <v>R</v>
      </c>
      <c r="AO91" s="3">
        <v>275</v>
      </c>
      <c r="AP91" s="3" t="str">
        <f>IFERROR(MID(VLOOKUP($B91,Seqs!$A:$B,2,0),AQ91,1),"")</f>
        <v>N</v>
      </c>
      <c r="AQ91" s="3">
        <v>316</v>
      </c>
      <c r="AR91" s="3" t="str">
        <f>IFERROR(MID(VLOOKUP($B91,Seqs!$A:$B,2,0),AS91,1),"")</f>
        <v>P</v>
      </c>
      <c r="AS91" s="3">
        <v>321</v>
      </c>
      <c r="AT91" s="3" t="str">
        <f>IFERROR(MID(VLOOKUP($B91,Seqs!$A:$B,2,0),AU91,1),"")</f>
        <v>R</v>
      </c>
      <c r="AU91" s="3">
        <v>345</v>
      </c>
      <c r="AV91" s="3" t="str">
        <f>IFERROR(MID(VLOOKUP($B91,Seqs!$A:$B,2,0),AW91,1),"")</f>
        <v>S</v>
      </c>
      <c r="AW91" s="3">
        <v>346</v>
      </c>
      <c r="AX91" s="3" t="str">
        <f>IFERROR(MID(VLOOKUP($B91,Seqs!$A:$B,2,0),AY91,1),"")</f>
        <v>C</v>
      </c>
      <c r="AY91" s="3">
        <v>358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448"/>
        <v>1</v>
      </c>
      <c r="BC91" s="23">
        <f t="shared" si="225"/>
        <v>272</v>
      </c>
      <c r="BD91" s="34" t="s">
        <v>23</v>
      </c>
      <c r="BE91" s="3" t="s">
        <v>23</v>
      </c>
      <c r="BF91" s="119" t="s">
        <v>23</v>
      </c>
      <c r="BG91" s="49" t="s">
        <v>1372</v>
      </c>
      <c r="BH91" s="49" t="s">
        <v>1377</v>
      </c>
      <c r="BI91" s="3" t="s">
        <v>1165</v>
      </c>
      <c r="BJ91" s="70" t="s">
        <v>1287</v>
      </c>
      <c r="BK91" s="57" t="s">
        <v>1287</v>
      </c>
      <c r="BL91" s="57" t="s">
        <v>1287</v>
      </c>
      <c r="BM91" s="57" t="s">
        <v>1287</v>
      </c>
      <c r="BN91" s="57" t="s">
        <v>1287</v>
      </c>
      <c r="BO91" s="57" t="s">
        <v>1287</v>
      </c>
      <c r="BP91" s="57" t="s">
        <v>1287</v>
      </c>
      <c r="BQ91" s="57" t="s">
        <v>1287</v>
      </c>
      <c r="BR91" s="57" t="s">
        <v>1287</v>
      </c>
      <c r="BS91" s="57" t="s">
        <v>1287</v>
      </c>
      <c r="BT91" s="57" t="s">
        <v>1287</v>
      </c>
      <c r="BU91" s="57" t="s">
        <v>1287</v>
      </c>
      <c r="BV91" s="70">
        <f t="shared" si="226"/>
        <v>33</v>
      </c>
      <c r="BW91" s="71">
        <f t="shared" si="227"/>
        <v>70</v>
      </c>
      <c r="BX91" s="72">
        <f t="shared" si="228"/>
        <v>74</v>
      </c>
      <c r="BY91" s="71">
        <f t="shared" si="229"/>
        <v>106</v>
      </c>
      <c r="BZ91" s="72">
        <f t="shared" si="230"/>
        <v>110</v>
      </c>
      <c r="CA91" s="71">
        <f t="shared" si="231"/>
        <v>146</v>
      </c>
      <c r="CB91" s="72">
        <f t="shared" si="232"/>
        <v>154</v>
      </c>
      <c r="CC91" s="71">
        <f t="shared" si="233"/>
        <v>199</v>
      </c>
      <c r="CD91" s="72">
        <f t="shared" si="234"/>
        <v>204</v>
      </c>
      <c r="CE91" s="71">
        <f t="shared" si="235"/>
        <v>275</v>
      </c>
      <c r="CF91" s="72">
        <f t="shared" si="236"/>
        <v>321</v>
      </c>
      <c r="CG91" s="71">
        <f t="shared" si="237"/>
        <v>346</v>
      </c>
      <c r="CH91" s="70">
        <f t="shared" si="238"/>
        <v>69</v>
      </c>
      <c r="CI91" s="71">
        <f t="shared" si="239"/>
        <v>73</v>
      </c>
      <c r="CJ91" s="72">
        <f t="shared" si="240"/>
        <v>104</v>
      </c>
      <c r="CK91" s="72">
        <f t="shared" si="241"/>
        <v>109</v>
      </c>
      <c r="CL91" s="72">
        <f t="shared" si="242"/>
        <v>145</v>
      </c>
      <c r="CM91" s="72">
        <f t="shared" si="243"/>
        <v>153</v>
      </c>
      <c r="CN91" s="72">
        <f t="shared" si="244"/>
        <v>180</v>
      </c>
      <c r="CO91" s="72">
        <f t="shared" si="245"/>
        <v>201</v>
      </c>
      <c r="CP91" s="72">
        <f t="shared" si="246"/>
        <v>245</v>
      </c>
      <c r="CQ91" s="72">
        <f t="shared" si="247"/>
        <v>316</v>
      </c>
      <c r="CR91" s="72">
        <f t="shared" si="248"/>
        <v>345</v>
      </c>
      <c r="CS91" s="72">
        <f t="shared" si="249"/>
        <v>358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447"/>
        <v>adrb1_melga_2Y00</v>
      </c>
      <c r="B92" s="3" t="s">
        <v>911</v>
      </c>
      <c r="C92" s="3" t="s">
        <v>1022</v>
      </c>
      <c r="D92" s="3" t="str">
        <f>IFERROR(MID(VLOOKUP($B92,Seqs!$A:$B,2,0),E92,1),"")</f>
        <v>A</v>
      </c>
      <c r="E92" s="3">
        <v>33</v>
      </c>
      <c r="F92" s="3" t="str">
        <f>IFERROR(MID(VLOOKUP($B92,Seqs!$A:$B,2,0),G92,1),"")</f>
        <v>T</v>
      </c>
      <c r="G92" s="3">
        <v>69</v>
      </c>
      <c r="H92" s="3" t="str">
        <f>IFERROR(MID(VLOOKUP($B92,Seqs!$A:$B,2,0),I92,1),"")</f>
        <v>Q</v>
      </c>
      <c r="I92" s="23">
        <v>70</v>
      </c>
      <c r="J92" s="3" t="str">
        <f>IFERROR(MID(VLOOKUP($B92,Seqs!$A:$B,2,0),K92,1),"")</f>
        <v>Q</v>
      </c>
      <c r="K92" s="23">
        <v>73</v>
      </c>
      <c r="L92" s="3" t="str">
        <f>IFERROR(MID(VLOOKUP($B92,Seqs!$A:$B,2,0),M92,1),"")</f>
        <v>T</v>
      </c>
      <c r="M92" s="3">
        <v>74</v>
      </c>
      <c r="N92" s="3" t="str">
        <f>IFERROR(MID(VLOOKUP($B92,Seqs!$A:$B,2,0),O92,1),"")</f>
        <v>R</v>
      </c>
      <c r="O92" s="3">
        <v>104</v>
      </c>
      <c r="P92" s="3" t="str">
        <f>IFERROR(MID(VLOOKUP($B92,Seqs!$A:$B,2,0),Q92,1),"")</f>
        <v>T</v>
      </c>
      <c r="Q92" s="3">
        <v>106</v>
      </c>
      <c r="R92" s="3" t="str">
        <f>IFERROR(MID(VLOOKUP($B92,Seqs!$A:$B,2,0),S92,1),"")</f>
        <v>W</v>
      </c>
      <c r="S92" s="3">
        <v>109</v>
      </c>
      <c r="T92" s="3" t="str">
        <f>IFERROR(MID(VLOOKUP($B92,Seqs!$A:$B,2,0),U92,1),"")</f>
        <v>G</v>
      </c>
      <c r="U92" s="3">
        <v>110</v>
      </c>
      <c r="V92" s="3" t="str">
        <f>IFERROR(MID(VLOOKUP($B92,Seqs!$A:$B,2,0),W92,1),"")</f>
        <v>S</v>
      </c>
      <c r="W92" s="3">
        <v>145</v>
      </c>
      <c r="X92" s="3" t="str">
        <f>IFERROR(MID(VLOOKUP($B92,Seqs!$A:$B,2,0),Y92,1),"")</f>
        <v>P</v>
      </c>
      <c r="Y92" s="3">
        <v>146</v>
      </c>
      <c r="Z92" s="3" t="str">
        <f>IFERROR(MID(VLOOKUP($B92,Seqs!$A:$B,2,0),AA92,1),"")</f>
        <v>M</v>
      </c>
      <c r="AA92" s="3">
        <v>153</v>
      </c>
      <c r="AB92" s="3" t="str">
        <f>IFERROR(MID(VLOOKUP($B92,Seqs!$A:$B,2,0),AC92,1),"")</f>
        <v>T</v>
      </c>
      <c r="AC92" s="9">
        <v>154</v>
      </c>
      <c r="AD92" s="3" t="str">
        <f>IFERROR(MID(VLOOKUP($B92,Seqs!$A:$B,2,0),AE92,1),"")</f>
        <v>H</v>
      </c>
      <c r="AE92" s="3">
        <v>180</v>
      </c>
      <c r="AF92" s="3" t="str">
        <f>IFERROR(MID(VLOOKUP($B92,Seqs!$A:$B,2,0),AG92,1),"")</f>
        <v>C</v>
      </c>
      <c r="AG92" s="3">
        <v>199</v>
      </c>
      <c r="AH92" s="3" t="str">
        <f>IFERROR(MID(VLOOKUP($B92,Seqs!$A:$B,2,0),AI92,1),"")</f>
        <v>F</v>
      </c>
      <c r="AI92" s="3">
        <v>201</v>
      </c>
      <c r="AJ92" s="3" t="str">
        <f>IFERROR(MID(VLOOKUP($B92,Seqs!$A:$B,2,0),AK92,1),"")</f>
        <v>N</v>
      </c>
      <c r="AK92" s="3">
        <v>204</v>
      </c>
      <c r="AL92" s="3" t="str">
        <f>IFERROR(MID(VLOOKUP($B92,Seqs!$A:$B,2,0),AM92,1),"")</f>
        <v>I</v>
      </c>
      <c r="AM92" s="3">
        <v>238</v>
      </c>
      <c r="AN92" s="3" t="str">
        <f>IFERROR(MID(VLOOKUP($B92,Seqs!$A:$B,2,0),AO92,1),"")</f>
        <v>R</v>
      </c>
      <c r="AO92" s="3">
        <v>275</v>
      </c>
      <c r="AP92" s="3" t="str">
        <f>IFERROR(MID(VLOOKUP($B92,Seqs!$A:$B,2,0),AQ92,1),"")</f>
        <v>N</v>
      </c>
      <c r="AQ92" s="3">
        <v>316</v>
      </c>
      <c r="AR92" s="3" t="str">
        <f>IFERROR(MID(VLOOKUP($B92,Seqs!$A:$B,2,0),AS92,1),"")</f>
        <v>P</v>
      </c>
      <c r="AS92" s="3">
        <v>321</v>
      </c>
      <c r="AT92" s="3" t="str">
        <f>IFERROR(MID(VLOOKUP($B92,Seqs!$A:$B,2,0),AU92,1),"")</f>
        <v>R</v>
      </c>
      <c r="AU92" s="3">
        <v>345</v>
      </c>
      <c r="AV92" s="3" t="str">
        <f>IFERROR(MID(VLOOKUP($B92,Seqs!$A:$B,2,0),AW92,1),"")</f>
        <v>S</v>
      </c>
      <c r="AW92" s="3">
        <v>346</v>
      </c>
      <c r="AX92" s="3" t="str">
        <f>IFERROR(MID(VLOOKUP($B92,Seqs!$A:$B,2,0),AY92,1),"")</f>
        <v>C</v>
      </c>
      <c r="AY92" s="3">
        <v>358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448"/>
        <v>1</v>
      </c>
      <c r="BC92" s="23">
        <f t="shared" si="225"/>
        <v>265</v>
      </c>
      <c r="BD92" s="4" t="s">
        <v>23</v>
      </c>
      <c r="BE92" s="3" t="s">
        <v>1374</v>
      </c>
      <c r="BF92" s="119">
        <v>2.5</v>
      </c>
      <c r="BG92" s="49" t="s">
        <v>1377</v>
      </c>
      <c r="BH92" s="49" t="s">
        <v>1377</v>
      </c>
      <c r="BI92" s="1"/>
      <c r="BJ92" s="70" t="s">
        <v>1287</v>
      </c>
      <c r="BK92" s="57" t="s">
        <v>1287</v>
      </c>
      <c r="BL92" s="57" t="s">
        <v>1287</v>
      </c>
      <c r="BM92" s="57" t="s">
        <v>1287</v>
      </c>
      <c r="BN92" s="57" t="s">
        <v>1287</v>
      </c>
      <c r="BO92" s="57" t="s">
        <v>1287</v>
      </c>
      <c r="BP92" s="57" t="s">
        <v>1287</v>
      </c>
      <c r="BQ92" s="57" t="s">
        <v>1287</v>
      </c>
      <c r="BR92" s="57" t="s">
        <v>1287</v>
      </c>
      <c r="BS92" s="57" t="s">
        <v>1287</v>
      </c>
      <c r="BT92" s="57" t="s">
        <v>1287</v>
      </c>
      <c r="BU92" s="57" t="s">
        <v>1287</v>
      </c>
      <c r="BV92" s="70">
        <f t="shared" si="226"/>
        <v>33</v>
      </c>
      <c r="BW92" s="71">
        <f t="shared" si="227"/>
        <v>70</v>
      </c>
      <c r="BX92" s="72">
        <f t="shared" si="228"/>
        <v>74</v>
      </c>
      <c r="BY92" s="71">
        <f t="shared" si="229"/>
        <v>106</v>
      </c>
      <c r="BZ92" s="72">
        <f t="shared" si="230"/>
        <v>110</v>
      </c>
      <c r="CA92" s="71">
        <f t="shared" si="231"/>
        <v>146</v>
      </c>
      <c r="CB92" s="72">
        <f t="shared" si="232"/>
        <v>154</v>
      </c>
      <c r="CC92" s="71">
        <f t="shared" si="233"/>
        <v>199</v>
      </c>
      <c r="CD92" s="72">
        <f t="shared" si="234"/>
        <v>204</v>
      </c>
      <c r="CE92" s="71">
        <f t="shared" si="235"/>
        <v>275</v>
      </c>
      <c r="CF92" s="72">
        <f t="shared" si="236"/>
        <v>321</v>
      </c>
      <c r="CG92" s="71">
        <f t="shared" si="237"/>
        <v>346</v>
      </c>
      <c r="CH92" s="70">
        <f t="shared" si="238"/>
        <v>69</v>
      </c>
      <c r="CI92" s="71">
        <f t="shared" si="239"/>
        <v>73</v>
      </c>
      <c r="CJ92" s="72">
        <f t="shared" si="240"/>
        <v>104</v>
      </c>
      <c r="CK92" s="72">
        <f t="shared" si="241"/>
        <v>109</v>
      </c>
      <c r="CL92" s="72">
        <f t="shared" si="242"/>
        <v>145</v>
      </c>
      <c r="CM92" s="72">
        <f t="shared" si="243"/>
        <v>153</v>
      </c>
      <c r="CN92" s="72">
        <f t="shared" si="244"/>
        <v>180</v>
      </c>
      <c r="CO92" s="72">
        <f t="shared" si="245"/>
        <v>201</v>
      </c>
      <c r="CP92" s="72">
        <f t="shared" si="246"/>
        <v>238</v>
      </c>
      <c r="CQ92" s="72">
        <f t="shared" si="247"/>
        <v>316</v>
      </c>
      <c r="CR92" s="72">
        <f t="shared" si="248"/>
        <v>345</v>
      </c>
      <c r="CS92" s="72">
        <f t="shared" si="249"/>
        <v>358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447"/>
        <v>adrb1_melga_2Y02</v>
      </c>
      <c r="B93" s="3" t="s">
        <v>911</v>
      </c>
      <c r="C93" s="3" t="s">
        <v>1023</v>
      </c>
      <c r="D93" s="3" t="str">
        <f>IFERROR(MID(VLOOKUP($B93,Seqs!$A:$B,2,0),E93,1),"")</f>
        <v>A</v>
      </c>
      <c r="E93" s="3">
        <v>33</v>
      </c>
      <c r="F93" s="3" t="str">
        <f>IFERROR(MID(VLOOKUP($B93,Seqs!$A:$B,2,0),G93,1),"")</f>
        <v>T</v>
      </c>
      <c r="G93" s="3">
        <v>69</v>
      </c>
      <c r="H93" s="3" t="str">
        <f>IFERROR(MID(VLOOKUP($B93,Seqs!$A:$B,2,0),I93,1),"")</f>
        <v>Q</v>
      </c>
      <c r="I93" s="23">
        <v>70</v>
      </c>
      <c r="J93" s="3" t="str">
        <f>IFERROR(MID(VLOOKUP($B93,Seqs!$A:$B,2,0),K93,1),"")</f>
        <v>Q</v>
      </c>
      <c r="K93" s="23">
        <v>73</v>
      </c>
      <c r="L93" s="3" t="str">
        <f>IFERROR(MID(VLOOKUP($B93,Seqs!$A:$B,2,0),M93,1),"")</f>
        <v>T</v>
      </c>
      <c r="M93" s="3">
        <v>74</v>
      </c>
      <c r="N93" s="3" t="str">
        <f>IFERROR(MID(VLOOKUP($B93,Seqs!$A:$B,2,0),O93,1),"")</f>
        <v>R</v>
      </c>
      <c r="O93" s="3">
        <v>104</v>
      </c>
      <c r="P93" s="3" t="str">
        <f>IFERROR(MID(VLOOKUP($B93,Seqs!$A:$B,2,0),Q93,1),"")</f>
        <v>T</v>
      </c>
      <c r="Q93" s="3">
        <v>106</v>
      </c>
      <c r="R93" s="3" t="str">
        <f>IFERROR(MID(VLOOKUP($B93,Seqs!$A:$B,2,0),S93,1),"")</f>
        <v>W</v>
      </c>
      <c r="S93" s="3">
        <v>109</v>
      </c>
      <c r="T93" s="3" t="str">
        <f>IFERROR(MID(VLOOKUP($B93,Seqs!$A:$B,2,0),U93,1),"")</f>
        <v>G</v>
      </c>
      <c r="U93" s="3">
        <v>110</v>
      </c>
      <c r="V93" s="3" t="str">
        <f>IFERROR(MID(VLOOKUP($B93,Seqs!$A:$B,2,0),W93,1),"")</f>
        <v>S</v>
      </c>
      <c r="W93" s="3">
        <v>145</v>
      </c>
      <c r="X93" s="3" t="str">
        <f>IFERROR(MID(VLOOKUP($B93,Seqs!$A:$B,2,0),Y93,1),"")</f>
        <v>P</v>
      </c>
      <c r="Y93" s="3">
        <v>146</v>
      </c>
      <c r="Z93" s="3" t="str">
        <f>IFERROR(MID(VLOOKUP($B93,Seqs!$A:$B,2,0),AA93,1),"")</f>
        <v>M</v>
      </c>
      <c r="AA93" s="3">
        <v>153</v>
      </c>
      <c r="AB93" s="3" t="str">
        <f>IFERROR(MID(VLOOKUP($B93,Seqs!$A:$B,2,0),AC93,1),"")</f>
        <v>T</v>
      </c>
      <c r="AC93" s="9">
        <v>154</v>
      </c>
      <c r="AD93" s="3" t="str">
        <f>IFERROR(MID(VLOOKUP($B93,Seqs!$A:$B,2,0),AE93,1),"")</f>
        <v>H</v>
      </c>
      <c r="AE93" s="3">
        <v>180</v>
      </c>
      <c r="AF93" s="3" t="str">
        <f>IFERROR(MID(VLOOKUP($B93,Seqs!$A:$B,2,0),AG93,1),"")</f>
        <v>C</v>
      </c>
      <c r="AG93" s="3">
        <v>199</v>
      </c>
      <c r="AH93" s="3" t="str">
        <f>IFERROR(MID(VLOOKUP($B93,Seqs!$A:$B,2,0),AI93,1),"")</f>
        <v>F</v>
      </c>
      <c r="AI93" s="3">
        <v>201</v>
      </c>
      <c r="AJ93" s="3" t="str">
        <f>IFERROR(MID(VLOOKUP($B93,Seqs!$A:$B,2,0),AK93,1),"")</f>
        <v>N</v>
      </c>
      <c r="AK93" s="3">
        <v>204</v>
      </c>
      <c r="AL93" s="3" t="str">
        <f>IFERROR(MID(VLOOKUP($B93,Seqs!$A:$B,2,0),AM93,1),"")</f>
        <v>I</v>
      </c>
      <c r="AM93" s="3">
        <v>238</v>
      </c>
      <c r="AN93" s="3" t="str">
        <f>IFERROR(MID(VLOOKUP($B93,Seqs!$A:$B,2,0),AO93,1),"")</f>
        <v>R</v>
      </c>
      <c r="AO93" s="3">
        <v>275</v>
      </c>
      <c r="AP93" s="3" t="str">
        <f>IFERROR(MID(VLOOKUP($B93,Seqs!$A:$B,2,0),AQ93,1),"")</f>
        <v>N</v>
      </c>
      <c r="AQ93" s="3">
        <v>316</v>
      </c>
      <c r="AR93" s="3" t="str">
        <f>IFERROR(MID(VLOOKUP($B93,Seqs!$A:$B,2,0),AS93,1),"")</f>
        <v>P</v>
      </c>
      <c r="AS93" s="3">
        <v>321</v>
      </c>
      <c r="AT93" s="3" t="str">
        <f>IFERROR(MID(VLOOKUP($B93,Seqs!$A:$B,2,0),AU93,1),"")</f>
        <v>R</v>
      </c>
      <c r="AU93" s="3">
        <v>345</v>
      </c>
      <c r="AV93" s="3" t="str">
        <f>IFERROR(MID(VLOOKUP($B93,Seqs!$A:$B,2,0),AW93,1),"")</f>
        <v>S</v>
      </c>
      <c r="AW93" s="3">
        <v>346</v>
      </c>
      <c r="AX93" s="3" t="str">
        <f>IFERROR(MID(VLOOKUP($B93,Seqs!$A:$B,2,0),AY93,1),"")</f>
        <v>C</v>
      </c>
      <c r="AY93" s="3">
        <v>358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448"/>
        <v>1</v>
      </c>
      <c r="BC93" s="23">
        <f t="shared" si="225"/>
        <v>265</v>
      </c>
      <c r="BD93" s="4" t="s">
        <v>23</v>
      </c>
      <c r="BE93" s="3" t="s">
        <v>1374</v>
      </c>
      <c r="BF93" s="119">
        <v>2.6</v>
      </c>
      <c r="BG93" s="49" t="s">
        <v>1377</v>
      </c>
      <c r="BH93" s="49" t="s">
        <v>1377</v>
      </c>
      <c r="BI93" s="1"/>
      <c r="BJ93" s="70" t="s">
        <v>1287</v>
      </c>
      <c r="BK93" s="57" t="s">
        <v>1287</v>
      </c>
      <c r="BL93" s="57" t="s">
        <v>1287</v>
      </c>
      <c r="BM93" s="57" t="s">
        <v>1287</v>
      </c>
      <c r="BN93" s="57" t="s">
        <v>1287</v>
      </c>
      <c r="BO93" s="57" t="s">
        <v>1287</v>
      </c>
      <c r="BP93" s="57" t="s">
        <v>1287</v>
      </c>
      <c r="BQ93" s="57" t="s">
        <v>1287</v>
      </c>
      <c r="BR93" s="57" t="s">
        <v>1287</v>
      </c>
      <c r="BS93" s="57" t="s">
        <v>1287</v>
      </c>
      <c r="BT93" s="57" t="s">
        <v>1287</v>
      </c>
      <c r="BU93" s="57" t="s">
        <v>1287</v>
      </c>
      <c r="BV93" s="70">
        <f t="shared" si="226"/>
        <v>33</v>
      </c>
      <c r="BW93" s="71">
        <f t="shared" si="227"/>
        <v>70</v>
      </c>
      <c r="BX93" s="72">
        <f t="shared" si="228"/>
        <v>74</v>
      </c>
      <c r="BY93" s="71">
        <f t="shared" si="229"/>
        <v>106</v>
      </c>
      <c r="BZ93" s="72">
        <f t="shared" si="230"/>
        <v>110</v>
      </c>
      <c r="CA93" s="71">
        <f t="shared" si="231"/>
        <v>146</v>
      </c>
      <c r="CB93" s="72">
        <f t="shared" si="232"/>
        <v>154</v>
      </c>
      <c r="CC93" s="71">
        <f t="shared" si="233"/>
        <v>199</v>
      </c>
      <c r="CD93" s="72">
        <f t="shared" si="234"/>
        <v>204</v>
      </c>
      <c r="CE93" s="71">
        <f t="shared" si="235"/>
        <v>275</v>
      </c>
      <c r="CF93" s="72">
        <f t="shared" si="236"/>
        <v>321</v>
      </c>
      <c r="CG93" s="71">
        <f t="shared" si="237"/>
        <v>346</v>
      </c>
      <c r="CH93" s="70">
        <f t="shared" si="238"/>
        <v>69</v>
      </c>
      <c r="CI93" s="71">
        <f t="shared" si="239"/>
        <v>73</v>
      </c>
      <c r="CJ93" s="72">
        <f t="shared" si="240"/>
        <v>104</v>
      </c>
      <c r="CK93" s="72">
        <f t="shared" si="241"/>
        <v>109</v>
      </c>
      <c r="CL93" s="72">
        <f t="shared" si="242"/>
        <v>145</v>
      </c>
      <c r="CM93" s="72">
        <f t="shared" si="243"/>
        <v>153</v>
      </c>
      <c r="CN93" s="72">
        <f t="shared" si="244"/>
        <v>180</v>
      </c>
      <c r="CO93" s="72">
        <f t="shared" si="245"/>
        <v>201</v>
      </c>
      <c r="CP93" s="72">
        <f t="shared" si="246"/>
        <v>238</v>
      </c>
      <c r="CQ93" s="72">
        <f t="shared" si="247"/>
        <v>316</v>
      </c>
      <c r="CR93" s="72">
        <f t="shared" si="248"/>
        <v>345</v>
      </c>
      <c r="CS93" s="72">
        <f t="shared" si="249"/>
        <v>358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447"/>
        <v>adrb1_melga_2Y03</v>
      </c>
      <c r="B94" s="3" t="s">
        <v>911</v>
      </c>
      <c r="C94" s="3" t="s">
        <v>1024</v>
      </c>
      <c r="D94" s="3" t="str">
        <f>IFERROR(MID(VLOOKUP($B94,Seqs!$A:$B,2,0),E94,1),"")</f>
        <v>A</v>
      </c>
      <c r="E94" s="3">
        <v>33</v>
      </c>
      <c r="F94" s="3" t="str">
        <f>IFERROR(MID(VLOOKUP($B94,Seqs!$A:$B,2,0),G94,1),"")</f>
        <v>T</v>
      </c>
      <c r="G94" s="3">
        <v>69</v>
      </c>
      <c r="H94" s="3" t="str">
        <f>IFERROR(MID(VLOOKUP($B94,Seqs!$A:$B,2,0),I94,1),"")</f>
        <v>Q</v>
      </c>
      <c r="I94" s="23">
        <v>70</v>
      </c>
      <c r="J94" s="3" t="str">
        <f>IFERROR(MID(VLOOKUP($B94,Seqs!$A:$B,2,0),K94,1),"")</f>
        <v>Q</v>
      </c>
      <c r="K94" s="23">
        <v>73</v>
      </c>
      <c r="L94" s="3" t="str">
        <f>IFERROR(MID(VLOOKUP($B94,Seqs!$A:$B,2,0),M94,1),"")</f>
        <v>T</v>
      </c>
      <c r="M94" s="3">
        <v>74</v>
      </c>
      <c r="N94" s="3" t="str">
        <f>IFERROR(MID(VLOOKUP($B94,Seqs!$A:$B,2,0),O94,1),"")</f>
        <v>R</v>
      </c>
      <c r="O94" s="3">
        <v>104</v>
      </c>
      <c r="P94" s="3" t="str">
        <f>IFERROR(MID(VLOOKUP($B94,Seqs!$A:$B,2,0),Q94,1),"")</f>
        <v>T</v>
      </c>
      <c r="Q94" s="3">
        <v>106</v>
      </c>
      <c r="R94" s="3" t="str">
        <f>IFERROR(MID(VLOOKUP($B94,Seqs!$A:$B,2,0),S94,1),"")</f>
        <v>W</v>
      </c>
      <c r="S94" s="3">
        <v>109</v>
      </c>
      <c r="T94" s="3" t="str">
        <f>IFERROR(MID(VLOOKUP($B94,Seqs!$A:$B,2,0),U94,1),"")</f>
        <v>G</v>
      </c>
      <c r="U94" s="3">
        <v>110</v>
      </c>
      <c r="V94" s="3" t="str">
        <f>IFERROR(MID(VLOOKUP($B94,Seqs!$A:$B,2,0),W94,1),"")</f>
        <v>S</v>
      </c>
      <c r="W94" s="3">
        <v>145</v>
      </c>
      <c r="X94" s="3" t="str">
        <f>IFERROR(MID(VLOOKUP($B94,Seqs!$A:$B,2,0),Y94,1),"")</f>
        <v>P</v>
      </c>
      <c r="Y94" s="3">
        <v>146</v>
      </c>
      <c r="Z94" s="3" t="str">
        <f>IFERROR(MID(VLOOKUP($B94,Seqs!$A:$B,2,0),AA94,1),"")</f>
        <v>M</v>
      </c>
      <c r="AA94" s="3">
        <v>153</v>
      </c>
      <c r="AB94" s="3" t="str">
        <f>IFERROR(MID(VLOOKUP($B94,Seqs!$A:$B,2,0),AC94,1),"")</f>
        <v>T</v>
      </c>
      <c r="AC94" s="9">
        <v>154</v>
      </c>
      <c r="AD94" s="3" t="str">
        <f>IFERROR(MID(VLOOKUP($B94,Seqs!$A:$B,2,0),AE94,1),"")</f>
        <v>H</v>
      </c>
      <c r="AE94" s="3">
        <v>180</v>
      </c>
      <c r="AF94" s="3" t="str">
        <f>IFERROR(MID(VLOOKUP($B94,Seqs!$A:$B,2,0),AG94,1),"")</f>
        <v>C</v>
      </c>
      <c r="AG94" s="3">
        <v>199</v>
      </c>
      <c r="AH94" s="3" t="str">
        <f>IFERROR(MID(VLOOKUP($B94,Seqs!$A:$B,2,0),AI94,1),"")</f>
        <v>F</v>
      </c>
      <c r="AI94" s="3">
        <v>201</v>
      </c>
      <c r="AJ94" s="3" t="str">
        <f>IFERROR(MID(VLOOKUP($B94,Seqs!$A:$B,2,0),AK94,1),"")</f>
        <v>N</v>
      </c>
      <c r="AK94" s="3">
        <v>204</v>
      </c>
      <c r="AL94" s="3" t="str">
        <f>IFERROR(MID(VLOOKUP($B94,Seqs!$A:$B,2,0),AM94,1),"")</f>
        <v>I</v>
      </c>
      <c r="AM94" s="3">
        <v>238</v>
      </c>
      <c r="AN94" s="3" t="str">
        <f>IFERROR(MID(VLOOKUP($B94,Seqs!$A:$B,2,0),AO94,1),"")</f>
        <v>R</v>
      </c>
      <c r="AO94" s="3">
        <v>275</v>
      </c>
      <c r="AP94" s="3" t="str">
        <f>IFERROR(MID(VLOOKUP($B94,Seqs!$A:$B,2,0),AQ94,1),"")</f>
        <v>N</v>
      </c>
      <c r="AQ94" s="3">
        <v>316</v>
      </c>
      <c r="AR94" s="3" t="str">
        <f>IFERROR(MID(VLOOKUP($B94,Seqs!$A:$B,2,0),AS94,1),"")</f>
        <v>P</v>
      </c>
      <c r="AS94" s="3">
        <v>321</v>
      </c>
      <c r="AT94" s="3" t="str">
        <f>IFERROR(MID(VLOOKUP($B94,Seqs!$A:$B,2,0),AU94,1),"")</f>
        <v>R</v>
      </c>
      <c r="AU94" s="3">
        <v>345</v>
      </c>
      <c r="AV94" s="3" t="str">
        <f>IFERROR(MID(VLOOKUP($B94,Seqs!$A:$B,2,0),AW94,1),"")</f>
        <v>S</v>
      </c>
      <c r="AW94" s="3">
        <v>346</v>
      </c>
      <c r="AX94" s="3" t="str">
        <f>IFERROR(MID(VLOOKUP($B94,Seqs!$A:$B,2,0),AY94,1),"")</f>
        <v>C</v>
      </c>
      <c r="AY94" s="3">
        <v>358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448"/>
        <v>1</v>
      </c>
      <c r="BC94" s="23">
        <f t="shared" si="225"/>
        <v>265</v>
      </c>
      <c r="BD94" s="4" t="s">
        <v>23</v>
      </c>
      <c r="BE94" s="3" t="s">
        <v>1374</v>
      </c>
      <c r="BF94" s="119">
        <v>2.85</v>
      </c>
      <c r="BG94" s="49" t="s">
        <v>1377</v>
      </c>
      <c r="BH94" s="49" t="s">
        <v>1377</v>
      </c>
      <c r="BI94" s="1"/>
      <c r="BJ94" s="70" t="s">
        <v>1287</v>
      </c>
      <c r="BK94" s="57" t="s">
        <v>1287</v>
      </c>
      <c r="BL94" s="57" t="s">
        <v>1287</v>
      </c>
      <c r="BM94" s="57" t="s">
        <v>1287</v>
      </c>
      <c r="BN94" s="57" t="s">
        <v>1287</v>
      </c>
      <c r="BO94" s="57" t="s">
        <v>1287</v>
      </c>
      <c r="BP94" s="57" t="s">
        <v>1287</v>
      </c>
      <c r="BQ94" s="57" t="s">
        <v>1287</v>
      </c>
      <c r="BR94" s="57" t="s">
        <v>1287</v>
      </c>
      <c r="BS94" s="57" t="s">
        <v>1287</v>
      </c>
      <c r="BT94" s="57" t="s">
        <v>1287</v>
      </c>
      <c r="BU94" s="57" t="s">
        <v>1287</v>
      </c>
      <c r="BV94" s="70">
        <f t="shared" si="226"/>
        <v>33</v>
      </c>
      <c r="BW94" s="71">
        <f t="shared" si="227"/>
        <v>70</v>
      </c>
      <c r="BX94" s="72">
        <f t="shared" si="228"/>
        <v>74</v>
      </c>
      <c r="BY94" s="71">
        <f t="shared" si="229"/>
        <v>106</v>
      </c>
      <c r="BZ94" s="72">
        <f t="shared" si="230"/>
        <v>110</v>
      </c>
      <c r="CA94" s="71">
        <f t="shared" si="231"/>
        <v>146</v>
      </c>
      <c r="CB94" s="72">
        <f t="shared" si="232"/>
        <v>154</v>
      </c>
      <c r="CC94" s="71">
        <f t="shared" si="233"/>
        <v>199</v>
      </c>
      <c r="CD94" s="72">
        <f t="shared" si="234"/>
        <v>204</v>
      </c>
      <c r="CE94" s="71">
        <f t="shared" si="235"/>
        <v>275</v>
      </c>
      <c r="CF94" s="72">
        <f t="shared" si="236"/>
        <v>321</v>
      </c>
      <c r="CG94" s="71">
        <f t="shared" si="237"/>
        <v>346</v>
      </c>
      <c r="CH94" s="70">
        <f t="shared" si="238"/>
        <v>69</v>
      </c>
      <c r="CI94" s="71">
        <f t="shared" si="239"/>
        <v>73</v>
      </c>
      <c r="CJ94" s="72">
        <f t="shared" si="240"/>
        <v>104</v>
      </c>
      <c r="CK94" s="72">
        <f t="shared" si="241"/>
        <v>109</v>
      </c>
      <c r="CL94" s="72">
        <f t="shared" si="242"/>
        <v>145</v>
      </c>
      <c r="CM94" s="72">
        <f t="shared" si="243"/>
        <v>153</v>
      </c>
      <c r="CN94" s="72">
        <f t="shared" si="244"/>
        <v>180</v>
      </c>
      <c r="CO94" s="72">
        <f t="shared" si="245"/>
        <v>201</v>
      </c>
      <c r="CP94" s="72">
        <f t="shared" si="246"/>
        <v>238</v>
      </c>
      <c r="CQ94" s="72">
        <f t="shared" si="247"/>
        <v>316</v>
      </c>
      <c r="CR94" s="72">
        <f t="shared" si="248"/>
        <v>345</v>
      </c>
      <c r="CS94" s="72">
        <f t="shared" si="249"/>
        <v>358</v>
      </c>
      <c r="CT94" s="23">
        <f t="shared" si="250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447"/>
        <v>adrb1_melga_2Y04</v>
      </c>
      <c r="B95" s="3" t="s">
        <v>911</v>
      </c>
      <c r="C95" s="3" t="s">
        <v>1025</v>
      </c>
      <c r="D95" s="3" t="str">
        <f>IFERROR(MID(VLOOKUP($B95,Seqs!$A:$B,2,0),E95,1),"")</f>
        <v>A</v>
      </c>
      <c r="E95" s="3">
        <v>33</v>
      </c>
      <c r="F95" s="3" t="str">
        <f>IFERROR(MID(VLOOKUP($B95,Seqs!$A:$B,2,0),G95,1),"")</f>
        <v>T</v>
      </c>
      <c r="G95" s="3">
        <v>69</v>
      </c>
      <c r="H95" s="3" t="str">
        <f>IFERROR(MID(VLOOKUP($B95,Seqs!$A:$B,2,0),I95,1),"")</f>
        <v>Q</v>
      </c>
      <c r="I95" s="23">
        <v>70</v>
      </c>
      <c r="J95" s="3" t="str">
        <f>IFERROR(MID(VLOOKUP($B95,Seqs!$A:$B,2,0),K95,1),"")</f>
        <v>Q</v>
      </c>
      <c r="K95" s="23">
        <v>73</v>
      </c>
      <c r="L95" s="3" t="str">
        <f>IFERROR(MID(VLOOKUP($B95,Seqs!$A:$B,2,0),M95,1),"")</f>
        <v>T</v>
      </c>
      <c r="M95" s="3">
        <v>74</v>
      </c>
      <c r="N95" s="3" t="str">
        <f>IFERROR(MID(VLOOKUP($B95,Seqs!$A:$B,2,0),O95,1),"")</f>
        <v>R</v>
      </c>
      <c r="O95" s="3">
        <v>104</v>
      </c>
      <c r="P95" s="3" t="str">
        <f>IFERROR(MID(VLOOKUP($B95,Seqs!$A:$B,2,0),Q95,1),"")</f>
        <v>T</v>
      </c>
      <c r="Q95" s="3">
        <v>106</v>
      </c>
      <c r="R95" s="3" t="str">
        <f>IFERROR(MID(VLOOKUP($B95,Seqs!$A:$B,2,0),S95,1),"")</f>
        <v>W</v>
      </c>
      <c r="S95" s="3">
        <v>109</v>
      </c>
      <c r="T95" s="3" t="str">
        <f>IFERROR(MID(VLOOKUP($B95,Seqs!$A:$B,2,0),U95,1),"")</f>
        <v>G</v>
      </c>
      <c r="U95" s="3">
        <v>110</v>
      </c>
      <c r="V95" s="3" t="str">
        <f>IFERROR(MID(VLOOKUP($B95,Seqs!$A:$B,2,0),W95,1),"")</f>
        <v>S</v>
      </c>
      <c r="W95" s="3">
        <v>145</v>
      </c>
      <c r="X95" s="3" t="str">
        <f>IFERROR(MID(VLOOKUP($B95,Seqs!$A:$B,2,0),Y95,1),"")</f>
        <v>P</v>
      </c>
      <c r="Y95" s="3">
        <v>146</v>
      </c>
      <c r="Z95" s="3" t="str">
        <f>IFERROR(MID(VLOOKUP($B95,Seqs!$A:$B,2,0),AA95,1),"")</f>
        <v>M</v>
      </c>
      <c r="AA95" s="3">
        <v>153</v>
      </c>
      <c r="AB95" s="3" t="str">
        <f>IFERROR(MID(VLOOKUP($B95,Seqs!$A:$B,2,0),AC95,1),"")</f>
        <v>T</v>
      </c>
      <c r="AC95" s="9">
        <v>154</v>
      </c>
      <c r="AD95" s="3" t="str">
        <f>IFERROR(MID(VLOOKUP($B95,Seqs!$A:$B,2,0),AE95,1),"")</f>
        <v>H</v>
      </c>
      <c r="AE95" s="3">
        <v>180</v>
      </c>
      <c r="AF95" s="3" t="str">
        <f>IFERROR(MID(VLOOKUP($B95,Seqs!$A:$B,2,0),AG95,1),"")</f>
        <v>C</v>
      </c>
      <c r="AG95" s="3">
        <v>199</v>
      </c>
      <c r="AH95" s="3" t="str">
        <f>IFERROR(MID(VLOOKUP($B95,Seqs!$A:$B,2,0),AI95,1),"")</f>
        <v>F</v>
      </c>
      <c r="AI95" s="3">
        <v>201</v>
      </c>
      <c r="AJ95" s="3" t="str">
        <f>IFERROR(MID(VLOOKUP($B95,Seqs!$A:$B,2,0),AK95,1),"")</f>
        <v>N</v>
      </c>
      <c r="AK95" s="3">
        <v>204</v>
      </c>
      <c r="AL95" s="3" t="str">
        <f>IFERROR(MID(VLOOKUP($B95,Seqs!$A:$B,2,0),AM95,1),"")</f>
        <v>I</v>
      </c>
      <c r="AM95" s="3">
        <v>238</v>
      </c>
      <c r="AN95" s="3" t="str">
        <f>IFERROR(MID(VLOOKUP($B95,Seqs!$A:$B,2,0),AO95,1),"")</f>
        <v>R</v>
      </c>
      <c r="AO95" s="3">
        <v>275</v>
      </c>
      <c r="AP95" s="3" t="str">
        <f>IFERROR(MID(VLOOKUP($B95,Seqs!$A:$B,2,0),AQ95,1),"")</f>
        <v>N</v>
      </c>
      <c r="AQ95" s="3">
        <v>316</v>
      </c>
      <c r="AR95" s="3" t="str">
        <f>IFERROR(MID(VLOOKUP($B95,Seqs!$A:$B,2,0),AS95,1),"")</f>
        <v>P</v>
      </c>
      <c r="AS95" s="3">
        <v>321</v>
      </c>
      <c r="AT95" s="3" t="str">
        <f>IFERROR(MID(VLOOKUP($B95,Seqs!$A:$B,2,0),AU95,1),"")</f>
        <v>R</v>
      </c>
      <c r="AU95" s="3">
        <v>345</v>
      </c>
      <c r="AV95" s="3" t="str">
        <f>IFERROR(MID(VLOOKUP($B95,Seqs!$A:$B,2,0),AW95,1),"")</f>
        <v>S</v>
      </c>
      <c r="AW95" s="3">
        <v>346</v>
      </c>
      <c r="AX95" s="3" t="str">
        <f>IFERROR(MID(VLOOKUP($B95,Seqs!$A:$B,2,0),AY95,1),"")</f>
        <v>C</v>
      </c>
      <c r="AY95" s="3">
        <v>358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si="448"/>
        <v>1</v>
      </c>
      <c r="BC95" s="23">
        <f t="shared" si="225"/>
        <v>265</v>
      </c>
      <c r="BD95" s="4" t="s">
        <v>23</v>
      </c>
      <c r="BE95" s="3" t="s">
        <v>1374</v>
      </c>
      <c r="BF95" s="119">
        <v>3.05</v>
      </c>
      <c r="BG95" s="49" t="s">
        <v>1377</v>
      </c>
      <c r="BH95" s="49" t="s">
        <v>1377</v>
      </c>
      <c r="BI95" s="1"/>
      <c r="BJ95" s="70" t="s">
        <v>1287</v>
      </c>
      <c r="BK95" s="57" t="s">
        <v>1287</v>
      </c>
      <c r="BL95" s="57" t="s">
        <v>1287</v>
      </c>
      <c r="BM95" s="57" t="s">
        <v>1287</v>
      </c>
      <c r="BN95" s="57" t="s">
        <v>1287</v>
      </c>
      <c r="BO95" s="57" t="s">
        <v>1287</v>
      </c>
      <c r="BP95" s="57" t="s">
        <v>1287</v>
      </c>
      <c r="BQ95" s="57" t="s">
        <v>1287</v>
      </c>
      <c r="BR95" s="57" t="s">
        <v>1287</v>
      </c>
      <c r="BS95" s="57" t="s">
        <v>1287</v>
      </c>
      <c r="BT95" s="57" t="s">
        <v>1287</v>
      </c>
      <c r="BU95" s="57" t="s">
        <v>1287</v>
      </c>
      <c r="BV95" s="70">
        <f t="shared" si="226"/>
        <v>33</v>
      </c>
      <c r="BW95" s="71">
        <f t="shared" si="227"/>
        <v>70</v>
      </c>
      <c r="BX95" s="72">
        <f t="shared" si="228"/>
        <v>74</v>
      </c>
      <c r="BY95" s="71">
        <f t="shared" si="229"/>
        <v>106</v>
      </c>
      <c r="BZ95" s="72">
        <f t="shared" si="230"/>
        <v>110</v>
      </c>
      <c r="CA95" s="71">
        <f t="shared" si="231"/>
        <v>146</v>
      </c>
      <c r="CB95" s="72">
        <f t="shared" si="232"/>
        <v>154</v>
      </c>
      <c r="CC95" s="71">
        <f t="shared" si="233"/>
        <v>199</v>
      </c>
      <c r="CD95" s="72">
        <f t="shared" si="234"/>
        <v>204</v>
      </c>
      <c r="CE95" s="71">
        <f t="shared" si="235"/>
        <v>275</v>
      </c>
      <c r="CF95" s="72">
        <f t="shared" si="236"/>
        <v>321</v>
      </c>
      <c r="CG95" s="71">
        <f t="shared" si="237"/>
        <v>346</v>
      </c>
      <c r="CH95" s="70">
        <f t="shared" si="238"/>
        <v>69</v>
      </c>
      <c r="CI95" s="71">
        <f t="shared" si="239"/>
        <v>73</v>
      </c>
      <c r="CJ95" s="72">
        <f t="shared" si="240"/>
        <v>104</v>
      </c>
      <c r="CK95" s="72">
        <f t="shared" si="241"/>
        <v>109</v>
      </c>
      <c r="CL95" s="72">
        <f t="shared" si="242"/>
        <v>145</v>
      </c>
      <c r="CM95" s="72">
        <f t="shared" si="243"/>
        <v>153</v>
      </c>
      <c r="CN95" s="72">
        <f t="shared" si="244"/>
        <v>180</v>
      </c>
      <c r="CO95" s="72">
        <f t="shared" si="245"/>
        <v>201</v>
      </c>
      <c r="CP95" s="72">
        <f t="shared" si="246"/>
        <v>238</v>
      </c>
      <c r="CQ95" s="72">
        <f t="shared" si="247"/>
        <v>316</v>
      </c>
      <c r="CR95" s="72">
        <f t="shared" si="248"/>
        <v>345</v>
      </c>
      <c r="CS95" s="72">
        <f t="shared" si="249"/>
        <v>358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447"/>
        <v>adrb1_melga_2YCW</v>
      </c>
      <c r="B96" s="3" t="s">
        <v>911</v>
      </c>
      <c r="C96" s="3" t="s">
        <v>1026</v>
      </c>
      <c r="D96" s="3" t="str">
        <f>IFERROR(MID(VLOOKUP($B96,Seqs!$A:$B,2,0),E96,1),"")</f>
        <v>S</v>
      </c>
      <c r="E96" s="3">
        <v>37</v>
      </c>
      <c r="F96" s="3" t="str">
        <f>IFERROR(MID(VLOOKUP($B96,Seqs!$A:$B,2,0),G96,1),"")</f>
        <v>T</v>
      </c>
      <c r="G96" s="3">
        <v>69</v>
      </c>
      <c r="H96" s="3" t="str">
        <f>IFERROR(MID(VLOOKUP($B96,Seqs!$A:$B,2,0),I96,1),"")</f>
        <v>Q</v>
      </c>
      <c r="I96" s="23">
        <v>70</v>
      </c>
      <c r="J96" s="3" t="str">
        <f>IFERROR(MID(VLOOKUP($B96,Seqs!$A:$B,2,0),K96,1),"")</f>
        <v>Q</v>
      </c>
      <c r="K96" s="23">
        <v>73</v>
      </c>
      <c r="L96" s="3" t="str">
        <f>IFERROR(MID(VLOOKUP($B96,Seqs!$A:$B,2,0),M96,1),"")</f>
        <v>T</v>
      </c>
      <c r="M96" s="3">
        <v>74</v>
      </c>
      <c r="N96" s="3" t="str">
        <f>IFERROR(MID(VLOOKUP($B96,Seqs!$A:$B,2,0),O96,1),"")</f>
        <v>R</v>
      </c>
      <c r="O96" s="3">
        <v>104</v>
      </c>
      <c r="P96" s="3" t="str">
        <f>IFERROR(MID(VLOOKUP($B96,Seqs!$A:$B,2,0),Q96,1),"")</f>
        <v>T</v>
      </c>
      <c r="Q96" s="3">
        <v>106</v>
      </c>
      <c r="R96" s="3" t="str">
        <f>IFERROR(MID(VLOOKUP($B96,Seqs!$A:$B,2,0),S96,1),"")</f>
        <v>W</v>
      </c>
      <c r="S96" s="3">
        <v>109</v>
      </c>
      <c r="T96" s="3" t="str">
        <f>IFERROR(MID(VLOOKUP($B96,Seqs!$A:$B,2,0),U96,1),"")</f>
        <v>G</v>
      </c>
      <c r="U96" s="3">
        <v>110</v>
      </c>
      <c r="V96" s="3" t="str">
        <f>IFERROR(MID(VLOOKUP($B96,Seqs!$A:$B,2,0),W96,1),"")</f>
        <v>S</v>
      </c>
      <c r="W96" s="3">
        <v>145</v>
      </c>
      <c r="X96" s="3" t="str">
        <f>IFERROR(MID(VLOOKUP($B96,Seqs!$A:$B,2,0),Y96,1),"")</f>
        <v>P</v>
      </c>
      <c r="Y96" s="3">
        <v>146</v>
      </c>
      <c r="Z96" s="3" t="str">
        <f>IFERROR(MID(VLOOKUP($B96,Seqs!$A:$B,2,0),AA96,1),"")</f>
        <v>M</v>
      </c>
      <c r="AA96" s="3">
        <v>153</v>
      </c>
      <c r="AB96" s="3" t="str">
        <f>IFERROR(MID(VLOOKUP($B96,Seqs!$A:$B,2,0),AC96,1),"")</f>
        <v>T</v>
      </c>
      <c r="AC96" s="9">
        <v>154</v>
      </c>
      <c r="AD96" s="3" t="str">
        <f>IFERROR(MID(VLOOKUP($B96,Seqs!$A:$B,2,0),AE96,1),"")</f>
        <v>H</v>
      </c>
      <c r="AE96" s="3">
        <v>180</v>
      </c>
      <c r="AF96" s="3" t="str">
        <f>IFERROR(MID(VLOOKUP($B96,Seqs!$A:$B,2,0),AG96,1),"")</f>
        <v>C</v>
      </c>
      <c r="AG96" s="3">
        <v>199</v>
      </c>
      <c r="AH96" s="3" t="str">
        <f>IFERROR(MID(VLOOKUP($B96,Seqs!$A:$B,2,0),AI96,1),"")</f>
        <v>F</v>
      </c>
      <c r="AI96" s="3">
        <v>201</v>
      </c>
      <c r="AJ96" s="3" t="str">
        <f>IFERROR(MID(VLOOKUP($B96,Seqs!$A:$B,2,0),AK96,1),"")</f>
        <v>N</v>
      </c>
      <c r="AK96" s="3">
        <v>204</v>
      </c>
      <c r="AL96" s="3" t="str">
        <f>IFERROR(MID(VLOOKUP($B96,Seqs!$A:$B,2,0),AM96,1),"")</f>
        <v>K</v>
      </c>
      <c r="AM96" s="3">
        <v>240</v>
      </c>
      <c r="AN96" s="3" t="str">
        <f>IFERROR(MID(VLOOKUP($B96,Seqs!$A:$B,2,0),AO96,1),"")</f>
        <v>L</v>
      </c>
      <c r="AO96" s="3">
        <v>289</v>
      </c>
      <c r="AP96" s="3" t="str">
        <f>IFERROR(MID(VLOOKUP($B96,Seqs!$A:$B,2,0),AQ96,1),"")</f>
        <v>N</v>
      </c>
      <c r="AQ96" s="3">
        <v>316</v>
      </c>
      <c r="AR96" s="3" t="str">
        <f>IFERROR(MID(VLOOKUP($B96,Seqs!$A:$B,2,0),AS96,1),"")</f>
        <v>P</v>
      </c>
      <c r="AS96" s="3">
        <v>321</v>
      </c>
      <c r="AT96" s="3" t="str">
        <f>IFERROR(MID(VLOOKUP($B96,Seqs!$A:$B,2,0),AU96,1),"")</f>
        <v>R</v>
      </c>
      <c r="AU96" s="3">
        <v>345</v>
      </c>
      <c r="AV96" s="3" t="str">
        <f>IFERROR(MID(VLOOKUP($B96,Seqs!$A:$B,2,0),AW96,1),"")</f>
        <v>S</v>
      </c>
      <c r="AW96" s="3">
        <v>346</v>
      </c>
      <c r="AX96" s="3" t="str">
        <f>IFERROR(MID(VLOOKUP($B96,Seqs!$A:$B,2,0),AY96,1),"")</f>
        <v>C</v>
      </c>
      <c r="AY96" s="3">
        <v>358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448"/>
        <v>1</v>
      </c>
      <c r="BC96" s="23">
        <f t="shared" si="225"/>
        <v>249</v>
      </c>
      <c r="BD96" s="4" t="s">
        <v>23</v>
      </c>
      <c r="BE96" s="3" t="s">
        <v>1374</v>
      </c>
      <c r="BF96" s="119">
        <v>3</v>
      </c>
      <c r="BG96" s="49" t="s">
        <v>1377</v>
      </c>
      <c r="BH96" s="49" t="s">
        <v>1377</v>
      </c>
      <c r="BI96" s="1"/>
      <c r="BJ96" s="70" t="s">
        <v>1287</v>
      </c>
      <c r="BK96" s="57" t="s">
        <v>1287</v>
      </c>
      <c r="BL96" s="57" t="s">
        <v>1287</v>
      </c>
      <c r="BM96" s="57" t="s">
        <v>1287</v>
      </c>
      <c r="BN96" s="57" t="s">
        <v>1287</v>
      </c>
      <c r="BO96" s="57" t="s">
        <v>1287</v>
      </c>
      <c r="BP96" s="57" t="s">
        <v>1287</v>
      </c>
      <c r="BQ96" s="57" t="s">
        <v>1287</v>
      </c>
      <c r="BR96" s="57" t="s">
        <v>1287</v>
      </c>
      <c r="BS96" s="57" t="s">
        <v>1287</v>
      </c>
      <c r="BT96" s="57" t="s">
        <v>1287</v>
      </c>
      <c r="BU96" s="57" t="s">
        <v>1287</v>
      </c>
      <c r="BV96" s="70">
        <f t="shared" si="226"/>
        <v>37</v>
      </c>
      <c r="BW96" s="71">
        <f t="shared" si="227"/>
        <v>70</v>
      </c>
      <c r="BX96" s="72">
        <f t="shared" si="228"/>
        <v>74</v>
      </c>
      <c r="BY96" s="71">
        <f t="shared" si="229"/>
        <v>106</v>
      </c>
      <c r="BZ96" s="72">
        <f t="shared" si="230"/>
        <v>110</v>
      </c>
      <c r="CA96" s="71">
        <f t="shared" si="231"/>
        <v>146</v>
      </c>
      <c r="CB96" s="72">
        <f t="shared" si="232"/>
        <v>154</v>
      </c>
      <c r="CC96" s="71">
        <f t="shared" si="233"/>
        <v>199</v>
      </c>
      <c r="CD96" s="72">
        <f t="shared" si="234"/>
        <v>204</v>
      </c>
      <c r="CE96" s="71">
        <f t="shared" si="235"/>
        <v>289</v>
      </c>
      <c r="CF96" s="72">
        <f t="shared" si="236"/>
        <v>321</v>
      </c>
      <c r="CG96" s="71">
        <f t="shared" si="237"/>
        <v>346</v>
      </c>
      <c r="CH96" s="70">
        <f t="shared" si="238"/>
        <v>69</v>
      </c>
      <c r="CI96" s="71">
        <f t="shared" si="239"/>
        <v>73</v>
      </c>
      <c r="CJ96" s="72">
        <f t="shared" si="240"/>
        <v>104</v>
      </c>
      <c r="CK96" s="72">
        <f t="shared" si="241"/>
        <v>109</v>
      </c>
      <c r="CL96" s="72">
        <f t="shared" si="242"/>
        <v>145</v>
      </c>
      <c r="CM96" s="72">
        <f t="shared" si="243"/>
        <v>153</v>
      </c>
      <c r="CN96" s="72">
        <f t="shared" si="244"/>
        <v>180</v>
      </c>
      <c r="CO96" s="72">
        <f t="shared" si="245"/>
        <v>201</v>
      </c>
      <c r="CP96" s="72">
        <f t="shared" si="246"/>
        <v>240</v>
      </c>
      <c r="CQ96" s="72">
        <f t="shared" si="247"/>
        <v>316</v>
      </c>
      <c r="CR96" s="72">
        <f t="shared" si="248"/>
        <v>345</v>
      </c>
      <c r="CS96" s="72">
        <f t="shared" si="249"/>
        <v>358</v>
      </c>
      <c r="CT96" s="23">
        <f t="shared" si="250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447"/>
        <v>adrb1_melga_2YCZ</v>
      </c>
      <c r="B97" s="3" t="s">
        <v>911</v>
      </c>
      <c r="C97" s="3" t="s">
        <v>1027</v>
      </c>
      <c r="D97" s="3" t="str">
        <f>IFERROR(MID(VLOOKUP($B97,Seqs!$A:$B,2,0),E97,1),"")</f>
        <v>A</v>
      </c>
      <c r="E97" s="3">
        <v>33</v>
      </c>
      <c r="F97" s="3" t="str">
        <f>IFERROR(MID(VLOOKUP($B97,Seqs!$A:$B,2,0),G97,1),"")</f>
        <v>T</v>
      </c>
      <c r="G97" s="3">
        <v>69</v>
      </c>
      <c r="H97" s="3" t="str">
        <f>IFERROR(MID(VLOOKUP($B97,Seqs!$A:$B,2,0),I97,1),"")</f>
        <v>Q</v>
      </c>
      <c r="I97" s="23">
        <v>70</v>
      </c>
      <c r="J97" s="3" t="str">
        <f>IFERROR(MID(VLOOKUP($B97,Seqs!$A:$B,2,0),K97,1),"")</f>
        <v>Q</v>
      </c>
      <c r="K97" s="23">
        <v>73</v>
      </c>
      <c r="L97" s="3" t="str">
        <f>IFERROR(MID(VLOOKUP($B97,Seqs!$A:$B,2,0),M97,1),"")</f>
        <v>T</v>
      </c>
      <c r="M97" s="3">
        <v>74</v>
      </c>
      <c r="N97" s="3" t="str">
        <f>IFERROR(MID(VLOOKUP($B97,Seqs!$A:$B,2,0),O97,1),"")</f>
        <v>R</v>
      </c>
      <c r="O97" s="3">
        <v>104</v>
      </c>
      <c r="P97" s="3" t="str">
        <f>IFERROR(MID(VLOOKUP($B97,Seqs!$A:$B,2,0),Q97,1),"")</f>
        <v>T</v>
      </c>
      <c r="Q97" s="3">
        <v>106</v>
      </c>
      <c r="R97" s="3" t="str">
        <f>IFERROR(MID(VLOOKUP($B97,Seqs!$A:$B,2,0),S97,1),"")</f>
        <v>W</v>
      </c>
      <c r="S97" s="3">
        <v>109</v>
      </c>
      <c r="T97" s="3" t="str">
        <f>IFERROR(MID(VLOOKUP($B97,Seqs!$A:$B,2,0),U97,1),"")</f>
        <v>G</v>
      </c>
      <c r="U97" s="3">
        <v>110</v>
      </c>
      <c r="V97" s="3" t="str">
        <f>IFERROR(MID(VLOOKUP($B97,Seqs!$A:$B,2,0),W97,1),"")</f>
        <v>S</v>
      </c>
      <c r="W97" s="3">
        <v>145</v>
      </c>
      <c r="X97" s="3" t="str">
        <f>IFERROR(MID(VLOOKUP($B97,Seqs!$A:$B,2,0),Y97,1),"")</f>
        <v>P</v>
      </c>
      <c r="Y97" s="3">
        <v>146</v>
      </c>
      <c r="Z97" s="3" t="str">
        <f>IFERROR(MID(VLOOKUP($B97,Seqs!$A:$B,2,0),AA97,1),"")</f>
        <v>M</v>
      </c>
      <c r="AA97" s="3">
        <v>153</v>
      </c>
      <c r="AB97" s="3" t="str">
        <f>IFERROR(MID(VLOOKUP($B97,Seqs!$A:$B,2,0),AC97,1),"")</f>
        <v>T</v>
      </c>
      <c r="AC97" s="9">
        <v>154</v>
      </c>
      <c r="AD97" s="3" t="str">
        <f>IFERROR(MID(VLOOKUP($B97,Seqs!$A:$B,2,0),AE97,1),"")</f>
        <v>H</v>
      </c>
      <c r="AE97" s="3">
        <v>180</v>
      </c>
      <c r="AF97" s="3" t="str">
        <f>IFERROR(MID(VLOOKUP($B97,Seqs!$A:$B,2,0),AG97,1),"")</f>
        <v>C</v>
      </c>
      <c r="AG97" s="3">
        <v>199</v>
      </c>
      <c r="AH97" s="3" t="str">
        <f>IFERROR(MID(VLOOKUP($B97,Seqs!$A:$B,2,0),AI97,1),"")</f>
        <v>F</v>
      </c>
      <c r="AI97" s="3">
        <v>201</v>
      </c>
      <c r="AJ97" s="3" t="str">
        <f>IFERROR(MID(VLOOKUP($B97,Seqs!$A:$B,2,0),AK97,1),"")</f>
        <v>N</v>
      </c>
      <c r="AK97" s="3">
        <v>204</v>
      </c>
      <c r="AL97" s="3" t="str">
        <f>IFERROR(MID(VLOOKUP($B97,Seqs!$A:$B,2,0),AM97,1),"")</f>
        <v>K</v>
      </c>
      <c r="AM97" s="3">
        <v>240</v>
      </c>
      <c r="AN97" s="3" t="str">
        <f>IFERROR(MID(VLOOKUP($B97,Seqs!$A:$B,2,0),AO97,1),"")</f>
        <v>A</v>
      </c>
      <c r="AO97" s="3">
        <v>288</v>
      </c>
      <c r="AP97" s="3" t="str">
        <f>IFERROR(MID(VLOOKUP($B97,Seqs!$A:$B,2,0),AQ97,1),"")</f>
        <v>N</v>
      </c>
      <c r="AQ97" s="3">
        <v>316</v>
      </c>
      <c r="AR97" s="3" t="str">
        <f>IFERROR(MID(VLOOKUP($B97,Seqs!$A:$B,2,0),AS97,1),"")</f>
        <v>P</v>
      </c>
      <c r="AS97" s="3">
        <v>321</v>
      </c>
      <c r="AT97" s="3" t="str">
        <f>IFERROR(MID(VLOOKUP($B97,Seqs!$A:$B,2,0),AU97,1),"")</f>
        <v>R</v>
      </c>
      <c r="AU97" s="3">
        <v>345</v>
      </c>
      <c r="AV97" s="3" t="str">
        <f>IFERROR(MID(VLOOKUP($B97,Seqs!$A:$B,2,0),AW97,1),"")</f>
        <v>S</v>
      </c>
      <c r="AW97" s="3">
        <v>346</v>
      </c>
      <c r="AX97" s="3" t="str">
        <f>IFERROR(MID(VLOOKUP($B97,Seqs!$A:$B,2,0),AY97,1),"")</f>
        <v>C</v>
      </c>
      <c r="AY97" s="3">
        <v>358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448"/>
        <v>1</v>
      </c>
      <c r="BC97" s="23">
        <f t="shared" si="225"/>
        <v>254</v>
      </c>
      <c r="BD97" s="16" t="s">
        <v>23</v>
      </c>
      <c r="BE97" s="3" t="s">
        <v>1374</v>
      </c>
      <c r="BF97" s="119">
        <v>3.65</v>
      </c>
      <c r="BG97" s="49" t="s">
        <v>1377</v>
      </c>
      <c r="BH97" s="49" t="s">
        <v>1377</v>
      </c>
      <c r="BI97" s="1"/>
      <c r="BJ97" s="70" t="s">
        <v>1287</v>
      </c>
      <c r="BK97" s="57" t="s">
        <v>1287</v>
      </c>
      <c r="BL97" s="57" t="s">
        <v>1287</v>
      </c>
      <c r="BM97" s="57" t="s">
        <v>1287</v>
      </c>
      <c r="BN97" s="57" t="s">
        <v>1287</v>
      </c>
      <c r="BO97" s="57" t="s">
        <v>1287</v>
      </c>
      <c r="BP97" s="57" t="s">
        <v>1287</v>
      </c>
      <c r="BQ97" s="57" t="s">
        <v>1287</v>
      </c>
      <c r="BR97" s="57" t="s">
        <v>1287</v>
      </c>
      <c r="BS97" s="57" t="s">
        <v>1287</v>
      </c>
      <c r="BT97" s="57" t="s">
        <v>1287</v>
      </c>
      <c r="BU97" s="57" t="s">
        <v>1287</v>
      </c>
      <c r="BV97" s="70">
        <f t="shared" si="226"/>
        <v>33</v>
      </c>
      <c r="BW97" s="71">
        <f t="shared" si="227"/>
        <v>70</v>
      </c>
      <c r="BX97" s="72">
        <f t="shared" si="228"/>
        <v>74</v>
      </c>
      <c r="BY97" s="71">
        <f t="shared" si="229"/>
        <v>106</v>
      </c>
      <c r="BZ97" s="72">
        <f t="shared" si="230"/>
        <v>110</v>
      </c>
      <c r="CA97" s="71">
        <f t="shared" si="231"/>
        <v>146</v>
      </c>
      <c r="CB97" s="72">
        <f t="shared" si="232"/>
        <v>154</v>
      </c>
      <c r="CC97" s="71">
        <f t="shared" si="233"/>
        <v>199</v>
      </c>
      <c r="CD97" s="72">
        <f t="shared" si="234"/>
        <v>204</v>
      </c>
      <c r="CE97" s="71">
        <f t="shared" si="235"/>
        <v>288</v>
      </c>
      <c r="CF97" s="72">
        <f t="shared" si="236"/>
        <v>321</v>
      </c>
      <c r="CG97" s="71">
        <f t="shared" si="237"/>
        <v>346</v>
      </c>
      <c r="CH97" s="70">
        <f t="shared" si="238"/>
        <v>69</v>
      </c>
      <c r="CI97" s="71">
        <f t="shared" si="239"/>
        <v>73</v>
      </c>
      <c r="CJ97" s="72">
        <f t="shared" si="240"/>
        <v>104</v>
      </c>
      <c r="CK97" s="72">
        <f t="shared" si="241"/>
        <v>109</v>
      </c>
      <c r="CL97" s="72">
        <f t="shared" si="242"/>
        <v>145</v>
      </c>
      <c r="CM97" s="72">
        <f t="shared" si="243"/>
        <v>153</v>
      </c>
      <c r="CN97" s="72">
        <f t="shared" si="244"/>
        <v>180</v>
      </c>
      <c r="CO97" s="72">
        <f t="shared" si="245"/>
        <v>201</v>
      </c>
      <c r="CP97" s="72">
        <f t="shared" si="246"/>
        <v>240</v>
      </c>
      <c r="CQ97" s="72">
        <f t="shared" si="247"/>
        <v>316</v>
      </c>
      <c r="CR97" s="72">
        <f t="shared" si="248"/>
        <v>345</v>
      </c>
      <c r="CS97" s="72">
        <f t="shared" si="249"/>
        <v>358</v>
      </c>
      <c r="CT97" s="23">
        <f t="shared" si="250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447"/>
        <v>adrb1_melga_3ZPQ</v>
      </c>
      <c r="B98" s="3" t="s">
        <v>911</v>
      </c>
      <c r="C98" s="3" t="s">
        <v>1037</v>
      </c>
      <c r="D98" s="3" t="str">
        <f>IFERROR(MID(VLOOKUP($B98,Seqs!$A:$B,2,0),E98,1),"")</f>
        <v>A</v>
      </c>
      <c r="E98" s="3">
        <v>33</v>
      </c>
      <c r="F98" s="3" t="str">
        <f>IFERROR(MID(VLOOKUP($B98,Seqs!$A:$B,2,0),G98,1),"")</f>
        <v>T</v>
      </c>
      <c r="G98" s="3">
        <v>69</v>
      </c>
      <c r="H98" s="3" t="str">
        <f>IFERROR(MID(VLOOKUP($B98,Seqs!$A:$B,2,0),I98,1),"")</f>
        <v>Q</v>
      </c>
      <c r="I98" s="23">
        <v>70</v>
      </c>
      <c r="J98" s="3" t="str">
        <f>IFERROR(MID(VLOOKUP($B98,Seqs!$A:$B,2,0),K98,1),"")</f>
        <v>Q</v>
      </c>
      <c r="K98" s="23">
        <v>73</v>
      </c>
      <c r="L98" s="3" t="str">
        <f>IFERROR(MID(VLOOKUP($B98,Seqs!$A:$B,2,0),M98,1),"")</f>
        <v>T</v>
      </c>
      <c r="M98" s="3">
        <v>74</v>
      </c>
      <c r="N98" s="3" t="str">
        <f>IFERROR(MID(VLOOKUP($B98,Seqs!$A:$B,2,0),O98,1),"")</f>
        <v>R</v>
      </c>
      <c r="O98" s="3">
        <v>104</v>
      </c>
      <c r="P98" s="3" t="str">
        <f>IFERROR(MID(VLOOKUP($B98,Seqs!$A:$B,2,0),Q98,1),"")</f>
        <v>T</v>
      </c>
      <c r="Q98" s="3">
        <v>106</v>
      </c>
      <c r="R98" s="3" t="str">
        <f>IFERROR(MID(VLOOKUP($B98,Seqs!$A:$B,2,0),S98,1),"")</f>
        <v>W</v>
      </c>
      <c r="S98" s="3">
        <v>109</v>
      </c>
      <c r="T98" s="3" t="str">
        <f>IFERROR(MID(VLOOKUP($B98,Seqs!$A:$B,2,0),U98,1),"")</f>
        <v>G</v>
      </c>
      <c r="U98" s="3">
        <v>110</v>
      </c>
      <c r="V98" s="3" t="str">
        <f>IFERROR(MID(VLOOKUP($B98,Seqs!$A:$B,2,0),W98,1),"")</f>
        <v>S</v>
      </c>
      <c r="W98" s="3">
        <v>145</v>
      </c>
      <c r="X98" s="3" t="str">
        <f>IFERROR(MID(VLOOKUP($B98,Seqs!$A:$B,2,0),Y98,1),"")</f>
        <v>P</v>
      </c>
      <c r="Y98" s="3">
        <v>146</v>
      </c>
      <c r="Z98" s="3" t="str">
        <f>IFERROR(MID(VLOOKUP($B98,Seqs!$A:$B,2,0),AA98,1),"")</f>
        <v>M</v>
      </c>
      <c r="AA98" s="3">
        <v>153</v>
      </c>
      <c r="AB98" s="3" t="str">
        <f>IFERROR(MID(VLOOKUP($B98,Seqs!$A:$B,2,0),AC98,1),"")</f>
        <v>T</v>
      </c>
      <c r="AC98" s="9">
        <v>154</v>
      </c>
      <c r="AD98" s="3" t="str">
        <f>IFERROR(MID(VLOOKUP($B98,Seqs!$A:$B,2,0),AE98,1),"")</f>
        <v>H</v>
      </c>
      <c r="AE98" s="3">
        <v>180</v>
      </c>
      <c r="AF98" s="3" t="str">
        <f>IFERROR(MID(VLOOKUP($B98,Seqs!$A:$B,2,0),AG98,1),"")</f>
        <v>C</v>
      </c>
      <c r="AG98" s="3">
        <v>199</v>
      </c>
      <c r="AH98" s="3" t="str">
        <f>IFERROR(MID(VLOOKUP($B98,Seqs!$A:$B,2,0),AI98,1),"")</f>
        <v>F</v>
      </c>
      <c r="AI98" s="3">
        <v>201</v>
      </c>
      <c r="AJ98" s="3" t="str">
        <f>IFERROR(MID(VLOOKUP($B98,Seqs!$A:$B,2,0),AK98,1),"")</f>
        <v>N</v>
      </c>
      <c r="AK98" s="3">
        <v>204</v>
      </c>
      <c r="AL98" s="3" t="str">
        <f>IFERROR(MID(VLOOKUP($B98,Seqs!$A:$B,2,0),AM98,1),"")</f>
        <v>I</v>
      </c>
      <c r="AM98" s="3">
        <v>238</v>
      </c>
      <c r="AN98" s="3" t="str">
        <f>IFERROR(MID(VLOOKUP($B98,Seqs!$A:$B,2,0),AO98,1),"")</f>
        <v>R</v>
      </c>
      <c r="AO98" s="3">
        <v>275</v>
      </c>
      <c r="AP98" s="3" t="str">
        <f>IFERROR(MID(VLOOKUP($B98,Seqs!$A:$B,2,0),AQ98,1),"")</f>
        <v>N</v>
      </c>
      <c r="AQ98" s="3">
        <v>316</v>
      </c>
      <c r="AR98" s="3" t="str">
        <f>IFERROR(MID(VLOOKUP($B98,Seqs!$A:$B,2,0),AS98,1),"")</f>
        <v>P</v>
      </c>
      <c r="AS98" s="3">
        <v>321</v>
      </c>
      <c r="AT98" s="3" t="str">
        <f>IFERROR(MID(VLOOKUP($B98,Seqs!$A:$B,2,0),AU98,1),"")</f>
        <v>R</v>
      </c>
      <c r="AU98" s="3">
        <v>345</v>
      </c>
      <c r="AV98" s="3" t="str">
        <f>IFERROR(MID(VLOOKUP($B98,Seqs!$A:$B,2,0),AW98,1),"")</f>
        <v>S</v>
      </c>
      <c r="AW98" s="3">
        <v>346</v>
      </c>
      <c r="AX98" s="3" t="str">
        <f>IFERROR(MID(VLOOKUP($B98,Seqs!$A:$B,2,0),AY98,1),"")</f>
        <v>C</v>
      </c>
      <c r="AY98" s="3">
        <v>358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448"/>
        <v>1</v>
      </c>
      <c r="BC98" s="23">
        <f t="shared" si="225"/>
        <v>265</v>
      </c>
      <c r="BD98" s="4" t="s">
        <v>23</v>
      </c>
      <c r="BE98" s="3" t="s">
        <v>1374</v>
      </c>
      <c r="BF98" s="119">
        <v>2.8</v>
      </c>
      <c r="BG98" s="49" t="s">
        <v>1377</v>
      </c>
      <c r="BH98" s="49" t="s">
        <v>1377</v>
      </c>
      <c r="BI98" s="1"/>
      <c r="BJ98" s="70" t="s">
        <v>1287</v>
      </c>
      <c r="BK98" s="57" t="s">
        <v>1287</v>
      </c>
      <c r="BL98" s="57" t="s">
        <v>1287</v>
      </c>
      <c r="BM98" s="57" t="s">
        <v>1287</v>
      </c>
      <c r="BN98" s="57" t="s">
        <v>1287</v>
      </c>
      <c r="BO98" s="57" t="s">
        <v>1287</v>
      </c>
      <c r="BP98" s="57" t="s">
        <v>1287</v>
      </c>
      <c r="BQ98" s="57" t="s">
        <v>1287</v>
      </c>
      <c r="BR98" s="57" t="s">
        <v>1287</v>
      </c>
      <c r="BS98" s="57" t="s">
        <v>1287</v>
      </c>
      <c r="BT98" s="57" t="s">
        <v>1287</v>
      </c>
      <c r="BU98" s="57" t="s">
        <v>1287</v>
      </c>
      <c r="BV98" s="70">
        <f t="shared" si="226"/>
        <v>33</v>
      </c>
      <c r="BW98" s="71">
        <f t="shared" si="227"/>
        <v>70</v>
      </c>
      <c r="BX98" s="72">
        <f t="shared" si="228"/>
        <v>74</v>
      </c>
      <c r="BY98" s="71">
        <f t="shared" si="229"/>
        <v>106</v>
      </c>
      <c r="BZ98" s="72">
        <f t="shared" si="230"/>
        <v>110</v>
      </c>
      <c r="CA98" s="71">
        <f t="shared" si="231"/>
        <v>146</v>
      </c>
      <c r="CB98" s="72">
        <f t="shared" si="232"/>
        <v>154</v>
      </c>
      <c r="CC98" s="71">
        <f t="shared" si="233"/>
        <v>199</v>
      </c>
      <c r="CD98" s="72">
        <f t="shared" si="234"/>
        <v>204</v>
      </c>
      <c r="CE98" s="71">
        <f t="shared" si="235"/>
        <v>275</v>
      </c>
      <c r="CF98" s="72">
        <f t="shared" si="236"/>
        <v>321</v>
      </c>
      <c r="CG98" s="71">
        <f t="shared" si="237"/>
        <v>346</v>
      </c>
      <c r="CH98" s="70">
        <f t="shared" si="238"/>
        <v>69</v>
      </c>
      <c r="CI98" s="71">
        <f t="shared" si="239"/>
        <v>73</v>
      </c>
      <c r="CJ98" s="72">
        <f t="shared" si="240"/>
        <v>104</v>
      </c>
      <c r="CK98" s="72">
        <f t="shared" si="241"/>
        <v>109</v>
      </c>
      <c r="CL98" s="72">
        <f t="shared" si="242"/>
        <v>145</v>
      </c>
      <c r="CM98" s="72">
        <f t="shared" si="243"/>
        <v>153</v>
      </c>
      <c r="CN98" s="72">
        <f t="shared" si="244"/>
        <v>180</v>
      </c>
      <c r="CO98" s="72">
        <f t="shared" si="245"/>
        <v>201</v>
      </c>
      <c r="CP98" s="72">
        <f t="shared" si="246"/>
        <v>238</v>
      </c>
      <c r="CQ98" s="72">
        <f t="shared" si="247"/>
        <v>316</v>
      </c>
      <c r="CR98" s="72">
        <f t="shared" si="248"/>
        <v>345</v>
      </c>
      <c r="CS98" s="72">
        <f t="shared" si="249"/>
        <v>358</v>
      </c>
      <c r="CT98" s="23">
        <f t="shared" si="250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447"/>
        <v>adrb1_melga_3ZPR</v>
      </c>
      <c r="B99" s="3" t="s">
        <v>911</v>
      </c>
      <c r="C99" s="3" t="s">
        <v>1038</v>
      </c>
      <c r="D99" s="3" t="str">
        <f>IFERROR(MID(VLOOKUP($B99,Seqs!$A:$B,2,0),E99,1),"")</f>
        <v>A</v>
      </c>
      <c r="E99" s="3">
        <v>33</v>
      </c>
      <c r="F99" s="3" t="str">
        <f>IFERROR(MID(VLOOKUP($B99,Seqs!$A:$B,2,0),G99,1),"")</f>
        <v>T</v>
      </c>
      <c r="G99" s="3">
        <v>69</v>
      </c>
      <c r="H99" s="3" t="str">
        <f>IFERROR(MID(VLOOKUP($B99,Seqs!$A:$B,2,0),I99,1),"")</f>
        <v>Q</v>
      </c>
      <c r="I99" s="23">
        <v>70</v>
      </c>
      <c r="J99" s="3" t="str">
        <f>IFERROR(MID(VLOOKUP($B99,Seqs!$A:$B,2,0),K99,1),"")</f>
        <v>Q</v>
      </c>
      <c r="K99" s="23">
        <v>73</v>
      </c>
      <c r="L99" s="3" t="str">
        <f>IFERROR(MID(VLOOKUP($B99,Seqs!$A:$B,2,0),M99,1),"")</f>
        <v>T</v>
      </c>
      <c r="M99" s="3">
        <v>74</v>
      </c>
      <c r="N99" s="3" t="str">
        <f>IFERROR(MID(VLOOKUP($B99,Seqs!$A:$B,2,0),O99,1),"")</f>
        <v>R</v>
      </c>
      <c r="O99" s="3">
        <v>104</v>
      </c>
      <c r="P99" s="3" t="str">
        <f>IFERROR(MID(VLOOKUP($B99,Seqs!$A:$B,2,0),Q99,1),"")</f>
        <v>T</v>
      </c>
      <c r="Q99" s="3">
        <v>106</v>
      </c>
      <c r="R99" s="3" t="str">
        <f>IFERROR(MID(VLOOKUP($B99,Seqs!$A:$B,2,0),S99,1),"")</f>
        <v>W</v>
      </c>
      <c r="S99" s="3">
        <v>109</v>
      </c>
      <c r="T99" s="3" t="str">
        <f>IFERROR(MID(VLOOKUP($B99,Seqs!$A:$B,2,0),U99,1),"")</f>
        <v>G</v>
      </c>
      <c r="U99" s="3">
        <v>110</v>
      </c>
      <c r="V99" s="3" t="str">
        <f>IFERROR(MID(VLOOKUP($B99,Seqs!$A:$B,2,0),W99,1),"")</f>
        <v>S</v>
      </c>
      <c r="W99" s="3">
        <v>145</v>
      </c>
      <c r="X99" s="3" t="str">
        <f>IFERROR(MID(VLOOKUP($B99,Seqs!$A:$B,2,0),Y99,1),"")</f>
        <v>P</v>
      </c>
      <c r="Y99" s="3">
        <v>146</v>
      </c>
      <c r="Z99" s="3" t="str">
        <f>IFERROR(MID(VLOOKUP($B99,Seqs!$A:$B,2,0),AA99,1),"")</f>
        <v>M</v>
      </c>
      <c r="AA99" s="3">
        <v>153</v>
      </c>
      <c r="AB99" s="3" t="str">
        <f>IFERROR(MID(VLOOKUP($B99,Seqs!$A:$B,2,0),AC99,1),"")</f>
        <v>T</v>
      </c>
      <c r="AC99" s="9">
        <v>154</v>
      </c>
      <c r="AD99" s="3" t="str">
        <f>IFERROR(MID(VLOOKUP($B99,Seqs!$A:$B,2,0),AE99,1),"")</f>
        <v>H</v>
      </c>
      <c r="AE99" s="3">
        <v>180</v>
      </c>
      <c r="AF99" s="3" t="str">
        <f>IFERROR(MID(VLOOKUP($B99,Seqs!$A:$B,2,0),AG99,1),"")</f>
        <v>C</v>
      </c>
      <c r="AG99" s="3">
        <v>199</v>
      </c>
      <c r="AH99" s="3" t="str">
        <f>IFERROR(MID(VLOOKUP($B99,Seqs!$A:$B,2,0),AI99,1),"")</f>
        <v>F</v>
      </c>
      <c r="AI99" s="3">
        <v>201</v>
      </c>
      <c r="AJ99" s="3" t="str">
        <f>IFERROR(MID(VLOOKUP($B99,Seqs!$A:$B,2,0),AK99,1),"")</f>
        <v>N</v>
      </c>
      <c r="AK99" s="3">
        <v>204</v>
      </c>
      <c r="AL99" s="3" t="str">
        <f>IFERROR(MID(VLOOKUP($B99,Seqs!$A:$B,2,0),AM99,1),"")</f>
        <v>I</v>
      </c>
      <c r="AM99" s="3">
        <v>238</v>
      </c>
      <c r="AN99" s="3" t="str">
        <f>IFERROR(MID(VLOOKUP($B99,Seqs!$A:$B,2,0),AO99,1),"")</f>
        <v>R</v>
      </c>
      <c r="AO99" s="3">
        <v>275</v>
      </c>
      <c r="AP99" s="3" t="str">
        <f>IFERROR(MID(VLOOKUP($B99,Seqs!$A:$B,2,0),AQ99,1),"")</f>
        <v>N</v>
      </c>
      <c r="AQ99" s="3">
        <v>316</v>
      </c>
      <c r="AR99" s="3" t="str">
        <f>IFERROR(MID(VLOOKUP($B99,Seqs!$A:$B,2,0),AS99,1),"")</f>
        <v>P</v>
      </c>
      <c r="AS99" s="3">
        <v>321</v>
      </c>
      <c r="AT99" s="3" t="str">
        <f>IFERROR(MID(VLOOKUP($B99,Seqs!$A:$B,2,0),AU99,1),"")</f>
        <v>R</v>
      </c>
      <c r="AU99" s="3">
        <v>345</v>
      </c>
      <c r="AV99" s="3" t="str">
        <f>IFERROR(MID(VLOOKUP($B99,Seqs!$A:$B,2,0),AW99,1),"")</f>
        <v>S</v>
      </c>
      <c r="AW99" s="3">
        <v>346</v>
      </c>
      <c r="AX99" s="3" t="str">
        <f>IFERROR(MID(VLOOKUP($B99,Seqs!$A:$B,2,0),AY99,1),"")</f>
        <v>C</v>
      </c>
      <c r="AY99" s="3">
        <v>358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448"/>
        <v>1</v>
      </c>
      <c r="BC99" s="23">
        <f t="shared" si="225"/>
        <v>265</v>
      </c>
      <c r="BD99" s="4" t="s">
        <v>23</v>
      </c>
      <c r="BE99" s="3" t="s">
        <v>1374</v>
      </c>
      <c r="BF99" s="119">
        <v>2.7</v>
      </c>
      <c r="BG99" s="49" t="s">
        <v>1377</v>
      </c>
      <c r="BH99" s="49" t="s">
        <v>1377</v>
      </c>
      <c r="BI99" s="1"/>
      <c r="BJ99" s="70" t="s">
        <v>1287</v>
      </c>
      <c r="BK99" s="57" t="s">
        <v>1287</v>
      </c>
      <c r="BL99" s="57" t="s">
        <v>1287</v>
      </c>
      <c r="BM99" s="57" t="s">
        <v>1287</v>
      </c>
      <c r="BN99" s="57" t="s">
        <v>1287</v>
      </c>
      <c r="BO99" s="57" t="s">
        <v>1287</v>
      </c>
      <c r="BP99" s="57" t="s">
        <v>1287</v>
      </c>
      <c r="BQ99" s="57" t="s">
        <v>1287</v>
      </c>
      <c r="BR99" s="57" t="s">
        <v>1287</v>
      </c>
      <c r="BS99" s="57" t="s">
        <v>1287</v>
      </c>
      <c r="BT99" s="57" t="s">
        <v>1287</v>
      </c>
      <c r="BU99" s="57" t="s">
        <v>1287</v>
      </c>
      <c r="BV99" s="70">
        <f t="shared" si="226"/>
        <v>33</v>
      </c>
      <c r="BW99" s="71">
        <f t="shared" si="227"/>
        <v>70</v>
      </c>
      <c r="BX99" s="72">
        <f t="shared" si="228"/>
        <v>74</v>
      </c>
      <c r="BY99" s="71">
        <f t="shared" si="229"/>
        <v>106</v>
      </c>
      <c r="BZ99" s="72">
        <f t="shared" si="230"/>
        <v>110</v>
      </c>
      <c r="CA99" s="71">
        <f t="shared" si="231"/>
        <v>146</v>
      </c>
      <c r="CB99" s="72">
        <f t="shared" si="232"/>
        <v>154</v>
      </c>
      <c r="CC99" s="71">
        <f t="shared" si="233"/>
        <v>199</v>
      </c>
      <c r="CD99" s="72">
        <f t="shared" si="234"/>
        <v>204</v>
      </c>
      <c r="CE99" s="71">
        <f t="shared" si="235"/>
        <v>275</v>
      </c>
      <c r="CF99" s="72">
        <f t="shared" si="236"/>
        <v>321</v>
      </c>
      <c r="CG99" s="71">
        <f t="shared" si="237"/>
        <v>346</v>
      </c>
      <c r="CH99" s="70">
        <f t="shared" si="238"/>
        <v>69</v>
      </c>
      <c r="CI99" s="71">
        <f t="shared" si="239"/>
        <v>73</v>
      </c>
      <c r="CJ99" s="72">
        <f t="shared" si="240"/>
        <v>104</v>
      </c>
      <c r="CK99" s="72">
        <f t="shared" si="241"/>
        <v>109</v>
      </c>
      <c r="CL99" s="72">
        <f t="shared" si="242"/>
        <v>145</v>
      </c>
      <c r="CM99" s="72">
        <f t="shared" si="243"/>
        <v>153</v>
      </c>
      <c r="CN99" s="72">
        <f t="shared" si="244"/>
        <v>180</v>
      </c>
      <c r="CO99" s="72">
        <f t="shared" si="245"/>
        <v>201</v>
      </c>
      <c r="CP99" s="72">
        <f t="shared" si="246"/>
        <v>238</v>
      </c>
      <c r="CQ99" s="72">
        <f t="shared" si="247"/>
        <v>316</v>
      </c>
      <c r="CR99" s="72">
        <f t="shared" si="248"/>
        <v>345</v>
      </c>
      <c r="CS99" s="72">
        <f t="shared" si="249"/>
        <v>358</v>
      </c>
      <c r="CT99" s="23">
        <f t="shared" si="25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447"/>
        <v>adrb1_melga_4AMI</v>
      </c>
      <c r="B100" s="3" t="s">
        <v>911</v>
      </c>
      <c r="C100" s="3" t="s">
        <v>1039</v>
      </c>
      <c r="D100" s="3" t="str">
        <f>IFERROR(MID(VLOOKUP($B100,Seqs!$A:$B,2,0),E100,1),"")</f>
        <v>A</v>
      </c>
      <c r="E100" s="3">
        <v>33</v>
      </c>
      <c r="F100" s="3" t="str">
        <f>IFERROR(MID(VLOOKUP($B100,Seqs!$A:$B,2,0),G100,1),"")</f>
        <v>T</v>
      </c>
      <c r="G100" s="3">
        <v>69</v>
      </c>
      <c r="H100" s="3" t="str">
        <f>IFERROR(MID(VLOOKUP($B100,Seqs!$A:$B,2,0),I100,1),"")</f>
        <v>Q</v>
      </c>
      <c r="I100" s="23">
        <v>70</v>
      </c>
      <c r="J100" s="3" t="str">
        <f>IFERROR(MID(VLOOKUP($B100,Seqs!$A:$B,2,0),K100,1),"")</f>
        <v>Q</v>
      </c>
      <c r="K100" s="23">
        <v>73</v>
      </c>
      <c r="L100" s="3" t="str">
        <f>IFERROR(MID(VLOOKUP($B100,Seqs!$A:$B,2,0),M100,1),"")</f>
        <v>T</v>
      </c>
      <c r="M100" s="3">
        <v>74</v>
      </c>
      <c r="N100" s="3" t="str">
        <f>IFERROR(MID(VLOOKUP($B100,Seqs!$A:$B,2,0),O100,1),"")</f>
        <v>R</v>
      </c>
      <c r="O100" s="3">
        <v>104</v>
      </c>
      <c r="P100" s="3" t="str">
        <f>IFERROR(MID(VLOOKUP($B100,Seqs!$A:$B,2,0),Q100,1),"")</f>
        <v>T</v>
      </c>
      <c r="Q100" s="3">
        <v>106</v>
      </c>
      <c r="R100" s="3" t="str">
        <f>IFERROR(MID(VLOOKUP($B100,Seqs!$A:$B,2,0),S100,1),"")</f>
        <v>W</v>
      </c>
      <c r="S100" s="3">
        <v>109</v>
      </c>
      <c r="T100" s="3" t="str">
        <f>IFERROR(MID(VLOOKUP($B100,Seqs!$A:$B,2,0),U100,1),"")</f>
        <v>G</v>
      </c>
      <c r="U100" s="3">
        <v>110</v>
      </c>
      <c r="V100" s="3" t="str">
        <f>IFERROR(MID(VLOOKUP($B100,Seqs!$A:$B,2,0),W100,1),"")</f>
        <v>S</v>
      </c>
      <c r="W100" s="3">
        <v>145</v>
      </c>
      <c r="X100" s="3" t="str">
        <f>IFERROR(MID(VLOOKUP($B100,Seqs!$A:$B,2,0),Y100,1),"")</f>
        <v>P</v>
      </c>
      <c r="Y100" s="3">
        <v>146</v>
      </c>
      <c r="Z100" s="3" t="str">
        <f>IFERROR(MID(VLOOKUP($B100,Seqs!$A:$B,2,0),AA100,1),"")</f>
        <v>M</v>
      </c>
      <c r="AA100" s="3">
        <v>153</v>
      </c>
      <c r="AB100" s="3" t="str">
        <f>IFERROR(MID(VLOOKUP($B100,Seqs!$A:$B,2,0),AC100,1),"")</f>
        <v>T</v>
      </c>
      <c r="AC100" s="9">
        <v>154</v>
      </c>
      <c r="AD100" s="3" t="str">
        <f>IFERROR(MID(VLOOKUP($B100,Seqs!$A:$B,2,0),AE100,1),"")</f>
        <v>H</v>
      </c>
      <c r="AE100" s="3">
        <v>180</v>
      </c>
      <c r="AF100" s="3" t="str">
        <f>IFERROR(MID(VLOOKUP($B100,Seqs!$A:$B,2,0),AG100,1),"")</f>
        <v>C</v>
      </c>
      <c r="AG100" s="3">
        <v>199</v>
      </c>
      <c r="AH100" s="3" t="str">
        <f>IFERROR(MID(VLOOKUP($B100,Seqs!$A:$B,2,0),AI100,1),"")</f>
        <v>F</v>
      </c>
      <c r="AI100" s="3">
        <v>201</v>
      </c>
      <c r="AJ100" s="3" t="str">
        <f>IFERROR(MID(VLOOKUP($B100,Seqs!$A:$B,2,0),AK100,1),"")</f>
        <v>N</v>
      </c>
      <c r="AK100" s="3">
        <v>204</v>
      </c>
      <c r="AL100" s="3" t="str">
        <f>IFERROR(MID(VLOOKUP($B100,Seqs!$A:$B,2,0),AM100,1),"")</f>
        <v>E</v>
      </c>
      <c r="AM100" s="3">
        <v>236</v>
      </c>
      <c r="AN100" s="3" t="str">
        <f>IFERROR(MID(VLOOKUP($B100,Seqs!$A:$B,2,0),AO100,1),"")</f>
        <v>A</v>
      </c>
      <c r="AO100" s="3">
        <v>288</v>
      </c>
      <c r="AP100" s="3" t="str">
        <f>IFERROR(MID(VLOOKUP($B100,Seqs!$A:$B,2,0),AQ100,1),"")</f>
        <v>N</v>
      </c>
      <c r="AQ100" s="3">
        <v>316</v>
      </c>
      <c r="AR100" s="3" t="str">
        <f>IFERROR(MID(VLOOKUP($B100,Seqs!$A:$B,2,0),AS100,1),"")</f>
        <v>P</v>
      </c>
      <c r="AS100" s="3">
        <v>321</v>
      </c>
      <c r="AT100" s="3" t="str">
        <f>IFERROR(MID(VLOOKUP($B100,Seqs!$A:$B,2,0),AU100,1),"")</f>
        <v>R</v>
      </c>
      <c r="AU100" s="3">
        <v>345</v>
      </c>
      <c r="AV100" s="3" t="str">
        <f>IFERROR(MID(VLOOKUP($B100,Seqs!$A:$B,2,0),AW100,1),"")</f>
        <v>S</v>
      </c>
      <c r="AW100" s="3">
        <v>346</v>
      </c>
      <c r="AX100" s="3" t="str">
        <f>IFERROR(MID(VLOOKUP($B100,Seqs!$A:$B,2,0),AY100,1),"")</f>
        <v>C</v>
      </c>
      <c r="AY100" s="3">
        <v>358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448"/>
        <v>1</v>
      </c>
      <c r="BC100" s="23">
        <f t="shared" si="225"/>
        <v>250</v>
      </c>
      <c r="BD100" s="4" t="s">
        <v>23</v>
      </c>
      <c r="BE100" s="3" t="s">
        <v>1374</v>
      </c>
      <c r="BF100" s="119">
        <v>3.2</v>
      </c>
      <c r="BG100" s="49" t="s">
        <v>1377</v>
      </c>
      <c r="BH100" s="49" t="s">
        <v>1377</v>
      </c>
      <c r="BI100" s="1"/>
      <c r="BJ100" s="70" t="s">
        <v>1287</v>
      </c>
      <c r="BK100" s="57" t="s">
        <v>1287</v>
      </c>
      <c r="BL100" s="57" t="s">
        <v>1287</v>
      </c>
      <c r="BM100" s="57" t="s">
        <v>1287</v>
      </c>
      <c r="BN100" s="57" t="s">
        <v>1287</v>
      </c>
      <c r="BO100" s="57" t="s">
        <v>1287</v>
      </c>
      <c r="BP100" s="57" t="s">
        <v>1287</v>
      </c>
      <c r="BQ100" s="57" t="s">
        <v>1287</v>
      </c>
      <c r="BR100" s="57" t="s">
        <v>1287</v>
      </c>
      <c r="BS100" s="57" t="s">
        <v>1287</v>
      </c>
      <c r="BT100" s="57" t="s">
        <v>1287</v>
      </c>
      <c r="BU100" s="57" t="s">
        <v>1287</v>
      </c>
      <c r="BV100" s="70">
        <f t="shared" si="226"/>
        <v>33</v>
      </c>
      <c r="BW100" s="71">
        <f t="shared" si="227"/>
        <v>70</v>
      </c>
      <c r="BX100" s="72">
        <f t="shared" si="228"/>
        <v>74</v>
      </c>
      <c r="BY100" s="71">
        <f t="shared" si="229"/>
        <v>106</v>
      </c>
      <c r="BZ100" s="72">
        <f t="shared" si="230"/>
        <v>110</v>
      </c>
      <c r="CA100" s="71">
        <f t="shared" si="231"/>
        <v>146</v>
      </c>
      <c r="CB100" s="72">
        <f t="shared" si="232"/>
        <v>154</v>
      </c>
      <c r="CC100" s="71">
        <f t="shared" si="233"/>
        <v>199</v>
      </c>
      <c r="CD100" s="72">
        <f t="shared" si="234"/>
        <v>204</v>
      </c>
      <c r="CE100" s="71">
        <f t="shared" si="235"/>
        <v>288</v>
      </c>
      <c r="CF100" s="72">
        <f t="shared" si="236"/>
        <v>321</v>
      </c>
      <c r="CG100" s="71">
        <f t="shared" si="237"/>
        <v>346</v>
      </c>
      <c r="CH100" s="70">
        <f t="shared" si="238"/>
        <v>69</v>
      </c>
      <c r="CI100" s="71">
        <f t="shared" si="239"/>
        <v>73</v>
      </c>
      <c r="CJ100" s="72">
        <f t="shared" si="240"/>
        <v>104</v>
      </c>
      <c r="CK100" s="72">
        <f t="shared" si="241"/>
        <v>109</v>
      </c>
      <c r="CL100" s="72">
        <f t="shared" si="242"/>
        <v>145</v>
      </c>
      <c r="CM100" s="72">
        <f t="shared" si="243"/>
        <v>153</v>
      </c>
      <c r="CN100" s="72">
        <f t="shared" si="244"/>
        <v>180</v>
      </c>
      <c r="CO100" s="72">
        <f t="shared" si="245"/>
        <v>201</v>
      </c>
      <c r="CP100" s="72">
        <f t="shared" si="246"/>
        <v>236</v>
      </c>
      <c r="CQ100" s="72">
        <f t="shared" si="247"/>
        <v>316</v>
      </c>
      <c r="CR100" s="72">
        <f t="shared" si="248"/>
        <v>345</v>
      </c>
      <c r="CS100" s="72">
        <f t="shared" si="249"/>
        <v>358</v>
      </c>
      <c r="CT100" s="23">
        <f t="shared" si="250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447"/>
        <v>adrb1_melga_4AMJ</v>
      </c>
      <c r="B101" s="3" t="s">
        <v>911</v>
      </c>
      <c r="C101" s="3" t="s">
        <v>1040</v>
      </c>
      <c r="D101" s="3" t="str">
        <f>IFERROR(MID(VLOOKUP($B101,Seqs!$A:$B,2,0),E101,1),"")</f>
        <v>A</v>
      </c>
      <c r="E101" s="3">
        <v>33</v>
      </c>
      <c r="F101" s="3" t="str">
        <f>IFERROR(MID(VLOOKUP($B101,Seqs!$A:$B,2,0),G101,1),"")</f>
        <v>T</v>
      </c>
      <c r="G101" s="3">
        <v>69</v>
      </c>
      <c r="H101" s="3" t="str">
        <f>IFERROR(MID(VLOOKUP($B101,Seqs!$A:$B,2,0),I101,1),"")</f>
        <v>Q</v>
      </c>
      <c r="I101" s="23">
        <v>70</v>
      </c>
      <c r="J101" s="3" t="str">
        <f>IFERROR(MID(VLOOKUP($B101,Seqs!$A:$B,2,0),K101,1),"")</f>
        <v>Q</v>
      </c>
      <c r="K101" s="23">
        <v>73</v>
      </c>
      <c r="L101" s="3" t="str">
        <f>IFERROR(MID(VLOOKUP($B101,Seqs!$A:$B,2,0),M101,1),"")</f>
        <v>T</v>
      </c>
      <c r="M101" s="3">
        <v>74</v>
      </c>
      <c r="N101" s="3" t="str">
        <f>IFERROR(MID(VLOOKUP($B101,Seqs!$A:$B,2,0),O101,1),"")</f>
        <v>R</v>
      </c>
      <c r="O101" s="3">
        <v>104</v>
      </c>
      <c r="P101" s="3" t="str">
        <f>IFERROR(MID(VLOOKUP($B101,Seqs!$A:$B,2,0),Q101,1),"")</f>
        <v>T</v>
      </c>
      <c r="Q101" s="3">
        <v>106</v>
      </c>
      <c r="R101" s="3" t="str">
        <f>IFERROR(MID(VLOOKUP($B101,Seqs!$A:$B,2,0),S101,1),"")</f>
        <v>W</v>
      </c>
      <c r="S101" s="3">
        <v>109</v>
      </c>
      <c r="T101" s="3" t="str">
        <f>IFERROR(MID(VLOOKUP($B101,Seqs!$A:$B,2,0),U101,1),"")</f>
        <v>G</v>
      </c>
      <c r="U101" s="3">
        <v>110</v>
      </c>
      <c r="V101" s="3" t="str">
        <f>IFERROR(MID(VLOOKUP($B101,Seqs!$A:$B,2,0),W101,1),"")</f>
        <v>S</v>
      </c>
      <c r="W101" s="3">
        <v>145</v>
      </c>
      <c r="X101" s="3" t="str">
        <f>IFERROR(MID(VLOOKUP($B101,Seqs!$A:$B,2,0),Y101,1),"")</f>
        <v>P</v>
      </c>
      <c r="Y101" s="3">
        <v>146</v>
      </c>
      <c r="Z101" s="3" t="str">
        <f>IFERROR(MID(VLOOKUP($B101,Seqs!$A:$B,2,0),AA101,1),"")</f>
        <v>M</v>
      </c>
      <c r="AA101" s="3">
        <v>153</v>
      </c>
      <c r="AB101" s="3" t="str">
        <f>IFERROR(MID(VLOOKUP($B101,Seqs!$A:$B,2,0),AC101,1),"")</f>
        <v>T</v>
      </c>
      <c r="AC101" s="9">
        <v>154</v>
      </c>
      <c r="AD101" s="3" t="str">
        <f>IFERROR(MID(VLOOKUP($B101,Seqs!$A:$B,2,0),AE101,1),"")</f>
        <v>H</v>
      </c>
      <c r="AE101" s="3">
        <v>180</v>
      </c>
      <c r="AF101" s="3" t="str">
        <f>IFERROR(MID(VLOOKUP($B101,Seqs!$A:$B,2,0),AG101,1),"")</f>
        <v>C</v>
      </c>
      <c r="AG101" s="3">
        <v>199</v>
      </c>
      <c r="AH101" s="3" t="str">
        <f>IFERROR(MID(VLOOKUP($B101,Seqs!$A:$B,2,0),AI101,1),"")</f>
        <v>F</v>
      </c>
      <c r="AI101" s="3">
        <v>201</v>
      </c>
      <c r="AJ101" s="3" t="str">
        <f>IFERROR(MID(VLOOKUP($B101,Seqs!$A:$B,2,0),AK101,1),"")</f>
        <v>N</v>
      </c>
      <c r="AK101" s="3">
        <v>204</v>
      </c>
      <c r="AL101" s="3" t="str">
        <f>IFERROR(MID(VLOOKUP($B101,Seqs!$A:$B,2,0),AM101,1),"")</f>
        <v>I</v>
      </c>
      <c r="AM101" s="3">
        <v>238</v>
      </c>
      <c r="AN101" s="3" t="str">
        <f>IFERROR(MID(VLOOKUP($B101,Seqs!$A:$B,2,0),AO101,1),"")</f>
        <v>R</v>
      </c>
      <c r="AO101" s="3">
        <v>275</v>
      </c>
      <c r="AP101" s="3" t="str">
        <f>IFERROR(MID(VLOOKUP($B101,Seqs!$A:$B,2,0),AQ101,1),"")</f>
        <v>N</v>
      </c>
      <c r="AQ101" s="3">
        <v>316</v>
      </c>
      <c r="AR101" s="3" t="str">
        <f>IFERROR(MID(VLOOKUP($B101,Seqs!$A:$B,2,0),AS101,1),"")</f>
        <v>P</v>
      </c>
      <c r="AS101" s="3">
        <v>321</v>
      </c>
      <c r="AT101" s="3" t="str">
        <f>IFERROR(MID(VLOOKUP($B101,Seqs!$A:$B,2,0),AU101,1),"")</f>
        <v>R</v>
      </c>
      <c r="AU101" s="3">
        <v>345</v>
      </c>
      <c r="AV101" s="3" t="str">
        <f>IFERROR(MID(VLOOKUP($B101,Seqs!$A:$B,2,0),AW101,1),"")</f>
        <v>S</v>
      </c>
      <c r="AW101" s="3">
        <v>346</v>
      </c>
      <c r="AX101" s="3" t="str">
        <f>IFERROR(MID(VLOOKUP($B101,Seqs!$A:$B,2,0),AY101,1),"")</f>
        <v>C</v>
      </c>
      <c r="AY101" s="3">
        <v>358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448"/>
        <v>1</v>
      </c>
      <c r="BC101" s="23">
        <f t="shared" si="225"/>
        <v>265</v>
      </c>
      <c r="BD101" s="2" t="s">
        <v>1376</v>
      </c>
      <c r="BE101" s="3" t="s">
        <v>1374</v>
      </c>
      <c r="BF101" s="119">
        <v>2.2999999999999998</v>
      </c>
      <c r="BG101" s="49" t="s">
        <v>1377</v>
      </c>
      <c r="BH101" s="49" t="s">
        <v>1377</v>
      </c>
      <c r="BI101" s="1"/>
      <c r="BJ101" s="70" t="s">
        <v>1287</v>
      </c>
      <c r="BK101" s="57" t="s">
        <v>1287</v>
      </c>
      <c r="BL101" s="57" t="s">
        <v>1287</v>
      </c>
      <c r="BM101" s="57" t="s">
        <v>1287</v>
      </c>
      <c r="BN101" s="57" t="s">
        <v>1287</v>
      </c>
      <c r="BO101" s="57" t="s">
        <v>1287</v>
      </c>
      <c r="BP101" s="57" t="s">
        <v>1287</v>
      </c>
      <c r="BQ101" s="57" t="s">
        <v>1287</v>
      </c>
      <c r="BR101" s="57" t="s">
        <v>1287</v>
      </c>
      <c r="BS101" s="57" t="s">
        <v>1287</v>
      </c>
      <c r="BT101" s="57" t="s">
        <v>1287</v>
      </c>
      <c r="BU101" s="57" t="s">
        <v>1287</v>
      </c>
      <c r="BV101" s="70">
        <f t="shared" si="226"/>
        <v>33</v>
      </c>
      <c r="BW101" s="71">
        <f t="shared" si="227"/>
        <v>70</v>
      </c>
      <c r="BX101" s="72">
        <f t="shared" si="228"/>
        <v>74</v>
      </c>
      <c r="BY101" s="71">
        <f t="shared" si="229"/>
        <v>106</v>
      </c>
      <c r="BZ101" s="72">
        <f t="shared" si="230"/>
        <v>110</v>
      </c>
      <c r="CA101" s="71">
        <f t="shared" si="231"/>
        <v>146</v>
      </c>
      <c r="CB101" s="72">
        <f t="shared" si="232"/>
        <v>154</v>
      </c>
      <c r="CC101" s="71">
        <f t="shared" si="233"/>
        <v>199</v>
      </c>
      <c r="CD101" s="72">
        <f t="shared" si="234"/>
        <v>204</v>
      </c>
      <c r="CE101" s="71">
        <f t="shared" si="235"/>
        <v>275</v>
      </c>
      <c r="CF101" s="72">
        <f t="shared" si="236"/>
        <v>321</v>
      </c>
      <c r="CG101" s="71">
        <f t="shared" si="237"/>
        <v>346</v>
      </c>
      <c r="CH101" s="70">
        <f t="shared" si="238"/>
        <v>69</v>
      </c>
      <c r="CI101" s="71">
        <f t="shared" si="239"/>
        <v>73</v>
      </c>
      <c r="CJ101" s="72">
        <f t="shared" si="240"/>
        <v>104</v>
      </c>
      <c r="CK101" s="72">
        <f t="shared" si="241"/>
        <v>109</v>
      </c>
      <c r="CL101" s="72">
        <f t="shared" si="242"/>
        <v>145</v>
      </c>
      <c r="CM101" s="72">
        <f t="shared" si="243"/>
        <v>153</v>
      </c>
      <c r="CN101" s="72">
        <f t="shared" si="244"/>
        <v>180</v>
      </c>
      <c r="CO101" s="72">
        <f t="shared" si="245"/>
        <v>201</v>
      </c>
      <c r="CP101" s="72">
        <f t="shared" si="246"/>
        <v>238</v>
      </c>
      <c r="CQ101" s="72">
        <f t="shared" si="247"/>
        <v>316</v>
      </c>
      <c r="CR101" s="72">
        <f t="shared" si="248"/>
        <v>345</v>
      </c>
      <c r="CS101" s="72">
        <f t="shared" si="249"/>
        <v>358</v>
      </c>
      <c r="CT101" s="23">
        <f t="shared" si="250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447"/>
        <v>adrb1_melga_4BVN</v>
      </c>
      <c r="B102" s="3" t="s">
        <v>911</v>
      </c>
      <c r="C102" s="3" t="s">
        <v>82</v>
      </c>
      <c r="D102" s="3" t="str">
        <f>IFERROR(MID(VLOOKUP($B102,Seqs!$A:$B,2,0),E102,1),"")</f>
        <v>S</v>
      </c>
      <c r="E102" s="3">
        <v>37</v>
      </c>
      <c r="F102" s="3" t="str">
        <f>IFERROR(MID(VLOOKUP($B102,Seqs!$A:$B,2,0),G102,1),"")</f>
        <v>T</v>
      </c>
      <c r="G102" s="3">
        <v>69</v>
      </c>
      <c r="H102" s="3" t="str">
        <f>IFERROR(MID(VLOOKUP($B102,Seqs!$A:$B,2,0),I102,1),"")</f>
        <v>Q</v>
      </c>
      <c r="I102" s="23">
        <v>70</v>
      </c>
      <c r="J102" s="3" t="str">
        <f>IFERROR(MID(VLOOKUP($B102,Seqs!$A:$B,2,0),K102,1),"")</f>
        <v>Q</v>
      </c>
      <c r="K102" s="23">
        <v>73</v>
      </c>
      <c r="L102" s="3" t="str">
        <f>IFERROR(MID(VLOOKUP($B102,Seqs!$A:$B,2,0),M102,1),"")</f>
        <v>T</v>
      </c>
      <c r="M102" s="3">
        <v>74</v>
      </c>
      <c r="N102" s="3" t="str">
        <f>IFERROR(MID(VLOOKUP($B102,Seqs!$A:$B,2,0),O102,1),"")</f>
        <v>R</v>
      </c>
      <c r="O102" s="3">
        <v>104</v>
      </c>
      <c r="P102" s="3" t="str">
        <f>IFERROR(MID(VLOOKUP($B102,Seqs!$A:$B,2,0),Q102,1),"")</f>
        <v>T</v>
      </c>
      <c r="Q102" s="3">
        <v>106</v>
      </c>
      <c r="R102" s="3" t="str">
        <f>IFERROR(MID(VLOOKUP($B102,Seqs!$A:$B,2,0),S102,1),"")</f>
        <v>W</v>
      </c>
      <c r="S102" s="3">
        <v>109</v>
      </c>
      <c r="T102" s="3" t="str">
        <f>IFERROR(MID(VLOOKUP($B102,Seqs!$A:$B,2,0),U102,1),"")</f>
        <v>G</v>
      </c>
      <c r="U102" s="3">
        <v>110</v>
      </c>
      <c r="V102" s="3" t="str">
        <f>IFERROR(MID(VLOOKUP($B102,Seqs!$A:$B,2,0),W102,1),"")</f>
        <v>S</v>
      </c>
      <c r="W102" s="3">
        <v>145</v>
      </c>
      <c r="X102" s="3" t="str">
        <f>IFERROR(MID(VLOOKUP($B102,Seqs!$A:$B,2,0),Y102,1),"")</f>
        <v>P</v>
      </c>
      <c r="Y102" s="3">
        <v>146</v>
      </c>
      <c r="Z102" s="3" t="str">
        <f>IFERROR(MID(VLOOKUP($B102,Seqs!$A:$B,2,0),AA102,1),"")</f>
        <v>M</v>
      </c>
      <c r="AA102" s="3">
        <v>153</v>
      </c>
      <c r="AB102" s="3" t="str">
        <f>IFERROR(MID(VLOOKUP($B102,Seqs!$A:$B,2,0),AC102,1),"")</f>
        <v>T</v>
      </c>
      <c r="AC102" s="9">
        <v>154</v>
      </c>
      <c r="AD102" s="3" t="str">
        <f>IFERROR(MID(VLOOKUP($B102,Seqs!$A:$B,2,0),AE102,1),"")</f>
        <v>H</v>
      </c>
      <c r="AE102" s="3">
        <v>180</v>
      </c>
      <c r="AF102" s="3" t="str">
        <f>IFERROR(MID(VLOOKUP($B102,Seqs!$A:$B,2,0),AG102,1),"")</f>
        <v>C</v>
      </c>
      <c r="AG102" s="3">
        <v>199</v>
      </c>
      <c r="AH102" s="3" t="str">
        <f>IFERROR(MID(VLOOKUP($B102,Seqs!$A:$B,2,0),AI102,1),"")</f>
        <v>F</v>
      </c>
      <c r="AI102" s="3">
        <v>201</v>
      </c>
      <c r="AJ102" s="3" t="str">
        <f>IFERROR(MID(VLOOKUP($B102,Seqs!$A:$B,2,0),AK102,1),"")</f>
        <v>N</v>
      </c>
      <c r="AK102" s="3">
        <v>204</v>
      </c>
      <c r="AL102" s="3" t="str">
        <f>IFERROR(MID(VLOOKUP($B102,Seqs!$A:$B,2,0),AM102,1),"")</f>
        <v>R</v>
      </c>
      <c r="AM102" s="3">
        <v>239</v>
      </c>
      <c r="AN102" s="3" t="str">
        <f>IFERROR(MID(VLOOKUP($B102,Seqs!$A:$B,2,0),AO102,1),"")</f>
        <v>R</v>
      </c>
      <c r="AO102" s="3">
        <v>279</v>
      </c>
      <c r="AP102" s="3" t="str">
        <f>IFERROR(MID(VLOOKUP($B102,Seqs!$A:$B,2,0),AQ102,1),"")</f>
        <v>N</v>
      </c>
      <c r="AQ102" s="3">
        <v>316</v>
      </c>
      <c r="AR102" s="3" t="str">
        <f>IFERROR(MID(VLOOKUP($B102,Seqs!$A:$B,2,0),AS102,1),"")</f>
        <v>P</v>
      </c>
      <c r="AS102" s="3">
        <v>321</v>
      </c>
      <c r="AT102" s="3" t="str">
        <f>IFERROR(MID(VLOOKUP($B102,Seqs!$A:$B,2,0),AU102,1),"")</f>
        <v>R</v>
      </c>
      <c r="AU102" s="3">
        <v>345</v>
      </c>
      <c r="AV102" s="3" t="str">
        <f>IFERROR(MID(VLOOKUP($B102,Seqs!$A:$B,2,0),AW102,1),"")</f>
        <v>S</v>
      </c>
      <c r="AW102" s="3">
        <v>346</v>
      </c>
      <c r="AX102" s="3" t="str">
        <f>IFERROR(MID(VLOOKUP($B102,Seqs!$A:$B,2,0),AY102,1),"")</f>
        <v>C</v>
      </c>
      <c r="AY102" s="3">
        <v>358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448"/>
        <v>1</v>
      </c>
      <c r="BC102" s="23">
        <f t="shared" ref="BC102:BC164" si="645">_xlfn.AGGREGATE(9,6,CH102:CS102)-_xlfn.AGGREGATE(9,6,BV102:CG102)+12</f>
        <v>258</v>
      </c>
      <c r="BD102" s="4" t="s">
        <v>23</v>
      </c>
      <c r="BE102" s="3" t="s">
        <v>1374</v>
      </c>
      <c r="BF102" s="119">
        <v>2.1</v>
      </c>
      <c r="BG102" s="49" t="s">
        <v>1377</v>
      </c>
      <c r="BH102" s="49" t="s">
        <v>1377</v>
      </c>
      <c r="BI102" s="1"/>
      <c r="BJ102" s="70" t="s">
        <v>1287</v>
      </c>
      <c r="BK102" s="57" t="s">
        <v>1287</v>
      </c>
      <c r="BL102" s="57" t="s">
        <v>1287</v>
      </c>
      <c r="BM102" s="57" t="s">
        <v>1287</v>
      </c>
      <c r="BN102" s="57" t="s">
        <v>1287</v>
      </c>
      <c r="BO102" s="57" t="s">
        <v>1287</v>
      </c>
      <c r="BP102" s="57" t="s">
        <v>1287</v>
      </c>
      <c r="BQ102" s="57" t="s">
        <v>1287</v>
      </c>
      <c r="BR102" s="57" t="s">
        <v>1287</v>
      </c>
      <c r="BS102" s="57" t="s">
        <v>1287</v>
      </c>
      <c r="BT102" s="57" t="s">
        <v>1287</v>
      </c>
      <c r="BU102" s="57" t="s">
        <v>1287</v>
      </c>
      <c r="BV102" s="70">
        <f t="shared" ref="BV102:BV164" si="646">E102</f>
        <v>37</v>
      </c>
      <c r="BW102" s="71">
        <f t="shared" ref="BW102:BW164" si="647">I102</f>
        <v>70</v>
      </c>
      <c r="BX102" s="72">
        <f t="shared" ref="BX102:BX164" si="648">M102</f>
        <v>74</v>
      </c>
      <c r="BY102" s="71">
        <f t="shared" ref="BY102:BY164" si="649">Q102</f>
        <v>106</v>
      </c>
      <c r="BZ102" s="72">
        <f t="shared" ref="BZ102:BZ164" si="650">U102</f>
        <v>110</v>
      </c>
      <c r="CA102" s="71">
        <f t="shared" ref="CA102:CA164" si="651">Y102</f>
        <v>146</v>
      </c>
      <c r="CB102" s="72">
        <f t="shared" ref="CB102:CB164" si="652">AC102</f>
        <v>154</v>
      </c>
      <c r="CC102" s="71">
        <f t="shared" ref="CC102:CC164" si="653">AG102</f>
        <v>199</v>
      </c>
      <c r="CD102" s="72">
        <f t="shared" ref="CD102:CD164" si="654">AK102</f>
        <v>204</v>
      </c>
      <c r="CE102" s="71">
        <f t="shared" ref="CE102:CE164" si="655">AO102</f>
        <v>279</v>
      </c>
      <c r="CF102" s="72">
        <f t="shared" ref="CF102:CF164" si="656">AS102</f>
        <v>321</v>
      </c>
      <c r="CG102" s="71">
        <f t="shared" ref="CG102:CG164" si="657">AW102</f>
        <v>346</v>
      </c>
      <c r="CH102" s="70">
        <f t="shared" ref="CH102:CH164" si="658">G102</f>
        <v>69</v>
      </c>
      <c r="CI102" s="71">
        <f t="shared" ref="CI102:CI164" si="659">K102</f>
        <v>73</v>
      </c>
      <c r="CJ102" s="72">
        <f t="shared" ref="CJ102:CJ164" si="660">O102</f>
        <v>104</v>
      </c>
      <c r="CK102" s="72">
        <f t="shared" ref="CK102:CK164" si="661">S102</f>
        <v>109</v>
      </c>
      <c r="CL102" s="72">
        <f t="shared" ref="CL102:CL164" si="662">W102</f>
        <v>145</v>
      </c>
      <c r="CM102" s="72">
        <f t="shared" ref="CM102:CM164" si="663">AA102</f>
        <v>153</v>
      </c>
      <c r="CN102" s="72">
        <f t="shared" ref="CN102:CN164" si="664">AE102</f>
        <v>180</v>
      </c>
      <c r="CO102" s="72">
        <f t="shared" ref="CO102:CO164" si="665">AI102</f>
        <v>201</v>
      </c>
      <c r="CP102" s="72">
        <f t="shared" ref="CP102:CP164" si="666">AM102</f>
        <v>239</v>
      </c>
      <c r="CQ102" s="72">
        <f t="shared" ref="CQ102:CQ164" si="667">AQ102</f>
        <v>316</v>
      </c>
      <c r="CR102" s="72">
        <f t="shared" ref="CR102:CR164" si="668">AU102</f>
        <v>345</v>
      </c>
      <c r="CS102" s="72">
        <f t="shared" ref="CS102:CS164" si="669">AY102</f>
        <v>358</v>
      </c>
      <c r="CT102" s="23">
        <f t="shared" ref="CT102:CT164" si="670">M102-K102</f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447"/>
        <v>adrb1_melga_4GPO</v>
      </c>
      <c r="B103" s="3" t="s">
        <v>911</v>
      </c>
      <c r="C103" s="3" t="s">
        <v>1041</v>
      </c>
      <c r="D103" s="3" t="str">
        <f>IFERROR(MID(VLOOKUP($B103,Seqs!$A:$B,2,0),E103,1),"")</f>
        <v>S</v>
      </c>
      <c r="E103" s="3">
        <v>37</v>
      </c>
      <c r="F103" s="3" t="str">
        <f>IFERROR(MID(VLOOKUP($B103,Seqs!$A:$B,2,0),G103,1),"")</f>
        <v>T</v>
      </c>
      <c r="G103" s="3">
        <v>69</v>
      </c>
      <c r="H103" s="3" t="str">
        <f>IFERROR(MID(VLOOKUP($B103,Seqs!$A:$B,2,0),I103,1),"")</f>
        <v>Q</v>
      </c>
      <c r="I103" s="23">
        <v>70</v>
      </c>
      <c r="J103" s="3" t="str">
        <f>IFERROR(MID(VLOOKUP($B103,Seqs!$A:$B,2,0),K103,1),"")</f>
        <v>Q</v>
      </c>
      <c r="K103" s="23">
        <v>73</v>
      </c>
      <c r="L103" s="3" t="str">
        <f>IFERROR(MID(VLOOKUP($B103,Seqs!$A:$B,2,0),M103,1),"")</f>
        <v>T</v>
      </c>
      <c r="M103" s="3">
        <v>74</v>
      </c>
      <c r="N103" s="3" t="str">
        <f>IFERROR(MID(VLOOKUP($B103,Seqs!$A:$B,2,0),O103,1),"")</f>
        <v>R</v>
      </c>
      <c r="O103" s="3">
        <v>104</v>
      </c>
      <c r="P103" s="3" t="str">
        <f>IFERROR(MID(VLOOKUP($B103,Seqs!$A:$B,2,0),Q103,1),"")</f>
        <v>T</v>
      </c>
      <c r="Q103" s="3">
        <v>106</v>
      </c>
      <c r="R103" s="3" t="str">
        <f>IFERROR(MID(VLOOKUP($B103,Seqs!$A:$B,2,0),S103,1),"")</f>
        <v>W</v>
      </c>
      <c r="S103" s="3">
        <v>109</v>
      </c>
      <c r="T103" s="3" t="str">
        <f>IFERROR(MID(VLOOKUP($B103,Seqs!$A:$B,2,0),U103,1),"")</f>
        <v>G</v>
      </c>
      <c r="U103" s="3">
        <v>110</v>
      </c>
      <c r="V103" s="3" t="str">
        <f>IFERROR(MID(VLOOKUP($B103,Seqs!$A:$B,2,0),W103,1),"")</f>
        <v>S</v>
      </c>
      <c r="W103" s="3">
        <v>145</v>
      </c>
      <c r="X103" s="3" t="str">
        <f>IFERROR(MID(VLOOKUP($B103,Seqs!$A:$B,2,0),Y103,1),"")</f>
        <v>P</v>
      </c>
      <c r="Y103" s="3">
        <v>146</v>
      </c>
      <c r="Z103" s="3" t="str">
        <f>IFERROR(MID(VLOOKUP($B103,Seqs!$A:$B,2,0),AA103,1),"")</f>
        <v>M</v>
      </c>
      <c r="AA103" s="3">
        <v>153</v>
      </c>
      <c r="AB103" s="3" t="str">
        <f>IFERROR(MID(VLOOKUP($B103,Seqs!$A:$B,2,0),AC103,1),"")</f>
        <v>T</v>
      </c>
      <c r="AC103" s="9">
        <v>154</v>
      </c>
      <c r="AD103" s="3" t="str">
        <f>IFERROR(MID(VLOOKUP($B103,Seqs!$A:$B,2,0),AE103,1),"")</f>
        <v>H</v>
      </c>
      <c r="AE103" s="3">
        <v>180</v>
      </c>
      <c r="AF103" s="3" t="str">
        <f>IFERROR(MID(VLOOKUP($B103,Seqs!$A:$B,2,0),AG103,1),"")</f>
        <v>C</v>
      </c>
      <c r="AG103" s="3">
        <v>199</v>
      </c>
      <c r="AH103" s="3" t="str">
        <f>IFERROR(MID(VLOOKUP($B103,Seqs!$A:$B,2,0),AI103,1),"")</f>
        <v>F</v>
      </c>
      <c r="AI103" s="3">
        <v>201</v>
      </c>
      <c r="AJ103" s="3" t="str">
        <f>IFERROR(MID(VLOOKUP($B103,Seqs!$A:$B,2,0),AK103,1),"")</f>
        <v>N</v>
      </c>
      <c r="AK103" s="3">
        <v>204</v>
      </c>
      <c r="AL103" s="3" t="str">
        <f>IFERROR(MID(VLOOKUP($B103,Seqs!$A:$B,2,0),AM103,1),"")</f>
        <v>E</v>
      </c>
      <c r="AM103" s="3">
        <v>233</v>
      </c>
      <c r="AN103" s="3" t="str">
        <f>IFERROR(MID(VLOOKUP($B103,Seqs!$A:$B,2,0),AO103,1),"")</f>
        <v>M</v>
      </c>
      <c r="AO103" s="3">
        <v>283</v>
      </c>
      <c r="AP103" s="3" t="str">
        <f>IFERROR(MID(VLOOKUP($B103,Seqs!$A:$B,2,0),AQ103,1),"")</f>
        <v>N</v>
      </c>
      <c r="AQ103" s="3">
        <v>316</v>
      </c>
      <c r="AR103" s="3" t="str">
        <f>IFERROR(MID(VLOOKUP($B103,Seqs!$A:$B,2,0),AS103,1),"")</f>
        <v>P</v>
      </c>
      <c r="AS103" s="3">
        <v>321</v>
      </c>
      <c r="AT103" s="3" t="str">
        <f>IFERROR(MID(VLOOKUP($B103,Seqs!$A:$B,2,0),AU103,1),"")</f>
        <v>R</v>
      </c>
      <c r="AU103" s="3">
        <v>345</v>
      </c>
      <c r="AV103" s="3" t="str">
        <f>IFERROR(MID(VLOOKUP($B103,Seqs!$A:$B,2,0),AW103,1),"")</f>
        <v>S</v>
      </c>
      <c r="AW103" s="3">
        <v>346</v>
      </c>
      <c r="AX103" s="3" t="str">
        <f>IFERROR(MID(VLOOKUP($B103,Seqs!$A:$B,2,0),AY103,1),"")</f>
        <v>L</v>
      </c>
      <c r="AY103" s="3">
        <v>356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448"/>
        <v>1</v>
      </c>
      <c r="BC103" s="23">
        <f t="shared" si="645"/>
        <v>246</v>
      </c>
      <c r="BD103" s="4" t="s">
        <v>23</v>
      </c>
      <c r="BE103" s="3" t="s">
        <v>1374</v>
      </c>
      <c r="BF103" s="119">
        <v>3.5</v>
      </c>
      <c r="BG103" s="49" t="s">
        <v>1377</v>
      </c>
      <c r="BH103" s="49" t="s">
        <v>1377</v>
      </c>
      <c r="BI103" s="1"/>
      <c r="BJ103" s="70" t="s">
        <v>1287</v>
      </c>
      <c r="BK103" s="57" t="s">
        <v>1287</v>
      </c>
      <c r="BL103" s="57" t="s">
        <v>1287</v>
      </c>
      <c r="BM103" s="57" t="s">
        <v>1287</v>
      </c>
      <c r="BN103" s="57" t="s">
        <v>1287</v>
      </c>
      <c r="BO103" s="57" t="s">
        <v>1287</v>
      </c>
      <c r="BP103" s="57" t="s">
        <v>1287</v>
      </c>
      <c r="BQ103" s="57" t="s">
        <v>1287</v>
      </c>
      <c r="BR103" s="57" t="s">
        <v>1287</v>
      </c>
      <c r="BS103" s="57" t="s">
        <v>1287</v>
      </c>
      <c r="BT103" s="57" t="s">
        <v>1287</v>
      </c>
      <c r="BU103" s="57" t="s">
        <v>1287</v>
      </c>
      <c r="BV103" s="70">
        <f t="shared" si="646"/>
        <v>37</v>
      </c>
      <c r="BW103" s="71">
        <f t="shared" si="647"/>
        <v>70</v>
      </c>
      <c r="BX103" s="72">
        <f t="shared" si="648"/>
        <v>74</v>
      </c>
      <c r="BY103" s="71">
        <f t="shared" si="649"/>
        <v>106</v>
      </c>
      <c r="BZ103" s="72">
        <f t="shared" si="650"/>
        <v>110</v>
      </c>
      <c r="CA103" s="71">
        <f t="shared" si="651"/>
        <v>146</v>
      </c>
      <c r="CB103" s="72">
        <f t="shared" si="652"/>
        <v>154</v>
      </c>
      <c r="CC103" s="71">
        <f t="shared" si="653"/>
        <v>199</v>
      </c>
      <c r="CD103" s="72">
        <f t="shared" si="654"/>
        <v>204</v>
      </c>
      <c r="CE103" s="71">
        <f t="shared" si="655"/>
        <v>283</v>
      </c>
      <c r="CF103" s="72">
        <f t="shared" si="656"/>
        <v>321</v>
      </c>
      <c r="CG103" s="71">
        <f t="shared" si="657"/>
        <v>346</v>
      </c>
      <c r="CH103" s="70">
        <f t="shared" si="658"/>
        <v>69</v>
      </c>
      <c r="CI103" s="71">
        <f t="shared" si="659"/>
        <v>73</v>
      </c>
      <c r="CJ103" s="72">
        <f t="shared" si="660"/>
        <v>104</v>
      </c>
      <c r="CK103" s="72">
        <f t="shared" si="661"/>
        <v>109</v>
      </c>
      <c r="CL103" s="72">
        <f t="shared" si="662"/>
        <v>145</v>
      </c>
      <c r="CM103" s="72">
        <f t="shared" si="663"/>
        <v>153</v>
      </c>
      <c r="CN103" s="72">
        <f t="shared" si="664"/>
        <v>180</v>
      </c>
      <c r="CO103" s="72">
        <f t="shared" si="665"/>
        <v>201</v>
      </c>
      <c r="CP103" s="72">
        <f t="shared" si="666"/>
        <v>233</v>
      </c>
      <c r="CQ103" s="72">
        <f t="shared" si="667"/>
        <v>316</v>
      </c>
      <c r="CR103" s="72">
        <f t="shared" si="668"/>
        <v>345</v>
      </c>
      <c r="CS103" s="72">
        <f t="shared" si="669"/>
        <v>356</v>
      </c>
      <c r="CT103" s="23">
        <f t="shared" si="670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447"/>
        <v>adrb1_melga_5A8E</v>
      </c>
      <c r="B104" s="3" t="s">
        <v>911</v>
      </c>
      <c r="C104" s="3" t="s">
        <v>1058</v>
      </c>
      <c r="D104" s="3" t="str">
        <f>IFERROR(MID(VLOOKUP($B104,Seqs!$A:$B,2,0),E104,1),"")</f>
        <v>S</v>
      </c>
      <c r="E104" s="3">
        <v>37</v>
      </c>
      <c r="F104" s="3" t="str">
        <f>IFERROR(MID(VLOOKUP($B104,Seqs!$A:$B,2,0),G104,1),"")</f>
        <v>T</v>
      </c>
      <c r="G104" s="3">
        <v>69</v>
      </c>
      <c r="H104" s="3" t="str">
        <f>IFERROR(MID(VLOOKUP($B104,Seqs!$A:$B,2,0),I104,1),"")</f>
        <v>Q</v>
      </c>
      <c r="I104" s="23">
        <v>70</v>
      </c>
      <c r="J104" s="3" t="str">
        <f>IFERROR(MID(VLOOKUP($B104,Seqs!$A:$B,2,0),K104,1),"")</f>
        <v>Q</v>
      </c>
      <c r="K104" s="23">
        <v>73</v>
      </c>
      <c r="L104" s="3" t="str">
        <f>IFERROR(MID(VLOOKUP($B104,Seqs!$A:$B,2,0),M104,1),"")</f>
        <v>T</v>
      </c>
      <c r="M104" s="3">
        <v>74</v>
      </c>
      <c r="N104" s="3" t="str">
        <f>IFERROR(MID(VLOOKUP($B104,Seqs!$A:$B,2,0),O104,1),"")</f>
        <v>R</v>
      </c>
      <c r="O104" s="3">
        <v>104</v>
      </c>
      <c r="P104" s="3" t="str">
        <f>IFERROR(MID(VLOOKUP($B104,Seqs!$A:$B,2,0),Q104,1),"")</f>
        <v>T</v>
      </c>
      <c r="Q104" s="3">
        <v>106</v>
      </c>
      <c r="R104" s="3" t="str">
        <f>IFERROR(MID(VLOOKUP($B104,Seqs!$A:$B,2,0),S104,1),"")</f>
        <v>W</v>
      </c>
      <c r="S104" s="3">
        <v>109</v>
      </c>
      <c r="T104" s="3" t="str">
        <f>IFERROR(MID(VLOOKUP($B104,Seqs!$A:$B,2,0),U104,1),"")</f>
        <v>G</v>
      </c>
      <c r="U104" s="3">
        <v>110</v>
      </c>
      <c r="V104" s="3" t="str">
        <f>IFERROR(MID(VLOOKUP($B104,Seqs!$A:$B,2,0),W104,1),"")</f>
        <v>S</v>
      </c>
      <c r="W104" s="3">
        <v>145</v>
      </c>
      <c r="X104" s="3" t="str">
        <f>IFERROR(MID(VLOOKUP($B104,Seqs!$A:$B,2,0),Y104,1),"")</f>
        <v>P</v>
      </c>
      <c r="Y104" s="3">
        <v>146</v>
      </c>
      <c r="Z104" s="3" t="str">
        <f>IFERROR(MID(VLOOKUP($B104,Seqs!$A:$B,2,0),AA104,1),"")</f>
        <v>M</v>
      </c>
      <c r="AA104" s="3">
        <v>153</v>
      </c>
      <c r="AB104" s="3" t="str">
        <f>IFERROR(MID(VLOOKUP($B104,Seqs!$A:$B,2,0),AC104,1),"")</f>
        <v>T</v>
      </c>
      <c r="AC104" s="9">
        <v>154</v>
      </c>
      <c r="AD104" s="3" t="str">
        <f>IFERROR(MID(VLOOKUP($B104,Seqs!$A:$B,2,0),AE104,1),"")</f>
        <v>H</v>
      </c>
      <c r="AE104" s="3">
        <v>180</v>
      </c>
      <c r="AF104" s="3" t="str">
        <f>IFERROR(MID(VLOOKUP($B104,Seqs!$A:$B,2,0),AG104,1),"")</f>
        <v>C</v>
      </c>
      <c r="AG104" s="3">
        <v>199</v>
      </c>
      <c r="AH104" s="3" t="str">
        <f>IFERROR(MID(VLOOKUP($B104,Seqs!$A:$B,2,0),AI104,1),"")</f>
        <v>F</v>
      </c>
      <c r="AI104" s="3">
        <v>201</v>
      </c>
      <c r="AJ104" s="3" t="str">
        <f>IFERROR(MID(VLOOKUP($B104,Seqs!$A:$B,2,0),AK104,1),"")</f>
        <v>N</v>
      </c>
      <c r="AK104" s="3">
        <v>204</v>
      </c>
      <c r="AL104" s="3" t="str">
        <f>IFERROR(MID(VLOOKUP($B104,Seqs!$A:$B,2,0),AM104,1),"")</f>
        <v>R</v>
      </c>
      <c r="AM104" s="3">
        <v>239</v>
      </c>
      <c r="AN104" s="3" t="str">
        <f>IFERROR(MID(VLOOKUP($B104,Seqs!$A:$B,2,0),AO104,1),"")</f>
        <v>R</v>
      </c>
      <c r="AO104" s="3">
        <v>279</v>
      </c>
      <c r="AP104" s="3" t="str">
        <f>IFERROR(MID(VLOOKUP($B104,Seqs!$A:$B,2,0),AQ104,1),"")</f>
        <v>N</v>
      </c>
      <c r="AQ104" s="3">
        <v>316</v>
      </c>
      <c r="AR104" s="3" t="str">
        <f>IFERROR(MID(VLOOKUP($B104,Seqs!$A:$B,2,0),AS104,1),"")</f>
        <v>P</v>
      </c>
      <c r="AS104" s="3">
        <v>321</v>
      </c>
      <c r="AT104" s="3" t="str">
        <f>IFERROR(MID(VLOOKUP($B104,Seqs!$A:$B,2,0),AU104,1),"")</f>
        <v>R</v>
      </c>
      <c r="AU104" s="3">
        <v>345</v>
      </c>
      <c r="AV104" s="3" t="str">
        <f>IFERROR(MID(VLOOKUP($B104,Seqs!$A:$B,2,0),AW104,1),"")</f>
        <v>S</v>
      </c>
      <c r="AW104" s="3">
        <v>346</v>
      </c>
      <c r="AX104" s="3" t="str">
        <f>IFERROR(MID(VLOOKUP($B104,Seqs!$A:$B,2,0),AY104,1),"")</f>
        <v>K</v>
      </c>
      <c r="AY104" s="3">
        <v>354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448"/>
        <v>1</v>
      </c>
      <c r="BC104" s="23">
        <f t="shared" si="645"/>
        <v>254</v>
      </c>
      <c r="BD104" s="4" t="s">
        <v>23</v>
      </c>
      <c r="BE104" s="3" t="s">
        <v>1374</v>
      </c>
      <c r="BF104" s="119">
        <v>2.42</v>
      </c>
      <c r="BG104" s="49" t="s">
        <v>1377</v>
      </c>
      <c r="BH104" s="49" t="s">
        <v>1377</v>
      </c>
      <c r="BI104" s="1"/>
      <c r="BJ104" s="70" t="s">
        <v>1287</v>
      </c>
      <c r="BK104" s="57" t="s">
        <v>1287</v>
      </c>
      <c r="BL104" s="57" t="s">
        <v>1287</v>
      </c>
      <c r="BM104" s="57" t="s">
        <v>1287</v>
      </c>
      <c r="BN104" s="57" t="s">
        <v>1287</v>
      </c>
      <c r="BO104" s="57" t="s">
        <v>1287</v>
      </c>
      <c r="BP104" s="57" t="s">
        <v>1287</v>
      </c>
      <c r="BQ104" s="57" t="s">
        <v>1287</v>
      </c>
      <c r="BR104" s="57" t="s">
        <v>1287</v>
      </c>
      <c r="BS104" s="57" t="s">
        <v>1287</v>
      </c>
      <c r="BT104" s="57" t="s">
        <v>1287</v>
      </c>
      <c r="BU104" s="57" t="s">
        <v>1287</v>
      </c>
      <c r="BV104" s="70">
        <f t="shared" si="646"/>
        <v>37</v>
      </c>
      <c r="BW104" s="71">
        <f t="shared" si="647"/>
        <v>70</v>
      </c>
      <c r="BX104" s="72">
        <f t="shared" si="648"/>
        <v>74</v>
      </c>
      <c r="BY104" s="71">
        <f t="shared" si="649"/>
        <v>106</v>
      </c>
      <c r="BZ104" s="72">
        <f t="shared" si="650"/>
        <v>110</v>
      </c>
      <c r="CA104" s="71">
        <f t="shared" si="651"/>
        <v>146</v>
      </c>
      <c r="CB104" s="72">
        <f t="shared" si="652"/>
        <v>154</v>
      </c>
      <c r="CC104" s="71">
        <f t="shared" si="653"/>
        <v>199</v>
      </c>
      <c r="CD104" s="72">
        <f t="shared" si="654"/>
        <v>204</v>
      </c>
      <c r="CE104" s="71">
        <f t="shared" si="655"/>
        <v>279</v>
      </c>
      <c r="CF104" s="72">
        <f t="shared" si="656"/>
        <v>321</v>
      </c>
      <c r="CG104" s="71">
        <f t="shared" si="657"/>
        <v>346</v>
      </c>
      <c r="CH104" s="70">
        <f t="shared" si="658"/>
        <v>69</v>
      </c>
      <c r="CI104" s="71">
        <f t="shared" si="659"/>
        <v>73</v>
      </c>
      <c r="CJ104" s="72">
        <f t="shared" si="660"/>
        <v>104</v>
      </c>
      <c r="CK104" s="72">
        <f t="shared" si="661"/>
        <v>109</v>
      </c>
      <c r="CL104" s="72">
        <f t="shared" si="662"/>
        <v>145</v>
      </c>
      <c r="CM104" s="72">
        <f t="shared" si="663"/>
        <v>153</v>
      </c>
      <c r="CN104" s="72">
        <f t="shared" si="664"/>
        <v>180</v>
      </c>
      <c r="CO104" s="72">
        <f t="shared" si="665"/>
        <v>201</v>
      </c>
      <c r="CP104" s="72">
        <f t="shared" si="666"/>
        <v>239</v>
      </c>
      <c r="CQ104" s="72">
        <f t="shared" si="667"/>
        <v>316</v>
      </c>
      <c r="CR104" s="72">
        <f t="shared" si="668"/>
        <v>345</v>
      </c>
      <c r="CS104" s="72">
        <f t="shared" si="669"/>
        <v>354</v>
      </c>
      <c r="CT104" s="23">
        <f t="shared" si="670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 t="shared" si="447"/>
        <v>adrb1_melga_5F8U</v>
      </c>
      <c r="B105" s="3" t="s">
        <v>911</v>
      </c>
      <c r="C105" s="3" t="s">
        <v>1354</v>
      </c>
      <c r="D105" s="3" t="str">
        <f>IFERROR(MID(VLOOKUP($B105,Seqs!$A:$B,2,0),E105,1),"")</f>
        <v>W</v>
      </c>
      <c r="E105" s="3">
        <v>40</v>
      </c>
      <c r="F105" s="3" t="str">
        <f>IFERROR(MID(VLOOKUP($B105,Seqs!$A:$B,2,0),G105,1),"")</f>
        <v>T</v>
      </c>
      <c r="G105" s="3">
        <v>69</v>
      </c>
      <c r="H105" s="3" t="str">
        <f>IFERROR(MID(VLOOKUP($B105,Seqs!$A:$B,2,0),I105,1),"")</f>
        <v>Q</v>
      </c>
      <c r="I105" s="23">
        <v>70</v>
      </c>
      <c r="J105" s="3" t="str">
        <f>IFERROR(MID(VLOOKUP($B105,Seqs!$A:$B,2,0),K105,1),"")</f>
        <v>Q</v>
      </c>
      <c r="K105" s="23">
        <v>73</v>
      </c>
      <c r="L105" s="3" t="str">
        <f>IFERROR(MID(VLOOKUP($B105,Seqs!$A:$B,2,0),M105,1),"")</f>
        <v>T</v>
      </c>
      <c r="M105" s="3">
        <v>74</v>
      </c>
      <c r="N105" s="3" t="str">
        <f>IFERROR(MID(VLOOKUP($B105,Seqs!$A:$B,2,0),O105,1),"")</f>
        <v>R</v>
      </c>
      <c r="O105" s="3">
        <v>104</v>
      </c>
      <c r="P105" s="3" t="str">
        <f>IFERROR(MID(VLOOKUP($B105,Seqs!$A:$B,2,0),Q105,1),"")</f>
        <v>T</v>
      </c>
      <c r="Q105" s="3">
        <v>106</v>
      </c>
      <c r="R105" s="3" t="str">
        <f>IFERROR(MID(VLOOKUP($B105,Seqs!$A:$B,2,0),S105,1),"")</f>
        <v>W</v>
      </c>
      <c r="S105" s="3">
        <v>109</v>
      </c>
      <c r="T105" s="3" t="str">
        <f>IFERROR(MID(VLOOKUP($B105,Seqs!$A:$B,2,0),U105,1),"")</f>
        <v>G</v>
      </c>
      <c r="U105" s="3">
        <v>110</v>
      </c>
      <c r="V105" s="3" t="str">
        <f>IFERROR(MID(VLOOKUP($B105,Seqs!$A:$B,2,0),W105,1),"")</f>
        <v>S</v>
      </c>
      <c r="W105" s="3">
        <v>145</v>
      </c>
      <c r="X105" s="3" t="str">
        <f>IFERROR(MID(VLOOKUP($B105,Seqs!$A:$B,2,0),Y105,1),"")</f>
        <v>P</v>
      </c>
      <c r="Y105" s="3">
        <v>146</v>
      </c>
      <c r="Z105" s="3" t="str">
        <f>IFERROR(MID(VLOOKUP($B105,Seqs!$A:$B,2,0),AA105,1),"")</f>
        <v>M</v>
      </c>
      <c r="AA105" s="3">
        <v>153</v>
      </c>
      <c r="AB105" s="3" t="str">
        <f>IFERROR(MID(VLOOKUP($B105,Seqs!$A:$B,2,0),AC105,1),"")</f>
        <v>T</v>
      </c>
      <c r="AC105" s="9">
        <v>154</v>
      </c>
      <c r="AD105" s="3" t="str">
        <f>IFERROR(MID(VLOOKUP($B105,Seqs!$A:$B,2,0),AE105,1),"")</f>
        <v>H</v>
      </c>
      <c r="AE105" s="3">
        <v>180</v>
      </c>
      <c r="AF105" s="3" t="str">
        <f>IFERROR(MID(VLOOKUP($B105,Seqs!$A:$B,2,0),AG105,1),"")</f>
        <v>C</v>
      </c>
      <c r="AG105" s="3">
        <v>199</v>
      </c>
      <c r="AH105" s="3" t="str">
        <f>IFERROR(MID(VLOOKUP($B105,Seqs!$A:$B,2,0),AI105,1),"")</f>
        <v>F</v>
      </c>
      <c r="AI105" s="3">
        <v>201</v>
      </c>
      <c r="AJ105" s="3" t="str">
        <f>IFERROR(MID(VLOOKUP($B105,Seqs!$A:$B,2,0),AK105,1),"")</f>
        <v>N</v>
      </c>
      <c r="AK105" s="3">
        <v>204</v>
      </c>
      <c r="AL105" s="3" t="str">
        <f>IFERROR(MID(VLOOKUP($B105,Seqs!$A:$B,2,0),AM105,1),"")</f>
        <v>Q</v>
      </c>
      <c r="AM105" s="3">
        <v>237</v>
      </c>
      <c r="AN105" s="3" t="str">
        <f>IFERROR(MID(VLOOKUP($B105,Seqs!$A:$B,2,0),AO105,1),"")</f>
        <v>R</v>
      </c>
      <c r="AO105" s="3">
        <v>284</v>
      </c>
      <c r="AP105" s="3" t="str">
        <f>IFERROR(MID(VLOOKUP($B105,Seqs!$A:$B,2,0),AQ105,1),"")</f>
        <v>N</v>
      </c>
      <c r="AQ105" s="3">
        <v>316</v>
      </c>
      <c r="AR105" s="3" t="str">
        <f>IFERROR(MID(VLOOKUP($B105,Seqs!$A:$B,2,0),AS105,1),"")</f>
        <v>P</v>
      </c>
      <c r="AS105" s="3">
        <v>321</v>
      </c>
      <c r="AT105" s="3" t="str">
        <f>IFERROR(MID(VLOOKUP($B105,Seqs!$A:$B,2,0),AU105,1),"")</f>
        <v>R</v>
      </c>
      <c r="AU105" s="3">
        <v>345</v>
      </c>
      <c r="AV105" s="3" t="str">
        <f>IFERROR(MID(VLOOKUP($B105,Seqs!$A:$B,2,0),AW105,1),"")</f>
        <v>S</v>
      </c>
      <c r="AW105" s="3">
        <v>346</v>
      </c>
      <c r="AX105" s="3" t="str">
        <f>IFERROR(MID(VLOOKUP($B105,Seqs!$A:$B,2,0),AY105,1),"")</f>
        <v>C</v>
      </c>
      <c r="AY105" s="3">
        <v>358</v>
      </c>
      <c r="AZ105" s="77" t="str">
        <f>VLOOKUP(B105,Classification!A:D,2,0)</f>
        <v>A</v>
      </c>
      <c r="BA105" s="94" t="str">
        <f>VLOOKUP(B105,Classification!A:D,4,0)</f>
        <v>Adrenoceptors</v>
      </c>
      <c r="BB105" s="27" t="b">
        <f t="shared" si="448"/>
        <v>1</v>
      </c>
      <c r="BC105" s="23">
        <f t="shared" si="645"/>
        <v>248</v>
      </c>
      <c r="BD105" s="5" t="s">
        <v>23</v>
      </c>
      <c r="BE105" s="3" t="s">
        <v>1374</v>
      </c>
      <c r="BF105" s="119">
        <v>3.35</v>
      </c>
      <c r="BG105" s="49" t="s">
        <v>1377</v>
      </c>
      <c r="BH105" s="49" t="s">
        <v>1377</v>
      </c>
      <c r="BI105" s="1"/>
      <c r="BJ105" s="70" t="s">
        <v>1287</v>
      </c>
      <c r="BK105" s="57" t="s">
        <v>1287</v>
      </c>
      <c r="BL105" s="57" t="s">
        <v>1287</v>
      </c>
      <c r="BM105" s="57" t="s">
        <v>1287</v>
      </c>
      <c r="BN105" s="57" t="s">
        <v>1287</v>
      </c>
      <c r="BO105" s="57" t="s">
        <v>1287</v>
      </c>
      <c r="BP105" s="57" t="s">
        <v>1287</v>
      </c>
      <c r="BQ105" s="57" t="s">
        <v>1287</v>
      </c>
      <c r="BR105" s="57" t="s">
        <v>1287</v>
      </c>
      <c r="BS105" s="57" t="s">
        <v>1287</v>
      </c>
      <c r="BT105" s="57" t="s">
        <v>1287</v>
      </c>
      <c r="BU105" s="57" t="s">
        <v>1287</v>
      </c>
      <c r="BV105" s="70">
        <f t="shared" si="646"/>
        <v>40</v>
      </c>
      <c r="BW105" s="71">
        <f t="shared" si="647"/>
        <v>70</v>
      </c>
      <c r="BX105" s="72">
        <f t="shared" si="648"/>
        <v>74</v>
      </c>
      <c r="BY105" s="71">
        <f t="shared" si="649"/>
        <v>106</v>
      </c>
      <c r="BZ105" s="72">
        <f t="shared" si="650"/>
        <v>110</v>
      </c>
      <c r="CA105" s="71">
        <f t="shared" si="651"/>
        <v>146</v>
      </c>
      <c r="CB105" s="72">
        <f t="shared" si="652"/>
        <v>154</v>
      </c>
      <c r="CC105" s="71">
        <f t="shared" si="653"/>
        <v>199</v>
      </c>
      <c r="CD105" s="72">
        <f t="shared" si="654"/>
        <v>204</v>
      </c>
      <c r="CE105" s="71">
        <f t="shared" si="655"/>
        <v>284</v>
      </c>
      <c r="CF105" s="72">
        <f t="shared" si="656"/>
        <v>321</v>
      </c>
      <c r="CG105" s="71">
        <f t="shared" si="657"/>
        <v>346</v>
      </c>
      <c r="CH105" s="70">
        <f t="shared" si="658"/>
        <v>69</v>
      </c>
      <c r="CI105" s="71">
        <f t="shared" si="659"/>
        <v>73</v>
      </c>
      <c r="CJ105" s="72">
        <f t="shared" si="660"/>
        <v>104</v>
      </c>
      <c r="CK105" s="72">
        <f t="shared" si="661"/>
        <v>109</v>
      </c>
      <c r="CL105" s="72">
        <f t="shared" si="662"/>
        <v>145</v>
      </c>
      <c r="CM105" s="72">
        <f t="shared" si="663"/>
        <v>153</v>
      </c>
      <c r="CN105" s="72">
        <f t="shared" si="664"/>
        <v>180</v>
      </c>
      <c r="CO105" s="72">
        <f t="shared" si="665"/>
        <v>201</v>
      </c>
      <c r="CP105" s="72">
        <f t="shared" si="666"/>
        <v>237</v>
      </c>
      <c r="CQ105" s="72">
        <f t="shared" si="667"/>
        <v>316</v>
      </c>
      <c r="CR105" s="72">
        <f t="shared" si="668"/>
        <v>345</v>
      </c>
      <c r="CS105" s="72">
        <f t="shared" si="669"/>
        <v>358</v>
      </c>
      <c r="CT105" s="23">
        <f t="shared" si="670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s="12" customFormat="1" x14ac:dyDescent="0.2">
      <c r="A106" s="9" t="str">
        <f t="shared" ref="A106" si="671">CONCATENATE(B106,"_",C106)</f>
        <v>adrb1_melga_6H7J</v>
      </c>
      <c r="B106" s="9" t="s">
        <v>911</v>
      </c>
      <c r="C106" s="9" t="s">
        <v>1519</v>
      </c>
      <c r="D106" s="9" t="str">
        <f>IFERROR(MID(VLOOKUP($B106,Seqs!$A:$B,2,0),E106,1),"")</f>
        <v>W</v>
      </c>
      <c r="E106" s="9">
        <v>40</v>
      </c>
      <c r="F106" s="9" t="str">
        <f>IFERROR(MID(VLOOKUP($B106,Seqs!$A:$B,2,0),G106,1),"")</f>
        <v>T</v>
      </c>
      <c r="G106" s="9">
        <v>69</v>
      </c>
      <c r="H106" s="9" t="str">
        <f>IFERROR(MID(VLOOKUP($B106,Seqs!$A:$B,2,0),I106,1),"")</f>
        <v>Q</v>
      </c>
      <c r="I106" s="109">
        <v>70</v>
      </c>
      <c r="J106" s="9" t="str">
        <f>IFERROR(MID(VLOOKUP($B106,Seqs!$A:$B,2,0),K106,1),"")</f>
        <v>Q</v>
      </c>
      <c r="K106" s="109">
        <v>73</v>
      </c>
      <c r="L106" s="9" t="str">
        <f>IFERROR(MID(VLOOKUP($B106,Seqs!$A:$B,2,0),M106,1),"")</f>
        <v>T</v>
      </c>
      <c r="M106" s="9">
        <v>74</v>
      </c>
      <c r="N106" s="9" t="str">
        <f>IFERROR(MID(VLOOKUP($B106,Seqs!$A:$B,2,0),O106,1),"")</f>
        <v>R</v>
      </c>
      <c r="O106" s="9">
        <v>104</v>
      </c>
      <c r="P106" s="9" t="str">
        <f>IFERROR(MID(VLOOKUP($B106,Seqs!$A:$B,2,0),Q106,1),"")</f>
        <v>T</v>
      </c>
      <c r="Q106" s="9">
        <v>106</v>
      </c>
      <c r="R106" s="9" t="str">
        <f>IFERROR(MID(VLOOKUP($B106,Seqs!$A:$B,2,0),S106,1),"")</f>
        <v>W</v>
      </c>
      <c r="S106" s="9">
        <v>109</v>
      </c>
      <c r="T106" s="9" t="str">
        <f>IFERROR(MID(VLOOKUP($B106,Seqs!$A:$B,2,0),U106,1),"")</f>
        <v>G</v>
      </c>
      <c r="U106" s="9">
        <v>110</v>
      </c>
      <c r="V106" s="9" t="str">
        <f>IFERROR(MID(VLOOKUP($B106,Seqs!$A:$B,2,0),W106,1),"")</f>
        <v>S</v>
      </c>
      <c r="W106" s="9">
        <v>145</v>
      </c>
      <c r="X106" s="9" t="str">
        <f>IFERROR(MID(VLOOKUP($B106,Seqs!$A:$B,2,0),Y106,1),"")</f>
        <v>P</v>
      </c>
      <c r="Y106" s="9">
        <v>146</v>
      </c>
      <c r="Z106" s="9" t="str">
        <f>IFERROR(MID(VLOOKUP($B106,Seqs!$A:$B,2,0),AA106,1),"")</f>
        <v>M</v>
      </c>
      <c r="AA106" s="9">
        <v>153</v>
      </c>
      <c r="AB106" s="9" t="str">
        <f>IFERROR(MID(VLOOKUP($B106,Seqs!$A:$B,2,0),AC106,1),"")</f>
        <v>T</v>
      </c>
      <c r="AC106" s="9">
        <v>154</v>
      </c>
      <c r="AD106" s="9" t="str">
        <f>IFERROR(MID(VLOOKUP($B106,Seqs!$A:$B,2,0),AE106,1),"")</f>
        <v>H</v>
      </c>
      <c r="AE106" s="9">
        <v>180</v>
      </c>
      <c r="AF106" s="9" t="str">
        <f>IFERROR(MID(VLOOKUP($B106,Seqs!$A:$B,2,0),AG106,1),"")</f>
        <v>C</v>
      </c>
      <c r="AG106" s="9">
        <v>199</v>
      </c>
      <c r="AH106" s="9" t="str">
        <f>IFERROR(MID(VLOOKUP($B106,Seqs!$A:$B,2,0),AI106,1),"")</f>
        <v>F</v>
      </c>
      <c r="AI106" s="9">
        <v>201</v>
      </c>
      <c r="AJ106" s="9" t="str">
        <f>IFERROR(MID(VLOOKUP($B106,Seqs!$A:$B,2,0),AK106,1),"")</f>
        <v>N</v>
      </c>
      <c r="AK106" s="9">
        <v>204</v>
      </c>
      <c r="AL106" s="9" t="str">
        <f>IFERROR(MID(VLOOKUP($B106,Seqs!$A:$B,2,0),AM106,1),"")</f>
        <v>S</v>
      </c>
      <c r="AM106" s="9">
        <v>273</v>
      </c>
      <c r="AN106" s="9" t="str">
        <f>IFERROR(MID(VLOOKUP($B106,Seqs!$A:$B,2,0),AO106,1),"")</f>
        <v>A</v>
      </c>
      <c r="AO106" s="9">
        <v>282</v>
      </c>
      <c r="AP106" s="9" t="str">
        <f>IFERROR(MID(VLOOKUP($B106,Seqs!$A:$B,2,0),AQ106,1),"")</f>
        <v>N</v>
      </c>
      <c r="AQ106" s="9">
        <v>316</v>
      </c>
      <c r="AR106" s="9" t="str">
        <f>IFERROR(MID(VLOOKUP($B106,Seqs!$A:$B,2,0),AS106,1),"")</f>
        <v>P</v>
      </c>
      <c r="AS106" s="9">
        <v>321</v>
      </c>
      <c r="AT106" s="9" t="str">
        <f>IFERROR(MID(VLOOKUP($B106,Seqs!$A:$B,2,0),AU106,1),"")</f>
        <v>R</v>
      </c>
      <c r="AU106" s="9">
        <v>345</v>
      </c>
      <c r="AV106" s="9" t="str">
        <f>IFERROR(MID(VLOOKUP($B106,Seqs!$A:$B,2,0),AW106,1),"")</f>
        <v>S</v>
      </c>
      <c r="AW106" s="9">
        <v>346</v>
      </c>
      <c r="AX106" s="9" t="str">
        <f>IFERROR(MID(VLOOKUP($B106,Seqs!$A:$B,2,0),AY106,1),"")</f>
        <v>L</v>
      </c>
      <c r="AY106" s="9">
        <v>357</v>
      </c>
      <c r="AZ106" s="110" t="str">
        <f>VLOOKUP(B106,Classification!A:D,2,0)</f>
        <v>A</v>
      </c>
      <c r="BA106" s="98" t="str">
        <f>VLOOKUP(B106,Classification!A:D,4,0)</f>
        <v>Adrenoceptors</v>
      </c>
      <c r="BB106" s="36" t="b">
        <f t="shared" ref="BB106" si="672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109">
        <f t="shared" ref="BC106" si="673">_xlfn.AGGREGATE(9,6,CH106:CS106)-_xlfn.AGGREGATE(9,6,BV106:CG106)+12</f>
        <v>285</v>
      </c>
      <c r="BD106" s="13" t="s">
        <v>23</v>
      </c>
      <c r="BE106" s="9" t="s">
        <v>1291</v>
      </c>
      <c r="BF106" s="120">
        <v>2.8</v>
      </c>
      <c r="BG106" s="51" t="s">
        <v>1</v>
      </c>
      <c r="BH106" s="51" t="s">
        <v>1</v>
      </c>
      <c r="BJ106" s="111" t="s">
        <v>1287</v>
      </c>
      <c r="BK106" s="112" t="s">
        <v>1287</v>
      </c>
      <c r="BL106" s="112" t="s">
        <v>1287</v>
      </c>
      <c r="BM106" s="112" t="s">
        <v>1287</v>
      </c>
      <c r="BN106" s="112" t="s">
        <v>1287</v>
      </c>
      <c r="BO106" s="112" t="s">
        <v>1287</v>
      </c>
      <c r="BP106" s="112" t="s">
        <v>1287</v>
      </c>
      <c r="BQ106" s="112" t="s">
        <v>1287</v>
      </c>
      <c r="BR106" s="112" t="s">
        <v>1287</v>
      </c>
      <c r="BS106" s="112" t="s">
        <v>1287</v>
      </c>
      <c r="BT106" s="112" t="s">
        <v>1287</v>
      </c>
      <c r="BU106" s="112" t="s">
        <v>1287</v>
      </c>
      <c r="BV106" s="111">
        <f t="shared" ref="BV106" si="674">E106</f>
        <v>40</v>
      </c>
      <c r="BW106" s="113">
        <f t="shared" ref="BW106" si="675">I106</f>
        <v>70</v>
      </c>
      <c r="BX106" s="114">
        <f t="shared" ref="BX106" si="676">M106</f>
        <v>74</v>
      </c>
      <c r="BY106" s="113">
        <f t="shared" ref="BY106" si="677">Q106</f>
        <v>106</v>
      </c>
      <c r="BZ106" s="114">
        <f t="shared" ref="BZ106" si="678">U106</f>
        <v>110</v>
      </c>
      <c r="CA106" s="113">
        <f t="shared" ref="CA106" si="679">Y106</f>
        <v>146</v>
      </c>
      <c r="CB106" s="114">
        <f t="shared" ref="CB106" si="680">AC106</f>
        <v>154</v>
      </c>
      <c r="CC106" s="113">
        <f t="shared" ref="CC106" si="681">AG106</f>
        <v>199</v>
      </c>
      <c r="CD106" s="114">
        <f t="shared" ref="CD106" si="682">AK106</f>
        <v>204</v>
      </c>
      <c r="CE106" s="113">
        <f t="shared" ref="CE106" si="683">AO106</f>
        <v>282</v>
      </c>
      <c r="CF106" s="114">
        <f t="shared" ref="CF106" si="684">AS106</f>
        <v>321</v>
      </c>
      <c r="CG106" s="113">
        <f t="shared" ref="CG106" si="685">AW106</f>
        <v>346</v>
      </c>
      <c r="CH106" s="111">
        <f t="shared" ref="CH106" si="686">G106</f>
        <v>69</v>
      </c>
      <c r="CI106" s="113">
        <f t="shared" ref="CI106" si="687">K106</f>
        <v>73</v>
      </c>
      <c r="CJ106" s="114">
        <f t="shared" ref="CJ106" si="688">O106</f>
        <v>104</v>
      </c>
      <c r="CK106" s="114">
        <f t="shared" ref="CK106" si="689">S106</f>
        <v>109</v>
      </c>
      <c r="CL106" s="114">
        <f t="shared" ref="CL106" si="690">W106</f>
        <v>145</v>
      </c>
      <c r="CM106" s="114">
        <f t="shared" ref="CM106" si="691">AA106</f>
        <v>153</v>
      </c>
      <c r="CN106" s="114">
        <f t="shared" ref="CN106" si="692">AE106</f>
        <v>180</v>
      </c>
      <c r="CO106" s="114">
        <f t="shared" ref="CO106" si="693">AI106</f>
        <v>201</v>
      </c>
      <c r="CP106" s="114">
        <f t="shared" ref="CP106" si="694">AM106</f>
        <v>273</v>
      </c>
      <c r="CQ106" s="114">
        <f t="shared" ref="CQ106" si="695">AQ106</f>
        <v>316</v>
      </c>
      <c r="CR106" s="114">
        <f t="shared" ref="CR106" si="696">AU106</f>
        <v>345</v>
      </c>
      <c r="CS106" s="114">
        <f t="shared" ref="CS106" si="697">AY106</f>
        <v>357</v>
      </c>
      <c r="CT106" s="109">
        <f t="shared" ref="CT106" si="698">M106-K106</f>
        <v>1</v>
      </c>
    </row>
    <row r="107" spans="1:1029" s="12" customFormat="1" x14ac:dyDescent="0.2">
      <c r="A107" s="9" t="str">
        <f t="shared" ref="A107" si="699">CONCATENATE(B107,"_",C107)</f>
        <v>adrb1_melga_6H7L</v>
      </c>
      <c r="B107" s="9" t="s">
        <v>911</v>
      </c>
      <c r="C107" s="9" t="s">
        <v>1520</v>
      </c>
      <c r="D107" s="9" t="str">
        <f>IFERROR(MID(VLOOKUP($B107,Seqs!$A:$B,2,0),E107,1),"")</f>
        <v>W</v>
      </c>
      <c r="E107" s="9">
        <v>40</v>
      </c>
      <c r="F107" s="9" t="str">
        <f>IFERROR(MID(VLOOKUP($B107,Seqs!$A:$B,2,0),G107,1),"")</f>
        <v>T</v>
      </c>
      <c r="G107" s="9">
        <v>69</v>
      </c>
      <c r="H107" s="9" t="str">
        <f>IFERROR(MID(VLOOKUP($B107,Seqs!$A:$B,2,0),I107,1),"")</f>
        <v>Q</v>
      </c>
      <c r="I107" s="109">
        <v>70</v>
      </c>
      <c r="J107" s="9" t="str">
        <f>IFERROR(MID(VLOOKUP($B107,Seqs!$A:$B,2,0),K107,1),"")</f>
        <v>Q</v>
      </c>
      <c r="K107" s="109">
        <v>73</v>
      </c>
      <c r="L107" s="9" t="str">
        <f>IFERROR(MID(VLOOKUP($B107,Seqs!$A:$B,2,0),M107,1),"")</f>
        <v>T</v>
      </c>
      <c r="M107" s="9">
        <v>74</v>
      </c>
      <c r="N107" s="9" t="str">
        <f>IFERROR(MID(VLOOKUP($B107,Seqs!$A:$B,2,0),O107,1),"")</f>
        <v>R</v>
      </c>
      <c r="O107" s="9">
        <v>104</v>
      </c>
      <c r="P107" s="9" t="str">
        <f>IFERROR(MID(VLOOKUP($B107,Seqs!$A:$B,2,0),Q107,1),"")</f>
        <v>T</v>
      </c>
      <c r="Q107" s="9">
        <v>106</v>
      </c>
      <c r="R107" s="9" t="str">
        <f>IFERROR(MID(VLOOKUP($B107,Seqs!$A:$B,2,0),S107,1),"")</f>
        <v>W</v>
      </c>
      <c r="S107" s="9">
        <v>109</v>
      </c>
      <c r="T107" s="9" t="str">
        <f>IFERROR(MID(VLOOKUP($B107,Seqs!$A:$B,2,0),U107,1),"")</f>
        <v>G</v>
      </c>
      <c r="U107" s="9">
        <v>110</v>
      </c>
      <c r="V107" s="9" t="str">
        <f>IFERROR(MID(VLOOKUP($B107,Seqs!$A:$B,2,0),W107,1),"")</f>
        <v>S</v>
      </c>
      <c r="W107" s="9">
        <v>145</v>
      </c>
      <c r="X107" s="9" t="str">
        <f>IFERROR(MID(VLOOKUP($B107,Seqs!$A:$B,2,0),Y107,1),"")</f>
        <v>P</v>
      </c>
      <c r="Y107" s="9">
        <v>146</v>
      </c>
      <c r="Z107" s="9" t="str">
        <f>IFERROR(MID(VLOOKUP($B107,Seqs!$A:$B,2,0),AA107,1),"")</f>
        <v>M</v>
      </c>
      <c r="AA107" s="9">
        <v>153</v>
      </c>
      <c r="AB107" s="9" t="str">
        <f>IFERROR(MID(VLOOKUP($B107,Seqs!$A:$B,2,0),AC107,1),"")</f>
        <v>T</v>
      </c>
      <c r="AC107" s="9">
        <v>154</v>
      </c>
      <c r="AD107" s="9" t="str">
        <f>IFERROR(MID(VLOOKUP($B107,Seqs!$A:$B,2,0),AE107,1),"")</f>
        <v>H</v>
      </c>
      <c r="AE107" s="9">
        <v>180</v>
      </c>
      <c r="AF107" s="9" t="str">
        <f>IFERROR(MID(VLOOKUP($B107,Seqs!$A:$B,2,0),AG107,1),"")</f>
        <v>C</v>
      </c>
      <c r="AG107" s="9">
        <v>199</v>
      </c>
      <c r="AH107" s="9" t="str">
        <f>IFERROR(MID(VLOOKUP($B107,Seqs!$A:$B,2,0),AI107,1),"")</f>
        <v>F</v>
      </c>
      <c r="AI107" s="9">
        <v>201</v>
      </c>
      <c r="AJ107" s="9" t="str">
        <f>IFERROR(MID(VLOOKUP($B107,Seqs!$A:$B,2,0),AK107,1),"")</f>
        <v>N</v>
      </c>
      <c r="AK107" s="9">
        <v>204</v>
      </c>
      <c r="AL107" s="9" t="str">
        <f>IFERROR(MID(VLOOKUP($B107,Seqs!$A:$B,2,0),AM107,1),"")</f>
        <v>S</v>
      </c>
      <c r="AM107" s="9">
        <v>273</v>
      </c>
      <c r="AN107" s="9" t="str">
        <f>IFERROR(MID(VLOOKUP($B107,Seqs!$A:$B,2,0),AO107,1),"")</f>
        <v>A</v>
      </c>
      <c r="AO107" s="9">
        <v>282</v>
      </c>
      <c r="AP107" s="9" t="str">
        <f>IFERROR(MID(VLOOKUP($B107,Seqs!$A:$B,2,0),AQ107,1),"")</f>
        <v>N</v>
      </c>
      <c r="AQ107" s="9">
        <v>316</v>
      </c>
      <c r="AR107" s="9" t="str">
        <f>IFERROR(MID(VLOOKUP($B107,Seqs!$A:$B,2,0),AS107,1),"")</f>
        <v>P</v>
      </c>
      <c r="AS107" s="9">
        <v>321</v>
      </c>
      <c r="AT107" s="9" t="str">
        <f>IFERROR(MID(VLOOKUP($B107,Seqs!$A:$B,2,0),AU107,1),"")</f>
        <v>R</v>
      </c>
      <c r="AU107" s="9">
        <v>345</v>
      </c>
      <c r="AV107" s="9" t="str">
        <f>IFERROR(MID(VLOOKUP($B107,Seqs!$A:$B,2,0),AW107,1),"")</f>
        <v>S</v>
      </c>
      <c r="AW107" s="9">
        <v>346</v>
      </c>
      <c r="AX107" s="9" t="str">
        <f>IFERROR(MID(VLOOKUP($B107,Seqs!$A:$B,2,0),AY107,1),"")</f>
        <v>L</v>
      </c>
      <c r="AY107" s="9">
        <v>357</v>
      </c>
      <c r="AZ107" s="110" t="str">
        <f>VLOOKUP(B107,Classification!A:D,2,0)</f>
        <v>A</v>
      </c>
      <c r="BA107" s="98" t="str">
        <f>VLOOKUP(B107,Classification!A:D,4,0)</f>
        <v>Adrenoceptors</v>
      </c>
      <c r="BB107" s="36" t="b">
        <f t="shared" ref="BB107" si="700">AND(E107&lt;G107,OR(G107&lt;I107,I107="-"),OR(I107&lt;K107,I107="-"),OR(K107&lt;M107,K107="-"),M107&lt;O107,OR(O107&lt;Q107,Q107="-"),OR(Q107&lt;S107,Q107="-"),OR(S107&lt;U107,S107="-"),U107&lt;W107,OR(W107&lt;Y107,Y107="-"),OR(Y107&lt;AA107,Y107="-"),OR(AA107&lt;AC107,AA107="-"),AC107&lt;AE107,OR(AE107&lt;AG107,AG107="-"),OR(AG107&lt;AI107,AG107="-"),OR(AI107&lt;AK107,AI107="-"),AK107&lt;AM107,AM107&lt;AO107,AO107&lt;AQ107,AQ107&lt;AS107,AS107&lt;AU107,OR(AU107&lt;AW107,AW107="-"),OR(AW107&lt;AY107,AW107="-"))</f>
        <v>1</v>
      </c>
      <c r="BC107" s="109">
        <f t="shared" ref="BC107" si="701">_xlfn.AGGREGATE(9,6,CH107:CS107)-_xlfn.AGGREGATE(9,6,BV107:CG107)+12</f>
        <v>285</v>
      </c>
      <c r="BD107" s="13" t="s">
        <v>23</v>
      </c>
      <c r="BE107" s="9" t="s">
        <v>1291</v>
      </c>
      <c r="BF107" s="120">
        <v>2.7</v>
      </c>
      <c r="BG107" s="51" t="s">
        <v>1</v>
      </c>
      <c r="BH107" s="51" t="s">
        <v>1</v>
      </c>
      <c r="BJ107" s="111" t="s">
        <v>1287</v>
      </c>
      <c r="BK107" s="112" t="s">
        <v>1287</v>
      </c>
      <c r="BL107" s="112" t="s">
        <v>1287</v>
      </c>
      <c r="BM107" s="112" t="s">
        <v>1287</v>
      </c>
      <c r="BN107" s="112" t="s">
        <v>1287</v>
      </c>
      <c r="BO107" s="112" t="s">
        <v>1287</v>
      </c>
      <c r="BP107" s="112" t="s">
        <v>1287</v>
      </c>
      <c r="BQ107" s="112" t="s">
        <v>1287</v>
      </c>
      <c r="BR107" s="112" t="s">
        <v>1287</v>
      </c>
      <c r="BS107" s="112" t="s">
        <v>1287</v>
      </c>
      <c r="BT107" s="112" t="s">
        <v>1287</v>
      </c>
      <c r="BU107" s="112" t="s">
        <v>1287</v>
      </c>
      <c r="BV107" s="111">
        <f t="shared" ref="BV107" si="702">E107</f>
        <v>40</v>
      </c>
      <c r="BW107" s="113">
        <f t="shared" ref="BW107" si="703">I107</f>
        <v>70</v>
      </c>
      <c r="BX107" s="114">
        <f t="shared" ref="BX107" si="704">M107</f>
        <v>74</v>
      </c>
      <c r="BY107" s="113">
        <f t="shared" ref="BY107" si="705">Q107</f>
        <v>106</v>
      </c>
      <c r="BZ107" s="114">
        <f t="shared" ref="BZ107" si="706">U107</f>
        <v>110</v>
      </c>
      <c r="CA107" s="113">
        <f t="shared" ref="CA107" si="707">Y107</f>
        <v>146</v>
      </c>
      <c r="CB107" s="114">
        <f t="shared" ref="CB107" si="708">AC107</f>
        <v>154</v>
      </c>
      <c r="CC107" s="113">
        <f t="shared" ref="CC107" si="709">AG107</f>
        <v>199</v>
      </c>
      <c r="CD107" s="114">
        <f t="shared" ref="CD107" si="710">AK107</f>
        <v>204</v>
      </c>
      <c r="CE107" s="113">
        <f t="shared" ref="CE107" si="711">AO107</f>
        <v>282</v>
      </c>
      <c r="CF107" s="114">
        <f t="shared" ref="CF107" si="712">AS107</f>
        <v>321</v>
      </c>
      <c r="CG107" s="113">
        <f t="shared" ref="CG107" si="713">AW107</f>
        <v>346</v>
      </c>
      <c r="CH107" s="111">
        <f t="shared" ref="CH107" si="714">G107</f>
        <v>69</v>
      </c>
      <c r="CI107" s="113">
        <f t="shared" ref="CI107" si="715">K107</f>
        <v>73</v>
      </c>
      <c r="CJ107" s="114">
        <f t="shared" ref="CJ107" si="716">O107</f>
        <v>104</v>
      </c>
      <c r="CK107" s="114">
        <f t="shared" ref="CK107" si="717">S107</f>
        <v>109</v>
      </c>
      <c r="CL107" s="114">
        <f t="shared" ref="CL107" si="718">W107</f>
        <v>145</v>
      </c>
      <c r="CM107" s="114">
        <f t="shared" ref="CM107" si="719">AA107</f>
        <v>153</v>
      </c>
      <c r="CN107" s="114">
        <f t="shared" ref="CN107" si="720">AE107</f>
        <v>180</v>
      </c>
      <c r="CO107" s="114">
        <f t="shared" ref="CO107" si="721">AI107</f>
        <v>201</v>
      </c>
      <c r="CP107" s="114">
        <f t="shared" ref="CP107" si="722">AM107</f>
        <v>273</v>
      </c>
      <c r="CQ107" s="114">
        <f t="shared" ref="CQ107" si="723">AQ107</f>
        <v>316</v>
      </c>
      <c r="CR107" s="114">
        <f t="shared" ref="CR107" si="724">AU107</f>
        <v>345</v>
      </c>
      <c r="CS107" s="114">
        <f t="shared" ref="CS107" si="725">AY107</f>
        <v>357</v>
      </c>
      <c r="CT107" s="109">
        <f t="shared" ref="CT107" si="726">M107-K107</f>
        <v>1</v>
      </c>
    </row>
    <row r="108" spans="1:1029" s="12" customFormat="1" x14ac:dyDescent="0.2">
      <c r="A108" s="9" t="str">
        <f t="shared" ref="A108" si="727">CONCATENATE(B108,"_",C108)</f>
        <v>adrb1_melga_6H7M</v>
      </c>
      <c r="B108" s="9" t="s">
        <v>911</v>
      </c>
      <c r="C108" s="9" t="s">
        <v>1521</v>
      </c>
      <c r="D108" s="9" t="str">
        <f>IFERROR(MID(VLOOKUP($B108,Seqs!$A:$B,2,0),E108,1),"")</f>
        <v>W</v>
      </c>
      <c r="E108" s="9">
        <v>40</v>
      </c>
      <c r="F108" s="9" t="str">
        <f>IFERROR(MID(VLOOKUP($B108,Seqs!$A:$B,2,0),G108,1),"")</f>
        <v>T</v>
      </c>
      <c r="G108" s="9">
        <v>69</v>
      </c>
      <c r="H108" s="9" t="str">
        <f>IFERROR(MID(VLOOKUP($B108,Seqs!$A:$B,2,0),I108,1),"")</f>
        <v>Q</v>
      </c>
      <c r="I108" s="109">
        <v>70</v>
      </c>
      <c r="J108" s="9" t="str">
        <f>IFERROR(MID(VLOOKUP($B108,Seqs!$A:$B,2,0),K108,1),"")</f>
        <v>Q</v>
      </c>
      <c r="K108" s="109">
        <v>73</v>
      </c>
      <c r="L108" s="9" t="str">
        <f>IFERROR(MID(VLOOKUP($B108,Seqs!$A:$B,2,0),M108,1),"")</f>
        <v>T</v>
      </c>
      <c r="M108" s="9">
        <v>74</v>
      </c>
      <c r="N108" s="9" t="str">
        <f>IFERROR(MID(VLOOKUP($B108,Seqs!$A:$B,2,0),O108,1),"")</f>
        <v>R</v>
      </c>
      <c r="O108" s="9">
        <v>104</v>
      </c>
      <c r="P108" s="9" t="str">
        <f>IFERROR(MID(VLOOKUP($B108,Seqs!$A:$B,2,0),Q108,1),"")</f>
        <v>T</v>
      </c>
      <c r="Q108" s="9">
        <v>106</v>
      </c>
      <c r="R108" s="9" t="str">
        <f>IFERROR(MID(VLOOKUP($B108,Seqs!$A:$B,2,0),S108,1),"")</f>
        <v>W</v>
      </c>
      <c r="S108" s="9">
        <v>109</v>
      </c>
      <c r="T108" s="9" t="str">
        <f>IFERROR(MID(VLOOKUP($B108,Seqs!$A:$B,2,0),U108,1),"")</f>
        <v>G</v>
      </c>
      <c r="U108" s="9">
        <v>110</v>
      </c>
      <c r="V108" s="9" t="str">
        <f>IFERROR(MID(VLOOKUP($B108,Seqs!$A:$B,2,0),W108,1),"")</f>
        <v>S</v>
      </c>
      <c r="W108" s="9">
        <v>145</v>
      </c>
      <c r="X108" s="9" t="str">
        <f>IFERROR(MID(VLOOKUP($B108,Seqs!$A:$B,2,0),Y108,1),"")</f>
        <v>P</v>
      </c>
      <c r="Y108" s="9">
        <v>146</v>
      </c>
      <c r="Z108" s="9" t="str">
        <f>IFERROR(MID(VLOOKUP($B108,Seqs!$A:$B,2,0),AA108,1),"")</f>
        <v>M</v>
      </c>
      <c r="AA108" s="9">
        <v>153</v>
      </c>
      <c r="AB108" s="9" t="str">
        <f>IFERROR(MID(VLOOKUP($B108,Seqs!$A:$B,2,0),AC108,1),"")</f>
        <v>T</v>
      </c>
      <c r="AC108" s="9">
        <v>154</v>
      </c>
      <c r="AD108" s="9" t="str">
        <f>IFERROR(MID(VLOOKUP($B108,Seqs!$A:$B,2,0),AE108,1),"")</f>
        <v>H</v>
      </c>
      <c r="AE108" s="9">
        <v>180</v>
      </c>
      <c r="AF108" s="9" t="str">
        <f>IFERROR(MID(VLOOKUP($B108,Seqs!$A:$B,2,0),AG108,1),"")</f>
        <v>C</v>
      </c>
      <c r="AG108" s="9">
        <v>199</v>
      </c>
      <c r="AH108" s="9" t="str">
        <f>IFERROR(MID(VLOOKUP($B108,Seqs!$A:$B,2,0),AI108,1),"")</f>
        <v>F</v>
      </c>
      <c r="AI108" s="9">
        <v>201</v>
      </c>
      <c r="AJ108" s="9" t="str">
        <f>IFERROR(MID(VLOOKUP($B108,Seqs!$A:$B,2,0),AK108,1),"")</f>
        <v>N</v>
      </c>
      <c r="AK108" s="9">
        <v>204</v>
      </c>
      <c r="AL108" s="9" t="str">
        <f>IFERROR(MID(VLOOKUP($B108,Seqs!$A:$B,2,0),AM108,1),"")</f>
        <v>S</v>
      </c>
      <c r="AM108" s="9">
        <v>273</v>
      </c>
      <c r="AN108" s="9" t="str">
        <f>IFERROR(MID(VLOOKUP($B108,Seqs!$A:$B,2,0),AO108,1),"")</f>
        <v>A</v>
      </c>
      <c r="AO108" s="9">
        <v>282</v>
      </c>
      <c r="AP108" s="9" t="str">
        <f>IFERROR(MID(VLOOKUP($B108,Seqs!$A:$B,2,0),AQ108,1),"")</f>
        <v>N</v>
      </c>
      <c r="AQ108" s="9">
        <v>316</v>
      </c>
      <c r="AR108" s="9" t="str">
        <f>IFERROR(MID(VLOOKUP($B108,Seqs!$A:$B,2,0),AS108,1),"")</f>
        <v>P</v>
      </c>
      <c r="AS108" s="9">
        <v>321</v>
      </c>
      <c r="AT108" s="9" t="str">
        <f>IFERROR(MID(VLOOKUP($B108,Seqs!$A:$B,2,0),AU108,1),"")</f>
        <v>R</v>
      </c>
      <c r="AU108" s="9">
        <v>345</v>
      </c>
      <c r="AV108" s="9" t="str">
        <f>IFERROR(MID(VLOOKUP($B108,Seqs!$A:$B,2,0),AW108,1),"")</f>
        <v>S</v>
      </c>
      <c r="AW108" s="9">
        <v>346</v>
      </c>
      <c r="AX108" s="9" t="str">
        <f>IFERROR(MID(VLOOKUP($B108,Seqs!$A:$B,2,0),AY108,1),"")</f>
        <v>L</v>
      </c>
      <c r="AY108" s="9">
        <v>357</v>
      </c>
      <c r="AZ108" s="110" t="str">
        <f>VLOOKUP(B108,Classification!A:D,2,0)</f>
        <v>A</v>
      </c>
      <c r="BA108" s="98" t="str">
        <f>VLOOKUP(B108,Classification!A:D,4,0)</f>
        <v>Adrenoceptors</v>
      </c>
      <c r="BB108" s="36" t="b">
        <f t="shared" ref="BB108" si="728">AND(E108&lt;G108,OR(G108&lt;I108,I108="-"),OR(I108&lt;K108,I108="-"),OR(K108&lt;M108,K108="-"),M108&lt;O108,OR(O108&lt;Q108,Q108="-"),OR(Q108&lt;S108,Q108="-"),OR(S108&lt;U108,S108="-"),U108&lt;W108,OR(W108&lt;Y108,Y108="-"),OR(Y108&lt;AA108,Y108="-"),OR(AA108&lt;AC108,AA108="-"),AC108&lt;AE108,OR(AE108&lt;AG108,AG108="-"),OR(AG108&lt;AI108,AG108="-"),OR(AI108&lt;AK108,AI108="-"),AK108&lt;AM108,AM108&lt;AO108,AO108&lt;AQ108,AQ108&lt;AS108,AS108&lt;AU108,OR(AU108&lt;AW108,AW108="-"),OR(AW108&lt;AY108,AW108="-"))</f>
        <v>1</v>
      </c>
      <c r="BC108" s="109">
        <f t="shared" ref="BC108" si="729">_xlfn.AGGREGATE(9,6,CH108:CS108)-_xlfn.AGGREGATE(9,6,BV108:CG108)+12</f>
        <v>285</v>
      </c>
      <c r="BD108" s="13" t="s">
        <v>23</v>
      </c>
      <c r="BE108" s="9" t="s">
        <v>1291</v>
      </c>
      <c r="BF108" s="120">
        <v>2.76</v>
      </c>
      <c r="BG108" s="51" t="s">
        <v>1</v>
      </c>
      <c r="BH108" s="51" t="s">
        <v>1</v>
      </c>
      <c r="BJ108" s="111" t="s">
        <v>1287</v>
      </c>
      <c r="BK108" s="112" t="s">
        <v>1287</v>
      </c>
      <c r="BL108" s="112" t="s">
        <v>1287</v>
      </c>
      <c r="BM108" s="112" t="s">
        <v>1287</v>
      </c>
      <c r="BN108" s="112" t="s">
        <v>1287</v>
      </c>
      <c r="BO108" s="112" t="s">
        <v>1287</v>
      </c>
      <c r="BP108" s="112" t="s">
        <v>1287</v>
      </c>
      <c r="BQ108" s="112" t="s">
        <v>1287</v>
      </c>
      <c r="BR108" s="112" t="s">
        <v>1287</v>
      </c>
      <c r="BS108" s="112" t="s">
        <v>1287</v>
      </c>
      <c r="BT108" s="112" t="s">
        <v>1287</v>
      </c>
      <c r="BU108" s="112" t="s">
        <v>1287</v>
      </c>
      <c r="BV108" s="111">
        <f t="shared" ref="BV108" si="730">E108</f>
        <v>40</v>
      </c>
      <c r="BW108" s="113">
        <f t="shared" ref="BW108" si="731">I108</f>
        <v>70</v>
      </c>
      <c r="BX108" s="114">
        <f t="shared" ref="BX108" si="732">M108</f>
        <v>74</v>
      </c>
      <c r="BY108" s="113">
        <f t="shared" ref="BY108" si="733">Q108</f>
        <v>106</v>
      </c>
      <c r="BZ108" s="114">
        <f t="shared" ref="BZ108" si="734">U108</f>
        <v>110</v>
      </c>
      <c r="CA108" s="113">
        <f t="shared" ref="CA108" si="735">Y108</f>
        <v>146</v>
      </c>
      <c r="CB108" s="114">
        <f t="shared" ref="CB108" si="736">AC108</f>
        <v>154</v>
      </c>
      <c r="CC108" s="113">
        <f t="shared" ref="CC108" si="737">AG108</f>
        <v>199</v>
      </c>
      <c r="CD108" s="114">
        <f t="shared" ref="CD108" si="738">AK108</f>
        <v>204</v>
      </c>
      <c r="CE108" s="113">
        <f t="shared" ref="CE108" si="739">AO108</f>
        <v>282</v>
      </c>
      <c r="CF108" s="114">
        <f t="shared" ref="CF108" si="740">AS108</f>
        <v>321</v>
      </c>
      <c r="CG108" s="113">
        <f t="shared" ref="CG108" si="741">AW108</f>
        <v>346</v>
      </c>
      <c r="CH108" s="111">
        <f t="shared" ref="CH108" si="742">G108</f>
        <v>69</v>
      </c>
      <c r="CI108" s="113">
        <f t="shared" ref="CI108" si="743">K108</f>
        <v>73</v>
      </c>
      <c r="CJ108" s="114">
        <f t="shared" ref="CJ108" si="744">O108</f>
        <v>104</v>
      </c>
      <c r="CK108" s="114">
        <f t="shared" ref="CK108" si="745">S108</f>
        <v>109</v>
      </c>
      <c r="CL108" s="114">
        <f t="shared" ref="CL108" si="746">W108</f>
        <v>145</v>
      </c>
      <c r="CM108" s="114">
        <f t="shared" ref="CM108" si="747">AA108</f>
        <v>153</v>
      </c>
      <c r="CN108" s="114">
        <f t="shared" ref="CN108" si="748">AE108</f>
        <v>180</v>
      </c>
      <c r="CO108" s="114">
        <f t="shared" ref="CO108" si="749">AI108</f>
        <v>201</v>
      </c>
      <c r="CP108" s="114">
        <f t="shared" ref="CP108" si="750">AM108</f>
        <v>273</v>
      </c>
      <c r="CQ108" s="114">
        <f t="shared" ref="CQ108" si="751">AQ108</f>
        <v>316</v>
      </c>
      <c r="CR108" s="114">
        <f t="shared" ref="CR108" si="752">AU108</f>
        <v>345</v>
      </c>
      <c r="CS108" s="114">
        <f t="shared" ref="CS108" si="753">AY108</f>
        <v>357</v>
      </c>
      <c r="CT108" s="109">
        <f t="shared" ref="CT108" si="754">M108-K108</f>
        <v>1</v>
      </c>
    </row>
    <row r="109" spans="1:1029" s="12" customFormat="1" x14ac:dyDescent="0.2">
      <c r="A109" s="9" t="str">
        <f t="shared" ref="A109" si="755">CONCATENATE(B109,"_",C109)</f>
        <v>adrb1_melga_6H7N</v>
      </c>
      <c r="B109" s="9" t="s">
        <v>911</v>
      </c>
      <c r="C109" s="9" t="s">
        <v>1522</v>
      </c>
      <c r="D109" s="9" t="str">
        <f>IFERROR(MID(VLOOKUP($B109,Seqs!$A:$B,2,0),E109,1),"")</f>
        <v>W</v>
      </c>
      <c r="E109" s="9">
        <v>40</v>
      </c>
      <c r="F109" s="9" t="str">
        <f>IFERROR(MID(VLOOKUP($B109,Seqs!$A:$B,2,0),G109,1),"")</f>
        <v>T</v>
      </c>
      <c r="G109" s="9">
        <v>69</v>
      </c>
      <c r="H109" s="9" t="str">
        <f>IFERROR(MID(VLOOKUP($B109,Seqs!$A:$B,2,0),I109,1),"")</f>
        <v>Q</v>
      </c>
      <c r="I109" s="109">
        <v>70</v>
      </c>
      <c r="J109" s="9" t="str">
        <f>IFERROR(MID(VLOOKUP($B109,Seqs!$A:$B,2,0),K109,1),"")</f>
        <v>Q</v>
      </c>
      <c r="K109" s="109">
        <v>73</v>
      </c>
      <c r="L109" s="9" t="str">
        <f>IFERROR(MID(VLOOKUP($B109,Seqs!$A:$B,2,0),M109,1),"")</f>
        <v>T</v>
      </c>
      <c r="M109" s="9">
        <v>74</v>
      </c>
      <c r="N109" s="9" t="str">
        <f>IFERROR(MID(VLOOKUP($B109,Seqs!$A:$B,2,0),O109,1),"")</f>
        <v>R</v>
      </c>
      <c r="O109" s="9">
        <v>104</v>
      </c>
      <c r="P109" s="9" t="str">
        <f>IFERROR(MID(VLOOKUP($B109,Seqs!$A:$B,2,0),Q109,1),"")</f>
        <v>T</v>
      </c>
      <c r="Q109" s="9">
        <v>106</v>
      </c>
      <c r="R109" s="9" t="str">
        <f>IFERROR(MID(VLOOKUP($B109,Seqs!$A:$B,2,0),S109,1),"")</f>
        <v>W</v>
      </c>
      <c r="S109" s="9">
        <v>109</v>
      </c>
      <c r="T109" s="9" t="str">
        <f>IFERROR(MID(VLOOKUP($B109,Seqs!$A:$B,2,0),U109,1),"")</f>
        <v>G</v>
      </c>
      <c r="U109" s="9">
        <v>110</v>
      </c>
      <c r="V109" s="9" t="str">
        <f>IFERROR(MID(VLOOKUP($B109,Seqs!$A:$B,2,0),W109,1),"")</f>
        <v>S</v>
      </c>
      <c r="W109" s="9">
        <v>145</v>
      </c>
      <c r="X109" s="9" t="str">
        <f>IFERROR(MID(VLOOKUP($B109,Seqs!$A:$B,2,0),Y109,1),"")</f>
        <v>P</v>
      </c>
      <c r="Y109" s="9">
        <v>146</v>
      </c>
      <c r="Z109" s="9" t="str">
        <f>IFERROR(MID(VLOOKUP($B109,Seqs!$A:$B,2,0),AA109,1),"")</f>
        <v>M</v>
      </c>
      <c r="AA109" s="9">
        <v>153</v>
      </c>
      <c r="AB109" s="9" t="str">
        <f>IFERROR(MID(VLOOKUP($B109,Seqs!$A:$B,2,0),AC109,1),"")</f>
        <v>T</v>
      </c>
      <c r="AC109" s="9">
        <v>154</v>
      </c>
      <c r="AD109" s="9" t="str">
        <f>IFERROR(MID(VLOOKUP($B109,Seqs!$A:$B,2,0),AE109,1),"")</f>
        <v>H</v>
      </c>
      <c r="AE109" s="9">
        <v>180</v>
      </c>
      <c r="AF109" s="9" t="str">
        <f>IFERROR(MID(VLOOKUP($B109,Seqs!$A:$B,2,0),AG109,1),"")</f>
        <v>C</v>
      </c>
      <c r="AG109" s="9">
        <v>199</v>
      </c>
      <c r="AH109" s="9" t="str">
        <f>IFERROR(MID(VLOOKUP($B109,Seqs!$A:$B,2,0),AI109,1),"")</f>
        <v>F</v>
      </c>
      <c r="AI109" s="9">
        <v>201</v>
      </c>
      <c r="AJ109" s="9" t="str">
        <f>IFERROR(MID(VLOOKUP($B109,Seqs!$A:$B,2,0),AK109,1),"")</f>
        <v>N</v>
      </c>
      <c r="AK109" s="9">
        <v>204</v>
      </c>
      <c r="AL109" s="9" t="str">
        <f>IFERROR(MID(VLOOKUP($B109,Seqs!$A:$B,2,0),AM109,1),"")</f>
        <v>S</v>
      </c>
      <c r="AM109" s="9">
        <v>273</v>
      </c>
      <c r="AN109" s="9" t="str">
        <f>IFERROR(MID(VLOOKUP($B109,Seqs!$A:$B,2,0),AO109,1),"")</f>
        <v>A</v>
      </c>
      <c r="AO109" s="9">
        <v>282</v>
      </c>
      <c r="AP109" s="9" t="str">
        <f>IFERROR(MID(VLOOKUP($B109,Seqs!$A:$B,2,0),AQ109,1),"")</f>
        <v>N</v>
      </c>
      <c r="AQ109" s="9">
        <v>316</v>
      </c>
      <c r="AR109" s="9" t="str">
        <f>IFERROR(MID(VLOOKUP($B109,Seqs!$A:$B,2,0),AS109,1),"")</f>
        <v>P</v>
      </c>
      <c r="AS109" s="9">
        <v>321</v>
      </c>
      <c r="AT109" s="9" t="str">
        <f>IFERROR(MID(VLOOKUP($B109,Seqs!$A:$B,2,0),AU109,1),"")</f>
        <v>R</v>
      </c>
      <c r="AU109" s="9">
        <v>345</v>
      </c>
      <c r="AV109" s="9" t="str">
        <f>IFERROR(MID(VLOOKUP($B109,Seqs!$A:$B,2,0),AW109,1),"")</f>
        <v>S</v>
      </c>
      <c r="AW109" s="9">
        <v>346</v>
      </c>
      <c r="AX109" s="9" t="str">
        <f>IFERROR(MID(VLOOKUP($B109,Seqs!$A:$B,2,0),AY109,1),"")</f>
        <v>L</v>
      </c>
      <c r="AY109" s="9">
        <v>357</v>
      </c>
      <c r="AZ109" s="110" t="str">
        <f>VLOOKUP(B109,Classification!A:D,2,0)</f>
        <v>A</v>
      </c>
      <c r="BA109" s="98" t="str">
        <f>VLOOKUP(B109,Classification!A:D,4,0)</f>
        <v>Adrenoceptors</v>
      </c>
      <c r="BB109" s="36" t="b">
        <f t="shared" ref="BB109" si="756">AND(E109&lt;G109,OR(G109&lt;I109,I109="-"),OR(I109&lt;K109,I109="-"),OR(K109&lt;M109,K109="-"),M109&lt;O109,OR(O109&lt;Q109,Q109="-"),OR(Q109&lt;S109,Q109="-"),OR(S109&lt;U109,S109="-"),U109&lt;W109,OR(W109&lt;Y109,Y109="-"),OR(Y109&lt;AA109,Y109="-"),OR(AA109&lt;AC109,AA109="-"),AC109&lt;AE109,OR(AE109&lt;AG109,AG109="-"),OR(AG109&lt;AI109,AG109="-"),OR(AI109&lt;AK109,AI109="-"),AK109&lt;AM109,AM109&lt;AO109,AO109&lt;AQ109,AQ109&lt;AS109,AS109&lt;AU109,OR(AU109&lt;AW109,AW109="-"),OR(AW109&lt;AY109,AW109="-"))</f>
        <v>1</v>
      </c>
      <c r="BC109" s="109">
        <f t="shared" ref="BC109" si="757">_xlfn.AGGREGATE(9,6,CH109:CS109)-_xlfn.AGGREGATE(9,6,BV109:CG109)+12</f>
        <v>285</v>
      </c>
      <c r="BD109" s="13" t="s">
        <v>1375</v>
      </c>
      <c r="BE109" s="9" t="s">
        <v>1291</v>
      </c>
      <c r="BF109" s="120">
        <v>2.5</v>
      </c>
      <c r="BG109" s="51" t="s">
        <v>1</v>
      </c>
      <c r="BH109" s="51" t="s">
        <v>1</v>
      </c>
      <c r="BJ109" s="111" t="s">
        <v>1287</v>
      </c>
      <c r="BK109" s="112" t="s">
        <v>1287</v>
      </c>
      <c r="BL109" s="112" t="s">
        <v>1287</v>
      </c>
      <c r="BM109" s="112" t="s">
        <v>1287</v>
      </c>
      <c r="BN109" s="112" t="s">
        <v>1287</v>
      </c>
      <c r="BO109" s="112" t="s">
        <v>1287</v>
      </c>
      <c r="BP109" s="112" t="s">
        <v>1287</v>
      </c>
      <c r="BQ109" s="112" t="s">
        <v>1287</v>
      </c>
      <c r="BR109" s="112" t="s">
        <v>1287</v>
      </c>
      <c r="BS109" s="112" t="s">
        <v>1287</v>
      </c>
      <c r="BT109" s="112" t="s">
        <v>1287</v>
      </c>
      <c r="BU109" s="112" t="s">
        <v>1287</v>
      </c>
      <c r="BV109" s="111">
        <f t="shared" ref="BV109" si="758">E109</f>
        <v>40</v>
      </c>
      <c r="BW109" s="113">
        <f t="shared" ref="BW109" si="759">I109</f>
        <v>70</v>
      </c>
      <c r="BX109" s="114">
        <f t="shared" ref="BX109" si="760">M109</f>
        <v>74</v>
      </c>
      <c r="BY109" s="113">
        <f t="shared" ref="BY109" si="761">Q109</f>
        <v>106</v>
      </c>
      <c r="BZ109" s="114">
        <f t="shared" ref="BZ109" si="762">U109</f>
        <v>110</v>
      </c>
      <c r="CA109" s="113">
        <f t="shared" ref="CA109" si="763">Y109</f>
        <v>146</v>
      </c>
      <c r="CB109" s="114">
        <f t="shared" ref="CB109" si="764">AC109</f>
        <v>154</v>
      </c>
      <c r="CC109" s="113">
        <f t="shared" ref="CC109" si="765">AG109</f>
        <v>199</v>
      </c>
      <c r="CD109" s="114">
        <f t="shared" ref="CD109" si="766">AK109</f>
        <v>204</v>
      </c>
      <c r="CE109" s="113">
        <f t="shared" ref="CE109" si="767">AO109</f>
        <v>282</v>
      </c>
      <c r="CF109" s="114">
        <f t="shared" ref="CF109" si="768">AS109</f>
        <v>321</v>
      </c>
      <c r="CG109" s="113">
        <f t="shared" ref="CG109" si="769">AW109</f>
        <v>346</v>
      </c>
      <c r="CH109" s="111">
        <f t="shared" ref="CH109" si="770">G109</f>
        <v>69</v>
      </c>
      <c r="CI109" s="113">
        <f t="shared" ref="CI109" si="771">K109</f>
        <v>73</v>
      </c>
      <c r="CJ109" s="114">
        <f t="shared" ref="CJ109" si="772">O109</f>
        <v>104</v>
      </c>
      <c r="CK109" s="114">
        <f t="shared" ref="CK109" si="773">S109</f>
        <v>109</v>
      </c>
      <c r="CL109" s="114">
        <f t="shared" ref="CL109" si="774">W109</f>
        <v>145</v>
      </c>
      <c r="CM109" s="114">
        <f t="shared" ref="CM109" si="775">AA109</f>
        <v>153</v>
      </c>
      <c r="CN109" s="114">
        <f t="shared" ref="CN109" si="776">AE109</f>
        <v>180</v>
      </c>
      <c r="CO109" s="114">
        <f t="shared" ref="CO109" si="777">AI109</f>
        <v>201</v>
      </c>
      <c r="CP109" s="114">
        <f t="shared" ref="CP109" si="778">AM109</f>
        <v>273</v>
      </c>
      <c r="CQ109" s="114">
        <f t="shared" ref="CQ109" si="779">AQ109</f>
        <v>316</v>
      </c>
      <c r="CR109" s="114">
        <f t="shared" ref="CR109" si="780">AU109</f>
        <v>345</v>
      </c>
      <c r="CS109" s="114">
        <f t="shared" ref="CS109" si="781">AY109</f>
        <v>357</v>
      </c>
      <c r="CT109" s="109">
        <f t="shared" ref="CT109" si="782">M109-K109</f>
        <v>1</v>
      </c>
    </row>
    <row r="110" spans="1:1029" s="12" customFormat="1" x14ac:dyDescent="0.2">
      <c r="A110" s="9" t="str">
        <f t="shared" ref="A110" si="783">CONCATENATE(B110,"_",C110)</f>
        <v>adrb1_melga_6H7O</v>
      </c>
      <c r="B110" s="9" t="s">
        <v>911</v>
      </c>
      <c r="C110" s="9" t="s">
        <v>1523</v>
      </c>
      <c r="D110" s="9" t="str">
        <f>IFERROR(MID(VLOOKUP($B110,Seqs!$A:$B,2,0),E110,1),"")</f>
        <v>W</v>
      </c>
      <c r="E110" s="9">
        <v>40</v>
      </c>
      <c r="F110" s="9" t="str">
        <f>IFERROR(MID(VLOOKUP($B110,Seqs!$A:$B,2,0),G110,1),"")</f>
        <v>T</v>
      </c>
      <c r="G110" s="9">
        <v>69</v>
      </c>
      <c r="H110" s="9" t="str">
        <f>IFERROR(MID(VLOOKUP($B110,Seqs!$A:$B,2,0),I110,1),"")</f>
        <v>Q</v>
      </c>
      <c r="I110" s="109">
        <v>70</v>
      </c>
      <c r="J110" s="9" t="str">
        <f>IFERROR(MID(VLOOKUP($B110,Seqs!$A:$B,2,0),K110,1),"")</f>
        <v>Q</v>
      </c>
      <c r="K110" s="109">
        <v>73</v>
      </c>
      <c r="L110" s="9" t="str">
        <f>IFERROR(MID(VLOOKUP($B110,Seqs!$A:$B,2,0),M110,1),"")</f>
        <v>T</v>
      </c>
      <c r="M110" s="9">
        <v>74</v>
      </c>
      <c r="N110" s="9" t="str">
        <f>IFERROR(MID(VLOOKUP($B110,Seqs!$A:$B,2,0),O110,1),"")</f>
        <v>R</v>
      </c>
      <c r="O110" s="9">
        <v>104</v>
      </c>
      <c r="P110" s="9" t="str">
        <f>IFERROR(MID(VLOOKUP($B110,Seqs!$A:$B,2,0),Q110,1),"")</f>
        <v>T</v>
      </c>
      <c r="Q110" s="9">
        <v>106</v>
      </c>
      <c r="R110" s="9" t="str">
        <f>IFERROR(MID(VLOOKUP($B110,Seqs!$A:$B,2,0),S110,1),"")</f>
        <v>W</v>
      </c>
      <c r="S110" s="9">
        <v>109</v>
      </c>
      <c r="T110" s="9" t="str">
        <f>IFERROR(MID(VLOOKUP($B110,Seqs!$A:$B,2,0),U110,1),"")</f>
        <v>G</v>
      </c>
      <c r="U110" s="9">
        <v>110</v>
      </c>
      <c r="V110" s="9" t="str">
        <f>IFERROR(MID(VLOOKUP($B110,Seqs!$A:$B,2,0),W110,1),"")</f>
        <v>S</v>
      </c>
      <c r="W110" s="9">
        <v>145</v>
      </c>
      <c r="X110" s="9" t="str">
        <f>IFERROR(MID(VLOOKUP($B110,Seqs!$A:$B,2,0),Y110,1),"")</f>
        <v>P</v>
      </c>
      <c r="Y110" s="9">
        <v>146</v>
      </c>
      <c r="Z110" s="9" t="str">
        <f>IFERROR(MID(VLOOKUP($B110,Seqs!$A:$B,2,0),AA110,1),"")</f>
        <v>M</v>
      </c>
      <c r="AA110" s="9">
        <v>153</v>
      </c>
      <c r="AB110" s="9" t="str">
        <f>IFERROR(MID(VLOOKUP($B110,Seqs!$A:$B,2,0),AC110,1),"")</f>
        <v>T</v>
      </c>
      <c r="AC110" s="9">
        <v>154</v>
      </c>
      <c r="AD110" s="9" t="str">
        <f>IFERROR(MID(VLOOKUP($B110,Seqs!$A:$B,2,0),AE110,1),"")</f>
        <v>H</v>
      </c>
      <c r="AE110" s="9">
        <v>180</v>
      </c>
      <c r="AF110" s="9" t="str">
        <f>IFERROR(MID(VLOOKUP($B110,Seqs!$A:$B,2,0),AG110,1),"")</f>
        <v>C</v>
      </c>
      <c r="AG110" s="9">
        <v>199</v>
      </c>
      <c r="AH110" s="9" t="str">
        <f>IFERROR(MID(VLOOKUP($B110,Seqs!$A:$B,2,0),AI110,1),"")</f>
        <v>F</v>
      </c>
      <c r="AI110" s="9">
        <v>201</v>
      </c>
      <c r="AJ110" s="9" t="str">
        <f>IFERROR(MID(VLOOKUP($B110,Seqs!$A:$B,2,0),AK110,1),"")</f>
        <v>N</v>
      </c>
      <c r="AK110" s="9">
        <v>204</v>
      </c>
      <c r="AL110" s="9" t="str">
        <f>IFERROR(MID(VLOOKUP($B110,Seqs!$A:$B,2,0),AM110,1),"")</f>
        <v>S</v>
      </c>
      <c r="AM110" s="9">
        <v>273</v>
      </c>
      <c r="AN110" s="9" t="str">
        <f>IFERROR(MID(VLOOKUP($B110,Seqs!$A:$B,2,0),AO110,1),"")</f>
        <v>A</v>
      </c>
      <c r="AO110" s="9">
        <v>282</v>
      </c>
      <c r="AP110" s="9" t="str">
        <f>IFERROR(MID(VLOOKUP($B110,Seqs!$A:$B,2,0),AQ110,1),"")</f>
        <v>N</v>
      </c>
      <c r="AQ110" s="9">
        <v>316</v>
      </c>
      <c r="AR110" s="9" t="str">
        <f>IFERROR(MID(VLOOKUP($B110,Seqs!$A:$B,2,0),AS110,1),"")</f>
        <v>P</v>
      </c>
      <c r="AS110" s="9">
        <v>321</v>
      </c>
      <c r="AT110" s="9" t="str">
        <f>IFERROR(MID(VLOOKUP($B110,Seqs!$A:$B,2,0),AU110,1),"")</f>
        <v>R</v>
      </c>
      <c r="AU110" s="9">
        <v>345</v>
      </c>
      <c r="AV110" s="9" t="str">
        <f>IFERROR(MID(VLOOKUP($B110,Seqs!$A:$B,2,0),AW110,1),"")</f>
        <v>S</v>
      </c>
      <c r="AW110" s="9">
        <v>346</v>
      </c>
      <c r="AX110" s="9" t="str">
        <f>IFERROR(MID(VLOOKUP($B110,Seqs!$A:$B,2,0),AY110,1),"")</f>
        <v>L</v>
      </c>
      <c r="AY110" s="9">
        <v>357</v>
      </c>
      <c r="AZ110" s="110" t="str">
        <f>VLOOKUP(B110,Classification!A:D,2,0)</f>
        <v>A</v>
      </c>
      <c r="BA110" s="98" t="str">
        <f>VLOOKUP(B110,Classification!A:D,4,0)</f>
        <v>Adrenoceptors</v>
      </c>
      <c r="BB110" s="36" t="b">
        <f t="shared" ref="BB110" si="784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109">
        <f t="shared" ref="BC110" si="785">_xlfn.AGGREGATE(9,6,CH110:CS110)-_xlfn.AGGREGATE(9,6,BV110:CG110)+12</f>
        <v>285</v>
      </c>
      <c r="BD110" s="13" t="s">
        <v>23</v>
      </c>
      <c r="BE110" s="9" t="s">
        <v>1291</v>
      </c>
      <c r="BF110" s="120">
        <v>2.8</v>
      </c>
      <c r="BG110" s="51" t="s">
        <v>1</v>
      </c>
      <c r="BH110" s="51" t="s">
        <v>1</v>
      </c>
      <c r="BJ110" s="111" t="s">
        <v>1287</v>
      </c>
      <c r="BK110" s="112" t="s">
        <v>1287</v>
      </c>
      <c r="BL110" s="112" t="s">
        <v>1287</v>
      </c>
      <c r="BM110" s="112" t="s">
        <v>1287</v>
      </c>
      <c r="BN110" s="112" t="s">
        <v>1287</v>
      </c>
      <c r="BO110" s="112" t="s">
        <v>1287</v>
      </c>
      <c r="BP110" s="112" t="s">
        <v>1287</v>
      </c>
      <c r="BQ110" s="112" t="s">
        <v>1287</v>
      </c>
      <c r="BR110" s="112" t="s">
        <v>1287</v>
      </c>
      <c r="BS110" s="112" t="s">
        <v>1287</v>
      </c>
      <c r="BT110" s="112" t="s">
        <v>1287</v>
      </c>
      <c r="BU110" s="112" t="s">
        <v>1287</v>
      </c>
      <c r="BV110" s="111">
        <f t="shared" ref="BV110" si="786">E110</f>
        <v>40</v>
      </c>
      <c r="BW110" s="113">
        <f t="shared" ref="BW110" si="787">I110</f>
        <v>70</v>
      </c>
      <c r="BX110" s="114">
        <f t="shared" ref="BX110" si="788">M110</f>
        <v>74</v>
      </c>
      <c r="BY110" s="113">
        <f t="shared" ref="BY110" si="789">Q110</f>
        <v>106</v>
      </c>
      <c r="BZ110" s="114">
        <f t="shared" ref="BZ110" si="790">U110</f>
        <v>110</v>
      </c>
      <c r="CA110" s="113">
        <f t="shared" ref="CA110" si="791">Y110</f>
        <v>146</v>
      </c>
      <c r="CB110" s="114">
        <f t="shared" ref="CB110" si="792">AC110</f>
        <v>154</v>
      </c>
      <c r="CC110" s="113">
        <f t="shared" ref="CC110" si="793">AG110</f>
        <v>199</v>
      </c>
      <c r="CD110" s="114">
        <f t="shared" ref="CD110" si="794">AK110</f>
        <v>204</v>
      </c>
      <c r="CE110" s="113">
        <f t="shared" ref="CE110" si="795">AO110</f>
        <v>282</v>
      </c>
      <c r="CF110" s="114">
        <f t="shared" ref="CF110" si="796">AS110</f>
        <v>321</v>
      </c>
      <c r="CG110" s="113">
        <f t="shared" ref="CG110" si="797">AW110</f>
        <v>346</v>
      </c>
      <c r="CH110" s="111">
        <f t="shared" ref="CH110" si="798">G110</f>
        <v>69</v>
      </c>
      <c r="CI110" s="113">
        <f t="shared" ref="CI110" si="799">K110</f>
        <v>73</v>
      </c>
      <c r="CJ110" s="114">
        <f t="shared" ref="CJ110" si="800">O110</f>
        <v>104</v>
      </c>
      <c r="CK110" s="114">
        <f t="shared" ref="CK110" si="801">S110</f>
        <v>109</v>
      </c>
      <c r="CL110" s="114">
        <f t="shared" ref="CL110" si="802">W110</f>
        <v>145</v>
      </c>
      <c r="CM110" s="114">
        <f t="shared" ref="CM110" si="803">AA110</f>
        <v>153</v>
      </c>
      <c r="CN110" s="114">
        <f t="shared" ref="CN110" si="804">AE110</f>
        <v>180</v>
      </c>
      <c r="CO110" s="114">
        <f t="shared" ref="CO110" si="805">AI110</f>
        <v>201</v>
      </c>
      <c r="CP110" s="114">
        <f t="shared" ref="CP110" si="806">AM110</f>
        <v>273</v>
      </c>
      <c r="CQ110" s="114">
        <f t="shared" ref="CQ110" si="807">AQ110</f>
        <v>316</v>
      </c>
      <c r="CR110" s="114">
        <f t="shared" ref="CR110" si="808">AU110</f>
        <v>345</v>
      </c>
      <c r="CS110" s="114">
        <f t="shared" ref="CS110" si="809">AY110</f>
        <v>357</v>
      </c>
      <c r="CT110" s="109">
        <f t="shared" ref="CT110" si="810">M110-K110</f>
        <v>1</v>
      </c>
    </row>
    <row r="111" spans="1:1029" s="12" customFormat="1" x14ac:dyDescent="0.2">
      <c r="A111" s="9" t="str">
        <f t="shared" ref="A111" si="811">CONCATENATE(B111,"_",C111)</f>
        <v>adrb1_melga_6IBL</v>
      </c>
      <c r="B111" s="9" t="s">
        <v>911</v>
      </c>
      <c r="C111" s="9" t="s">
        <v>1550</v>
      </c>
      <c r="D111" s="9" t="str">
        <f>IFERROR(MID(VLOOKUP($B111,Seqs!$A:$B,2,0),E111,1),"")</f>
        <v>E</v>
      </c>
      <c r="E111" s="9">
        <v>41</v>
      </c>
      <c r="F111" s="9" t="str">
        <f>IFERROR(MID(VLOOKUP($B111,Seqs!$A:$B,2,0),G111,1),"")</f>
        <v>T</v>
      </c>
      <c r="G111" s="9">
        <v>69</v>
      </c>
      <c r="H111" s="9" t="str">
        <f>IFERROR(MID(VLOOKUP($B111,Seqs!$A:$B,2,0),I111,1),"")</f>
        <v>Q</v>
      </c>
      <c r="I111" s="109">
        <v>70</v>
      </c>
      <c r="J111" s="9" t="str">
        <f>IFERROR(MID(VLOOKUP($B111,Seqs!$A:$B,2,0),K111,1),"")</f>
        <v>Q</v>
      </c>
      <c r="K111" s="109">
        <v>73</v>
      </c>
      <c r="L111" s="9" t="str">
        <f>IFERROR(MID(VLOOKUP($B111,Seqs!$A:$B,2,0),M111,1),"")</f>
        <v>T</v>
      </c>
      <c r="M111" s="9">
        <v>74</v>
      </c>
      <c r="N111" s="9" t="str">
        <f>IFERROR(MID(VLOOKUP($B111,Seqs!$A:$B,2,0),O111,1),"")</f>
        <v>R</v>
      </c>
      <c r="O111" s="9">
        <v>104</v>
      </c>
      <c r="P111" s="9" t="str">
        <f>IFERROR(MID(VLOOKUP($B111,Seqs!$A:$B,2,0),Q111,1),"")</f>
        <v>T</v>
      </c>
      <c r="Q111" s="9">
        <v>106</v>
      </c>
      <c r="R111" s="9" t="str">
        <f>IFERROR(MID(VLOOKUP($B111,Seqs!$A:$B,2,0),S111,1),"")</f>
        <v>W</v>
      </c>
      <c r="S111" s="9">
        <v>109</v>
      </c>
      <c r="T111" s="9" t="str">
        <f>IFERROR(MID(VLOOKUP($B111,Seqs!$A:$B,2,0),U111,1),"")</f>
        <v>G</v>
      </c>
      <c r="U111" s="9">
        <v>110</v>
      </c>
      <c r="V111" s="9" t="str">
        <f>IFERROR(MID(VLOOKUP($B111,Seqs!$A:$B,2,0),W111,1),"")</f>
        <v>S</v>
      </c>
      <c r="W111" s="9">
        <v>145</v>
      </c>
      <c r="X111" s="9" t="str">
        <f>IFERROR(MID(VLOOKUP($B111,Seqs!$A:$B,2,0),Y111,1),"")</f>
        <v>P</v>
      </c>
      <c r="Y111" s="9">
        <v>146</v>
      </c>
      <c r="Z111" s="9" t="str">
        <f>IFERROR(MID(VLOOKUP($B111,Seqs!$A:$B,2,0),AA111,1),"")</f>
        <v>M</v>
      </c>
      <c r="AA111" s="9">
        <v>153</v>
      </c>
      <c r="AB111" s="9" t="str">
        <f>IFERROR(MID(VLOOKUP($B111,Seqs!$A:$B,2,0),AC111,1),"")</f>
        <v>T</v>
      </c>
      <c r="AC111" s="9">
        <v>154</v>
      </c>
      <c r="AD111" s="9" t="str">
        <f>IFERROR(MID(VLOOKUP($B111,Seqs!$A:$B,2,0),AE111,1),"")</f>
        <v>H</v>
      </c>
      <c r="AE111" s="9">
        <v>180</v>
      </c>
      <c r="AF111" s="9" t="str">
        <f>IFERROR(MID(VLOOKUP($B111,Seqs!$A:$B,2,0),AG111,1),"")</f>
        <v>C</v>
      </c>
      <c r="AG111" s="9">
        <v>199</v>
      </c>
      <c r="AH111" s="9" t="str">
        <f>IFERROR(MID(VLOOKUP($B111,Seqs!$A:$B,2,0),AI111,1),"")</f>
        <v>F</v>
      </c>
      <c r="AI111" s="9">
        <v>201</v>
      </c>
      <c r="AJ111" s="9" t="str">
        <f>IFERROR(MID(VLOOKUP($B111,Seqs!$A:$B,2,0),AK111,1),"")</f>
        <v>N</v>
      </c>
      <c r="AK111" s="9">
        <v>204</v>
      </c>
      <c r="AL111" s="9" t="str">
        <f>IFERROR(MID(VLOOKUP($B111,Seqs!$A:$B,2,0),AM111,1),"")</f>
        <v>S</v>
      </c>
      <c r="AM111" s="9">
        <v>273</v>
      </c>
      <c r="AN111" s="9" t="str">
        <f>IFERROR(MID(VLOOKUP($B111,Seqs!$A:$B,2,0),AO111,1),"")</f>
        <v>A</v>
      </c>
      <c r="AO111" s="9">
        <v>282</v>
      </c>
      <c r="AP111" s="9" t="str">
        <f>IFERROR(MID(VLOOKUP($B111,Seqs!$A:$B,2,0),AQ111,1),"")</f>
        <v>N</v>
      </c>
      <c r="AQ111" s="9">
        <v>316</v>
      </c>
      <c r="AR111" s="9" t="str">
        <f>IFERROR(MID(VLOOKUP($B111,Seqs!$A:$B,2,0),AS111,1),"")</f>
        <v>P</v>
      </c>
      <c r="AS111" s="9">
        <v>321</v>
      </c>
      <c r="AT111" s="9" t="str">
        <f>IFERROR(MID(VLOOKUP($B111,Seqs!$A:$B,2,0),AU111,1),"")</f>
        <v>C</v>
      </c>
      <c r="AU111" s="9">
        <v>344</v>
      </c>
      <c r="AV111" s="9" t="str">
        <f>IFERROR(MID(VLOOKUP($B111,Seqs!$A:$B,2,0),AW111,1),"")</f>
        <v>S</v>
      </c>
      <c r="AW111" s="9">
        <v>346</v>
      </c>
      <c r="AX111" s="9" t="str">
        <f>IFERROR(MID(VLOOKUP($B111,Seqs!$A:$B,2,0),AY111,1),"")</f>
        <v>L</v>
      </c>
      <c r="AY111" s="9">
        <v>357</v>
      </c>
      <c r="AZ111" s="110" t="str">
        <f>VLOOKUP(B111,Classification!A:D,2,0)</f>
        <v>A</v>
      </c>
      <c r="BA111" s="98" t="str">
        <f>VLOOKUP(B111,Classification!A:D,4,0)</f>
        <v>Adrenoceptors</v>
      </c>
      <c r="BB111" s="36" t="b">
        <f t="shared" ref="BB111" si="812">AND(E111&lt;G111,OR(G111&lt;I111,I111="-"),OR(I111&lt;K111,I111="-"),OR(K111&lt;M111,K111="-"),M111&lt;O111,OR(O111&lt;Q111,Q111="-"),OR(Q111&lt;S111,Q111="-"),OR(S111&lt;U111,S111="-"),U111&lt;W111,OR(W111&lt;Y111,Y111="-"),OR(Y111&lt;AA111,Y111="-"),OR(AA111&lt;AC111,AA111="-"),AC111&lt;AE111,OR(AE111&lt;AG111,AG111="-"),OR(AG111&lt;AI111,AG111="-"),OR(AI111&lt;AK111,AI111="-"),AK111&lt;AM111,AM111&lt;AO111,AO111&lt;AQ111,AQ111&lt;AS111,AS111&lt;AU111,OR(AU111&lt;AW111,AW111="-"),OR(AW111&lt;AY111,AW111="-"))</f>
        <v>1</v>
      </c>
      <c r="BC111" s="109">
        <f t="shared" ref="BC111" si="813">_xlfn.AGGREGATE(9,6,CH111:CS111)-_xlfn.AGGREGATE(9,6,BV111:CG111)+12</f>
        <v>283</v>
      </c>
      <c r="BD111" s="13" t="s">
        <v>23</v>
      </c>
      <c r="BE111" s="9" t="s">
        <v>1291</v>
      </c>
      <c r="BF111" s="120">
        <v>2.7</v>
      </c>
      <c r="BG111" s="51" t="s">
        <v>1</v>
      </c>
      <c r="BH111" s="51" t="s">
        <v>1</v>
      </c>
      <c r="BJ111" s="111" t="s">
        <v>1287</v>
      </c>
      <c r="BK111" s="112" t="s">
        <v>1287</v>
      </c>
      <c r="BL111" s="112" t="s">
        <v>1287</v>
      </c>
      <c r="BM111" s="112" t="s">
        <v>1287</v>
      </c>
      <c r="BN111" s="112" t="s">
        <v>1287</v>
      </c>
      <c r="BO111" s="112" t="s">
        <v>1287</v>
      </c>
      <c r="BP111" s="112" t="s">
        <v>1287</v>
      </c>
      <c r="BQ111" s="112" t="s">
        <v>1287</v>
      </c>
      <c r="BR111" s="112" t="s">
        <v>1287</v>
      </c>
      <c r="BS111" s="112" t="s">
        <v>1287</v>
      </c>
      <c r="BT111" s="112" t="s">
        <v>1287</v>
      </c>
      <c r="BU111" s="112" t="s">
        <v>1287</v>
      </c>
      <c r="BV111" s="111">
        <f t="shared" ref="BV111" si="814">E111</f>
        <v>41</v>
      </c>
      <c r="BW111" s="113">
        <f t="shared" ref="BW111" si="815">I111</f>
        <v>70</v>
      </c>
      <c r="BX111" s="114">
        <f t="shared" ref="BX111" si="816">M111</f>
        <v>74</v>
      </c>
      <c r="BY111" s="113">
        <f t="shared" ref="BY111" si="817">Q111</f>
        <v>106</v>
      </c>
      <c r="BZ111" s="114">
        <f t="shared" ref="BZ111" si="818">U111</f>
        <v>110</v>
      </c>
      <c r="CA111" s="113">
        <f t="shared" ref="CA111" si="819">Y111</f>
        <v>146</v>
      </c>
      <c r="CB111" s="114">
        <f t="shared" ref="CB111" si="820">AC111</f>
        <v>154</v>
      </c>
      <c r="CC111" s="113">
        <f t="shared" ref="CC111" si="821">AG111</f>
        <v>199</v>
      </c>
      <c r="CD111" s="114">
        <f t="shared" ref="CD111" si="822">AK111</f>
        <v>204</v>
      </c>
      <c r="CE111" s="113">
        <f t="shared" ref="CE111" si="823">AO111</f>
        <v>282</v>
      </c>
      <c r="CF111" s="114">
        <f t="shared" ref="CF111" si="824">AS111</f>
        <v>321</v>
      </c>
      <c r="CG111" s="113">
        <f t="shared" ref="CG111" si="825">AW111</f>
        <v>346</v>
      </c>
      <c r="CH111" s="111">
        <f t="shared" ref="CH111" si="826">G111</f>
        <v>69</v>
      </c>
      <c r="CI111" s="113">
        <f t="shared" ref="CI111" si="827">K111</f>
        <v>73</v>
      </c>
      <c r="CJ111" s="114">
        <f t="shared" ref="CJ111" si="828">O111</f>
        <v>104</v>
      </c>
      <c r="CK111" s="114">
        <f t="shared" ref="CK111" si="829">S111</f>
        <v>109</v>
      </c>
      <c r="CL111" s="114">
        <f t="shared" ref="CL111" si="830">W111</f>
        <v>145</v>
      </c>
      <c r="CM111" s="114">
        <f t="shared" ref="CM111" si="831">AA111</f>
        <v>153</v>
      </c>
      <c r="CN111" s="114">
        <f t="shared" ref="CN111" si="832">AE111</f>
        <v>180</v>
      </c>
      <c r="CO111" s="114">
        <f t="shared" ref="CO111" si="833">AI111</f>
        <v>201</v>
      </c>
      <c r="CP111" s="114">
        <f t="shared" ref="CP111" si="834">AM111</f>
        <v>273</v>
      </c>
      <c r="CQ111" s="114">
        <f t="shared" ref="CQ111" si="835">AQ111</f>
        <v>316</v>
      </c>
      <c r="CR111" s="114">
        <f t="shared" ref="CR111" si="836">AU111</f>
        <v>344</v>
      </c>
      <c r="CS111" s="114">
        <f t="shared" ref="CS111" si="837">AY111</f>
        <v>357</v>
      </c>
      <c r="CT111" s="109">
        <f t="shared" ref="CT111" si="838">M111-K111</f>
        <v>1</v>
      </c>
    </row>
    <row r="112" spans="1:1029" x14ac:dyDescent="0.2">
      <c r="A112" s="3" t="str">
        <f t="shared" si="447"/>
        <v>adrb2_human__wt</v>
      </c>
      <c r="B112" s="3" t="s">
        <v>126</v>
      </c>
      <c r="C112" s="3" t="s">
        <v>100</v>
      </c>
      <c r="D112" s="3" t="str">
        <f>IFERROR(MID(VLOOKUP($B112,Seqs!$A:$B,2,0),E112,1),"")</f>
        <v>Q</v>
      </c>
      <c r="E112" s="3">
        <v>26</v>
      </c>
      <c r="F112" s="3" t="str">
        <f>IFERROR(MID(VLOOKUP($B112,Seqs!$A:$B,2,0),G112,1),"")</f>
        <v>F</v>
      </c>
      <c r="G112" s="3">
        <v>61</v>
      </c>
      <c r="H112" s="3" t="str">
        <f>IFERROR(MID(VLOOKUP($B112,Seqs!$A:$B,2,0),I112,1),"")</f>
        <v>E</v>
      </c>
      <c r="I112" s="23">
        <v>62</v>
      </c>
      <c r="J112" s="3" t="str">
        <f>IFERROR(MID(VLOOKUP($B112,Seqs!$A:$B,2,0),K112,1),"")</f>
        <v>Q</v>
      </c>
      <c r="K112" s="23">
        <v>65</v>
      </c>
      <c r="L112" s="3" t="str">
        <f>IFERROR(MID(VLOOKUP($B112,Seqs!$A:$B,2,0),M112,1),"")</f>
        <v>T</v>
      </c>
      <c r="M112" s="3">
        <v>66</v>
      </c>
      <c r="N112" s="3" t="str">
        <f>IFERROR(MID(VLOOKUP($B112,Seqs!$A:$B,2,0),O112,1),"")</f>
        <v>M</v>
      </c>
      <c r="O112" s="3">
        <v>96</v>
      </c>
      <c r="P112" s="3" t="str">
        <f>IFERROR(MID(VLOOKUP($B112,Seqs!$A:$B,2,0),Q112,1),"")</f>
        <v>M</v>
      </c>
      <c r="Q112" s="3">
        <v>98</v>
      </c>
      <c r="R112" s="3" t="str">
        <f>IFERROR(MID(VLOOKUP($B112,Seqs!$A:$B,2,0),S112,1),"")</f>
        <v>F</v>
      </c>
      <c r="S112" s="3">
        <v>101</v>
      </c>
      <c r="T112" s="3" t="str">
        <f>IFERROR(MID(VLOOKUP($B112,Seqs!$A:$B,2,0),U112,1),"")</f>
        <v>G</v>
      </c>
      <c r="U112" s="3">
        <v>102</v>
      </c>
      <c r="V112" s="3" t="str">
        <f>IFERROR(MID(VLOOKUP($B112,Seqs!$A:$B,2,0),W112,1),"")</f>
        <v>S</v>
      </c>
      <c r="W112" s="3">
        <v>137</v>
      </c>
      <c r="X112" s="3" t="str">
        <f>IFERROR(MID(VLOOKUP($B112,Seqs!$A:$B,2,0),Y112,1),"")</f>
        <v>P</v>
      </c>
      <c r="Y112" s="3">
        <v>138</v>
      </c>
      <c r="Z112" s="3" t="str">
        <f>IFERROR(MID(VLOOKUP($B112,Seqs!$A:$B,2,0),AA112,1),"")</f>
        <v>L</v>
      </c>
      <c r="AA112" s="3">
        <v>145</v>
      </c>
      <c r="AB112" s="3" t="str">
        <f>IFERROR(MID(VLOOKUP($B112,Seqs!$A:$B,2,0),AC112,1),"")</f>
        <v>T</v>
      </c>
      <c r="AC112" s="9">
        <v>146</v>
      </c>
      <c r="AD112" s="3" t="str">
        <f>IFERROR(MID(VLOOKUP($B112,Seqs!$A:$B,2,0),AE112,1),"")</f>
        <v>H</v>
      </c>
      <c r="AE112" s="3">
        <v>172</v>
      </c>
      <c r="AF112" s="3" t="str">
        <f>IFERROR(MID(VLOOKUP($B112,Seqs!$A:$B,2,0),AG112,1),"")</f>
        <v>C</v>
      </c>
      <c r="AG112" s="3">
        <v>191</v>
      </c>
      <c r="AH112" s="3" t="str">
        <f>IFERROR(MID(VLOOKUP($B112,Seqs!$A:$B,2,0),AI112,1),"")</f>
        <v>F</v>
      </c>
      <c r="AI112" s="3">
        <v>193</v>
      </c>
      <c r="AJ112" s="3" t="str">
        <f>IFERROR(MID(VLOOKUP($B112,Seqs!$A:$B,2,0),AK112,1),"")</f>
        <v>N</v>
      </c>
      <c r="AK112" s="3">
        <v>196</v>
      </c>
      <c r="AL112" s="3" t="str">
        <f>IFERROR(MID(VLOOKUP($B112,Seqs!$A:$B,2,0),AM112,1),"")</f>
        <v>E</v>
      </c>
      <c r="AM112" s="3">
        <v>237</v>
      </c>
      <c r="AN112" s="3" t="str">
        <f>IFERROR(MID(VLOOKUP($B112,Seqs!$A:$B,2,0),AO112,1),"")</f>
        <v>S</v>
      </c>
      <c r="AO112" s="3">
        <v>262</v>
      </c>
      <c r="AP112" s="3" t="str">
        <f>IFERROR(MID(VLOOKUP($B112,Seqs!$A:$B,2,0),AQ112,1),"")</f>
        <v>Q</v>
      </c>
      <c r="AQ112" s="3">
        <v>299</v>
      </c>
      <c r="AR112" s="3" t="str">
        <f>IFERROR(MID(VLOOKUP($B112,Seqs!$A:$B,2,0),AS112,1),"")</f>
        <v>R</v>
      </c>
      <c r="AS112" s="3">
        <v>304</v>
      </c>
      <c r="AT112" s="3" t="str">
        <f>IFERROR(MID(VLOOKUP($B112,Seqs!$A:$B,2,0),AU112,1),"")</f>
        <v>R</v>
      </c>
      <c r="AU112" s="3">
        <v>328</v>
      </c>
      <c r="AV112" s="3" t="str">
        <f>IFERROR(MID(VLOOKUP($B112,Seqs!$A:$B,2,0),AW112,1),"")</f>
        <v>S</v>
      </c>
      <c r="AW112" s="3">
        <v>329</v>
      </c>
      <c r="AX112" s="3" t="str">
        <f>IFERROR(MID(VLOOKUP($B112,Seqs!$A:$B,2,0),AY112,1),"")</f>
        <v>C</v>
      </c>
      <c r="AY112" s="3">
        <v>341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448"/>
        <v>1</v>
      </c>
      <c r="BC112" s="23">
        <f t="shared" si="645"/>
        <v>267</v>
      </c>
      <c r="BD112" s="56" t="s">
        <v>23</v>
      </c>
      <c r="BE112" s="3" t="s">
        <v>23</v>
      </c>
      <c r="BF112" s="119" t="s">
        <v>23</v>
      </c>
      <c r="BG112" s="49" t="s">
        <v>1372</v>
      </c>
      <c r="BH112" s="49" t="s">
        <v>1377</v>
      </c>
      <c r="BI112" s="3" t="s">
        <v>1165</v>
      </c>
      <c r="BJ112" s="70" t="s">
        <v>1287</v>
      </c>
      <c r="BK112" s="57" t="s">
        <v>1287</v>
      </c>
      <c r="BL112" s="57" t="s">
        <v>1287</v>
      </c>
      <c r="BM112" s="57" t="s">
        <v>1287</v>
      </c>
      <c r="BN112" s="57" t="s">
        <v>1287</v>
      </c>
      <c r="BO112" s="57" t="s">
        <v>1287</v>
      </c>
      <c r="BP112" s="57" t="s">
        <v>1287</v>
      </c>
      <c r="BQ112" s="57" t="s">
        <v>1287</v>
      </c>
      <c r="BR112" s="57" t="s">
        <v>1287</v>
      </c>
      <c r="BS112" s="57" t="s">
        <v>1287</v>
      </c>
      <c r="BT112" s="57" t="s">
        <v>1287</v>
      </c>
      <c r="BU112" s="57" t="s">
        <v>1287</v>
      </c>
      <c r="BV112" s="70">
        <f t="shared" si="646"/>
        <v>26</v>
      </c>
      <c r="BW112" s="71">
        <f t="shared" si="647"/>
        <v>62</v>
      </c>
      <c r="BX112" s="72">
        <f t="shared" si="648"/>
        <v>66</v>
      </c>
      <c r="BY112" s="71">
        <f t="shared" si="649"/>
        <v>98</v>
      </c>
      <c r="BZ112" s="72">
        <f t="shared" si="650"/>
        <v>102</v>
      </c>
      <c r="CA112" s="71">
        <f t="shared" si="651"/>
        <v>138</v>
      </c>
      <c r="CB112" s="72">
        <f t="shared" si="652"/>
        <v>146</v>
      </c>
      <c r="CC112" s="71">
        <f t="shared" si="653"/>
        <v>191</v>
      </c>
      <c r="CD112" s="72">
        <f t="shared" si="654"/>
        <v>196</v>
      </c>
      <c r="CE112" s="71">
        <f t="shared" si="655"/>
        <v>262</v>
      </c>
      <c r="CF112" s="72">
        <f t="shared" si="656"/>
        <v>304</v>
      </c>
      <c r="CG112" s="71">
        <f t="shared" si="657"/>
        <v>329</v>
      </c>
      <c r="CH112" s="70">
        <f t="shared" si="658"/>
        <v>61</v>
      </c>
      <c r="CI112" s="71">
        <f t="shared" si="659"/>
        <v>65</v>
      </c>
      <c r="CJ112" s="72">
        <f t="shared" si="660"/>
        <v>96</v>
      </c>
      <c r="CK112" s="72">
        <f t="shared" si="661"/>
        <v>101</v>
      </c>
      <c r="CL112" s="72">
        <f t="shared" si="662"/>
        <v>137</v>
      </c>
      <c r="CM112" s="72">
        <f t="shared" si="663"/>
        <v>145</v>
      </c>
      <c r="CN112" s="72">
        <f t="shared" si="664"/>
        <v>172</v>
      </c>
      <c r="CO112" s="72">
        <f t="shared" si="665"/>
        <v>193</v>
      </c>
      <c r="CP112" s="72">
        <f t="shared" si="666"/>
        <v>237</v>
      </c>
      <c r="CQ112" s="72">
        <f t="shared" si="667"/>
        <v>299</v>
      </c>
      <c r="CR112" s="72">
        <f t="shared" si="668"/>
        <v>328</v>
      </c>
      <c r="CS112" s="72">
        <f t="shared" si="669"/>
        <v>341</v>
      </c>
      <c r="CT112" s="23">
        <f t="shared" si="670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447"/>
        <v>adrb2_human_2RH1</v>
      </c>
      <c r="B113" s="3" t="s">
        <v>126</v>
      </c>
      <c r="C113" s="3" t="s">
        <v>75</v>
      </c>
      <c r="D113" s="3" t="str">
        <f>IFERROR(MID(VLOOKUP($B113,Seqs!$A:$B,2,0),E113,1),"")</f>
        <v>D</v>
      </c>
      <c r="E113" s="3">
        <v>29</v>
      </c>
      <c r="F113" s="3" t="str">
        <f>IFERROR(MID(VLOOKUP($B113,Seqs!$A:$B,2,0),G113,1),"")</f>
        <v>F</v>
      </c>
      <c r="G113" s="3">
        <v>61</v>
      </c>
      <c r="H113" s="3" t="str">
        <f>IFERROR(MID(VLOOKUP($B113,Seqs!$A:$B,2,0),I113,1),"")</f>
        <v>E</v>
      </c>
      <c r="I113" s="23">
        <v>62</v>
      </c>
      <c r="J113" s="3" t="str">
        <f>IFERROR(MID(VLOOKUP($B113,Seqs!$A:$B,2,0),K113,1),"")</f>
        <v>Q</v>
      </c>
      <c r="K113" s="23">
        <v>65</v>
      </c>
      <c r="L113" s="3" t="str">
        <f>IFERROR(MID(VLOOKUP($B113,Seqs!$A:$B,2,0),M113,1),"")</f>
        <v>T</v>
      </c>
      <c r="M113" s="3">
        <v>66</v>
      </c>
      <c r="N113" s="3" t="str">
        <f>IFERROR(MID(VLOOKUP($B113,Seqs!$A:$B,2,0),O113,1),"")</f>
        <v>M</v>
      </c>
      <c r="O113" s="3">
        <v>96</v>
      </c>
      <c r="P113" s="3" t="str">
        <f>IFERROR(MID(VLOOKUP($B113,Seqs!$A:$B,2,0),Q113,1),"")</f>
        <v>M</v>
      </c>
      <c r="Q113" s="3">
        <v>98</v>
      </c>
      <c r="R113" s="3" t="str">
        <f>IFERROR(MID(VLOOKUP($B113,Seqs!$A:$B,2,0),S113,1),"")</f>
        <v>F</v>
      </c>
      <c r="S113" s="3">
        <v>101</v>
      </c>
      <c r="T113" s="3" t="str">
        <f>IFERROR(MID(VLOOKUP($B113,Seqs!$A:$B,2,0),U113,1),"")</f>
        <v>G</v>
      </c>
      <c r="U113" s="3">
        <v>102</v>
      </c>
      <c r="V113" s="3" t="str">
        <f>IFERROR(MID(VLOOKUP($B113,Seqs!$A:$B,2,0),W113,1),"")</f>
        <v>S</v>
      </c>
      <c r="W113" s="3">
        <v>137</v>
      </c>
      <c r="X113" s="3" t="str">
        <f>IFERROR(MID(VLOOKUP($B113,Seqs!$A:$B,2,0),Y113,1),"")</f>
        <v/>
      </c>
      <c r="Y113" s="3" t="s">
        <v>23</v>
      </c>
      <c r="Z113" s="3" t="str">
        <f>IFERROR(MID(VLOOKUP($B113,Seqs!$A:$B,2,0),AA113,1),"")</f>
        <v/>
      </c>
      <c r="AA113" s="3" t="s">
        <v>23</v>
      </c>
      <c r="AB113" s="3" t="str">
        <f>IFERROR(MID(VLOOKUP($B113,Seqs!$A:$B,2,0),AC113,1),"")</f>
        <v>T</v>
      </c>
      <c r="AC113" s="9">
        <v>146</v>
      </c>
      <c r="AD113" s="3" t="str">
        <f>IFERROR(MID(VLOOKUP($B113,Seqs!$A:$B,2,0),AE113,1),"")</f>
        <v>H</v>
      </c>
      <c r="AE113" s="3">
        <v>172</v>
      </c>
      <c r="AF113" s="3" t="str">
        <f>IFERROR(MID(VLOOKUP($B113,Seqs!$A:$B,2,0),AG113,1),"")</f>
        <v>C</v>
      </c>
      <c r="AG113" s="3">
        <v>191</v>
      </c>
      <c r="AH113" s="3" t="str">
        <f>IFERROR(MID(VLOOKUP($B113,Seqs!$A:$B,2,0),AI113,1),"")</f>
        <v>F</v>
      </c>
      <c r="AI113" s="3">
        <v>193</v>
      </c>
      <c r="AJ113" s="3" t="str">
        <f>IFERROR(MID(VLOOKUP($B113,Seqs!$A:$B,2,0),AK113,1),"")</f>
        <v>N</v>
      </c>
      <c r="AK113" s="3">
        <v>196</v>
      </c>
      <c r="AL113" s="3" t="str">
        <f>IFERROR(MID(VLOOKUP($B113,Seqs!$A:$B,2,0),AM113,1),"")</f>
        <v>Q</v>
      </c>
      <c r="AM113" s="3">
        <v>229</v>
      </c>
      <c r="AN113" s="3" t="str">
        <f>IFERROR(MID(VLOOKUP($B113,Seqs!$A:$B,2,0),AO113,1),"")</f>
        <v>K</v>
      </c>
      <c r="AO113" s="3">
        <v>267</v>
      </c>
      <c r="AP113" s="3" t="str">
        <f>IFERROR(MID(VLOOKUP($B113,Seqs!$A:$B,2,0),AQ113,1),"")</f>
        <v>Q</v>
      </c>
      <c r="AQ113" s="3">
        <v>299</v>
      </c>
      <c r="AR113" s="3" t="str">
        <f>IFERROR(MID(VLOOKUP($B113,Seqs!$A:$B,2,0),AS113,1),"")</f>
        <v>R</v>
      </c>
      <c r="AS113" s="3">
        <v>304</v>
      </c>
      <c r="AT113" s="3" t="str">
        <f>IFERROR(MID(VLOOKUP($B113,Seqs!$A:$B,2,0),AU113,1),"")</f>
        <v>R</v>
      </c>
      <c r="AU113" s="3">
        <v>328</v>
      </c>
      <c r="AV113" s="3" t="str">
        <f>IFERROR(MID(VLOOKUP($B113,Seqs!$A:$B,2,0),AW113,1),"")</f>
        <v>S</v>
      </c>
      <c r="AW113" s="3">
        <v>329</v>
      </c>
      <c r="AX113" s="3" t="str">
        <f>IFERROR(MID(VLOOKUP($B113,Seqs!$A:$B,2,0),AY113,1),"")</f>
        <v>C</v>
      </c>
      <c r="AY113" s="3">
        <v>341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448"/>
        <v>1</v>
      </c>
      <c r="BC113" s="23">
        <f t="shared" si="645"/>
        <v>244</v>
      </c>
      <c r="BD113" s="4" t="s">
        <v>23</v>
      </c>
      <c r="BE113" s="3" t="s">
        <v>1374</v>
      </c>
      <c r="BF113" s="119">
        <v>2.4</v>
      </c>
      <c r="BG113" s="49" t="s">
        <v>1377</v>
      </c>
      <c r="BH113" s="49" t="s">
        <v>1377</v>
      </c>
      <c r="BI113" s="1"/>
      <c r="BJ113" s="70" t="s">
        <v>1287</v>
      </c>
      <c r="BK113" s="57" t="s">
        <v>1287</v>
      </c>
      <c r="BL113" s="57" t="s">
        <v>1287</v>
      </c>
      <c r="BM113" s="57" t="s">
        <v>1287</v>
      </c>
      <c r="BN113" s="57" t="s">
        <v>1287</v>
      </c>
      <c r="BO113" s="57" t="s">
        <v>1287</v>
      </c>
      <c r="BP113" s="57" t="s">
        <v>1287</v>
      </c>
      <c r="BQ113" s="57" t="s">
        <v>1287</v>
      </c>
      <c r="BR113" s="57" t="s">
        <v>1287</v>
      </c>
      <c r="BS113" s="57" t="s">
        <v>1287</v>
      </c>
      <c r="BT113" s="57" t="s">
        <v>1287</v>
      </c>
      <c r="BU113" s="57" t="s">
        <v>1287</v>
      </c>
      <c r="BV113" s="70">
        <f t="shared" si="646"/>
        <v>29</v>
      </c>
      <c r="BW113" s="71">
        <f t="shared" si="647"/>
        <v>62</v>
      </c>
      <c r="BX113" s="72">
        <f t="shared" si="648"/>
        <v>66</v>
      </c>
      <c r="BY113" s="71">
        <f t="shared" si="649"/>
        <v>98</v>
      </c>
      <c r="BZ113" s="72">
        <f t="shared" si="650"/>
        <v>102</v>
      </c>
      <c r="CA113" s="71" t="str">
        <f t="shared" si="651"/>
        <v>-</v>
      </c>
      <c r="CB113" s="72">
        <f t="shared" si="652"/>
        <v>146</v>
      </c>
      <c r="CC113" s="71">
        <f t="shared" si="653"/>
        <v>191</v>
      </c>
      <c r="CD113" s="72">
        <f t="shared" si="654"/>
        <v>196</v>
      </c>
      <c r="CE113" s="71">
        <f t="shared" si="655"/>
        <v>267</v>
      </c>
      <c r="CF113" s="72">
        <f t="shared" si="656"/>
        <v>304</v>
      </c>
      <c r="CG113" s="71">
        <f t="shared" si="657"/>
        <v>329</v>
      </c>
      <c r="CH113" s="70">
        <f t="shared" si="658"/>
        <v>61</v>
      </c>
      <c r="CI113" s="71">
        <f t="shared" si="659"/>
        <v>65</v>
      </c>
      <c r="CJ113" s="72">
        <f t="shared" si="660"/>
        <v>96</v>
      </c>
      <c r="CK113" s="72">
        <f t="shared" si="661"/>
        <v>101</v>
      </c>
      <c r="CL113" s="72">
        <f t="shared" si="662"/>
        <v>137</v>
      </c>
      <c r="CM113" s="72" t="str">
        <f t="shared" si="663"/>
        <v>-</v>
      </c>
      <c r="CN113" s="72">
        <f t="shared" si="664"/>
        <v>172</v>
      </c>
      <c r="CO113" s="72">
        <f t="shared" si="665"/>
        <v>193</v>
      </c>
      <c r="CP113" s="72">
        <f t="shared" si="666"/>
        <v>229</v>
      </c>
      <c r="CQ113" s="72">
        <f t="shared" si="667"/>
        <v>299</v>
      </c>
      <c r="CR113" s="72">
        <f t="shared" si="668"/>
        <v>328</v>
      </c>
      <c r="CS113" s="72">
        <f t="shared" si="669"/>
        <v>341</v>
      </c>
      <c r="CT113" s="23">
        <f t="shared" si="670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447"/>
        <v>adrb2_human_3D4S</v>
      </c>
      <c r="B114" s="3" t="s">
        <v>126</v>
      </c>
      <c r="C114" s="3" t="s">
        <v>76</v>
      </c>
      <c r="D114" s="3" t="str">
        <f>IFERROR(MID(VLOOKUP($B114,Seqs!$A:$B,2,0),E114,1),"")</f>
        <v>W</v>
      </c>
      <c r="E114" s="3">
        <v>32</v>
      </c>
      <c r="F114" s="3" t="str">
        <f>IFERROR(MID(VLOOKUP($B114,Seqs!$A:$B,2,0),G114,1),"")</f>
        <v>F</v>
      </c>
      <c r="G114" s="3">
        <v>61</v>
      </c>
      <c r="H114" s="3" t="str">
        <f>IFERROR(MID(VLOOKUP($B114,Seqs!$A:$B,2,0),I114,1),"")</f>
        <v>E</v>
      </c>
      <c r="I114" s="23">
        <v>62</v>
      </c>
      <c r="J114" s="3" t="str">
        <f>IFERROR(MID(VLOOKUP($B114,Seqs!$A:$B,2,0),K114,1),"")</f>
        <v>Q</v>
      </c>
      <c r="K114" s="23">
        <v>65</v>
      </c>
      <c r="L114" s="3" t="str">
        <f>IFERROR(MID(VLOOKUP($B114,Seqs!$A:$B,2,0),M114,1),"")</f>
        <v>T</v>
      </c>
      <c r="M114" s="3">
        <v>66</v>
      </c>
      <c r="N114" s="3" t="str">
        <f>IFERROR(MID(VLOOKUP($B114,Seqs!$A:$B,2,0),O114,1),"")</f>
        <v>M</v>
      </c>
      <c r="O114" s="3">
        <v>96</v>
      </c>
      <c r="P114" s="3" t="str">
        <f>IFERROR(MID(VLOOKUP($B114,Seqs!$A:$B,2,0),Q114,1),"")</f>
        <v>M</v>
      </c>
      <c r="Q114" s="3">
        <v>98</v>
      </c>
      <c r="R114" s="3" t="str">
        <f>IFERROR(MID(VLOOKUP($B114,Seqs!$A:$B,2,0),S114,1),"")</f>
        <v>F</v>
      </c>
      <c r="S114" s="3">
        <v>101</v>
      </c>
      <c r="T114" s="3" t="str">
        <f>IFERROR(MID(VLOOKUP($B114,Seqs!$A:$B,2,0),U114,1),"")</f>
        <v>G</v>
      </c>
      <c r="U114" s="3">
        <v>102</v>
      </c>
      <c r="V114" s="3" t="str">
        <f>IFERROR(MID(VLOOKUP($B114,Seqs!$A:$B,2,0),W114,1),"")</f>
        <v>S</v>
      </c>
      <c r="W114" s="3">
        <v>137</v>
      </c>
      <c r="X114" s="3" t="str">
        <f>IFERROR(MID(VLOOKUP($B114,Seqs!$A:$B,2,0),Y114,1),"")</f>
        <v/>
      </c>
      <c r="Y114" s="3" t="s">
        <v>23</v>
      </c>
      <c r="Z114" s="3" t="str">
        <f>IFERROR(MID(VLOOKUP($B114,Seqs!$A:$B,2,0),AA114,1),"")</f>
        <v/>
      </c>
      <c r="AA114" s="3" t="s">
        <v>23</v>
      </c>
      <c r="AB114" s="3" t="str">
        <f>IFERROR(MID(VLOOKUP($B114,Seqs!$A:$B,2,0),AC114,1),"")</f>
        <v>T</v>
      </c>
      <c r="AC114" s="9">
        <v>146</v>
      </c>
      <c r="AD114" s="3" t="str">
        <f>IFERROR(MID(VLOOKUP($B114,Seqs!$A:$B,2,0),AE114,1),"")</f>
        <v>H</v>
      </c>
      <c r="AE114" s="3">
        <v>172</v>
      </c>
      <c r="AF114" s="3" t="str">
        <f>IFERROR(MID(VLOOKUP($B114,Seqs!$A:$B,2,0),AG114,1),"")</f>
        <v>C</v>
      </c>
      <c r="AG114" s="3">
        <v>191</v>
      </c>
      <c r="AH114" s="3" t="str">
        <f>IFERROR(MID(VLOOKUP($B114,Seqs!$A:$B,2,0),AI114,1),"")</f>
        <v>F</v>
      </c>
      <c r="AI114" s="3">
        <v>193</v>
      </c>
      <c r="AJ114" s="3" t="str">
        <f>IFERROR(MID(VLOOKUP($B114,Seqs!$A:$B,2,0),AK114,1),"")</f>
        <v>N</v>
      </c>
      <c r="AK114" s="3">
        <v>196</v>
      </c>
      <c r="AL114" s="3" t="str">
        <f>IFERROR(MID(VLOOKUP($B114,Seqs!$A:$B,2,0),AM114,1),"")</f>
        <v>Q</v>
      </c>
      <c r="AM114" s="3">
        <v>229</v>
      </c>
      <c r="AN114" s="3" t="str">
        <f>IFERROR(MID(VLOOKUP($B114,Seqs!$A:$B,2,0),AO114,1),"")</f>
        <v>K</v>
      </c>
      <c r="AO114" s="3">
        <v>267</v>
      </c>
      <c r="AP114" s="3" t="str">
        <f>IFERROR(MID(VLOOKUP($B114,Seqs!$A:$B,2,0),AQ114,1),"")</f>
        <v>Q</v>
      </c>
      <c r="AQ114" s="3">
        <v>299</v>
      </c>
      <c r="AR114" s="3" t="str">
        <f>IFERROR(MID(VLOOKUP($B114,Seqs!$A:$B,2,0),AS114,1),"")</f>
        <v>R</v>
      </c>
      <c r="AS114" s="3">
        <v>304</v>
      </c>
      <c r="AT114" s="3" t="str">
        <f>IFERROR(MID(VLOOKUP($B114,Seqs!$A:$B,2,0),AU114,1),"")</f>
        <v>R</v>
      </c>
      <c r="AU114" s="3">
        <v>328</v>
      </c>
      <c r="AV114" s="3" t="str">
        <f>IFERROR(MID(VLOOKUP($B114,Seqs!$A:$B,2,0),AW114,1),"")</f>
        <v>S</v>
      </c>
      <c r="AW114" s="3">
        <v>329</v>
      </c>
      <c r="AX114" s="3" t="str">
        <f>IFERROR(MID(VLOOKUP($B114,Seqs!$A:$B,2,0),AY114,1),"")</f>
        <v>C</v>
      </c>
      <c r="AY114" s="3">
        <v>341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448"/>
        <v>1</v>
      </c>
      <c r="BC114" s="23">
        <f t="shared" si="645"/>
        <v>241</v>
      </c>
      <c r="BD114" s="4" t="s">
        <v>23</v>
      </c>
      <c r="BE114" s="3" t="s">
        <v>1374</v>
      </c>
      <c r="BF114" s="119">
        <v>2.8</v>
      </c>
      <c r="BG114" s="49" t="s">
        <v>1377</v>
      </c>
      <c r="BH114" s="49" t="s">
        <v>1377</v>
      </c>
      <c r="BI114" s="1"/>
      <c r="BJ114" s="70" t="s">
        <v>1287</v>
      </c>
      <c r="BK114" s="57" t="s">
        <v>1287</v>
      </c>
      <c r="BL114" s="57" t="s">
        <v>1287</v>
      </c>
      <c r="BM114" s="57" t="s">
        <v>1287</v>
      </c>
      <c r="BN114" s="57" t="s">
        <v>1287</v>
      </c>
      <c r="BO114" s="57" t="s">
        <v>1287</v>
      </c>
      <c r="BP114" s="57" t="s">
        <v>1287</v>
      </c>
      <c r="BQ114" s="57" t="s">
        <v>1287</v>
      </c>
      <c r="BR114" s="57" t="s">
        <v>1287</v>
      </c>
      <c r="BS114" s="57" t="s">
        <v>1287</v>
      </c>
      <c r="BT114" s="57" t="s">
        <v>1287</v>
      </c>
      <c r="BU114" s="57" t="s">
        <v>1287</v>
      </c>
      <c r="BV114" s="70">
        <f t="shared" si="646"/>
        <v>32</v>
      </c>
      <c r="BW114" s="71">
        <f t="shared" si="647"/>
        <v>62</v>
      </c>
      <c r="BX114" s="72">
        <f t="shared" si="648"/>
        <v>66</v>
      </c>
      <c r="BY114" s="71">
        <f t="shared" si="649"/>
        <v>98</v>
      </c>
      <c r="BZ114" s="72">
        <f t="shared" si="650"/>
        <v>102</v>
      </c>
      <c r="CA114" s="71" t="str">
        <f t="shared" si="651"/>
        <v>-</v>
      </c>
      <c r="CB114" s="72">
        <f t="shared" si="652"/>
        <v>146</v>
      </c>
      <c r="CC114" s="71">
        <f t="shared" si="653"/>
        <v>191</v>
      </c>
      <c r="CD114" s="72">
        <f t="shared" si="654"/>
        <v>196</v>
      </c>
      <c r="CE114" s="71">
        <f t="shared" si="655"/>
        <v>267</v>
      </c>
      <c r="CF114" s="72">
        <f t="shared" si="656"/>
        <v>304</v>
      </c>
      <c r="CG114" s="71">
        <f t="shared" si="657"/>
        <v>329</v>
      </c>
      <c r="CH114" s="70">
        <f t="shared" si="658"/>
        <v>61</v>
      </c>
      <c r="CI114" s="71">
        <f t="shared" si="659"/>
        <v>65</v>
      </c>
      <c r="CJ114" s="72">
        <f t="shared" si="660"/>
        <v>96</v>
      </c>
      <c r="CK114" s="72">
        <f t="shared" si="661"/>
        <v>101</v>
      </c>
      <c r="CL114" s="72">
        <f t="shared" si="662"/>
        <v>137</v>
      </c>
      <c r="CM114" s="72" t="str">
        <f t="shared" si="663"/>
        <v>-</v>
      </c>
      <c r="CN114" s="72">
        <f t="shared" si="664"/>
        <v>172</v>
      </c>
      <c r="CO114" s="72">
        <f t="shared" si="665"/>
        <v>193</v>
      </c>
      <c r="CP114" s="72">
        <f t="shared" si="666"/>
        <v>229</v>
      </c>
      <c r="CQ114" s="72">
        <f t="shared" si="667"/>
        <v>299</v>
      </c>
      <c r="CR114" s="72">
        <f t="shared" si="668"/>
        <v>328</v>
      </c>
      <c r="CS114" s="72">
        <f t="shared" si="669"/>
        <v>341</v>
      </c>
      <c r="CT114" s="23">
        <f t="shared" si="670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447"/>
        <v>adrb2_human_3NY8</v>
      </c>
      <c r="B115" s="3" t="s">
        <v>126</v>
      </c>
      <c r="C115" s="3" t="s">
        <v>1333</v>
      </c>
      <c r="D115" s="3" t="str">
        <f>IFERROR(MID(VLOOKUP($B115,Seqs!$A:$B,2,0),E115,1),"")</f>
        <v>W</v>
      </c>
      <c r="E115" s="3">
        <v>32</v>
      </c>
      <c r="F115" s="3" t="str">
        <f>IFERROR(MID(VLOOKUP($B115,Seqs!$A:$B,2,0),G115,1),"")</f>
        <v>F</v>
      </c>
      <c r="G115" s="3">
        <v>61</v>
      </c>
      <c r="H115" s="3" t="str">
        <f>IFERROR(MID(VLOOKUP($B115,Seqs!$A:$B,2,0),I115,1),"")</f>
        <v>E</v>
      </c>
      <c r="I115" s="23">
        <v>62</v>
      </c>
      <c r="J115" s="3" t="str">
        <f>IFERROR(MID(VLOOKUP($B115,Seqs!$A:$B,2,0),K115,1),"")</f>
        <v>Q</v>
      </c>
      <c r="K115" s="23">
        <v>65</v>
      </c>
      <c r="L115" s="3" t="str">
        <f>IFERROR(MID(VLOOKUP($B115,Seqs!$A:$B,2,0),M115,1),"")</f>
        <v>T</v>
      </c>
      <c r="M115" s="3">
        <v>66</v>
      </c>
      <c r="N115" s="3" t="str">
        <f>IFERROR(MID(VLOOKUP($B115,Seqs!$A:$B,2,0),O115,1),"")</f>
        <v>M</v>
      </c>
      <c r="O115" s="3">
        <v>96</v>
      </c>
      <c r="P115" s="3" t="str">
        <f>IFERROR(MID(VLOOKUP($B115,Seqs!$A:$B,2,0),Q115,1),"")</f>
        <v>M</v>
      </c>
      <c r="Q115" s="3">
        <v>98</v>
      </c>
      <c r="R115" s="3" t="str">
        <f>IFERROR(MID(VLOOKUP($B115,Seqs!$A:$B,2,0),S115,1),"")</f>
        <v>F</v>
      </c>
      <c r="S115" s="3">
        <v>101</v>
      </c>
      <c r="T115" s="3" t="str">
        <f>IFERROR(MID(VLOOKUP($B115,Seqs!$A:$B,2,0),U115,1),"")</f>
        <v>G</v>
      </c>
      <c r="U115" s="3">
        <v>102</v>
      </c>
      <c r="V115" s="3" t="str">
        <f>IFERROR(MID(VLOOKUP($B115,Seqs!$A:$B,2,0),W115,1),"")</f>
        <v>S</v>
      </c>
      <c r="W115" s="3">
        <v>137</v>
      </c>
      <c r="X115" s="3" t="str">
        <f>IFERROR(MID(VLOOKUP($B115,Seqs!$A:$B,2,0),Y115,1),"")</f>
        <v/>
      </c>
      <c r="Y115" s="3" t="s">
        <v>23</v>
      </c>
      <c r="Z115" s="3" t="str">
        <f>IFERROR(MID(VLOOKUP($B115,Seqs!$A:$B,2,0),AA115,1),"")</f>
        <v/>
      </c>
      <c r="AA115" s="3" t="s">
        <v>23</v>
      </c>
      <c r="AB115" s="3" t="str">
        <f>IFERROR(MID(VLOOKUP($B115,Seqs!$A:$B,2,0),AC115,1),"")</f>
        <v>T</v>
      </c>
      <c r="AC115" s="9">
        <v>146</v>
      </c>
      <c r="AD115" s="3" t="str">
        <f>IFERROR(MID(VLOOKUP($B115,Seqs!$A:$B,2,0),AE115,1),"")</f>
        <v>H</v>
      </c>
      <c r="AE115" s="3">
        <v>172</v>
      </c>
      <c r="AF115" s="3" t="str">
        <f>IFERROR(MID(VLOOKUP($B115,Seqs!$A:$B,2,0),AG115,1),"")</f>
        <v>C</v>
      </c>
      <c r="AG115" s="3">
        <v>191</v>
      </c>
      <c r="AH115" s="3" t="str">
        <f>IFERROR(MID(VLOOKUP($B115,Seqs!$A:$B,2,0),AI115,1),"")</f>
        <v>F</v>
      </c>
      <c r="AI115" s="3">
        <v>193</v>
      </c>
      <c r="AJ115" s="3" t="str">
        <f>IFERROR(MID(VLOOKUP($B115,Seqs!$A:$B,2,0),AK115,1),"")</f>
        <v>N</v>
      </c>
      <c r="AK115" s="3">
        <v>196</v>
      </c>
      <c r="AL115" s="3" t="str">
        <f>IFERROR(MID(VLOOKUP($B115,Seqs!$A:$B,2,0),AM115,1),"")</f>
        <v>Q</v>
      </c>
      <c r="AM115" s="3">
        <v>229</v>
      </c>
      <c r="AN115" s="3" t="str">
        <f>IFERROR(MID(VLOOKUP($B115,Seqs!$A:$B,2,0),AO115,1),"")</f>
        <v>K</v>
      </c>
      <c r="AO115" s="3">
        <v>267</v>
      </c>
      <c r="AP115" s="3" t="str">
        <f>IFERROR(MID(VLOOKUP($B115,Seqs!$A:$B,2,0),AQ115,1),"")</f>
        <v>Q</v>
      </c>
      <c r="AQ115" s="3">
        <v>299</v>
      </c>
      <c r="AR115" s="3" t="str">
        <f>IFERROR(MID(VLOOKUP($B115,Seqs!$A:$B,2,0),AS115,1),"")</f>
        <v>R</v>
      </c>
      <c r="AS115" s="3">
        <v>304</v>
      </c>
      <c r="AT115" s="3" t="str">
        <f>IFERROR(MID(VLOOKUP($B115,Seqs!$A:$B,2,0),AU115,1),"")</f>
        <v>R</v>
      </c>
      <c r="AU115" s="3">
        <v>328</v>
      </c>
      <c r="AV115" s="3" t="str">
        <f>IFERROR(MID(VLOOKUP($B115,Seqs!$A:$B,2,0),AW115,1),"")</f>
        <v>S</v>
      </c>
      <c r="AW115" s="3">
        <v>329</v>
      </c>
      <c r="AX115" s="3" t="str">
        <f>IFERROR(MID(VLOOKUP($B115,Seqs!$A:$B,2,0),AY115,1),"")</f>
        <v>C</v>
      </c>
      <c r="AY115" s="3">
        <v>341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448"/>
        <v>1</v>
      </c>
      <c r="BC115" s="23">
        <f t="shared" si="645"/>
        <v>241</v>
      </c>
      <c r="BD115" s="4" t="s">
        <v>23</v>
      </c>
      <c r="BE115" s="3" t="s">
        <v>1374</v>
      </c>
      <c r="BF115" s="119">
        <v>2.84</v>
      </c>
      <c r="BG115" s="49" t="s">
        <v>1377</v>
      </c>
      <c r="BH115" s="49" t="s">
        <v>1377</v>
      </c>
      <c r="BI115" s="1"/>
      <c r="BJ115" s="70" t="s">
        <v>1287</v>
      </c>
      <c r="BK115" s="57" t="s">
        <v>1287</v>
      </c>
      <c r="BL115" s="57" t="s">
        <v>1287</v>
      </c>
      <c r="BM115" s="57" t="s">
        <v>1287</v>
      </c>
      <c r="BN115" s="57" t="s">
        <v>1287</v>
      </c>
      <c r="BO115" s="57" t="s">
        <v>1287</v>
      </c>
      <c r="BP115" s="57" t="s">
        <v>1287</v>
      </c>
      <c r="BQ115" s="57" t="s">
        <v>1287</v>
      </c>
      <c r="BR115" s="57" t="s">
        <v>1287</v>
      </c>
      <c r="BS115" s="57" t="s">
        <v>1287</v>
      </c>
      <c r="BT115" s="57" t="s">
        <v>1287</v>
      </c>
      <c r="BU115" s="57" t="s">
        <v>1287</v>
      </c>
      <c r="BV115" s="70">
        <f t="shared" si="646"/>
        <v>32</v>
      </c>
      <c r="BW115" s="71">
        <f t="shared" si="647"/>
        <v>62</v>
      </c>
      <c r="BX115" s="72">
        <f t="shared" si="648"/>
        <v>66</v>
      </c>
      <c r="BY115" s="71">
        <f t="shared" si="649"/>
        <v>98</v>
      </c>
      <c r="BZ115" s="72">
        <f t="shared" si="650"/>
        <v>102</v>
      </c>
      <c r="CA115" s="71" t="str">
        <f t="shared" si="651"/>
        <v>-</v>
      </c>
      <c r="CB115" s="72">
        <f t="shared" si="652"/>
        <v>146</v>
      </c>
      <c r="CC115" s="71">
        <f t="shared" si="653"/>
        <v>191</v>
      </c>
      <c r="CD115" s="72">
        <f t="shared" si="654"/>
        <v>196</v>
      </c>
      <c r="CE115" s="71">
        <f t="shared" si="655"/>
        <v>267</v>
      </c>
      <c r="CF115" s="72">
        <f t="shared" si="656"/>
        <v>304</v>
      </c>
      <c r="CG115" s="71">
        <f t="shared" si="657"/>
        <v>329</v>
      </c>
      <c r="CH115" s="70">
        <f t="shared" si="658"/>
        <v>61</v>
      </c>
      <c r="CI115" s="71">
        <f t="shared" si="659"/>
        <v>65</v>
      </c>
      <c r="CJ115" s="72">
        <f t="shared" si="660"/>
        <v>96</v>
      </c>
      <c r="CK115" s="72">
        <f t="shared" si="661"/>
        <v>101</v>
      </c>
      <c r="CL115" s="72">
        <f t="shared" si="662"/>
        <v>137</v>
      </c>
      <c r="CM115" s="72" t="str">
        <f t="shared" si="663"/>
        <v>-</v>
      </c>
      <c r="CN115" s="72">
        <f t="shared" si="664"/>
        <v>172</v>
      </c>
      <c r="CO115" s="72">
        <f t="shared" si="665"/>
        <v>193</v>
      </c>
      <c r="CP115" s="72">
        <f t="shared" si="666"/>
        <v>229</v>
      </c>
      <c r="CQ115" s="72">
        <f t="shared" si="667"/>
        <v>299</v>
      </c>
      <c r="CR115" s="72">
        <f t="shared" si="668"/>
        <v>328</v>
      </c>
      <c r="CS115" s="72">
        <f t="shared" si="669"/>
        <v>341</v>
      </c>
      <c r="CT115" s="23">
        <f t="shared" si="670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si="447"/>
        <v>adrb2_human_3NY9</v>
      </c>
      <c r="B116" s="3" t="s">
        <v>126</v>
      </c>
      <c r="C116" s="3" t="s">
        <v>1029</v>
      </c>
      <c r="D116" s="3" t="str">
        <f>IFERROR(MID(VLOOKUP($B116,Seqs!$A:$B,2,0),E116,1),"")</f>
        <v>W</v>
      </c>
      <c r="E116" s="3">
        <v>32</v>
      </c>
      <c r="F116" s="3" t="str">
        <f>IFERROR(MID(VLOOKUP($B116,Seqs!$A:$B,2,0),G116,1),"")</f>
        <v>F</v>
      </c>
      <c r="G116" s="3">
        <v>61</v>
      </c>
      <c r="H116" s="3" t="str">
        <f>IFERROR(MID(VLOOKUP($B116,Seqs!$A:$B,2,0),I116,1),"")</f>
        <v>E</v>
      </c>
      <c r="I116" s="23">
        <v>62</v>
      </c>
      <c r="J116" s="3" t="str">
        <f>IFERROR(MID(VLOOKUP($B116,Seqs!$A:$B,2,0),K116,1),"")</f>
        <v>Q</v>
      </c>
      <c r="K116" s="23">
        <v>65</v>
      </c>
      <c r="L116" s="3" t="str">
        <f>IFERROR(MID(VLOOKUP($B116,Seqs!$A:$B,2,0),M116,1),"")</f>
        <v>T</v>
      </c>
      <c r="M116" s="3">
        <v>66</v>
      </c>
      <c r="N116" s="3" t="str">
        <f>IFERROR(MID(VLOOKUP($B116,Seqs!$A:$B,2,0),O116,1),"")</f>
        <v>M</v>
      </c>
      <c r="O116" s="3">
        <v>96</v>
      </c>
      <c r="P116" s="3" t="str">
        <f>IFERROR(MID(VLOOKUP($B116,Seqs!$A:$B,2,0),Q116,1),"")</f>
        <v>M</v>
      </c>
      <c r="Q116" s="3">
        <v>98</v>
      </c>
      <c r="R116" s="3" t="str">
        <f>IFERROR(MID(VLOOKUP($B116,Seqs!$A:$B,2,0),S116,1),"")</f>
        <v>F</v>
      </c>
      <c r="S116" s="3">
        <v>101</v>
      </c>
      <c r="T116" s="3" t="str">
        <f>IFERROR(MID(VLOOKUP($B116,Seqs!$A:$B,2,0),U116,1),"")</f>
        <v>G</v>
      </c>
      <c r="U116" s="3">
        <v>102</v>
      </c>
      <c r="V116" s="3" t="str">
        <f>IFERROR(MID(VLOOKUP($B116,Seqs!$A:$B,2,0),W116,1),"")</f>
        <v>S</v>
      </c>
      <c r="W116" s="3">
        <v>137</v>
      </c>
      <c r="X116" s="3" t="str">
        <f>IFERROR(MID(VLOOKUP($B116,Seqs!$A:$B,2,0),Y116,1),"")</f>
        <v/>
      </c>
      <c r="Y116" s="3" t="s">
        <v>23</v>
      </c>
      <c r="Z116" s="3" t="str">
        <f>IFERROR(MID(VLOOKUP($B116,Seqs!$A:$B,2,0),AA116,1),"")</f>
        <v/>
      </c>
      <c r="AA116" s="3" t="s">
        <v>23</v>
      </c>
      <c r="AB116" s="3" t="str">
        <f>IFERROR(MID(VLOOKUP($B116,Seqs!$A:$B,2,0),AC116,1),"")</f>
        <v>T</v>
      </c>
      <c r="AC116" s="9">
        <v>146</v>
      </c>
      <c r="AD116" s="3" t="str">
        <f>IFERROR(MID(VLOOKUP($B116,Seqs!$A:$B,2,0),AE116,1),"")</f>
        <v>H</v>
      </c>
      <c r="AE116" s="3">
        <v>172</v>
      </c>
      <c r="AF116" s="3" t="str">
        <f>IFERROR(MID(VLOOKUP($B116,Seqs!$A:$B,2,0),AG116,1),"")</f>
        <v>C</v>
      </c>
      <c r="AG116" s="3">
        <v>191</v>
      </c>
      <c r="AH116" s="3" t="str">
        <f>IFERROR(MID(VLOOKUP($B116,Seqs!$A:$B,2,0),AI116,1),"")</f>
        <v>F</v>
      </c>
      <c r="AI116" s="3">
        <v>193</v>
      </c>
      <c r="AJ116" s="3" t="str">
        <f>IFERROR(MID(VLOOKUP($B116,Seqs!$A:$B,2,0),AK116,1),"")</f>
        <v>N</v>
      </c>
      <c r="AK116" s="3">
        <v>196</v>
      </c>
      <c r="AL116" s="3" t="str">
        <f>IFERROR(MID(VLOOKUP($B116,Seqs!$A:$B,2,0),AM116,1),"")</f>
        <v>Q</v>
      </c>
      <c r="AM116" s="3">
        <v>229</v>
      </c>
      <c r="AN116" s="3" t="str">
        <f>IFERROR(MID(VLOOKUP($B116,Seqs!$A:$B,2,0),AO116,1),"")</f>
        <v>K</v>
      </c>
      <c r="AO116" s="3">
        <v>267</v>
      </c>
      <c r="AP116" s="3" t="str">
        <f>IFERROR(MID(VLOOKUP($B116,Seqs!$A:$B,2,0),AQ116,1),"")</f>
        <v>Q</v>
      </c>
      <c r="AQ116" s="3">
        <v>299</v>
      </c>
      <c r="AR116" s="3" t="str">
        <f>IFERROR(MID(VLOOKUP($B116,Seqs!$A:$B,2,0),AS116,1),"")</f>
        <v>R</v>
      </c>
      <c r="AS116" s="3">
        <v>304</v>
      </c>
      <c r="AT116" s="3" t="str">
        <f>IFERROR(MID(VLOOKUP($B116,Seqs!$A:$B,2,0),AU116,1),"")</f>
        <v>R</v>
      </c>
      <c r="AU116" s="3">
        <v>328</v>
      </c>
      <c r="AV116" s="3" t="str">
        <f>IFERROR(MID(VLOOKUP($B116,Seqs!$A:$B,2,0),AW116,1),"")</f>
        <v>S</v>
      </c>
      <c r="AW116" s="3">
        <v>329</v>
      </c>
      <c r="AX116" s="3" t="str">
        <f>IFERROR(MID(VLOOKUP($B116,Seqs!$A:$B,2,0),AY116,1),"")</f>
        <v>C</v>
      </c>
      <c r="AY116" s="3">
        <v>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448"/>
        <v>1</v>
      </c>
      <c r="BC116" s="23">
        <f t="shared" si="645"/>
        <v>241</v>
      </c>
      <c r="BD116" s="4" t="s">
        <v>23</v>
      </c>
      <c r="BE116" s="3" t="s">
        <v>1374</v>
      </c>
      <c r="BF116" s="119">
        <v>2.84</v>
      </c>
      <c r="BG116" s="49" t="s">
        <v>1377</v>
      </c>
      <c r="BH116" s="49" t="s">
        <v>1377</v>
      </c>
      <c r="BI116" s="1"/>
      <c r="BJ116" s="70" t="s">
        <v>1287</v>
      </c>
      <c r="BK116" s="57" t="s">
        <v>1287</v>
      </c>
      <c r="BL116" s="57" t="s">
        <v>1287</v>
      </c>
      <c r="BM116" s="57" t="s">
        <v>1287</v>
      </c>
      <c r="BN116" s="57" t="s">
        <v>1287</v>
      </c>
      <c r="BO116" s="57" t="s">
        <v>1287</v>
      </c>
      <c r="BP116" s="57" t="s">
        <v>1287</v>
      </c>
      <c r="BQ116" s="57" t="s">
        <v>1287</v>
      </c>
      <c r="BR116" s="57" t="s">
        <v>1287</v>
      </c>
      <c r="BS116" s="57" t="s">
        <v>1287</v>
      </c>
      <c r="BT116" s="57" t="s">
        <v>1287</v>
      </c>
      <c r="BU116" s="57" t="s">
        <v>1287</v>
      </c>
      <c r="BV116" s="70">
        <f t="shared" si="646"/>
        <v>32</v>
      </c>
      <c r="BW116" s="71">
        <f t="shared" si="647"/>
        <v>62</v>
      </c>
      <c r="BX116" s="72">
        <f t="shared" si="648"/>
        <v>66</v>
      </c>
      <c r="BY116" s="71">
        <f t="shared" si="649"/>
        <v>98</v>
      </c>
      <c r="BZ116" s="72">
        <f t="shared" si="650"/>
        <v>102</v>
      </c>
      <c r="CA116" s="71" t="str">
        <f t="shared" si="651"/>
        <v>-</v>
      </c>
      <c r="CB116" s="72">
        <f t="shared" si="652"/>
        <v>146</v>
      </c>
      <c r="CC116" s="71">
        <f t="shared" si="653"/>
        <v>191</v>
      </c>
      <c r="CD116" s="72">
        <f t="shared" si="654"/>
        <v>196</v>
      </c>
      <c r="CE116" s="71">
        <f t="shared" si="655"/>
        <v>267</v>
      </c>
      <c r="CF116" s="72">
        <f t="shared" si="656"/>
        <v>304</v>
      </c>
      <c r="CG116" s="71">
        <f t="shared" si="657"/>
        <v>329</v>
      </c>
      <c r="CH116" s="70">
        <f t="shared" si="658"/>
        <v>61</v>
      </c>
      <c r="CI116" s="71">
        <f t="shared" si="659"/>
        <v>65</v>
      </c>
      <c r="CJ116" s="72">
        <f t="shared" si="660"/>
        <v>96</v>
      </c>
      <c r="CK116" s="72">
        <f t="shared" si="661"/>
        <v>101</v>
      </c>
      <c r="CL116" s="72">
        <f t="shared" si="662"/>
        <v>137</v>
      </c>
      <c r="CM116" s="72" t="str">
        <f t="shared" si="663"/>
        <v>-</v>
      </c>
      <c r="CN116" s="72">
        <f t="shared" si="664"/>
        <v>172</v>
      </c>
      <c r="CO116" s="72">
        <f t="shared" si="665"/>
        <v>193</v>
      </c>
      <c r="CP116" s="72">
        <f t="shared" si="666"/>
        <v>229</v>
      </c>
      <c r="CQ116" s="72">
        <f t="shared" si="667"/>
        <v>299</v>
      </c>
      <c r="CR116" s="72">
        <f t="shared" si="668"/>
        <v>328</v>
      </c>
      <c r="CS116" s="72">
        <f t="shared" si="669"/>
        <v>341</v>
      </c>
      <c r="CT116" s="23">
        <f t="shared" si="670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447"/>
        <v>adrb2_human_3NYA</v>
      </c>
      <c r="B117" s="3" t="s">
        <v>126</v>
      </c>
      <c r="C117" s="3" t="s">
        <v>1334</v>
      </c>
      <c r="D117" s="3" t="str">
        <f>IFERROR(MID(VLOOKUP($B117,Seqs!$A:$B,2,0),E117,1),"")</f>
        <v>W</v>
      </c>
      <c r="E117" s="3">
        <v>32</v>
      </c>
      <c r="F117" s="3" t="str">
        <f>IFERROR(MID(VLOOKUP($B117,Seqs!$A:$B,2,0),G117,1),"")</f>
        <v>F</v>
      </c>
      <c r="G117" s="3">
        <v>61</v>
      </c>
      <c r="H117" s="3" t="str">
        <f>IFERROR(MID(VLOOKUP($B117,Seqs!$A:$B,2,0),I117,1),"")</f>
        <v>E</v>
      </c>
      <c r="I117" s="23">
        <v>62</v>
      </c>
      <c r="J117" s="3" t="str">
        <f>IFERROR(MID(VLOOKUP($B117,Seqs!$A:$B,2,0),K117,1),"")</f>
        <v>Q</v>
      </c>
      <c r="K117" s="23">
        <v>65</v>
      </c>
      <c r="L117" s="3" t="str">
        <f>IFERROR(MID(VLOOKUP($B117,Seqs!$A:$B,2,0),M117,1),"")</f>
        <v>T</v>
      </c>
      <c r="M117" s="3">
        <v>66</v>
      </c>
      <c r="N117" s="3" t="str">
        <f>IFERROR(MID(VLOOKUP($B117,Seqs!$A:$B,2,0),O117,1),"")</f>
        <v>M</v>
      </c>
      <c r="O117" s="3">
        <v>96</v>
      </c>
      <c r="P117" s="3" t="str">
        <f>IFERROR(MID(VLOOKUP($B117,Seqs!$A:$B,2,0),Q117,1),"")</f>
        <v>M</v>
      </c>
      <c r="Q117" s="3">
        <v>98</v>
      </c>
      <c r="R117" s="3" t="str">
        <f>IFERROR(MID(VLOOKUP($B117,Seqs!$A:$B,2,0),S117,1),"")</f>
        <v>F</v>
      </c>
      <c r="S117" s="3">
        <v>101</v>
      </c>
      <c r="T117" s="3" t="str">
        <f>IFERROR(MID(VLOOKUP($B117,Seqs!$A:$B,2,0),U117,1),"")</f>
        <v>G</v>
      </c>
      <c r="U117" s="3">
        <v>102</v>
      </c>
      <c r="V117" s="3" t="str">
        <f>IFERROR(MID(VLOOKUP($B117,Seqs!$A:$B,2,0),W117,1),"")</f>
        <v>S</v>
      </c>
      <c r="W117" s="3">
        <v>137</v>
      </c>
      <c r="X117" s="3" t="str">
        <f>IFERROR(MID(VLOOKUP($B117,Seqs!$A:$B,2,0),Y117,1),"")</f>
        <v/>
      </c>
      <c r="Y117" s="3" t="s">
        <v>23</v>
      </c>
      <c r="Z117" s="3" t="str">
        <f>IFERROR(MID(VLOOKUP($B117,Seqs!$A:$B,2,0),AA117,1),"")</f>
        <v/>
      </c>
      <c r="AA117" s="3" t="s">
        <v>23</v>
      </c>
      <c r="AB117" s="3" t="str">
        <f>IFERROR(MID(VLOOKUP($B117,Seqs!$A:$B,2,0),AC117,1),"")</f>
        <v>T</v>
      </c>
      <c r="AC117" s="9">
        <v>146</v>
      </c>
      <c r="AD117" s="3" t="str">
        <f>IFERROR(MID(VLOOKUP($B117,Seqs!$A:$B,2,0),AE117,1),"")</f>
        <v>H</v>
      </c>
      <c r="AE117" s="3">
        <v>172</v>
      </c>
      <c r="AF117" s="3" t="str">
        <f>IFERROR(MID(VLOOKUP($B117,Seqs!$A:$B,2,0),AG117,1),"")</f>
        <v>C</v>
      </c>
      <c r="AG117" s="3">
        <v>191</v>
      </c>
      <c r="AH117" s="3" t="str">
        <f>IFERROR(MID(VLOOKUP($B117,Seqs!$A:$B,2,0),AI117,1),"")</f>
        <v>F</v>
      </c>
      <c r="AI117" s="3">
        <v>193</v>
      </c>
      <c r="AJ117" s="3" t="str">
        <f>IFERROR(MID(VLOOKUP($B117,Seqs!$A:$B,2,0),AK117,1),"")</f>
        <v>N</v>
      </c>
      <c r="AK117" s="3">
        <v>196</v>
      </c>
      <c r="AL117" s="3" t="str">
        <f>IFERROR(MID(VLOOKUP($B117,Seqs!$A:$B,2,0),AM117,1),"")</f>
        <v>Q</v>
      </c>
      <c r="AM117" s="3">
        <v>229</v>
      </c>
      <c r="AN117" s="3" t="str">
        <f>IFERROR(MID(VLOOKUP($B117,Seqs!$A:$B,2,0),AO117,1),"")</f>
        <v>K</v>
      </c>
      <c r="AO117" s="3">
        <v>267</v>
      </c>
      <c r="AP117" s="3" t="str">
        <f>IFERROR(MID(VLOOKUP($B117,Seqs!$A:$B,2,0),AQ117,1),"")</f>
        <v>Q</v>
      </c>
      <c r="AQ117" s="3">
        <v>299</v>
      </c>
      <c r="AR117" s="3" t="str">
        <f>IFERROR(MID(VLOOKUP($B117,Seqs!$A:$B,2,0),AS117,1),"")</f>
        <v>R</v>
      </c>
      <c r="AS117" s="3">
        <v>304</v>
      </c>
      <c r="AT117" s="3" t="str">
        <f>IFERROR(MID(VLOOKUP($B117,Seqs!$A:$B,2,0),AU117,1),"")</f>
        <v>R</v>
      </c>
      <c r="AU117" s="3">
        <v>328</v>
      </c>
      <c r="AV117" s="3" t="str">
        <f>IFERROR(MID(VLOOKUP($B117,Seqs!$A:$B,2,0),AW117,1),"")</f>
        <v>S</v>
      </c>
      <c r="AW117" s="3">
        <v>329</v>
      </c>
      <c r="AX117" s="3" t="str">
        <f>IFERROR(MID(VLOOKUP($B117,Seqs!$A:$B,2,0),AY117,1),"")</f>
        <v>C</v>
      </c>
      <c r="AY117" s="3">
        <v>341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448"/>
        <v>1</v>
      </c>
      <c r="BC117" s="23">
        <f t="shared" si="645"/>
        <v>241</v>
      </c>
      <c r="BD117" s="4" t="s">
        <v>23</v>
      </c>
      <c r="BE117" s="3" t="s">
        <v>1374</v>
      </c>
      <c r="BF117" s="119">
        <v>3.16</v>
      </c>
      <c r="BG117" s="49" t="s">
        <v>1377</v>
      </c>
      <c r="BH117" s="49" t="s">
        <v>1377</v>
      </c>
      <c r="BI117" s="1"/>
      <c r="BJ117" s="70" t="s">
        <v>1287</v>
      </c>
      <c r="BK117" s="57" t="s">
        <v>1287</v>
      </c>
      <c r="BL117" s="57" t="s">
        <v>1287</v>
      </c>
      <c r="BM117" s="57" t="s">
        <v>1287</v>
      </c>
      <c r="BN117" s="57" t="s">
        <v>1287</v>
      </c>
      <c r="BO117" s="57" t="s">
        <v>1287</v>
      </c>
      <c r="BP117" s="57" t="s">
        <v>1287</v>
      </c>
      <c r="BQ117" s="57" t="s">
        <v>1287</v>
      </c>
      <c r="BR117" s="57" t="s">
        <v>1287</v>
      </c>
      <c r="BS117" s="57" t="s">
        <v>1287</v>
      </c>
      <c r="BT117" s="57" t="s">
        <v>1287</v>
      </c>
      <c r="BU117" s="57" t="s">
        <v>1287</v>
      </c>
      <c r="BV117" s="70">
        <f t="shared" si="646"/>
        <v>32</v>
      </c>
      <c r="BW117" s="71">
        <f t="shared" si="647"/>
        <v>62</v>
      </c>
      <c r="BX117" s="72">
        <f t="shared" si="648"/>
        <v>66</v>
      </c>
      <c r="BY117" s="71">
        <f t="shared" si="649"/>
        <v>98</v>
      </c>
      <c r="BZ117" s="72">
        <f t="shared" si="650"/>
        <v>102</v>
      </c>
      <c r="CA117" s="71" t="str">
        <f t="shared" si="651"/>
        <v>-</v>
      </c>
      <c r="CB117" s="72">
        <f t="shared" si="652"/>
        <v>146</v>
      </c>
      <c r="CC117" s="71">
        <f t="shared" si="653"/>
        <v>191</v>
      </c>
      <c r="CD117" s="72">
        <f t="shared" si="654"/>
        <v>196</v>
      </c>
      <c r="CE117" s="71">
        <f t="shared" si="655"/>
        <v>267</v>
      </c>
      <c r="CF117" s="72">
        <f t="shared" si="656"/>
        <v>304</v>
      </c>
      <c r="CG117" s="71">
        <f t="shared" si="657"/>
        <v>329</v>
      </c>
      <c r="CH117" s="70">
        <f t="shared" si="658"/>
        <v>61</v>
      </c>
      <c r="CI117" s="71">
        <f t="shared" si="659"/>
        <v>65</v>
      </c>
      <c r="CJ117" s="72">
        <f t="shared" si="660"/>
        <v>96</v>
      </c>
      <c r="CK117" s="72">
        <f t="shared" si="661"/>
        <v>101</v>
      </c>
      <c r="CL117" s="72">
        <f t="shared" si="662"/>
        <v>137</v>
      </c>
      <c r="CM117" s="72" t="str">
        <f t="shared" si="663"/>
        <v>-</v>
      </c>
      <c r="CN117" s="72">
        <f t="shared" si="664"/>
        <v>172</v>
      </c>
      <c r="CO117" s="72">
        <f t="shared" si="665"/>
        <v>193</v>
      </c>
      <c r="CP117" s="72">
        <f t="shared" si="666"/>
        <v>229</v>
      </c>
      <c r="CQ117" s="72">
        <f t="shared" si="667"/>
        <v>299</v>
      </c>
      <c r="CR117" s="72">
        <f t="shared" si="668"/>
        <v>328</v>
      </c>
      <c r="CS117" s="72">
        <f t="shared" si="669"/>
        <v>341</v>
      </c>
      <c r="CT117" s="23">
        <f t="shared" si="670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447"/>
        <v>adrb2_human_3P0G</v>
      </c>
      <c r="B118" s="3" t="s">
        <v>126</v>
      </c>
      <c r="C118" s="3" t="s">
        <v>66</v>
      </c>
      <c r="D118" s="3" t="str">
        <f>IFERROR(MID(VLOOKUP($B118,Seqs!$A:$B,2,0),E118,1),"")</f>
        <v>Q</v>
      </c>
      <c r="E118" s="3">
        <v>26</v>
      </c>
      <c r="F118" s="3" t="str">
        <f>IFERROR(MID(VLOOKUP($B118,Seqs!$A:$B,2,0),G118,1),"")</f>
        <v>F</v>
      </c>
      <c r="G118" s="3">
        <v>61</v>
      </c>
      <c r="H118" s="3" t="str">
        <f>IFERROR(MID(VLOOKUP($B118,Seqs!$A:$B,2,0),I118,1),"")</f>
        <v>E</v>
      </c>
      <c r="I118" s="23">
        <v>62</v>
      </c>
      <c r="J118" s="3" t="str">
        <f>IFERROR(MID(VLOOKUP($B118,Seqs!$A:$B,2,0),K118,1),"")</f>
        <v>Q</v>
      </c>
      <c r="K118" s="23">
        <v>65</v>
      </c>
      <c r="L118" s="3" t="str">
        <f>IFERROR(MID(VLOOKUP($B118,Seqs!$A:$B,2,0),M118,1),"")</f>
        <v>T</v>
      </c>
      <c r="M118" s="3">
        <v>66</v>
      </c>
      <c r="N118" s="3" t="str">
        <f>IFERROR(MID(VLOOKUP($B118,Seqs!$A:$B,2,0),O118,1),"")</f>
        <v>M</v>
      </c>
      <c r="O118" s="3">
        <v>96</v>
      </c>
      <c r="P118" s="3" t="str">
        <f>IFERROR(MID(VLOOKUP($B118,Seqs!$A:$B,2,0),Q118,1),"")</f>
        <v>M</v>
      </c>
      <c r="Q118" s="3">
        <v>98</v>
      </c>
      <c r="R118" s="3" t="str">
        <f>IFERROR(MID(VLOOKUP($B118,Seqs!$A:$B,2,0),S118,1),"")</f>
        <v>F</v>
      </c>
      <c r="S118" s="3">
        <v>101</v>
      </c>
      <c r="T118" s="3" t="str">
        <f>IFERROR(MID(VLOOKUP($B118,Seqs!$A:$B,2,0),U118,1),"")</f>
        <v>G</v>
      </c>
      <c r="U118" s="3">
        <v>102</v>
      </c>
      <c r="V118" s="3" t="str">
        <f>IFERROR(MID(VLOOKUP($B118,Seqs!$A:$B,2,0),W118,1),"")</f>
        <v>S</v>
      </c>
      <c r="W118" s="3">
        <v>137</v>
      </c>
      <c r="X118" s="3" t="str">
        <f>IFERROR(MID(VLOOKUP($B118,Seqs!$A:$B,2,0),Y118,1),"")</f>
        <v>P</v>
      </c>
      <c r="Y118" s="3">
        <v>138</v>
      </c>
      <c r="Z118" s="3" t="str">
        <f>IFERROR(MID(VLOOKUP($B118,Seqs!$A:$B,2,0),AA118,1),"")</f>
        <v>L</v>
      </c>
      <c r="AA118" s="3">
        <v>145</v>
      </c>
      <c r="AB118" s="3" t="str">
        <f>IFERROR(MID(VLOOKUP($B118,Seqs!$A:$B,2,0),AC118,1),"")</f>
        <v>T</v>
      </c>
      <c r="AC118" s="9">
        <v>146</v>
      </c>
      <c r="AD118" s="3" t="str">
        <f>IFERROR(MID(VLOOKUP($B118,Seqs!$A:$B,2,0),AE118,1),"")</f>
        <v>H</v>
      </c>
      <c r="AE118" s="3">
        <v>172</v>
      </c>
      <c r="AF118" s="3" t="str">
        <f>IFERROR(MID(VLOOKUP($B118,Seqs!$A:$B,2,0),AG118,1),"")</f>
        <v>C</v>
      </c>
      <c r="AG118" s="3">
        <v>191</v>
      </c>
      <c r="AH118" s="3" t="str">
        <f>IFERROR(MID(VLOOKUP($B118,Seqs!$A:$B,2,0),AI118,1),"")</f>
        <v>F</v>
      </c>
      <c r="AI118" s="3">
        <v>193</v>
      </c>
      <c r="AJ118" s="3" t="str">
        <f>IFERROR(MID(VLOOKUP($B118,Seqs!$A:$B,2,0),AK118,1),"")</f>
        <v>N</v>
      </c>
      <c r="AK118" s="3">
        <v>196</v>
      </c>
      <c r="AL118" s="3" t="str">
        <f>IFERROR(MID(VLOOKUP($B118,Seqs!$A:$B,2,0),AM118,1),"")</f>
        <v>A</v>
      </c>
      <c r="AM118" s="3">
        <v>226</v>
      </c>
      <c r="AN118" s="3" t="str">
        <f>IFERROR(MID(VLOOKUP($B118,Seqs!$A:$B,2,0),AO118,1),"")</f>
        <v>H</v>
      </c>
      <c r="AO118" s="3">
        <v>269</v>
      </c>
      <c r="AP118" s="3" t="str">
        <f>IFERROR(MID(VLOOKUP($B118,Seqs!$A:$B,2,0),AQ118,1),"")</f>
        <v>Q</v>
      </c>
      <c r="AQ118" s="3">
        <v>299</v>
      </c>
      <c r="AR118" s="3" t="str">
        <f>IFERROR(MID(VLOOKUP($B118,Seqs!$A:$B,2,0),AS118,1),"")</f>
        <v>R</v>
      </c>
      <c r="AS118" s="3">
        <v>304</v>
      </c>
      <c r="AT118" s="3" t="str">
        <f>IFERROR(MID(VLOOKUP($B118,Seqs!$A:$B,2,0),AU118,1),"")</f>
        <v>R</v>
      </c>
      <c r="AU118" s="3">
        <v>328</v>
      </c>
      <c r="AV118" s="3" t="str">
        <f>IFERROR(MID(VLOOKUP($B118,Seqs!$A:$B,2,0),AW118,1),"")</f>
        <v>S</v>
      </c>
      <c r="AW118" s="3">
        <v>329</v>
      </c>
      <c r="AX118" s="3" t="str">
        <f>IFERROR(MID(VLOOKUP($B118,Seqs!$A:$B,2,0),AY118,1),"")</f>
        <v>C</v>
      </c>
      <c r="AY118" s="3">
        <v>341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448"/>
        <v>1</v>
      </c>
      <c r="BC118" s="23">
        <f t="shared" si="645"/>
        <v>249</v>
      </c>
      <c r="BD118" s="16" t="s">
        <v>23</v>
      </c>
      <c r="BE118" s="3" t="s">
        <v>1291</v>
      </c>
      <c r="BF118" s="119">
        <v>3.5</v>
      </c>
      <c r="BG118" s="49" t="s">
        <v>1377</v>
      </c>
      <c r="BH118" s="49" t="s">
        <v>1377</v>
      </c>
      <c r="BI118" s="1"/>
      <c r="BJ118" s="70" t="s">
        <v>1287</v>
      </c>
      <c r="BK118" s="57" t="s">
        <v>1287</v>
      </c>
      <c r="BL118" s="57" t="s">
        <v>1287</v>
      </c>
      <c r="BM118" s="57" t="s">
        <v>1287</v>
      </c>
      <c r="BN118" s="57" t="s">
        <v>1287</v>
      </c>
      <c r="BO118" s="57" t="s">
        <v>1287</v>
      </c>
      <c r="BP118" s="57" t="s">
        <v>1287</v>
      </c>
      <c r="BQ118" s="57" t="s">
        <v>1287</v>
      </c>
      <c r="BR118" s="57" t="s">
        <v>1287</v>
      </c>
      <c r="BS118" s="57" t="s">
        <v>1287</v>
      </c>
      <c r="BT118" s="57" t="s">
        <v>1287</v>
      </c>
      <c r="BU118" s="57" t="s">
        <v>1287</v>
      </c>
      <c r="BV118" s="70">
        <f t="shared" si="646"/>
        <v>26</v>
      </c>
      <c r="BW118" s="71">
        <f t="shared" si="647"/>
        <v>62</v>
      </c>
      <c r="BX118" s="72">
        <f t="shared" si="648"/>
        <v>66</v>
      </c>
      <c r="BY118" s="71">
        <f t="shared" si="649"/>
        <v>98</v>
      </c>
      <c r="BZ118" s="72">
        <f t="shared" si="650"/>
        <v>102</v>
      </c>
      <c r="CA118" s="71">
        <f t="shared" si="651"/>
        <v>138</v>
      </c>
      <c r="CB118" s="72">
        <f t="shared" si="652"/>
        <v>146</v>
      </c>
      <c r="CC118" s="71">
        <f t="shared" si="653"/>
        <v>191</v>
      </c>
      <c r="CD118" s="72">
        <f t="shared" si="654"/>
        <v>196</v>
      </c>
      <c r="CE118" s="71">
        <f t="shared" si="655"/>
        <v>269</v>
      </c>
      <c r="CF118" s="72">
        <f t="shared" si="656"/>
        <v>304</v>
      </c>
      <c r="CG118" s="71">
        <f t="shared" si="657"/>
        <v>329</v>
      </c>
      <c r="CH118" s="70">
        <f t="shared" si="658"/>
        <v>61</v>
      </c>
      <c r="CI118" s="71">
        <f t="shared" si="659"/>
        <v>65</v>
      </c>
      <c r="CJ118" s="72">
        <f t="shared" si="660"/>
        <v>96</v>
      </c>
      <c r="CK118" s="72">
        <f t="shared" si="661"/>
        <v>101</v>
      </c>
      <c r="CL118" s="72">
        <f t="shared" si="662"/>
        <v>137</v>
      </c>
      <c r="CM118" s="72">
        <f t="shared" si="663"/>
        <v>145</v>
      </c>
      <c r="CN118" s="72">
        <f t="shared" si="664"/>
        <v>172</v>
      </c>
      <c r="CO118" s="72">
        <f t="shared" si="665"/>
        <v>193</v>
      </c>
      <c r="CP118" s="72">
        <f t="shared" si="666"/>
        <v>226</v>
      </c>
      <c r="CQ118" s="72">
        <f t="shared" si="667"/>
        <v>299</v>
      </c>
      <c r="CR118" s="72">
        <f t="shared" si="668"/>
        <v>328</v>
      </c>
      <c r="CS118" s="72">
        <f t="shared" si="669"/>
        <v>341</v>
      </c>
      <c r="CT118" s="23">
        <f t="shared" si="670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447"/>
        <v>adrb2_human_3PDS</v>
      </c>
      <c r="B119" s="3" t="s">
        <v>126</v>
      </c>
      <c r="C119" s="3" t="s">
        <v>1335</v>
      </c>
      <c r="D119" s="3" t="str">
        <f>IFERROR(MID(VLOOKUP($B119,Seqs!$A:$B,2,0),E119,1),"")</f>
        <v>D</v>
      </c>
      <c r="E119" s="3">
        <v>29</v>
      </c>
      <c r="F119" s="3" t="str">
        <f>IFERROR(MID(VLOOKUP($B119,Seqs!$A:$B,2,0),G119,1),"")</f>
        <v>F</v>
      </c>
      <c r="G119" s="3">
        <v>61</v>
      </c>
      <c r="H119" s="3" t="str">
        <f>IFERROR(MID(VLOOKUP($B119,Seqs!$A:$B,2,0),I119,1),"")</f>
        <v>E</v>
      </c>
      <c r="I119" s="23">
        <v>62</v>
      </c>
      <c r="J119" s="3" t="str">
        <f>IFERROR(MID(VLOOKUP($B119,Seqs!$A:$B,2,0),K119,1),"")</f>
        <v>Q</v>
      </c>
      <c r="K119" s="23">
        <v>65</v>
      </c>
      <c r="L119" s="3" t="str">
        <f>IFERROR(MID(VLOOKUP($B119,Seqs!$A:$B,2,0),M119,1),"")</f>
        <v>T</v>
      </c>
      <c r="M119" s="3">
        <v>66</v>
      </c>
      <c r="N119" s="3" t="str">
        <f>IFERROR(MID(VLOOKUP($B119,Seqs!$A:$B,2,0),O119,1),"")</f>
        <v>M</v>
      </c>
      <c r="O119" s="3">
        <v>96</v>
      </c>
      <c r="P119" s="3" t="str">
        <f>IFERROR(MID(VLOOKUP($B119,Seqs!$A:$B,2,0),Q119,1),"")</f>
        <v>M</v>
      </c>
      <c r="Q119" s="3">
        <v>98</v>
      </c>
      <c r="R119" s="3" t="str">
        <f>IFERROR(MID(VLOOKUP($B119,Seqs!$A:$B,2,0),S119,1),"")</f>
        <v>F</v>
      </c>
      <c r="S119" s="3">
        <v>101</v>
      </c>
      <c r="T119" s="3" t="str">
        <f>IFERROR(MID(VLOOKUP($B119,Seqs!$A:$B,2,0),U119,1),"")</f>
        <v>G</v>
      </c>
      <c r="U119" s="3">
        <v>102</v>
      </c>
      <c r="V119" s="3" t="str">
        <f>IFERROR(MID(VLOOKUP($B119,Seqs!$A:$B,2,0),W119,1),"")</f>
        <v>S</v>
      </c>
      <c r="W119" s="3">
        <v>137</v>
      </c>
      <c r="X119" s="3" t="str">
        <f>IFERROR(MID(VLOOKUP($B119,Seqs!$A:$B,2,0),Y119,1),"")</f>
        <v/>
      </c>
      <c r="Y119" s="3" t="s">
        <v>23</v>
      </c>
      <c r="Z119" s="3" t="str">
        <f>IFERROR(MID(VLOOKUP($B119,Seqs!$A:$B,2,0),AA119,1),"")</f>
        <v/>
      </c>
      <c r="AA119" s="3" t="s">
        <v>23</v>
      </c>
      <c r="AB119" s="3" t="str">
        <f>IFERROR(MID(VLOOKUP($B119,Seqs!$A:$B,2,0),AC119,1),"")</f>
        <v>T</v>
      </c>
      <c r="AC119" s="9">
        <v>146</v>
      </c>
      <c r="AD119" s="3" t="str">
        <f>IFERROR(MID(VLOOKUP($B119,Seqs!$A:$B,2,0),AE119,1),"")</f>
        <v>H</v>
      </c>
      <c r="AE119" s="3">
        <v>172</v>
      </c>
      <c r="AF119" s="3" t="str">
        <f>IFERROR(MID(VLOOKUP($B119,Seqs!$A:$B,2,0),AG119,1),"")</f>
        <v>C</v>
      </c>
      <c r="AG119" s="3">
        <v>191</v>
      </c>
      <c r="AH119" s="3" t="str">
        <f>IFERROR(MID(VLOOKUP($B119,Seqs!$A:$B,2,0),AI119,1),"")</f>
        <v>F</v>
      </c>
      <c r="AI119" s="3">
        <v>193</v>
      </c>
      <c r="AJ119" s="3" t="str">
        <f>IFERROR(MID(VLOOKUP($B119,Seqs!$A:$B,2,0),AK119,1),"")</f>
        <v>N</v>
      </c>
      <c r="AK119" s="3">
        <v>196</v>
      </c>
      <c r="AL119" s="3" t="str">
        <f>IFERROR(MID(VLOOKUP($B119,Seqs!$A:$B,2,0),AM119,1),"")</f>
        <v>Q</v>
      </c>
      <c r="AM119" s="3">
        <v>229</v>
      </c>
      <c r="AN119" s="3" t="str">
        <f>IFERROR(MID(VLOOKUP($B119,Seqs!$A:$B,2,0),AO119,1),"")</f>
        <v>L</v>
      </c>
      <c r="AO119" s="3">
        <v>266</v>
      </c>
      <c r="AP119" s="3" t="str">
        <f>IFERROR(MID(VLOOKUP($B119,Seqs!$A:$B,2,0),AQ119,1),"")</f>
        <v>Q</v>
      </c>
      <c r="AQ119" s="3">
        <v>299</v>
      </c>
      <c r="AR119" s="3" t="str">
        <f>IFERROR(MID(VLOOKUP($B119,Seqs!$A:$B,2,0),AS119,1),"")</f>
        <v>R</v>
      </c>
      <c r="AS119" s="3">
        <v>304</v>
      </c>
      <c r="AT119" s="3" t="str">
        <f>IFERROR(MID(VLOOKUP($B119,Seqs!$A:$B,2,0),AU119,1),"")</f>
        <v>R</v>
      </c>
      <c r="AU119" s="3">
        <v>328</v>
      </c>
      <c r="AV119" s="3" t="str">
        <f>IFERROR(MID(VLOOKUP($B119,Seqs!$A:$B,2,0),AW119,1),"")</f>
        <v>S</v>
      </c>
      <c r="AW119" s="3">
        <v>329</v>
      </c>
      <c r="AX119" s="3" t="str">
        <f>IFERROR(MID(VLOOKUP($B119,Seqs!$A:$B,2,0),AY119,1),"")</f>
        <v>C</v>
      </c>
      <c r="AY119" s="3">
        <v>341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448"/>
        <v>1</v>
      </c>
      <c r="BC119" s="23">
        <f t="shared" si="645"/>
        <v>245</v>
      </c>
      <c r="BD119" s="5" t="s">
        <v>23</v>
      </c>
      <c r="BE119" s="3" t="s">
        <v>1374</v>
      </c>
      <c r="BF119" s="119">
        <v>3.5</v>
      </c>
      <c r="BG119" s="49" t="s">
        <v>1377</v>
      </c>
      <c r="BH119" s="49" t="s">
        <v>1377</v>
      </c>
      <c r="BI119" s="1"/>
      <c r="BJ119" s="70" t="s">
        <v>1287</v>
      </c>
      <c r="BK119" s="57" t="s">
        <v>1287</v>
      </c>
      <c r="BL119" s="57" t="s">
        <v>1287</v>
      </c>
      <c r="BM119" s="57" t="s">
        <v>1287</v>
      </c>
      <c r="BN119" s="57" t="s">
        <v>1287</v>
      </c>
      <c r="BO119" s="57" t="s">
        <v>1287</v>
      </c>
      <c r="BP119" s="57" t="s">
        <v>1287</v>
      </c>
      <c r="BQ119" s="57" t="s">
        <v>1287</v>
      </c>
      <c r="BR119" s="57" t="s">
        <v>1287</v>
      </c>
      <c r="BS119" s="57" t="s">
        <v>1287</v>
      </c>
      <c r="BT119" s="57" t="s">
        <v>1287</v>
      </c>
      <c r="BU119" s="57" t="s">
        <v>1287</v>
      </c>
      <c r="BV119" s="70">
        <f t="shared" si="646"/>
        <v>29</v>
      </c>
      <c r="BW119" s="71">
        <f t="shared" si="647"/>
        <v>62</v>
      </c>
      <c r="BX119" s="72">
        <f t="shared" si="648"/>
        <v>66</v>
      </c>
      <c r="BY119" s="71">
        <f t="shared" si="649"/>
        <v>98</v>
      </c>
      <c r="BZ119" s="72">
        <f t="shared" si="650"/>
        <v>102</v>
      </c>
      <c r="CA119" s="71" t="str">
        <f t="shared" si="651"/>
        <v>-</v>
      </c>
      <c r="CB119" s="72">
        <f t="shared" si="652"/>
        <v>146</v>
      </c>
      <c r="CC119" s="71">
        <f t="shared" si="653"/>
        <v>191</v>
      </c>
      <c r="CD119" s="72">
        <f t="shared" si="654"/>
        <v>196</v>
      </c>
      <c r="CE119" s="71">
        <f t="shared" si="655"/>
        <v>266</v>
      </c>
      <c r="CF119" s="72">
        <f t="shared" si="656"/>
        <v>304</v>
      </c>
      <c r="CG119" s="71">
        <f t="shared" si="657"/>
        <v>329</v>
      </c>
      <c r="CH119" s="70">
        <f t="shared" si="658"/>
        <v>61</v>
      </c>
      <c r="CI119" s="71">
        <f t="shared" si="659"/>
        <v>65</v>
      </c>
      <c r="CJ119" s="72">
        <f t="shared" si="660"/>
        <v>96</v>
      </c>
      <c r="CK119" s="72">
        <f t="shared" si="661"/>
        <v>101</v>
      </c>
      <c r="CL119" s="72">
        <f t="shared" si="662"/>
        <v>137</v>
      </c>
      <c r="CM119" s="72" t="str">
        <f t="shared" si="663"/>
        <v>-</v>
      </c>
      <c r="CN119" s="72">
        <f t="shared" si="664"/>
        <v>172</v>
      </c>
      <c r="CO119" s="72">
        <f t="shared" si="665"/>
        <v>193</v>
      </c>
      <c r="CP119" s="72">
        <f t="shared" si="666"/>
        <v>229</v>
      </c>
      <c r="CQ119" s="72">
        <f t="shared" si="667"/>
        <v>299</v>
      </c>
      <c r="CR119" s="72">
        <f t="shared" si="668"/>
        <v>328</v>
      </c>
      <c r="CS119" s="72">
        <f t="shared" si="669"/>
        <v>341</v>
      </c>
      <c r="CT119" s="23">
        <f t="shared" si="670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ht="17" customHeight="1" x14ac:dyDescent="0.2">
      <c r="A120" s="3" t="str">
        <f t="shared" si="447"/>
        <v>adrb2_human_3SN6</v>
      </c>
      <c r="B120" s="3" t="s">
        <v>126</v>
      </c>
      <c r="C120" s="3" t="s">
        <v>85</v>
      </c>
      <c r="D120" s="3" t="str">
        <f>IFERROR(MID(VLOOKUP($B120,Seqs!$A:$B,2,0),E120,1),"")</f>
        <v>D</v>
      </c>
      <c r="E120" s="3">
        <v>29</v>
      </c>
      <c r="F120" s="3" t="str">
        <f>IFERROR(MID(VLOOKUP($B120,Seqs!$A:$B,2,0),G120,1),"")</f>
        <v>F</v>
      </c>
      <c r="G120" s="3">
        <v>61</v>
      </c>
      <c r="H120" s="3" t="str">
        <f>IFERROR(MID(VLOOKUP($B120,Seqs!$A:$B,2,0),I120,1),"")</f>
        <v>E</v>
      </c>
      <c r="I120" s="23">
        <v>62</v>
      </c>
      <c r="J120" s="3" t="str">
        <f>IFERROR(MID(VLOOKUP($B120,Seqs!$A:$B,2,0),K120,1),"")</f>
        <v>Q</v>
      </c>
      <c r="K120" s="23">
        <v>65</v>
      </c>
      <c r="L120" s="3" t="str">
        <f>IFERROR(MID(VLOOKUP($B120,Seqs!$A:$B,2,0),M120,1),"")</f>
        <v>T</v>
      </c>
      <c r="M120" s="3">
        <v>66</v>
      </c>
      <c r="N120" s="3" t="str">
        <f>IFERROR(MID(VLOOKUP($B120,Seqs!$A:$B,2,0),O120,1),"")</f>
        <v>M</v>
      </c>
      <c r="O120" s="3">
        <v>96</v>
      </c>
      <c r="P120" s="3" t="str">
        <f>IFERROR(MID(VLOOKUP($B120,Seqs!$A:$B,2,0),Q120,1),"")</f>
        <v>M</v>
      </c>
      <c r="Q120" s="3">
        <v>98</v>
      </c>
      <c r="R120" s="3" t="str">
        <f>IFERROR(MID(VLOOKUP($B120,Seqs!$A:$B,2,0),S120,1),"")</f>
        <v>F</v>
      </c>
      <c r="S120" s="3">
        <v>101</v>
      </c>
      <c r="T120" s="3" t="str">
        <f>IFERROR(MID(VLOOKUP($B120,Seqs!$A:$B,2,0),U120,1),"")</f>
        <v>G</v>
      </c>
      <c r="U120" s="3">
        <v>102</v>
      </c>
      <c r="V120" s="3" t="str">
        <f>IFERROR(MID(VLOOKUP($B120,Seqs!$A:$B,2,0),W120,1),"")</f>
        <v>S</v>
      </c>
      <c r="W120" s="3">
        <v>137</v>
      </c>
      <c r="X120" s="3" t="str">
        <f>IFERROR(MID(VLOOKUP($B120,Seqs!$A:$B,2,0),Y120,1),"")</f>
        <v>P</v>
      </c>
      <c r="Y120" s="3">
        <v>138</v>
      </c>
      <c r="Z120" s="3" t="str">
        <f>IFERROR(MID(VLOOKUP($B120,Seqs!$A:$B,2,0),AA120,1),"")</f>
        <v>L</v>
      </c>
      <c r="AA120" s="3">
        <v>145</v>
      </c>
      <c r="AB120" s="3" t="str">
        <f>IFERROR(MID(VLOOKUP($B120,Seqs!$A:$B,2,0),AC120,1),"")</f>
        <v>T</v>
      </c>
      <c r="AC120" s="9">
        <v>146</v>
      </c>
      <c r="AD120" s="3" t="str">
        <f>IFERROR(MID(VLOOKUP($B120,Seqs!$A:$B,2,0),AE120,1),"")</f>
        <v>H</v>
      </c>
      <c r="AE120" s="3">
        <v>172</v>
      </c>
      <c r="AF120" s="3" t="str">
        <f>IFERROR(MID(VLOOKUP($B120,Seqs!$A:$B,2,0),AG120,1),"")</f>
        <v>C</v>
      </c>
      <c r="AG120" s="3">
        <v>191</v>
      </c>
      <c r="AH120" s="3" t="str">
        <f>IFERROR(MID(VLOOKUP($B120,Seqs!$A:$B,2,0),AI120,1),"")</f>
        <v>F</v>
      </c>
      <c r="AI120" s="3">
        <v>193</v>
      </c>
      <c r="AJ120" s="3" t="str">
        <f>IFERROR(MID(VLOOKUP($B120,Seqs!$A:$B,2,0),AK120,1),"")</f>
        <v>N</v>
      </c>
      <c r="AK120" s="3">
        <v>196</v>
      </c>
      <c r="AL120" s="3" t="str">
        <f>IFERROR(MID(VLOOKUP($B120,Seqs!$A:$B,2,0),AM120,1),"")</f>
        <v>E</v>
      </c>
      <c r="AM120" s="3">
        <v>237</v>
      </c>
      <c r="AN120" s="3" t="str">
        <f>IFERROR(MID(VLOOKUP($B120,Seqs!$A:$B,2,0),AO120,1),"")</f>
        <v>C</v>
      </c>
      <c r="AO120" s="3">
        <v>265</v>
      </c>
      <c r="AP120" s="3" t="str">
        <f>IFERROR(MID(VLOOKUP($B120,Seqs!$A:$B,2,0),AQ120,1),"")</f>
        <v>Q</v>
      </c>
      <c r="AQ120" s="3">
        <v>299</v>
      </c>
      <c r="AR120" s="3" t="str">
        <f>IFERROR(MID(VLOOKUP($B120,Seqs!$A:$B,2,0),AS120,1),"")</f>
        <v>R</v>
      </c>
      <c r="AS120" s="3">
        <v>304</v>
      </c>
      <c r="AT120" s="3" t="str">
        <f>IFERROR(MID(VLOOKUP($B120,Seqs!$A:$B,2,0),AU120,1),"")</f>
        <v>R</v>
      </c>
      <c r="AU120" s="3">
        <v>328</v>
      </c>
      <c r="AV120" s="3" t="str">
        <f>IFERROR(MID(VLOOKUP($B120,Seqs!$A:$B,2,0),AW120,1),"")</f>
        <v>S</v>
      </c>
      <c r="AW120" s="3">
        <v>329</v>
      </c>
      <c r="AX120" s="3" t="str">
        <f>IFERROR(MID(VLOOKUP($B120,Seqs!$A:$B,2,0),AY120,1),"")</f>
        <v>C</v>
      </c>
      <c r="AY120" s="3">
        <v>341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448"/>
        <v>1</v>
      </c>
      <c r="BC120" s="23">
        <f t="shared" si="645"/>
        <v>261</v>
      </c>
      <c r="BD120" s="4" t="s">
        <v>1375</v>
      </c>
      <c r="BE120" s="3" t="s">
        <v>1291</v>
      </c>
      <c r="BF120" s="119">
        <v>3.2</v>
      </c>
      <c r="BG120" s="49" t="s">
        <v>1377</v>
      </c>
      <c r="BH120" s="49" t="s">
        <v>1377</v>
      </c>
      <c r="BI120" s="1"/>
      <c r="BJ120" s="70" t="s">
        <v>1287</v>
      </c>
      <c r="BK120" s="57" t="s">
        <v>1287</v>
      </c>
      <c r="BL120" s="57" t="s">
        <v>1287</v>
      </c>
      <c r="BM120" s="57" t="s">
        <v>1287</v>
      </c>
      <c r="BN120" s="57" t="s">
        <v>1287</v>
      </c>
      <c r="BO120" s="57" t="s">
        <v>1287</v>
      </c>
      <c r="BP120" s="57" t="s">
        <v>1287</v>
      </c>
      <c r="BQ120" s="57" t="s">
        <v>1287</v>
      </c>
      <c r="BR120" s="57" t="s">
        <v>1287</v>
      </c>
      <c r="BS120" s="57" t="s">
        <v>1287</v>
      </c>
      <c r="BT120" s="57" t="s">
        <v>1287</v>
      </c>
      <c r="BU120" s="57" t="s">
        <v>1287</v>
      </c>
      <c r="BV120" s="70">
        <f t="shared" si="646"/>
        <v>29</v>
      </c>
      <c r="BW120" s="71">
        <f t="shared" si="647"/>
        <v>62</v>
      </c>
      <c r="BX120" s="72">
        <f t="shared" si="648"/>
        <v>66</v>
      </c>
      <c r="BY120" s="71">
        <f t="shared" si="649"/>
        <v>98</v>
      </c>
      <c r="BZ120" s="72">
        <f t="shared" si="650"/>
        <v>102</v>
      </c>
      <c r="CA120" s="71">
        <f t="shared" si="651"/>
        <v>138</v>
      </c>
      <c r="CB120" s="72">
        <f t="shared" si="652"/>
        <v>146</v>
      </c>
      <c r="CC120" s="71">
        <f t="shared" si="653"/>
        <v>191</v>
      </c>
      <c r="CD120" s="72">
        <f t="shared" si="654"/>
        <v>196</v>
      </c>
      <c r="CE120" s="71">
        <f t="shared" si="655"/>
        <v>265</v>
      </c>
      <c r="CF120" s="72">
        <f t="shared" si="656"/>
        <v>304</v>
      </c>
      <c r="CG120" s="71">
        <f t="shared" si="657"/>
        <v>329</v>
      </c>
      <c r="CH120" s="70">
        <f t="shared" si="658"/>
        <v>61</v>
      </c>
      <c r="CI120" s="71">
        <f t="shared" si="659"/>
        <v>65</v>
      </c>
      <c r="CJ120" s="72">
        <f t="shared" si="660"/>
        <v>96</v>
      </c>
      <c r="CK120" s="72">
        <f t="shared" si="661"/>
        <v>101</v>
      </c>
      <c r="CL120" s="72">
        <f t="shared" si="662"/>
        <v>137</v>
      </c>
      <c r="CM120" s="72">
        <f t="shared" si="663"/>
        <v>145</v>
      </c>
      <c r="CN120" s="72">
        <f t="shared" si="664"/>
        <v>172</v>
      </c>
      <c r="CO120" s="72">
        <f t="shared" si="665"/>
        <v>193</v>
      </c>
      <c r="CP120" s="72">
        <f t="shared" si="666"/>
        <v>237</v>
      </c>
      <c r="CQ120" s="72">
        <f t="shared" si="667"/>
        <v>299</v>
      </c>
      <c r="CR120" s="72">
        <f t="shared" si="668"/>
        <v>328</v>
      </c>
      <c r="CS120" s="72">
        <f t="shared" si="669"/>
        <v>341</v>
      </c>
      <c r="CT120" s="23">
        <f t="shared" si="670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s="12" customFormat="1" ht="17" customHeight="1" x14ac:dyDescent="0.2">
      <c r="A121" s="9" t="str">
        <f t="shared" ref="A121" si="839">CONCATENATE(B121,"_",C121)</f>
        <v>adrb2_human_4GBR</v>
      </c>
      <c r="B121" s="9" t="s">
        <v>126</v>
      </c>
      <c r="C121" s="9" t="s">
        <v>1106</v>
      </c>
      <c r="D121" s="9" t="str">
        <f>IFERROR(MID(VLOOKUP($B121,Seqs!$A:$B,2,0),E121,1),"")</f>
        <v>D</v>
      </c>
      <c r="E121" s="9">
        <v>29</v>
      </c>
      <c r="F121" s="9" t="str">
        <f>IFERROR(MID(VLOOKUP($B121,Seqs!$A:$B,2,0),G121,1),"")</f>
        <v>F</v>
      </c>
      <c r="G121" s="9">
        <v>61</v>
      </c>
      <c r="H121" s="9" t="str">
        <f>IFERROR(MID(VLOOKUP($B121,Seqs!$A:$B,2,0),I121,1),"")</f>
        <v>E</v>
      </c>
      <c r="I121" s="109">
        <v>62</v>
      </c>
      <c r="J121" s="9" t="str">
        <f>IFERROR(MID(VLOOKUP($B121,Seqs!$A:$B,2,0),K121,1),"")</f>
        <v>Q</v>
      </c>
      <c r="K121" s="109">
        <v>65</v>
      </c>
      <c r="L121" s="9" t="str">
        <f>IFERROR(MID(VLOOKUP($B121,Seqs!$A:$B,2,0),M121,1),"")</f>
        <v>T</v>
      </c>
      <c r="M121" s="9">
        <v>66</v>
      </c>
      <c r="N121" s="9" t="str">
        <f>IFERROR(MID(VLOOKUP($B121,Seqs!$A:$B,2,0),O121,1),"")</f>
        <v>M</v>
      </c>
      <c r="O121" s="9">
        <v>96</v>
      </c>
      <c r="P121" s="9" t="str">
        <f>IFERROR(MID(VLOOKUP($B121,Seqs!$A:$B,2,0),Q121,1),"")</f>
        <v>M</v>
      </c>
      <c r="Q121" s="9">
        <v>98</v>
      </c>
      <c r="R121" s="9" t="str">
        <f>IFERROR(MID(VLOOKUP($B121,Seqs!$A:$B,2,0),S121,1),"")</f>
        <v>F</v>
      </c>
      <c r="S121" s="9">
        <v>101</v>
      </c>
      <c r="T121" s="9" t="str">
        <f>IFERROR(MID(VLOOKUP($B121,Seqs!$A:$B,2,0),U121,1),"")</f>
        <v>G</v>
      </c>
      <c r="U121" s="9">
        <v>102</v>
      </c>
      <c r="V121" s="9" t="str">
        <f>IFERROR(MID(VLOOKUP($B121,Seqs!$A:$B,2,0),W121,1),"")</f>
        <v>T</v>
      </c>
      <c r="W121" s="9">
        <v>136</v>
      </c>
      <c r="X121" s="9" t="str">
        <f>IFERROR(MID(VLOOKUP($B121,Seqs!$A:$B,2,0),Y121,1),"")</f>
        <v/>
      </c>
      <c r="Y121" s="9" t="s">
        <v>23</v>
      </c>
      <c r="Z121" s="9" t="str">
        <f>IFERROR(MID(VLOOKUP($B121,Seqs!$A:$B,2,0),AA121,1),"")</f>
        <v/>
      </c>
      <c r="AA121" s="9" t="s">
        <v>23</v>
      </c>
      <c r="AB121" s="9" t="str">
        <f>IFERROR(MID(VLOOKUP($B121,Seqs!$A:$B,2,0),AC121,1),"")</f>
        <v>T</v>
      </c>
      <c r="AC121" s="9">
        <v>146</v>
      </c>
      <c r="AD121" s="9" t="str">
        <f>IFERROR(MID(VLOOKUP($B121,Seqs!$A:$B,2,0),AE121,1),"")</f>
        <v>H</v>
      </c>
      <c r="AE121" s="9">
        <v>172</v>
      </c>
      <c r="AF121" s="9" t="str">
        <f>IFERROR(MID(VLOOKUP($B121,Seqs!$A:$B,2,0),AG121,1),"")</f>
        <v>C</v>
      </c>
      <c r="AG121" s="9">
        <v>191</v>
      </c>
      <c r="AH121" s="9" t="str">
        <f>IFERROR(MID(VLOOKUP($B121,Seqs!$A:$B,2,0),AI121,1),"")</f>
        <v>F</v>
      </c>
      <c r="AI121" s="9">
        <v>193</v>
      </c>
      <c r="AJ121" s="9" t="str">
        <f>IFERROR(MID(VLOOKUP($B121,Seqs!$A:$B,2,0),AK121,1),"")</f>
        <v>N</v>
      </c>
      <c r="AK121" s="9">
        <v>196</v>
      </c>
      <c r="AL121" s="9" t="str">
        <f>IFERROR(MID(VLOOKUP($B121,Seqs!$A:$B,2,0),AM121,1),"")</f>
        <v>K</v>
      </c>
      <c r="AM121" s="9">
        <v>232</v>
      </c>
      <c r="AN121" s="9" t="str">
        <f>IFERROR(MID(VLOOKUP($B121,Seqs!$A:$B,2,0),AO121,1),"")</f>
        <v>E</v>
      </c>
      <c r="AO121" s="9">
        <v>237</v>
      </c>
      <c r="AP121" s="9" t="str">
        <f>IFERROR(MID(VLOOKUP($B121,Seqs!$A:$B,2,0),AQ121,1),"")</f>
        <v>A</v>
      </c>
      <c r="AQ121" s="9">
        <v>271</v>
      </c>
      <c r="AR121" s="9" t="str">
        <f>IFERROR(MID(VLOOKUP($B121,Seqs!$A:$B,2,0),AS121,1),"")</f>
        <v>G</v>
      </c>
      <c r="AS121" s="9">
        <v>276</v>
      </c>
      <c r="AT121" s="9" t="str">
        <f>IFERROR(MID(VLOOKUP($B121,Seqs!$A:$B,2,0),AU121,1),"")</f>
        <v>D</v>
      </c>
      <c r="AU121" s="9">
        <v>300</v>
      </c>
      <c r="AV121" s="9" t="str">
        <f>IFERROR(MID(VLOOKUP($B121,Seqs!$A:$B,2,0),AW121,1),"")</f>
        <v>N</v>
      </c>
      <c r="AW121" s="9">
        <v>301</v>
      </c>
      <c r="AX121" s="9" t="str">
        <f>IFERROR(MID(VLOOKUP($B121,Seqs!$A:$B,2,0),AY121,1),"")</f>
        <v>W</v>
      </c>
      <c r="AY121" s="9">
        <v>313</v>
      </c>
      <c r="AZ121" s="110" t="str">
        <f>VLOOKUP(B121,Classification!A:D,2,0)</f>
        <v>A</v>
      </c>
      <c r="BA121" s="98" t="str">
        <f>VLOOKUP(B121,Classification!A:D,4,0)</f>
        <v>Adrenoceptors</v>
      </c>
      <c r="BB121" s="36" t="b">
        <f t="shared" ref="BB121" si="840">AND(E121&lt;G121,OR(G121&lt;I121,I121="-"),OR(I121&lt;K121,I121="-"),OR(K121&lt;M121,K121="-"),M121&lt;O121,OR(O121&lt;Q121,Q121="-"),OR(Q121&lt;S121,Q121="-"),OR(S121&lt;U121,S121="-"),U121&lt;W121,OR(W121&lt;Y121,Y121="-"),OR(Y121&lt;AA121,Y121="-"),OR(AA121&lt;AC121,AA121="-"),AC121&lt;AE121,OR(AE121&lt;AG121,AG121="-"),OR(AG121&lt;AI121,AG121="-"),OR(AI121&lt;AK121,AI121="-"),AK121&lt;AM121,AM121&lt;AO121,AO121&lt;AQ121,AQ121&lt;AS121,AS121&lt;AU121,OR(AU121&lt;AW121,AW121="-"),OR(AW121&lt;AY121,AW121="-"))</f>
        <v>1</v>
      </c>
      <c r="BC121" s="109">
        <f t="shared" ref="BC121" si="841">_xlfn.AGGREGATE(9,6,CH121:CS121)-_xlfn.AGGREGATE(9,6,BV121:CG121)+12</f>
        <v>248</v>
      </c>
      <c r="BD121" s="11" t="s">
        <v>23</v>
      </c>
      <c r="BE121" s="9" t="s">
        <v>1374</v>
      </c>
      <c r="BF121" s="120">
        <v>3.99</v>
      </c>
      <c r="BG121" s="51" t="s">
        <v>1</v>
      </c>
      <c r="BH121" s="51" t="s">
        <v>1</v>
      </c>
      <c r="BJ121" s="111" t="s">
        <v>1287</v>
      </c>
      <c r="BK121" s="112" t="s">
        <v>1287</v>
      </c>
      <c r="BL121" s="112" t="s">
        <v>1287</v>
      </c>
      <c r="BM121" s="112" t="s">
        <v>1287</v>
      </c>
      <c r="BN121" s="112" t="s">
        <v>1287</v>
      </c>
      <c r="BO121" s="112" t="s">
        <v>1287</v>
      </c>
      <c r="BP121" s="112" t="s">
        <v>1287</v>
      </c>
      <c r="BQ121" s="112" t="s">
        <v>1287</v>
      </c>
      <c r="BR121" s="112" t="s">
        <v>1287</v>
      </c>
      <c r="BS121" s="112" t="s">
        <v>1287</v>
      </c>
      <c r="BT121" s="112" t="s">
        <v>1287</v>
      </c>
      <c r="BU121" s="112" t="s">
        <v>1287</v>
      </c>
      <c r="BV121" s="111">
        <f t="shared" ref="BV121" si="842">E121</f>
        <v>29</v>
      </c>
      <c r="BW121" s="113">
        <f t="shared" ref="BW121" si="843">I121</f>
        <v>62</v>
      </c>
      <c r="BX121" s="114">
        <f t="shared" ref="BX121" si="844">M121</f>
        <v>66</v>
      </c>
      <c r="BY121" s="113">
        <f t="shared" ref="BY121" si="845">Q121</f>
        <v>98</v>
      </c>
      <c r="BZ121" s="114">
        <f t="shared" ref="BZ121" si="846">U121</f>
        <v>102</v>
      </c>
      <c r="CA121" s="113" t="str">
        <f t="shared" ref="CA121" si="847">Y121</f>
        <v>-</v>
      </c>
      <c r="CB121" s="114">
        <f t="shared" ref="CB121" si="848">AC121</f>
        <v>146</v>
      </c>
      <c r="CC121" s="113">
        <f t="shared" ref="CC121" si="849">AG121</f>
        <v>191</v>
      </c>
      <c r="CD121" s="114">
        <f t="shared" ref="CD121" si="850">AK121</f>
        <v>196</v>
      </c>
      <c r="CE121" s="113">
        <f t="shared" ref="CE121" si="851">AO121</f>
        <v>237</v>
      </c>
      <c r="CF121" s="114">
        <f t="shared" ref="CF121" si="852">AS121</f>
        <v>276</v>
      </c>
      <c r="CG121" s="113">
        <f t="shared" ref="CG121" si="853">AW121</f>
        <v>301</v>
      </c>
      <c r="CH121" s="111">
        <f t="shared" ref="CH121" si="854">G121</f>
        <v>61</v>
      </c>
      <c r="CI121" s="113">
        <f t="shared" ref="CI121" si="855">K121</f>
        <v>65</v>
      </c>
      <c r="CJ121" s="114">
        <f t="shared" ref="CJ121" si="856">O121</f>
        <v>96</v>
      </c>
      <c r="CK121" s="114">
        <f t="shared" ref="CK121" si="857">S121</f>
        <v>101</v>
      </c>
      <c r="CL121" s="114">
        <f t="shared" ref="CL121" si="858">W121</f>
        <v>136</v>
      </c>
      <c r="CM121" s="114" t="str">
        <f t="shared" ref="CM121" si="859">AA121</f>
        <v>-</v>
      </c>
      <c r="CN121" s="114">
        <f t="shared" ref="CN121" si="860">AE121</f>
        <v>172</v>
      </c>
      <c r="CO121" s="114">
        <f t="shared" ref="CO121" si="861">AI121</f>
        <v>193</v>
      </c>
      <c r="CP121" s="114">
        <f t="shared" ref="CP121" si="862">AM121</f>
        <v>232</v>
      </c>
      <c r="CQ121" s="114">
        <f t="shared" ref="CQ121" si="863">AQ121</f>
        <v>271</v>
      </c>
      <c r="CR121" s="114">
        <f t="shared" ref="CR121" si="864">AU121</f>
        <v>300</v>
      </c>
      <c r="CS121" s="114">
        <f t="shared" ref="CS121" si="865">AY121</f>
        <v>313</v>
      </c>
      <c r="CT121" s="109">
        <f t="shared" ref="CT121" si="866">M121-K121</f>
        <v>1</v>
      </c>
    </row>
    <row r="122" spans="1:1029" x14ac:dyDescent="0.2">
      <c r="A122" s="3" t="str">
        <f t="shared" ref="A122:A195" si="867">CONCATENATE(B122,"_",C122)</f>
        <v>adrb2_human_4LDE</v>
      </c>
      <c r="B122" s="3" t="s">
        <v>126</v>
      </c>
      <c r="C122" s="3" t="s">
        <v>77</v>
      </c>
      <c r="D122" s="3" t="str">
        <f>IFERROR(MID(VLOOKUP($B122,Seqs!$A:$B,2,0),E122,1),"")</f>
        <v/>
      </c>
      <c r="E122" s="3">
        <v>1029</v>
      </c>
      <c r="F122" s="3" t="str">
        <f>IFERROR(MID(VLOOKUP($B122,Seqs!$A:$B,2,0),G122,1),"")</f>
        <v/>
      </c>
      <c r="G122" s="3">
        <v>1061</v>
      </c>
      <c r="H122" s="3" t="str">
        <f>IFERROR(MID(VLOOKUP($B122,Seqs!$A:$B,2,0),I122,1),"")</f>
        <v/>
      </c>
      <c r="I122" s="23">
        <v>1062</v>
      </c>
      <c r="J122" s="3" t="str">
        <f>IFERROR(MID(VLOOKUP($B122,Seqs!$A:$B,2,0),K122,1),"")</f>
        <v/>
      </c>
      <c r="K122" s="23">
        <v>1065</v>
      </c>
      <c r="L122" s="3" t="str">
        <f>IFERROR(MID(VLOOKUP($B122,Seqs!$A:$B,2,0),M122,1),"")</f>
        <v/>
      </c>
      <c r="M122" s="3">
        <v>1066</v>
      </c>
      <c r="N122" s="3" t="str">
        <f>IFERROR(MID(VLOOKUP($B122,Seqs!$A:$B,2,0),O122,1),"")</f>
        <v/>
      </c>
      <c r="O122" s="3">
        <v>1096</v>
      </c>
      <c r="P122" s="3" t="str">
        <f>IFERROR(MID(VLOOKUP($B122,Seqs!$A:$B,2,0),Q122,1),"")</f>
        <v/>
      </c>
      <c r="Q122" s="3">
        <v>1098</v>
      </c>
      <c r="R122" s="3" t="str">
        <f>IFERROR(MID(VLOOKUP($B122,Seqs!$A:$B,2,0),S122,1),"")</f>
        <v/>
      </c>
      <c r="S122" s="3">
        <v>1101</v>
      </c>
      <c r="T122" s="3" t="str">
        <f>IFERROR(MID(VLOOKUP($B122,Seqs!$A:$B,2,0),U122,1),"")</f>
        <v/>
      </c>
      <c r="U122" s="3">
        <v>1102</v>
      </c>
      <c r="V122" s="3" t="str">
        <f>IFERROR(MID(VLOOKUP($B122,Seqs!$A:$B,2,0),W122,1),"")</f>
        <v/>
      </c>
      <c r="W122" s="3">
        <v>1137</v>
      </c>
      <c r="X122" s="3" t="str">
        <f>IFERROR(MID(VLOOKUP($B122,Seqs!$A:$B,2,0),Y122,1),"")</f>
        <v/>
      </c>
      <c r="Y122" s="3">
        <v>1138</v>
      </c>
      <c r="Z122" s="3" t="str">
        <f>IFERROR(MID(VLOOKUP($B122,Seqs!$A:$B,2,0),AA122,1),"")</f>
        <v/>
      </c>
      <c r="AA122" s="3">
        <v>1145</v>
      </c>
      <c r="AB122" s="3" t="str">
        <f>IFERROR(MID(VLOOKUP($B122,Seqs!$A:$B,2,0),AC122,1),"")</f>
        <v/>
      </c>
      <c r="AC122" s="9">
        <v>1146</v>
      </c>
      <c r="AD122" s="3" t="str">
        <f>IFERROR(MID(VLOOKUP($B122,Seqs!$A:$B,2,0),AE122,1),"")</f>
        <v/>
      </c>
      <c r="AE122" s="3">
        <v>1172</v>
      </c>
      <c r="AF122" s="3" t="str">
        <f>IFERROR(MID(VLOOKUP($B122,Seqs!$A:$B,2,0),AG122,1),"")</f>
        <v/>
      </c>
      <c r="AG122" s="3">
        <v>1191</v>
      </c>
      <c r="AH122" s="3" t="str">
        <f>IFERROR(MID(VLOOKUP($B122,Seqs!$A:$B,2,0),AI122,1),"")</f>
        <v/>
      </c>
      <c r="AI122" s="3">
        <v>1193</v>
      </c>
      <c r="AJ122" s="3" t="str">
        <f>IFERROR(MID(VLOOKUP($B122,Seqs!$A:$B,2,0),AK122,1),"")</f>
        <v/>
      </c>
      <c r="AK122" s="3">
        <v>1196</v>
      </c>
      <c r="AL122" s="3" t="str">
        <f>IFERROR(MID(VLOOKUP($B122,Seqs!$A:$B,2,0),AM122,1),"")</f>
        <v/>
      </c>
      <c r="AM122" s="3">
        <v>1225</v>
      </c>
      <c r="AN122" s="3" t="str">
        <f>IFERROR(MID(VLOOKUP($B122,Seqs!$A:$B,2,0),AO122,1),"")</f>
        <v/>
      </c>
      <c r="AO122" s="3">
        <v>1266</v>
      </c>
      <c r="AP122" s="3" t="str">
        <f>IFERROR(MID(VLOOKUP($B122,Seqs!$A:$B,2,0),AQ122,1),"")</f>
        <v/>
      </c>
      <c r="AQ122" s="3">
        <v>1299</v>
      </c>
      <c r="AR122" s="3" t="str">
        <f>IFERROR(MID(VLOOKUP($B122,Seqs!$A:$B,2,0),AS122,1),"")</f>
        <v/>
      </c>
      <c r="AS122" s="3">
        <v>1304</v>
      </c>
      <c r="AT122" s="3" t="str">
        <f>IFERROR(MID(VLOOKUP($B122,Seqs!$A:$B,2,0),AU122,1),"")</f>
        <v/>
      </c>
      <c r="AU122" s="3">
        <v>1328</v>
      </c>
      <c r="AV122" s="3" t="str">
        <f>IFERROR(MID(VLOOKUP($B122,Seqs!$A:$B,2,0),AW122,1),"")</f>
        <v/>
      </c>
      <c r="AW122" s="3">
        <v>1329</v>
      </c>
      <c r="AX122" s="3" t="str">
        <f>IFERROR(MID(VLOOKUP($B122,Seqs!$A:$B,2,0),AY122,1),"")</f>
        <v/>
      </c>
      <c r="AY122" s="3">
        <v>1341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ref="BB122:BB195" si="868">AND(E122&lt;G122,OR(G122&lt;I122,I122="-"),OR(I122&lt;K122,I122="-"),OR(K122&lt;M122,K122="-"),M122&lt;O122,OR(O122&lt;Q122,Q122="-"),OR(Q122&lt;S122,Q122="-"),OR(S122&lt;U122,S122="-"),U122&lt;W122,OR(W122&lt;Y122,Y122="-"),OR(Y122&lt;AA122,Y122="-"),OR(AA122&lt;AC122,AA122="-"),AC122&lt;AE122,OR(AE122&lt;AG122,AG122="-"),OR(AG122&lt;AI122,AG122="-"),OR(AI122&lt;AK122,AI122="-"),AK122&lt;AM122,AM122&lt;AO122,AO122&lt;AQ122,AQ122&lt;AS122,AS122&lt;AU122,OR(AU122&lt;AW122,AW122="-"),OR(AW122&lt;AY122,AW122="-"))</f>
        <v>1</v>
      </c>
      <c r="BC122" s="23">
        <f t="shared" si="645"/>
        <v>248</v>
      </c>
      <c r="BD122" s="4" t="s">
        <v>23</v>
      </c>
      <c r="BE122" s="3" t="s">
        <v>1291</v>
      </c>
      <c r="BF122" s="119">
        <v>2.79</v>
      </c>
      <c r="BG122" s="49" t="s">
        <v>1377</v>
      </c>
      <c r="BH122" s="49" t="s">
        <v>1377</v>
      </c>
      <c r="BI122" s="1"/>
      <c r="BJ122" s="70" t="s">
        <v>1287</v>
      </c>
      <c r="BK122" s="57" t="s">
        <v>1287</v>
      </c>
      <c r="BL122" s="57" t="s">
        <v>1287</v>
      </c>
      <c r="BM122" s="57" t="s">
        <v>1287</v>
      </c>
      <c r="BN122" s="57" t="s">
        <v>1287</v>
      </c>
      <c r="BO122" s="57" t="s">
        <v>1287</v>
      </c>
      <c r="BP122" s="57" t="s">
        <v>1287</v>
      </c>
      <c r="BQ122" s="57" t="s">
        <v>1287</v>
      </c>
      <c r="BR122" s="57" t="s">
        <v>1287</v>
      </c>
      <c r="BS122" s="57" t="s">
        <v>1287</v>
      </c>
      <c r="BT122" s="57" t="s">
        <v>1287</v>
      </c>
      <c r="BU122" s="57" t="s">
        <v>1287</v>
      </c>
      <c r="BV122" s="70">
        <f t="shared" si="646"/>
        <v>1029</v>
      </c>
      <c r="BW122" s="71">
        <f t="shared" si="647"/>
        <v>1062</v>
      </c>
      <c r="BX122" s="72">
        <f t="shared" si="648"/>
        <v>1066</v>
      </c>
      <c r="BY122" s="71">
        <f t="shared" si="649"/>
        <v>1098</v>
      </c>
      <c r="BZ122" s="72">
        <f t="shared" si="650"/>
        <v>1102</v>
      </c>
      <c r="CA122" s="71">
        <f t="shared" si="651"/>
        <v>1138</v>
      </c>
      <c r="CB122" s="72">
        <f t="shared" si="652"/>
        <v>1146</v>
      </c>
      <c r="CC122" s="71">
        <f t="shared" si="653"/>
        <v>1191</v>
      </c>
      <c r="CD122" s="72">
        <f t="shared" si="654"/>
        <v>1196</v>
      </c>
      <c r="CE122" s="71">
        <f t="shared" si="655"/>
        <v>1266</v>
      </c>
      <c r="CF122" s="72">
        <f t="shared" si="656"/>
        <v>1304</v>
      </c>
      <c r="CG122" s="71">
        <f t="shared" si="657"/>
        <v>1329</v>
      </c>
      <c r="CH122" s="70">
        <f t="shared" si="658"/>
        <v>1061</v>
      </c>
      <c r="CI122" s="71">
        <f t="shared" si="659"/>
        <v>1065</v>
      </c>
      <c r="CJ122" s="72">
        <f t="shared" si="660"/>
        <v>1096</v>
      </c>
      <c r="CK122" s="72">
        <f t="shared" si="661"/>
        <v>1101</v>
      </c>
      <c r="CL122" s="72">
        <f t="shared" si="662"/>
        <v>1137</v>
      </c>
      <c r="CM122" s="72">
        <f t="shared" si="663"/>
        <v>1145</v>
      </c>
      <c r="CN122" s="72">
        <f t="shared" si="664"/>
        <v>1172</v>
      </c>
      <c r="CO122" s="72">
        <f t="shared" si="665"/>
        <v>1193</v>
      </c>
      <c r="CP122" s="72">
        <f t="shared" si="666"/>
        <v>1225</v>
      </c>
      <c r="CQ122" s="72">
        <f t="shared" si="667"/>
        <v>1299</v>
      </c>
      <c r="CR122" s="72">
        <f t="shared" si="668"/>
        <v>1328</v>
      </c>
      <c r="CS122" s="72">
        <f t="shared" si="669"/>
        <v>1341</v>
      </c>
      <c r="CT122" s="23">
        <f t="shared" si="670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si="867"/>
        <v>adrb2_human_4LDL</v>
      </c>
      <c r="B123" s="3" t="s">
        <v>126</v>
      </c>
      <c r="C123" s="3" t="s">
        <v>1044</v>
      </c>
      <c r="D123" s="3" t="str">
        <f>IFERROR(MID(VLOOKUP($B123,Seqs!$A:$B,2,0),E123,1),"")</f>
        <v/>
      </c>
      <c r="E123" s="3">
        <v>1029</v>
      </c>
      <c r="F123" s="3" t="str">
        <f>IFERROR(MID(VLOOKUP($B123,Seqs!$A:$B,2,0),G123,1),"")</f>
        <v/>
      </c>
      <c r="G123" s="3">
        <v>1061</v>
      </c>
      <c r="H123" s="3" t="str">
        <f>IFERROR(MID(VLOOKUP($B123,Seqs!$A:$B,2,0),I123,1),"")</f>
        <v/>
      </c>
      <c r="I123" s="23">
        <v>1062</v>
      </c>
      <c r="J123" s="3" t="str">
        <f>IFERROR(MID(VLOOKUP($B123,Seqs!$A:$B,2,0),K123,1),"")</f>
        <v/>
      </c>
      <c r="K123" s="23">
        <v>1065</v>
      </c>
      <c r="L123" s="3" t="str">
        <f>IFERROR(MID(VLOOKUP($B123,Seqs!$A:$B,2,0),M123,1),"")</f>
        <v/>
      </c>
      <c r="M123" s="3">
        <v>1066</v>
      </c>
      <c r="N123" s="3" t="str">
        <f>IFERROR(MID(VLOOKUP($B123,Seqs!$A:$B,2,0),O123,1),"")</f>
        <v/>
      </c>
      <c r="O123" s="3">
        <v>1096</v>
      </c>
      <c r="P123" s="3" t="str">
        <f>IFERROR(MID(VLOOKUP($B123,Seqs!$A:$B,2,0),Q123,1),"")</f>
        <v/>
      </c>
      <c r="Q123" s="3">
        <v>1098</v>
      </c>
      <c r="R123" s="3" t="str">
        <f>IFERROR(MID(VLOOKUP($B123,Seqs!$A:$B,2,0),S123,1),"")</f>
        <v/>
      </c>
      <c r="S123" s="3">
        <v>1101</v>
      </c>
      <c r="T123" s="3" t="str">
        <f>IFERROR(MID(VLOOKUP($B123,Seqs!$A:$B,2,0),U123,1),"")</f>
        <v/>
      </c>
      <c r="U123" s="3">
        <v>1102</v>
      </c>
      <c r="V123" s="3" t="str">
        <f>IFERROR(MID(VLOOKUP($B123,Seqs!$A:$B,2,0),W123,1),"")</f>
        <v/>
      </c>
      <c r="W123" s="3">
        <v>1137</v>
      </c>
      <c r="X123" s="3" t="str">
        <f>IFERROR(MID(VLOOKUP($B123,Seqs!$A:$B,2,0),Y123,1),"")</f>
        <v/>
      </c>
      <c r="Y123" s="3">
        <v>1138</v>
      </c>
      <c r="Z123" s="3" t="str">
        <f>IFERROR(MID(VLOOKUP($B123,Seqs!$A:$B,2,0),AA123,1),"")</f>
        <v/>
      </c>
      <c r="AA123" s="3">
        <v>1145</v>
      </c>
      <c r="AB123" s="3" t="str">
        <f>IFERROR(MID(VLOOKUP($B123,Seqs!$A:$B,2,0),AC123,1),"")</f>
        <v/>
      </c>
      <c r="AC123" s="9">
        <v>1146</v>
      </c>
      <c r="AD123" s="3" t="str">
        <f>IFERROR(MID(VLOOKUP($B123,Seqs!$A:$B,2,0),AE123,1),"")</f>
        <v/>
      </c>
      <c r="AE123" s="3">
        <v>1172</v>
      </c>
      <c r="AF123" s="3" t="str">
        <f>IFERROR(MID(VLOOKUP($B123,Seqs!$A:$B,2,0),AG123,1),"")</f>
        <v/>
      </c>
      <c r="AG123" s="3">
        <v>1191</v>
      </c>
      <c r="AH123" s="3" t="str">
        <f>IFERROR(MID(VLOOKUP($B123,Seqs!$A:$B,2,0),AI123,1),"")</f>
        <v/>
      </c>
      <c r="AI123" s="3">
        <v>1193</v>
      </c>
      <c r="AJ123" s="3" t="str">
        <f>IFERROR(MID(VLOOKUP($B123,Seqs!$A:$B,2,0),AK123,1),"")</f>
        <v/>
      </c>
      <c r="AK123" s="3">
        <v>1196</v>
      </c>
      <c r="AL123" s="3" t="str">
        <f>IFERROR(MID(VLOOKUP($B123,Seqs!$A:$B,2,0),AM123,1),"")</f>
        <v/>
      </c>
      <c r="AM123" s="3">
        <v>1225</v>
      </c>
      <c r="AN123" s="3" t="str">
        <f>IFERROR(MID(VLOOKUP($B123,Seqs!$A:$B,2,0),AO123,1),"")</f>
        <v/>
      </c>
      <c r="AO123" s="3">
        <v>1266</v>
      </c>
      <c r="AP123" s="3" t="str">
        <f>IFERROR(MID(VLOOKUP($B123,Seqs!$A:$B,2,0),AQ123,1),"")</f>
        <v/>
      </c>
      <c r="AQ123" s="3">
        <v>1299</v>
      </c>
      <c r="AR123" s="3" t="str">
        <f>IFERROR(MID(VLOOKUP($B123,Seqs!$A:$B,2,0),AS123,1),"")</f>
        <v/>
      </c>
      <c r="AS123" s="3">
        <v>1304</v>
      </c>
      <c r="AT123" s="3" t="str">
        <f>IFERROR(MID(VLOOKUP($B123,Seqs!$A:$B,2,0),AU123,1),"")</f>
        <v/>
      </c>
      <c r="AU123" s="3">
        <v>1328</v>
      </c>
      <c r="AV123" s="3" t="str">
        <f>IFERROR(MID(VLOOKUP($B123,Seqs!$A:$B,2,0),AW123,1),"")</f>
        <v/>
      </c>
      <c r="AW123" s="3">
        <v>1329</v>
      </c>
      <c r="AX123" s="3" t="str">
        <f>IFERROR(MID(VLOOKUP($B123,Seqs!$A:$B,2,0),AY123,1),"")</f>
        <v/>
      </c>
      <c r="AY123" s="3">
        <v>1341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si="868"/>
        <v>1</v>
      </c>
      <c r="BC123" s="23">
        <f t="shared" si="645"/>
        <v>248</v>
      </c>
      <c r="BD123" s="4" t="s">
        <v>23</v>
      </c>
      <c r="BE123" s="3" t="s">
        <v>1291</v>
      </c>
      <c r="BF123" s="119">
        <v>3.1</v>
      </c>
      <c r="BG123" s="49" t="s">
        <v>1377</v>
      </c>
      <c r="BH123" s="49" t="s">
        <v>1377</v>
      </c>
      <c r="BI123" s="1"/>
      <c r="BJ123" s="70" t="s">
        <v>1287</v>
      </c>
      <c r="BK123" s="57" t="s">
        <v>1287</v>
      </c>
      <c r="BL123" s="57" t="s">
        <v>1287</v>
      </c>
      <c r="BM123" s="57" t="s">
        <v>1287</v>
      </c>
      <c r="BN123" s="57" t="s">
        <v>1287</v>
      </c>
      <c r="BO123" s="57" t="s">
        <v>1287</v>
      </c>
      <c r="BP123" s="57" t="s">
        <v>1287</v>
      </c>
      <c r="BQ123" s="57" t="s">
        <v>1287</v>
      </c>
      <c r="BR123" s="57" t="s">
        <v>1287</v>
      </c>
      <c r="BS123" s="57" t="s">
        <v>1287</v>
      </c>
      <c r="BT123" s="57" t="s">
        <v>1287</v>
      </c>
      <c r="BU123" s="57" t="s">
        <v>1287</v>
      </c>
      <c r="BV123" s="70">
        <f t="shared" si="646"/>
        <v>1029</v>
      </c>
      <c r="BW123" s="71">
        <f t="shared" si="647"/>
        <v>1062</v>
      </c>
      <c r="BX123" s="72">
        <f t="shared" si="648"/>
        <v>1066</v>
      </c>
      <c r="BY123" s="71">
        <f t="shared" si="649"/>
        <v>1098</v>
      </c>
      <c r="BZ123" s="72">
        <f t="shared" si="650"/>
        <v>1102</v>
      </c>
      <c r="CA123" s="71">
        <f t="shared" si="651"/>
        <v>1138</v>
      </c>
      <c r="CB123" s="72">
        <f t="shared" si="652"/>
        <v>1146</v>
      </c>
      <c r="CC123" s="71">
        <f t="shared" si="653"/>
        <v>1191</v>
      </c>
      <c r="CD123" s="72">
        <f t="shared" si="654"/>
        <v>1196</v>
      </c>
      <c r="CE123" s="71">
        <f t="shared" si="655"/>
        <v>1266</v>
      </c>
      <c r="CF123" s="72">
        <f t="shared" si="656"/>
        <v>1304</v>
      </c>
      <c r="CG123" s="71">
        <f t="shared" si="657"/>
        <v>1329</v>
      </c>
      <c r="CH123" s="70">
        <f t="shared" si="658"/>
        <v>1061</v>
      </c>
      <c r="CI123" s="71">
        <f t="shared" si="659"/>
        <v>1065</v>
      </c>
      <c r="CJ123" s="72">
        <f t="shared" si="660"/>
        <v>1096</v>
      </c>
      <c r="CK123" s="72">
        <f t="shared" si="661"/>
        <v>1101</v>
      </c>
      <c r="CL123" s="72">
        <f t="shared" si="662"/>
        <v>1137</v>
      </c>
      <c r="CM123" s="72">
        <f t="shared" si="663"/>
        <v>1145</v>
      </c>
      <c r="CN123" s="72">
        <f t="shared" si="664"/>
        <v>1172</v>
      </c>
      <c r="CO123" s="72">
        <f t="shared" si="665"/>
        <v>1193</v>
      </c>
      <c r="CP123" s="72">
        <f t="shared" si="666"/>
        <v>1225</v>
      </c>
      <c r="CQ123" s="72">
        <f t="shared" si="667"/>
        <v>1299</v>
      </c>
      <c r="CR123" s="72">
        <f t="shared" si="668"/>
        <v>1328</v>
      </c>
      <c r="CS123" s="72">
        <f t="shared" si="669"/>
        <v>1341</v>
      </c>
      <c r="CT123" s="23">
        <f t="shared" si="670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ht="17" customHeight="1" x14ac:dyDescent="0.2">
      <c r="A124" s="3" t="str">
        <f t="shared" si="867"/>
        <v>adrb2_human_4LDO</v>
      </c>
      <c r="B124" s="3" t="s">
        <v>126</v>
      </c>
      <c r="C124" s="3" t="s">
        <v>1045</v>
      </c>
      <c r="D124" s="3" t="str">
        <f>IFERROR(MID(VLOOKUP($B124,Seqs!$A:$B,2,0),E124,1),"")</f>
        <v/>
      </c>
      <c r="E124" s="3">
        <v>1029</v>
      </c>
      <c r="F124" s="3" t="str">
        <f>IFERROR(MID(VLOOKUP($B124,Seqs!$A:$B,2,0),G124,1),"")</f>
        <v/>
      </c>
      <c r="G124" s="3">
        <v>1061</v>
      </c>
      <c r="H124" s="3" t="str">
        <f>IFERROR(MID(VLOOKUP($B124,Seqs!$A:$B,2,0),I124,1),"")</f>
        <v/>
      </c>
      <c r="I124" s="23">
        <v>1062</v>
      </c>
      <c r="J124" s="3" t="str">
        <f>IFERROR(MID(VLOOKUP($B124,Seqs!$A:$B,2,0),K124,1),"")</f>
        <v/>
      </c>
      <c r="K124" s="23">
        <v>1065</v>
      </c>
      <c r="L124" s="3" t="str">
        <f>IFERROR(MID(VLOOKUP($B124,Seqs!$A:$B,2,0),M124,1),"")</f>
        <v/>
      </c>
      <c r="M124" s="3">
        <v>1066</v>
      </c>
      <c r="N124" s="3" t="str">
        <f>IFERROR(MID(VLOOKUP($B124,Seqs!$A:$B,2,0),O124,1),"")</f>
        <v/>
      </c>
      <c r="O124" s="3">
        <v>1096</v>
      </c>
      <c r="P124" s="3" t="str">
        <f>IFERROR(MID(VLOOKUP($B124,Seqs!$A:$B,2,0),Q124,1),"")</f>
        <v/>
      </c>
      <c r="Q124" s="3">
        <v>1098</v>
      </c>
      <c r="R124" s="3" t="str">
        <f>IFERROR(MID(VLOOKUP($B124,Seqs!$A:$B,2,0),S124,1),"")</f>
        <v/>
      </c>
      <c r="S124" s="3">
        <v>1101</v>
      </c>
      <c r="T124" s="3" t="str">
        <f>IFERROR(MID(VLOOKUP($B124,Seqs!$A:$B,2,0),U124,1),"")</f>
        <v/>
      </c>
      <c r="U124" s="3">
        <v>1102</v>
      </c>
      <c r="V124" s="3" t="str">
        <f>IFERROR(MID(VLOOKUP($B124,Seqs!$A:$B,2,0),W124,1),"")</f>
        <v/>
      </c>
      <c r="W124" s="3">
        <v>1137</v>
      </c>
      <c r="X124" s="3" t="str">
        <f>IFERROR(MID(VLOOKUP($B124,Seqs!$A:$B,2,0),Y124,1),"")</f>
        <v/>
      </c>
      <c r="Y124" s="3">
        <v>1138</v>
      </c>
      <c r="Z124" s="3" t="str">
        <f>IFERROR(MID(VLOOKUP($B124,Seqs!$A:$B,2,0),AA124,1),"")</f>
        <v/>
      </c>
      <c r="AA124" s="3">
        <v>1145</v>
      </c>
      <c r="AB124" s="3" t="str">
        <f>IFERROR(MID(VLOOKUP($B124,Seqs!$A:$B,2,0),AC124,1),"")</f>
        <v/>
      </c>
      <c r="AC124" s="9">
        <v>1146</v>
      </c>
      <c r="AD124" s="3" t="str">
        <f>IFERROR(MID(VLOOKUP($B124,Seqs!$A:$B,2,0),AE124,1),"")</f>
        <v/>
      </c>
      <c r="AE124" s="3">
        <v>1172</v>
      </c>
      <c r="AF124" s="3" t="str">
        <f>IFERROR(MID(VLOOKUP($B124,Seqs!$A:$B,2,0),AG124,1),"")</f>
        <v/>
      </c>
      <c r="AG124" s="3">
        <v>1191</v>
      </c>
      <c r="AH124" s="3" t="str">
        <f>IFERROR(MID(VLOOKUP($B124,Seqs!$A:$B,2,0),AI124,1),"")</f>
        <v/>
      </c>
      <c r="AI124" s="3">
        <v>1193</v>
      </c>
      <c r="AJ124" s="3" t="str">
        <f>IFERROR(MID(VLOOKUP($B124,Seqs!$A:$B,2,0),AK124,1),"")</f>
        <v/>
      </c>
      <c r="AK124" s="3">
        <v>1196</v>
      </c>
      <c r="AL124" s="3" t="str">
        <f>IFERROR(MID(VLOOKUP($B124,Seqs!$A:$B,2,0),AM124,1),"")</f>
        <v/>
      </c>
      <c r="AM124" s="3">
        <v>1225</v>
      </c>
      <c r="AN124" s="3" t="str">
        <f>IFERROR(MID(VLOOKUP($B124,Seqs!$A:$B,2,0),AO124,1),"")</f>
        <v/>
      </c>
      <c r="AO124" s="3">
        <v>1266</v>
      </c>
      <c r="AP124" s="3" t="str">
        <f>IFERROR(MID(VLOOKUP($B124,Seqs!$A:$B,2,0),AQ124,1),"")</f>
        <v/>
      </c>
      <c r="AQ124" s="3">
        <v>1299</v>
      </c>
      <c r="AR124" s="3" t="str">
        <f>IFERROR(MID(VLOOKUP($B124,Seqs!$A:$B,2,0),AS124,1),"")</f>
        <v/>
      </c>
      <c r="AS124" s="3">
        <v>1304</v>
      </c>
      <c r="AT124" s="3" t="str">
        <f>IFERROR(MID(VLOOKUP($B124,Seqs!$A:$B,2,0),AU124,1),"")</f>
        <v/>
      </c>
      <c r="AU124" s="3">
        <v>1328</v>
      </c>
      <c r="AV124" s="3" t="str">
        <f>IFERROR(MID(VLOOKUP($B124,Seqs!$A:$B,2,0),AW124,1),"")</f>
        <v/>
      </c>
      <c r="AW124" s="3">
        <v>1329</v>
      </c>
      <c r="AX124" s="3" t="str">
        <f>IFERROR(MID(VLOOKUP($B124,Seqs!$A:$B,2,0),AY124,1),"")</f>
        <v/>
      </c>
      <c r="AY124" s="3">
        <v>1341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si="868"/>
        <v>1</v>
      </c>
      <c r="BC124" s="23">
        <f t="shared" si="645"/>
        <v>248</v>
      </c>
      <c r="BD124" s="4" t="s">
        <v>23</v>
      </c>
      <c r="BE124" s="3" t="s">
        <v>1291</v>
      </c>
      <c r="BF124" s="119">
        <v>3.2</v>
      </c>
      <c r="BG124" s="49" t="s">
        <v>1377</v>
      </c>
      <c r="BH124" s="49" t="s">
        <v>1377</v>
      </c>
      <c r="BI124" s="1"/>
      <c r="BJ124" s="70" t="s">
        <v>1287</v>
      </c>
      <c r="BK124" s="57" t="s">
        <v>1287</v>
      </c>
      <c r="BL124" s="57" t="s">
        <v>1287</v>
      </c>
      <c r="BM124" s="57" t="s">
        <v>1287</v>
      </c>
      <c r="BN124" s="57" t="s">
        <v>1287</v>
      </c>
      <c r="BO124" s="57" t="s">
        <v>1287</v>
      </c>
      <c r="BP124" s="57" t="s">
        <v>1287</v>
      </c>
      <c r="BQ124" s="57" t="s">
        <v>1287</v>
      </c>
      <c r="BR124" s="57" t="s">
        <v>1287</v>
      </c>
      <c r="BS124" s="57" t="s">
        <v>1287</v>
      </c>
      <c r="BT124" s="57" t="s">
        <v>1287</v>
      </c>
      <c r="BU124" s="57" t="s">
        <v>1287</v>
      </c>
      <c r="BV124" s="70">
        <f t="shared" si="646"/>
        <v>1029</v>
      </c>
      <c r="BW124" s="71">
        <f t="shared" si="647"/>
        <v>1062</v>
      </c>
      <c r="BX124" s="72">
        <f t="shared" si="648"/>
        <v>1066</v>
      </c>
      <c r="BY124" s="71">
        <f t="shared" si="649"/>
        <v>1098</v>
      </c>
      <c r="BZ124" s="72">
        <f t="shared" si="650"/>
        <v>1102</v>
      </c>
      <c r="CA124" s="71">
        <f t="shared" si="651"/>
        <v>1138</v>
      </c>
      <c r="CB124" s="72">
        <f t="shared" si="652"/>
        <v>1146</v>
      </c>
      <c r="CC124" s="71">
        <f t="shared" si="653"/>
        <v>1191</v>
      </c>
      <c r="CD124" s="72">
        <f t="shared" si="654"/>
        <v>1196</v>
      </c>
      <c r="CE124" s="71">
        <f t="shared" si="655"/>
        <v>1266</v>
      </c>
      <c r="CF124" s="72">
        <f t="shared" si="656"/>
        <v>1304</v>
      </c>
      <c r="CG124" s="71">
        <f t="shared" si="657"/>
        <v>1329</v>
      </c>
      <c r="CH124" s="70">
        <f t="shared" si="658"/>
        <v>1061</v>
      </c>
      <c r="CI124" s="71">
        <f t="shared" si="659"/>
        <v>1065</v>
      </c>
      <c r="CJ124" s="72">
        <f t="shared" si="660"/>
        <v>1096</v>
      </c>
      <c r="CK124" s="72">
        <f t="shared" si="661"/>
        <v>1101</v>
      </c>
      <c r="CL124" s="72">
        <f t="shared" si="662"/>
        <v>1137</v>
      </c>
      <c r="CM124" s="72">
        <f t="shared" si="663"/>
        <v>1145</v>
      </c>
      <c r="CN124" s="72">
        <f t="shared" si="664"/>
        <v>1172</v>
      </c>
      <c r="CO124" s="72">
        <f t="shared" si="665"/>
        <v>1193</v>
      </c>
      <c r="CP124" s="72">
        <f t="shared" si="666"/>
        <v>1225</v>
      </c>
      <c r="CQ124" s="72">
        <f t="shared" si="667"/>
        <v>1299</v>
      </c>
      <c r="CR124" s="72">
        <f t="shared" si="668"/>
        <v>1328</v>
      </c>
      <c r="CS124" s="72">
        <f t="shared" si="669"/>
        <v>1341</v>
      </c>
      <c r="CT124" s="23">
        <f t="shared" si="670"/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867"/>
        <v>adrb2_human_4QKX</v>
      </c>
      <c r="B125" s="3" t="s">
        <v>126</v>
      </c>
      <c r="C125" s="3" t="s">
        <v>78</v>
      </c>
      <c r="D125" s="3" t="str">
        <f>IFERROR(MID(VLOOKUP($B125,Seqs!$A:$B,2,0),E125,1),"")</f>
        <v/>
      </c>
      <c r="E125" s="3">
        <v>1029</v>
      </c>
      <c r="F125" s="3" t="str">
        <f>IFERROR(MID(VLOOKUP($B125,Seqs!$A:$B,2,0),G125,1),"")</f>
        <v/>
      </c>
      <c r="G125" s="3">
        <v>1061</v>
      </c>
      <c r="H125" s="3" t="str">
        <f>IFERROR(MID(VLOOKUP($B125,Seqs!$A:$B,2,0),I125,1),"")</f>
        <v/>
      </c>
      <c r="I125" s="23">
        <v>1062</v>
      </c>
      <c r="J125" s="3" t="str">
        <f>IFERROR(MID(VLOOKUP($B125,Seqs!$A:$B,2,0),K125,1),"")</f>
        <v/>
      </c>
      <c r="K125" s="23">
        <v>1065</v>
      </c>
      <c r="L125" s="3" t="str">
        <f>IFERROR(MID(VLOOKUP($B125,Seqs!$A:$B,2,0),M125,1),"")</f>
        <v/>
      </c>
      <c r="M125" s="3">
        <v>1066</v>
      </c>
      <c r="N125" s="3" t="str">
        <f>IFERROR(MID(VLOOKUP($B125,Seqs!$A:$B,2,0),O125,1),"")</f>
        <v/>
      </c>
      <c r="O125" s="3">
        <v>1096</v>
      </c>
      <c r="P125" s="3" t="str">
        <f>IFERROR(MID(VLOOKUP($B125,Seqs!$A:$B,2,0),Q125,1),"")</f>
        <v/>
      </c>
      <c r="Q125" s="3">
        <v>1098</v>
      </c>
      <c r="R125" s="3" t="str">
        <f>IFERROR(MID(VLOOKUP($B125,Seqs!$A:$B,2,0),S125,1),"")</f>
        <v/>
      </c>
      <c r="S125" s="3">
        <v>1101</v>
      </c>
      <c r="T125" s="3" t="str">
        <f>IFERROR(MID(VLOOKUP($B125,Seqs!$A:$B,2,0),U125,1),"")</f>
        <v/>
      </c>
      <c r="U125" s="3">
        <v>1102</v>
      </c>
      <c r="V125" s="3" t="str">
        <f>IFERROR(MID(VLOOKUP($B125,Seqs!$A:$B,2,0),W125,1),"")</f>
        <v/>
      </c>
      <c r="W125" s="3">
        <v>1137</v>
      </c>
      <c r="X125" s="3" t="str">
        <f>IFERROR(MID(VLOOKUP($B125,Seqs!$A:$B,2,0),Y125,1),"")</f>
        <v/>
      </c>
      <c r="Y125" s="3">
        <v>1138</v>
      </c>
      <c r="Z125" s="3" t="str">
        <f>IFERROR(MID(VLOOKUP($B125,Seqs!$A:$B,2,0),AA125,1),"")</f>
        <v/>
      </c>
      <c r="AA125" s="3">
        <v>1145</v>
      </c>
      <c r="AB125" s="3" t="str">
        <f>IFERROR(MID(VLOOKUP($B125,Seqs!$A:$B,2,0),AC125,1),"")</f>
        <v/>
      </c>
      <c r="AC125" s="9">
        <v>1146</v>
      </c>
      <c r="AD125" s="3" t="str">
        <f>IFERROR(MID(VLOOKUP($B125,Seqs!$A:$B,2,0),AE125,1),"")</f>
        <v/>
      </c>
      <c r="AE125" s="3">
        <v>1172</v>
      </c>
      <c r="AF125" s="3" t="str">
        <f>IFERROR(MID(VLOOKUP($B125,Seqs!$A:$B,2,0),AG125,1),"")</f>
        <v/>
      </c>
      <c r="AG125" s="3">
        <v>1191</v>
      </c>
      <c r="AH125" s="3" t="str">
        <f>IFERROR(MID(VLOOKUP($B125,Seqs!$A:$B,2,0),AI125,1),"")</f>
        <v/>
      </c>
      <c r="AI125" s="3">
        <v>1193</v>
      </c>
      <c r="AJ125" s="3" t="str">
        <f>IFERROR(MID(VLOOKUP($B125,Seqs!$A:$B,2,0),AK125,1),"")</f>
        <v/>
      </c>
      <c r="AK125" s="3">
        <v>1196</v>
      </c>
      <c r="AL125" s="3" t="str">
        <f>IFERROR(MID(VLOOKUP($B125,Seqs!$A:$B,2,0),AM125,1),"")</f>
        <v/>
      </c>
      <c r="AM125" s="3">
        <v>1225</v>
      </c>
      <c r="AN125" s="3" t="str">
        <f>IFERROR(MID(VLOOKUP($B125,Seqs!$A:$B,2,0),AO125,1),"")</f>
        <v/>
      </c>
      <c r="AO125" s="3">
        <v>1266</v>
      </c>
      <c r="AP125" s="3" t="str">
        <f>IFERROR(MID(VLOOKUP($B125,Seqs!$A:$B,2,0),AQ125,1),"")</f>
        <v/>
      </c>
      <c r="AQ125" s="3">
        <v>1299</v>
      </c>
      <c r="AR125" s="3" t="str">
        <f>IFERROR(MID(VLOOKUP($B125,Seqs!$A:$B,2,0),AS125,1),"")</f>
        <v/>
      </c>
      <c r="AS125" s="3">
        <v>1304</v>
      </c>
      <c r="AT125" s="3" t="str">
        <f>IFERROR(MID(VLOOKUP($B125,Seqs!$A:$B,2,0),AU125,1),"")</f>
        <v/>
      </c>
      <c r="AU125" s="3">
        <v>1328</v>
      </c>
      <c r="AV125" s="3" t="str">
        <f>IFERROR(MID(VLOOKUP($B125,Seqs!$A:$B,2,0),AW125,1),"")</f>
        <v/>
      </c>
      <c r="AW125" s="3">
        <v>1329</v>
      </c>
      <c r="AX125" s="3" t="str">
        <f>IFERROR(MID(VLOOKUP($B125,Seqs!$A:$B,2,0),AY125,1),"")</f>
        <v/>
      </c>
      <c r="AY125" s="3">
        <v>1341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si="868"/>
        <v>1</v>
      </c>
      <c r="BC125" s="23">
        <f t="shared" si="645"/>
        <v>248</v>
      </c>
      <c r="BD125" s="4" t="s">
        <v>23</v>
      </c>
      <c r="BE125" s="3" t="s">
        <v>1291</v>
      </c>
      <c r="BF125" s="119">
        <v>3.3</v>
      </c>
      <c r="BG125" s="49" t="s">
        <v>1377</v>
      </c>
      <c r="BH125" s="49" t="s">
        <v>1377</v>
      </c>
      <c r="BI125" s="1"/>
      <c r="BJ125" s="70" t="s">
        <v>1287</v>
      </c>
      <c r="BK125" s="57" t="s">
        <v>1287</v>
      </c>
      <c r="BL125" s="57" t="s">
        <v>1287</v>
      </c>
      <c r="BM125" s="57" t="s">
        <v>1287</v>
      </c>
      <c r="BN125" s="57" t="s">
        <v>1287</v>
      </c>
      <c r="BO125" s="57" t="s">
        <v>1287</v>
      </c>
      <c r="BP125" s="57" t="s">
        <v>1287</v>
      </c>
      <c r="BQ125" s="57" t="s">
        <v>1287</v>
      </c>
      <c r="BR125" s="57" t="s">
        <v>1287</v>
      </c>
      <c r="BS125" s="57" t="s">
        <v>1287</v>
      </c>
      <c r="BT125" s="57" t="s">
        <v>1287</v>
      </c>
      <c r="BU125" s="57" t="s">
        <v>1287</v>
      </c>
      <c r="BV125" s="70">
        <f t="shared" si="646"/>
        <v>1029</v>
      </c>
      <c r="BW125" s="71">
        <f t="shared" si="647"/>
        <v>1062</v>
      </c>
      <c r="BX125" s="72">
        <f t="shared" si="648"/>
        <v>1066</v>
      </c>
      <c r="BY125" s="71">
        <f t="shared" si="649"/>
        <v>1098</v>
      </c>
      <c r="BZ125" s="72">
        <f t="shared" si="650"/>
        <v>1102</v>
      </c>
      <c r="CA125" s="71">
        <f t="shared" si="651"/>
        <v>1138</v>
      </c>
      <c r="CB125" s="72">
        <f t="shared" si="652"/>
        <v>1146</v>
      </c>
      <c r="CC125" s="71">
        <f t="shared" si="653"/>
        <v>1191</v>
      </c>
      <c r="CD125" s="72">
        <f t="shared" si="654"/>
        <v>1196</v>
      </c>
      <c r="CE125" s="71">
        <f t="shared" si="655"/>
        <v>1266</v>
      </c>
      <c r="CF125" s="72">
        <f t="shared" si="656"/>
        <v>1304</v>
      </c>
      <c r="CG125" s="71">
        <f t="shared" si="657"/>
        <v>1329</v>
      </c>
      <c r="CH125" s="70">
        <f t="shared" si="658"/>
        <v>1061</v>
      </c>
      <c r="CI125" s="71">
        <f t="shared" si="659"/>
        <v>1065</v>
      </c>
      <c r="CJ125" s="72">
        <f t="shared" si="660"/>
        <v>1096</v>
      </c>
      <c r="CK125" s="72">
        <f t="shared" si="661"/>
        <v>1101</v>
      </c>
      <c r="CL125" s="72">
        <f t="shared" si="662"/>
        <v>1137</v>
      </c>
      <c r="CM125" s="72">
        <f t="shared" si="663"/>
        <v>1145</v>
      </c>
      <c r="CN125" s="72">
        <f t="shared" si="664"/>
        <v>1172</v>
      </c>
      <c r="CO125" s="72">
        <f t="shared" si="665"/>
        <v>1193</v>
      </c>
      <c r="CP125" s="72">
        <f t="shared" si="666"/>
        <v>1225</v>
      </c>
      <c r="CQ125" s="72">
        <f t="shared" si="667"/>
        <v>1299</v>
      </c>
      <c r="CR125" s="72">
        <f t="shared" si="668"/>
        <v>1328</v>
      </c>
      <c r="CS125" s="72">
        <f t="shared" si="669"/>
        <v>1341</v>
      </c>
      <c r="CT125" s="23">
        <f t="shared" si="670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si="867"/>
        <v>adrb2_human_5D6L</v>
      </c>
      <c r="B126" s="3" t="s">
        <v>126</v>
      </c>
      <c r="C126" s="3" t="s">
        <v>1343</v>
      </c>
      <c r="D126" s="3" t="str">
        <f>IFERROR(MID(VLOOKUP($B126,Seqs!$A:$B,2,0),E126,1),"")</f>
        <v>D</v>
      </c>
      <c r="E126" s="3">
        <v>29</v>
      </c>
      <c r="F126" s="3" t="str">
        <f>IFERROR(MID(VLOOKUP($B126,Seqs!$A:$B,2,0),G126,1),"")</f>
        <v>F</v>
      </c>
      <c r="G126" s="3">
        <v>61</v>
      </c>
      <c r="H126" s="3" t="str">
        <f>IFERROR(MID(VLOOKUP($B126,Seqs!$A:$B,2,0),I126,1),"")</f>
        <v>E</v>
      </c>
      <c r="I126" s="23">
        <v>62</v>
      </c>
      <c r="J126" s="3" t="str">
        <f>IFERROR(MID(VLOOKUP($B126,Seqs!$A:$B,2,0),K126,1),"")</f>
        <v>Q</v>
      </c>
      <c r="K126" s="23">
        <v>65</v>
      </c>
      <c r="L126" s="3" t="str">
        <f>IFERROR(MID(VLOOKUP($B126,Seqs!$A:$B,2,0),M126,1),"")</f>
        <v>T</v>
      </c>
      <c r="M126" s="3">
        <v>66</v>
      </c>
      <c r="N126" s="3" t="str">
        <f>IFERROR(MID(VLOOKUP($B126,Seqs!$A:$B,2,0),O126,1),"")</f>
        <v>M</v>
      </c>
      <c r="O126" s="3">
        <v>96</v>
      </c>
      <c r="P126" s="3" t="str">
        <f>IFERROR(MID(VLOOKUP($B126,Seqs!$A:$B,2,0),Q126,1),"")</f>
        <v>M</v>
      </c>
      <c r="Q126" s="3">
        <v>98</v>
      </c>
      <c r="R126" s="3" t="str">
        <f>IFERROR(MID(VLOOKUP($B126,Seqs!$A:$B,2,0),S126,1),"")</f>
        <v>F</v>
      </c>
      <c r="S126" s="3">
        <v>101</v>
      </c>
      <c r="T126" s="3" t="str">
        <f>IFERROR(MID(VLOOKUP($B126,Seqs!$A:$B,2,0),U126,1),"")</f>
        <v>G</v>
      </c>
      <c r="U126" s="3">
        <v>102</v>
      </c>
      <c r="V126" s="3" t="str">
        <f>IFERROR(MID(VLOOKUP($B126,Seqs!$A:$B,2,0),W126,1),"")</f>
        <v>S</v>
      </c>
      <c r="W126" s="3">
        <v>137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>T</v>
      </c>
      <c r="AC126" s="9">
        <v>146</v>
      </c>
      <c r="AD126" s="3" t="str">
        <f>IFERROR(MID(VLOOKUP($B126,Seqs!$A:$B,2,0),AE126,1),"")</f>
        <v>H</v>
      </c>
      <c r="AE126" s="3">
        <v>172</v>
      </c>
      <c r="AF126" s="3" t="str">
        <f>IFERROR(MID(VLOOKUP($B126,Seqs!$A:$B,2,0),AG126,1),"")</f>
        <v>C</v>
      </c>
      <c r="AG126" s="3">
        <v>191</v>
      </c>
      <c r="AH126" s="3" t="str">
        <f>IFERROR(MID(VLOOKUP($B126,Seqs!$A:$B,2,0),AI126,1),"")</f>
        <v>F</v>
      </c>
      <c r="AI126" s="3">
        <v>193</v>
      </c>
      <c r="AJ126" s="3" t="str">
        <f>IFERROR(MID(VLOOKUP($B126,Seqs!$A:$B,2,0),AK126,1),"")</f>
        <v>N</v>
      </c>
      <c r="AK126" s="3">
        <v>196</v>
      </c>
      <c r="AL126" s="3" t="str">
        <f>IFERROR(MID(VLOOKUP($B126,Seqs!$A:$B,2,0),AM126,1),"")</f>
        <v>Q</v>
      </c>
      <c r="AM126" s="3">
        <v>229</v>
      </c>
      <c r="AN126" s="3" t="str">
        <f>IFERROR(MID(VLOOKUP($B126,Seqs!$A:$B,2,0),AO126,1),"")</f>
        <v>K</v>
      </c>
      <c r="AO126" s="3">
        <v>267</v>
      </c>
      <c r="AP126" s="3" t="str">
        <f>IFERROR(MID(VLOOKUP($B126,Seqs!$A:$B,2,0),AQ126,1),"")</f>
        <v>Q</v>
      </c>
      <c r="AQ126" s="3">
        <v>299</v>
      </c>
      <c r="AR126" s="3" t="str">
        <f>IFERROR(MID(VLOOKUP($B126,Seqs!$A:$B,2,0),AS126,1),"")</f>
        <v>R</v>
      </c>
      <c r="AS126" s="3">
        <v>304</v>
      </c>
      <c r="AT126" s="3" t="str">
        <f>IFERROR(MID(VLOOKUP($B126,Seqs!$A:$B,2,0),AU126,1),"")</f>
        <v>R</v>
      </c>
      <c r="AU126" s="3">
        <v>328</v>
      </c>
      <c r="AV126" s="3" t="str">
        <f>IFERROR(MID(VLOOKUP($B126,Seqs!$A:$B,2,0),AW126,1),"")</f>
        <v>S</v>
      </c>
      <c r="AW126" s="3">
        <v>329</v>
      </c>
      <c r="AX126" s="3" t="str">
        <f>IFERROR(MID(VLOOKUP($B126,Seqs!$A:$B,2,0),AY126,1),"")</f>
        <v>C</v>
      </c>
      <c r="AY126" s="3">
        <v>341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si="868"/>
        <v>1</v>
      </c>
      <c r="BC126" s="23">
        <f t="shared" si="645"/>
        <v>244</v>
      </c>
      <c r="BD126" s="4" t="s">
        <v>23</v>
      </c>
      <c r="BE126" s="3" t="s">
        <v>1374</v>
      </c>
      <c r="BF126" s="119">
        <v>3.2</v>
      </c>
      <c r="BG126" s="49" t="s">
        <v>1</v>
      </c>
      <c r="BH126" s="49" t="s">
        <v>1377</v>
      </c>
      <c r="BI126" s="1"/>
      <c r="BJ126" s="70" t="s">
        <v>1287</v>
      </c>
      <c r="BK126" s="57" t="s">
        <v>1287</v>
      </c>
      <c r="BL126" s="57" t="s">
        <v>1287</v>
      </c>
      <c r="BM126" s="57" t="s">
        <v>1287</v>
      </c>
      <c r="BN126" s="57" t="s">
        <v>1287</v>
      </c>
      <c r="BO126" s="57" t="s">
        <v>1287</v>
      </c>
      <c r="BP126" s="57" t="s">
        <v>1287</v>
      </c>
      <c r="BQ126" s="57" t="s">
        <v>1287</v>
      </c>
      <c r="BR126" s="57" t="s">
        <v>1287</v>
      </c>
      <c r="BS126" s="57" t="s">
        <v>1287</v>
      </c>
      <c r="BT126" s="57" t="s">
        <v>1287</v>
      </c>
      <c r="BU126" s="57" t="s">
        <v>1287</v>
      </c>
      <c r="BV126" s="70">
        <f t="shared" si="646"/>
        <v>29</v>
      </c>
      <c r="BW126" s="71">
        <f t="shared" si="647"/>
        <v>62</v>
      </c>
      <c r="BX126" s="72">
        <f t="shared" si="648"/>
        <v>66</v>
      </c>
      <c r="BY126" s="71">
        <f t="shared" si="649"/>
        <v>98</v>
      </c>
      <c r="BZ126" s="72">
        <f t="shared" si="650"/>
        <v>102</v>
      </c>
      <c r="CA126" s="71" t="str">
        <f t="shared" si="651"/>
        <v>-</v>
      </c>
      <c r="CB126" s="72">
        <f t="shared" si="652"/>
        <v>146</v>
      </c>
      <c r="CC126" s="71">
        <f t="shared" si="653"/>
        <v>191</v>
      </c>
      <c r="CD126" s="72">
        <f t="shared" si="654"/>
        <v>196</v>
      </c>
      <c r="CE126" s="71">
        <f t="shared" si="655"/>
        <v>267</v>
      </c>
      <c r="CF126" s="72">
        <f t="shared" si="656"/>
        <v>304</v>
      </c>
      <c r="CG126" s="71">
        <f t="shared" si="657"/>
        <v>329</v>
      </c>
      <c r="CH126" s="70">
        <f t="shared" si="658"/>
        <v>61</v>
      </c>
      <c r="CI126" s="71">
        <f t="shared" si="659"/>
        <v>65</v>
      </c>
      <c r="CJ126" s="72">
        <f t="shared" si="660"/>
        <v>96</v>
      </c>
      <c r="CK126" s="72">
        <f t="shared" si="661"/>
        <v>101</v>
      </c>
      <c r="CL126" s="72">
        <f t="shared" si="662"/>
        <v>137</v>
      </c>
      <c r="CM126" s="72" t="str">
        <f t="shared" si="663"/>
        <v>-</v>
      </c>
      <c r="CN126" s="72">
        <f t="shared" si="664"/>
        <v>172</v>
      </c>
      <c r="CO126" s="72">
        <f t="shared" si="665"/>
        <v>193</v>
      </c>
      <c r="CP126" s="72">
        <f t="shared" si="666"/>
        <v>229</v>
      </c>
      <c r="CQ126" s="72">
        <f t="shared" si="667"/>
        <v>299</v>
      </c>
      <c r="CR126" s="72">
        <f t="shared" si="668"/>
        <v>328</v>
      </c>
      <c r="CS126" s="72">
        <f t="shared" si="669"/>
        <v>341</v>
      </c>
      <c r="CT126" s="23">
        <f t="shared" si="670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si="867"/>
        <v>adrb2_human_5JQH</v>
      </c>
      <c r="B127" s="3" t="s">
        <v>126</v>
      </c>
      <c r="C127" s="3" t="s">
        <v>1344</v>
      </c>
      <c r="D127" s="3" t="str">
        <f>IFERROR(MID(VLOOKUP($B127,Seqs!$A:$B,2,0),E127,1),"")</f>
        <v/>
      </c>
      <c r="E127" s="3">
        <v>1023</v>
      </c>
      <c r="F127" s="3" t="str">
        <f>IFERROR(MID(VLOOKUP($B127,Seqs!$A:$B,2,0),G127,1),"")</f>
        <v/>
      </c>
      <c r="G127" s="3">
        <v>1061</v>
      </c>
      <c r="H127" s="3" t="str">
        <f>IFERROR(MID(VLOOKUP($B127,Seqs!$A:$B,2,0),I127,1),"")</f>
        <v/>
      </c>
      <c r="I127" s="23">
        <v>1062</v>
      </c>
      <c r="J127" s="3" t="str">
        <f>IFERROR(MID(VLOOKUP($B127,Seqs!$A:$B,2,0),K127,1),"")</f>
        <v/>
      </c>
      <c r="K127" s="23">
        <v>1065</v>
      </c>
      <c r="L127" s="3" t="str">
        <f>IFERROR(MID(VLOOKUP($B127,Seqs!$A:$B,2,0),M127,1),"")</f>
        <v/>
      </c>
      <c r="M127" s="3">
        <v>1066</v>
      </c>
      <c r="N127" s="3" t="str">
        <f>IFERROR(MID(VLOOKUP($B127,Seqs!$A:$B,2,0),O127,1),"")</f>
        <v/>
      </c>
      <c r="O127" s="3">
        <v>1096</v>
      </c>
      <c r="P127" s="3" t="str">
        <f>IFERROR(MID(VLOOKUP($B127,Seqs!$A:$B,2,0),Q127,1),"")</f>
        <v/>
      </c>
      <c r="Q127" s="3">
        <v>1098</v>
      </c>
      <c r="R127" s="3" t="str">
        <f>IFERROR(MID(VLOOKUP($B127,Seqs!$A:$B,2,0),S127,1),"")</f>
        <v/>
      </c>
      <c r="S127" s="3">
        <v>1101</v>
      </c>
      <c r="T127" s="3" t="str">
        <f>IFERROR(MID(VLOOKUP($B127,Seqs!$A:$B,2,0),U127,1),"")</f>
        <v/>
      </c>
      <c r="U127" s="3">
        <v>1102</v>
      </c>
      <c r="V127" s="3" t="str">
        <f>IFERROR(MID(VLOOKUP($B127,Seqs!$A:$B,2,0),W127,1),"")</f>
        <v/>
      </c>
      <c r="W127" s="3">
        <v>1137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/>
      </c>
      <c r="AC127" s="9">
        <v>1146</v>
      </c>
      <c r="AD127" s="3" t="str">
        <f>IFERROR(MID(VLOOKUP($B127,Seqs!$A:$B,2,0),AE127,1),"")</f>
        <v/>
      </c>
      <c r="AE127" s="3">
        <v>1172</v>
      </c>
      <c r="AF127" s="3" t="str">
        <f>IFERROR(MID(VLOOKUP($B127,Seqs!$A:$B,2,0),AG127,1),"")</f>
        <v/>
      </c>
      <c r="AG127" s="3">
        <v>1191</v>
      </c>
      <c r="AH127" s="3" t="str">
        <f>IFERROR(MID(VLOOKUP($B127,Seqs!$A:$B,2,0),AI127,1),"")</f>
        <v/>
      </c>
      <c r="AI127" s="3">
        <v>1193</v>
      </c>
      <c r="AJ127" s="3" t="str">
        <f>IFERROR(MID(VLOOKUP($B127,Seqs!$A:$B,2,0),AK127,1),"")</f>
        <v/>
      </c>
      <c r="AK127" s="3">
        <v>1196</v>
      </c>
      <c r="AL127" s="3" t="str">
        <f>IFERROR(MID(VLOOKUP($B127,Seqs!$A:$B,2,0),AM127,1),"")</f>
        <v/>
      </c>
      <c r="AM127" s="3">
        <v>1230</v>
      </c>
      <c r="AN127" s="3" t="str">
        <f>IFERROR(MID(VLOOKUP($B127,Seqs!$A:$B,2,0),AO127,1),"")</f>
        <v/>
      </c>
      <c r="AO127" s="3">
        <v>1271</v>
      </c>
      <c r="AP127" s="3" t="str">
        <f>IFERROR(MID(VLOOKUP($B127,Seqs!$A:$B,2,0),AQ127,1),"")</f>
        <v/>
      </c>
      <c r="AQ127" s="3">
        <v>1299</v>
      </c>
      <c r="AR127" s="3" t="str">
        <f>IFERROR(MID(VLOOKUP($B127,Seqs!$A:$B,2,0),AS127,1),"")</f>
        <v/>
      </c>
      <c r="AS127" s="3">
        <v>1304</v>
      </c>
      <c r="AT127" s="3" t="str">
        <f>IFERROR(MID(VLOOKUP($B127,Seqs!$A:$B,2,0),AU127,1),"")</f>
        <v/>
      </c>
      <c r="AU127" s="3">
        <v>1328</v>
      </c>
      <c r="AV127" s="3" t="str">
        <f>IFERROR(MID(VLOOKUP($B127,Seqs!$A:$B,2,0),AW127,1),"")</f>
        <v/>
      </c>
      <c r="AW127" s="3">
        <v>1329</v>
      </c>
      <c r="AX127" s="3" t="str">
        <f>IFERROR(MID(VLOOKUP($B127,Seqs!$A:$B,2,0),AY127,1),"")</f>
        <v/>
      </c>
      <c r="AY127" s="3">
        <v>1341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si="868"/>
        <v>1</v>
      </c>
      <c r="BC127" s="23">
        <f t="shared" si="645"/>
        <v>247</v>
      </c>
      <c r="BD127" s="74" t="s">
        <v>1376</v>
      </c>
      <c r="BE127" s="3" t="s">
        <v>1374</v>
      </c>
      <c r="BF127" s="119">
        <v>3.2</v>
      </c>
      <c r="BG127" s="49" t="s">
        <v>1281</v>
      </c>
      <c r="BH127" s="49" t="s">
        <v>1377</v>
      </c>
      <c r="BI127" s="1"/>
      <c r="BJ127" s="70" t="s">
        <v>1287</v>
      </c>
      <c r="BK127" s="57" t="s">
        <v>1287</v>
      </c>
      <c r="BL127" s="57" t="s">
        <v>1287</v>
      </c>
      <c r="BM127" s="57" t="s">
        <v>1287</v>
      </c>
      <c r="BN127" s="57" t="s">
        <v>1287</v>
      </c>
      <c r="BO127" s="57" t="s">
        <v>1287</v>
      </c>
      <c r="BP127" s="57" t="s">
        <v>1287</v>
      </c>
      <c r="BQ127" s="57" t="s">
        <v>1287</v>
      </c>
      <c r="BR127" s="57" t="s">
        <v>1287</v>
      </c>
      <c r="BS127" s="57" t="s">
        <v>1287</v>
      </c>
      <c r="BT127" s="57" t="s">
        <v>1287</v>
      </c>
      <c r="BU127" s="57" t="s">
        <v>1287</v>
      </c>
      <c r="BV127" s="70">
        <f t="shared" si="646"/>
        <v>1023</v>
      </c>
      <c r="BW127" s="71">
        <f t="shared" si="647"/>
        <v>1062</v>
      </c>
      <c r="BX127" s="72">
        <f t="shared" si="648"/>
        <v>1066</v>
      </c>
      <c r="BY127" s="71">
        <f t="shared" si="649"/>
        <v>1098</v>
      </c>
      <c r="BZ127" s="72">
        <f t="shared" si="650"/>
        <v>1102</v>
      </c>
      <c r="CA127" s="71" t="str">
        <f t="shared" si="651"/>
        <v>-</v>
      </c>
      <c r="CB127" s="72">
        <f t="shared" si="652"/>
        <v>1146</v>
      </c>
      <c r="CC127" s="71">
        <f t="shared" si="653"/>
        <v>1191</v>
      </c>
      <c r="CD127" s="72">
        <f t="shared" si="654"/>
        <v>1196</v>
      </c>
      <c r="CE127" s="71">
        <f t="shared" si="655"/>
        <v>1271</v>
      </c>
      <c r="CF127" s="72">
        <f t="shared" si="656"/>
        <v>1304</v>
      </c>
      <c r="CG127" s="71">
        <f t="shared" si="657"/>
        <v>1329</v>
      </c>
      <c r="CH127" s="70">
        <f t="shared" si="658"/>
        <v>1061</v>
      </c>
      <c r="CI127" s="71">
        <f t="shared" si="659"/>
        <v>1065</v>
      </c>
      <c r="CJ127" s="72">
        <f t="shared" si="660"/>
        <v>1096</v>
      </c>
      <c r="CK127" s="72">
        <f t="shared" si="661"/>
        <v>1101</v>
      </c>
      <c r="CL127" s="72">
        <f t="shared" si="662"/>
        <v>1137</v>
      </c>
      <c r="CM127" s="72" t="str">
        <f t="shared" si="663"/>
        <v>-</v>
      </c>
      <c r="CN127" s="72">
        <f t="shared" si="664"/>
        <v>1172</v>
      </c>
      <c r="CO127" s="72">
        <f t="shared" si="665"/>
        <v>1193</v>
      </c>
      <c r="CP127" s="72">
        <f t="shared" si="666"/>
        <v>1230</v>
      </c>
      <c r="CQ127" s="72">
        <f t="shared" si="667"/>
        <v>1299</v>
      </c>
      <c r="CR127" s="72">
        <f t="shared" si="668"/>
        <v>1328</v>
      </c>
      <c r="CS127" s="72">
        <f t="shared" si="669"/>
        <v>1341</v>
      </c>
      <c r="CT127" s="23">
        <f t="shared" si="670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>CONCATENATE(B128,"_",C128)</f>
        <v>adrb2_human_5X7D</v>
      </c>
      <c r="B128" s="3" t="s">
        <v>126</v>
      </c>
      <c r="C128" s="3" t="s">
        <v>1437</v>
      </c>
      <c r="D128" s="3" t="str">
        <f>IFERROR(MID(VLOOKUP($B128,Seqs!$A:$B,2,0),E128,1),"")</f>
        <v>V</v>
      </c>
      <c r="E128" s="3">
        <v>33</v>
      </c>
      <c r="F128" s="3" t="str">
        <f>IFERROR(MID(VLOOKUP($B128,Seqs!$A:$B,2,0),G128,1),"")</f>
        <v>F</v>
      </c>
      <c r="G128" s="3">
        <v>61</v>
      </c>
      <c r="H128" s="3" t="str">
        <f>IFERROR(MID(VLOOKUP($B128,Seqs!$A:$B,2,0),I128,1),"")</f>
        <v>E</v>
      </c>
      <c r="I128" s="23">
        <v>62</v>
      </c>
      <c r="J128" s="3" t="str">
        <f>IFERROR(MID(VLOOKUP($B128,Seqs!$A:$B,2,0),K128,1),"")</f>
        <v>Q</v>
      </c>
      <c r="K128" s="23">
        <v>65</v>
      </c>
      <c r="L128" s="3" t="str">
        <f>IFERROR(MID(VLOOKUP($B128,Seqs!$A:$B,2,0),M128,1),"")</f>
        <v>T</v>
      </c>
      <c r="M128" s="3">
        <v>66</v>
      </c>
      <c r="N128" s="3" t="str">
        <f>IFERROR(MID(VLOOKUP($B128,Seqs!$A:$B,2,0),O128,1),"")</f>
        <v>M</v>
      </c>
      <c r="O128" s="3">
        <v>96</v>
      </c>
      <c r="P128" s="3" t="str">
        <f>IFERROR(MID(VLOOKUP($B128,Seqs!$A:$B,2,0),Q128,1),"")</f>
        <v>M</v>
      </c>
      <c r="Q128" s="3">
        <v>98</v>
      </c>
      <c r="R128" s="3" t="str">
        <f>IFERROR(MID(VLOOKUP($B128,Seqs!$A:$B,2,0),S128,1),"")</f>
        <v>F</v>
      </c>
      <c r="S128" s="3">
        <v>101</v>
      </c>
      <c r="T128" s="3" t="str">
        <f>IFERROR(MID(VLOOKUP($B128,Seqs!$A:$B,2,0),U128,1),"")</f>
        <v>G</v>
      </c>
      <c r="U128" s="3">
        <v>102</v>
      </c>
      <c r="V128" s="3" t="str">
        <f>IFERROR(MID(VLOOKUP($B128,Seqs!$A:$B,2,0),W128,1),"")</f>
        <v>T</v>
      </c>
      <c r="W128" s="3">
        <v>136</v>
      </c>
      <c r="X128" s="3" t="str">
        <f>IFERROR(MID(VLOOKUP($B128,Seqs!$A:$B,2,0),Y128,1),"")</f>
        <v/>
      </c>
      <c r="Y128" s="3" t="s">
        <v>23</v>
      </c>
      <c r="Z128" s="3" t="str">
        <f>IFERROR(MID(VLOOKUP($B128,Seqs!$A:$B,2,0),AA128,1),"")</f>
        <v/>
      </c>
      <c r="AA128" s="3" t="s">
        <v>23</v>
      </c>
      <c r="AB128" s="3" t="str">
        <f>IFERROR(MID(VLOOKUP($B128,Seqs!$A:$B,2,0),AC128,1),"")</f>
        <v>T</v>
      </c>
      <c r="AC128" s="3">
        <v>146</v>
      </c>
      <c r="AD128" s="3" t="str">
        <f>IFERROR(MID(VLOOKUP($B128,Seqs!$A:$B,2,0),AE128,1),"")</f>
        <v>H</v>
      </c>
      <c r="AE128" s="3">
        <v>172</v>
      </c>
      <c r="AF128" s="3" t="str">
        <f>IFERROR(MID(VLOOKUP($B128,Seqs!$A:$B,2,0),AG128,1),"")</f>
        <v>C</v>
      </c>
      <c r="AG128" s="3">
        <v>191</v>
      </c>
      <c r="AH128" s="3" t="str">
        <f>IFERROR(MID(VLOOKUP($B128,Seqs!$A:$B,2,0),AI128,1),"")</f>
        <v>F</v>
      </c>
      <c r="AI128" s="3">
        <v>193</v>
      </c>
      <c r="AJ128" s="3" t="str">
        <f>IFERROR(MID(VLOOKUP($B128,Seqs!$A:$B,2,0),AK128,1),"")</f>
        <v>N</v>
      </c>
      <c r="AK128" s="3">
        <v>196</v>
      </c>
      <c r="AL128" s="3" t="str">
        <f>IFERROR(MID(VLOOKUP($B128,Seqs!$A:$B,2,0),AM128,1),"")</f>
        <v>L</v>
      </c>
      <c r="AM128" s="3">
        <v>230</v>
      </c>
      <c r="AN128" s="3" t="str">
        <f>IFERROR(MID(VLOOKUP($B128,Seqs!$A:$B,2,0),AO128,1),"")</f>
        <v>A</v>
      </c>
      <c r="AO128" s="3">
        <v>271</v>
      </c>
      <c r="AP128" s="3" t="str">
        <f>IFERROR(MID(VLOOKUP($B128,Seqs!$A:$B,2,0),AQ128,1),"")</f>
        <v>Q</v>
      </c>
      <c r="AQ128" s="3">
        <v>299</v>
      </c>
      <c r="AR128" s="3" t="str">
        <f>IFERROR(MID(VLOOKUP($B128,Seqs!$A:$B,2,0),AS128,1),"")</f>
        <v>R</v>
      </c>
      <c r="AS128" s="3">
        <v>304</v>
      </c>
      <c r="AT128" s="3" t="str">
        <f>IFERROR(MID(VLOOKUP($B128,Seqs!$A:$B,2,0),AU128,1),"")</f>
        <v>R</v>
      </c>
      <c r="AU128" s="3">
        <v>328</v>
      </c>
      <c r="AV128" s="3" t="str">
        <f>IFERROR(MID(VLOOKUP($B128,Seqs!$A:$B,2,0),AW128,1),"")</f>
        <v>S</v>
      </c>
      <c r="AW128" s="3">
        <v>329</v>
      </c>
      <c r="AX128" s="3" t="str">
        <f>IFERROR(MID(VLOOKUP($B128,Seqs!$A:$B,2,0),AY128,1),"")</f>
        <v>C</v>
      </c>
      <c r="AY128" s="3">
        <v>341</v>
      </c>
      <c r="AZ128" s="77" t="str">
        <f>VLOOKUP(B128,Classification!A:D,2,0)</f>
        <v>A</v>
      </c>
      <c r="BA128" s="94" t="str">
        <f>VLOOKUP(B128,Classification!A:D,4,0)</f>
        <v>Adrenoceptors</v>
      </c>
      <c r="BB128" s="27" t="b">
        <f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>_xlfn.AGGREGATE(9,6,CH128:CS128)-_xlfn.AGGREGATE(9,6,BV128:CG128)+12</f>
        <v>236</v>
      </c>
      <c r="BD128" s="74" t="s">
        <v>23</v>
      </c>
      <c r="BE128" s="3" t="s">
        <v>1374</v>
      </c>
      <c r="BF128" s="119">
        <v>4.2</v>
      </c>
      <c r="BG128" s="49" t="s">
        <v>1281</v>
      </c>
      <c r="BH128" s="49" t="s">
        <v>1377</v>
      </c>
      <c r="BI128" s="1"/>
      <c r="BJ128" s="70" t="s">
        <v>1287</v>
      </c>
      <c r="BK128" s="57" t="s">
        <v>1287</v>
      </c>
      <c r="BL128" s="57" t="s">
        <v>1287</v>
      </c>
      <c r="BM128" s="57" t="s">
        <v>1287</v>
      </c>
      <c r="BN128" s="57" t="s">
        <v>1287</v>
      </c>
      <c r="BO128" s="57" t="s">
        <v>1287</v>
      </c>
      <c r="BP128" s="57" t="s">
        <v>1287</v>
      </c>
      <c r="BQ128" s="57" t="s">
        <v>1287</v>
      </c>
      <c r="BR128" s="57" t="s">
        <v>1287</v>
      </c>
      <c r="BS128" s="57" t="s">
        <v>1287</v>
      </c>
      <c r="BT128" s="57" t="s">
        <v>1287</v>
      </c>
      <c r="BU128" s="57" t="s">
        <v>1287</v>
      </c>
      <c r="BV128" s="70">
        <f>E128</f>
        <v>33</v>
      </c>
      <c r="BW128" s="71">
        <f>I128</f>
        <v>62</v>
      </c>
      <c r="BX128" s="72">
        <f>M128</f>
        <v>66</v>
      </c>
      <c r="BY128" s="71">
        <f>Q128</f>
        <v>98</v>
      </c>
      <c r="BZ128" s="72">
        <f>U128</f>
        <v>102</v>
      </c>
      <c r="CA128" s="71" t="str">
        <f>Y128</f>
        <v>-</v>
      </c>
      <c r="CB128" s="72">
        <f>AC128</f>
        <v>146</v>
      </c>
      <c r="CC128" s="71">
        <f>AG128</f>
        <v>191</v>
      </c>
      <c r="CD128" s="72">
        <f>AK128</f>
        <v>196</v>
      </c>
      <c r="CE128" s="71">
        <f>AO128</f>
        <v>271</v>
      </c>
      <c r="CF128" s="72">
        <f>AS128</f>
        <v>304</v>
      </c>
      <c r="CG128" s="71">
        <f>AW128</f>
        <v>329</v>
      </c>
      <c r="CH128" s="70">
        <f>G128</f>
        <v>61</v>
      </c>
      <c r="CI128" s="71">
        <f>K128</f>
        <v>65</v>
      </c>
      <c r="CJ128" s="72">
        <f>O128</f>
        <v>96</v>
      </c>
      <c r="CK128" s="72">
        <f>S128</f>
        <v>101</v>
      </c>
      <c r="CL128" s="72">
        <f>W128</f>
        <v>136</v>
      </c>
      <c r="CM128" s="72" t="str">
        <f>AA128</f>
        <v>-</v>
      </c>
      <c r="CN128" s="72">
        <f>AE128</f>
        <v>172</v>
      </c>
      <c r="CO128" s="72">
        <f>AI128</f>
        <v>193</v>
      </c>
      <c r="CP128" s="72">
        <f>AM128</f>
        <v>230</v>
      </c>
      <c r="CQ128" s="72">
        <f>AQ128</f>
        <v>299</v>
      </c>
      <c r="CR128" s="72">
        <f>AU128</f>
        <v>328</v>
      </c>
      <c r="CS128" s="72">
        <f>AY128</f>
        <v>341</v>
      </c>
      <c r="CT128" s="23">
        <f>M128-K128</f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x14ac:dyDescent="0.2">
      <c r="A129" s="9" t="str">
        <f>CONCATENATE(B129,"_",C129)</f>
        <v>adrb2_human_6E67</v>
      </c>
      <c r="B129" s="9" t="s">
        <v>126</v>
      </c>
      <c r="C129" s="131" t="s">
        <v>1579</v>
      </c>
      <c r="D129" s="9" t="str">
        <f>IFERROR(MID(VLOOKUP($B129,Seqs!$A:$B,2,0),E129,1),"")</f>
        <v>D</v>
      </c>
      <c r="E129" s="9">
        <v>29</v>
      </c>
      <c r="F129" s="9" t="str">
        <f>IFERROR(MID(VLOOKUP($B129,Seqs!$A:$B,2,0),G129,1),"")</f>
        <v>K</v>
      </c>
      <c r="G129" s="9">
        <v>60</v>
      </c>
      <c r="H129" s="9" t="str">
        <f>IFERROR(MID(VLOOKUP($B129,Seqs!$A:$B,2,0),I129,1),"")</f>
        <v>E</v>
      </c>
      <c r="I129" s="109">
        <v>62</v>
      </c>
      <c r="J129" s="9" t="str">
        <f>IFERROR(MID(VLOOKUP($B129,Seqs!$A:$B,2,0),K129,1),"")</f>
        <v>Q</v>
      </c>
      <c r="K129" s="109">
        <v>65</v>
      </c>
      <c r="L129" s="9" t="str">
        <f>IFERROR(MID(VLOOKUP($B129,Seqs!$A:$B,2,0),M129,1),"")</f>
        <v>T</v>
      </c>
      <c r="M129" s="9">
        <v>66</v>
      </c>
      <c r="N129" s="9" t="str">
        <f>IFERROR(MID(VLOOKUP($B129,Seqs!$A:$B,2,0),O129,1),"")</f>
        <v>K</v>
      </c>
      <c r="O129" s="9">
        <v>97</v>
      </c>
      <c r="P129" s="9" t="str">
        <f>IFERROR(MID(VLOOKUP($B129,Seqs!$A:$B,2,0),Q129,1),"")</f>
        <v>M</v>
      </c>
      <c r="Q129" s="9">
        <v>98</v>
      </c>
      <c r="R129" s="9" t="str">
        <f>IFERROR(MID(VLOOKUP($B129,Seqs!$A:$B,2,0),S129,1),"")</f>
        <v>F</v>
      </c>
      <c r="S129" s="9">
        <v>101</v>
      </c>
      <c r="T129" s="9" t="str">
        <f>IFERROR(MID(VLOOKUP($B129,Seqs!$A:$B,2,0),U129,1),"")</f>
        <v>G</v>
      </c>
      <c r="U129" s="9">
        <v>102</v>
      </c>
      <c r="V129" s="9" t="str">
        <f>IFERROR(MID(VLOOKUP($B129,Seqs!$A:$B,2,0),W129,1),"")</f>
        <v>S</v>
      </c>
      <c r="W129" s="9">
        <v>137</v>
      </c>
      <c r="X129" s="9" t="str">
        <f>IFERROR(MID(VLOOKUP($B129,Seqs!$A:$B,2,0),Y129,1),"")</f>
        <v>P</v>
      </c>
      <c r="Y129" s="9">
        <v>138</v>
      </c>
      <c r="Z129" s="9" t="str">
        <f>IFERROR(MID(VLOOKUP($B129,Seqs!$A:$B,2,0),AA129,1),"")</f>
        <v>L</v>
      </c>
      <c r="AA129" s="9">
        <v>145</v>
      </c>
      <c r="AB129" s="9" t="str">
        <f>IFERROR(MID(VLOOKUP($B129,Seqs!$A:$B,2,0),AC129,1),"")</f>
        <v>T</v>
      </c>
      <c r="AC129" s="9">
        <v>146</v>
      </c>
      <c r="AD129" s="9" t="str">
        <f>IFERROR(MID(VLOOKUP($B129,Seqs!$A:$B,2,0),AE129,1),"")</f>
        <v>H</v>
      </c>
      <c r="AE129" s="9">
        <v>172</v>
      </c>
      <c r="AF129" s="9" t="str">
        <f>IFERROR(MID(VLOOKUP($B129,Seqs!$A:$B,2,0),AG129,1),"")</f>
        <v>C</v>
      </c>
      <c r="AG129" s="9">
        <v>191</v>
      </c>
      <c r="AH129" s="9" t="str">
        <f>IFERROR(MID(VLOOKUP($B129,Seqs!$A:$B,2,0),AI129,1),"")</f>
        <v>F</v>
      </c>
      <c r="AI129" s="9">
        <v>193</v>
      </c>
      <c r="AJ129" s="9" t="str">
        <f>IFERROR(MID(VLOOKUP($B129,Seqs!$A:$B,2,0),AK129,1),"")</f>
        <v>N</v>
      </c>
      <c r="AK129" s="9">
        <v>196</v>
      </c>
      <c r="AL129" s="9" t="str">
        <f>IFERROR(MID(VLOOKUP($B129,Seqs!$A:$B,2,0),AM129,1),"")</f>
        <v>A</v>
      </c>
      <c r="AM129" s="9">
        <v>226</v>
      </c>
      <c r="AN129" s="9" t="str">
        <f>IFERROR(MID(VLOOKUP($B129,Seqs!$A:$B,2,0),AO129,1),"")</f>
        <v>E</v>
      </c>
      <c r="AO129" s="9">
        <v>268</v>
      </c>
      <c r="AP129" s="9" t="str">
        <f>IFERROR(MID(VLOOKUP($B129,Seqs!$A:$B,2,0),AQ129,1),"")</f>
        <v>Q</v>
      </c>
      <c r="AQ129" s="9">
        <v>299</v>
      </c>
      <c r="AR129" s="9" t="str">
        <f>IFERROR(MID(VLOOKUP($B129,Seqs!$A:$B,2,0),AS129,1),"")</f>
        <v>R</v>
      </c>
      <c r="AS129" s="9">
        <v>304</v>
      </c>
      <c r="AT129" s="9" t="str">
        <f>IFERROR(MID(VLOOKUP($B129,Seqs!$A:$B,2,0),AU129,1),"")</f>
        <v>P</v>
      </c>
      <c r="AU129" s="9">
        <v>323</v>
      </c>
      <c r="AV129" s="9" t="str">
        <f>IFERROR(MID(VLOOKUP($B129,Seqs!$A:$B,2,0),AW129,1),"")</f>
        <v>S</v>
      </c>
      <c r="AW129" s="9">
        <v>329</v>
      </c>
      <c r="AX129" s="9" t="str">
        <f>IFERROR(MID(VLOOKUP($B129,Seqs!$A:$B,2,0),AY129,1),"")</f>
        <v>L</v>
      </c>
      <c r="AY129" s="9">
        <v>340</v>
      </c>
      <c r="AZ129" s="110" t="str">
        <f>VLOOKUP(B129,Classification!A:D,2,0)</f>
        <v>A</v>
      </c>
      <c r="BA129" s="98" t="str">
        <f>VLOOKUP(B129,Classification!A:D,4,0)</f>
        <v>Adrenoceptors</v>
      </c>
      <c r="BB129" s="36" t="b">
        <f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109">
        <f>_xlfn.AGGREGATE(9,6,CH129:CS129)-_xlfn.AGGREGATE(9,6,BV129:CG129)+12</f>
        <v>241</v>
      </c>
      <c r="BD129" s="124" t="s">
        <v>23</v>
      </c>
      <c r="BE129" s="9" t="s">
        <v>1291</v>
      </c>
      <c r="BF129" s="120">
        <v>3.7</v>
      </c>
      <c r="BG129" s="51" t="s">
        <v>1281</v>
      </c>
      <c r="BH129" s="51" t="s">
        <v>1281</v>
      </c>
      <c r="BI129" s="12"/>
      <c r="BJ129" s="111" t="s">
        <v>1287</v>
      </c>
      <c r="BK129" s="112" t="s">
        <v>1287</v>
      </c>
      <c r="BL129" s="112" t="s">
        <v>1287</v>
      </c>
      <c r="BM129" s="112" t="s">
        <v>1287</v>
      </c>
      <c r="BN129" s="112" t="s">
        <v>1287</v>
      </c>
      <c r="BO129" s="112" t="s">
        <v>1287</v>
      </c>
      <c r="BP129" s="112" t="s">
        <v>1287</v>
      </c>
      <c r="BQ129" s="112" t="s">
        <v>1287</v>
      </c>
      <c r="BR129" s="112" t="s">
        <v>1287</v>
      </c>
      <c r="BS129" s="112" t="s">
        <v>1287</v>
      </c>
      <c r="BT129" s="112" t="s">
        <v>1287</v>
      </c>
      <c r="BU129" s="112" t="s">
        <v>1287</v>
      </c>
      <c r="BV129" s="111">
        <f>E129</f>
        <v>29</v>
      </c>
      <c r="BW129" s="113">
        <f>I129</f>
        <v>62</v>
      </c>
      <c r="BX129" s="114">
        <f>M129</f>
        <v>66</v>
      </c>
      <c r="BY129" s="113">
        <f>Q129</f>
        <v>98</v>
      </c>
      <c r="BZ129" s="114">
        <f>U129</f>
        <v>102</v>
      </c>
      <c r="CA129" s="113">
        <f>Y129</f>
        <v>138</v>
      </c>
      <c r="CB129" s="114">
        <f>AC129</f>
        <v>146</v>
      </c>
      <c r="CC129" s="113">
        <f>AG129</f>
        <v>191</v>
      </c>
      <c r="CD129" s="114">
        <f>AK129</f>
        <v>196</v>
      </c>
      <c r="CE129" s="113">
        <f>AO129</f>
        <v>268</v>
      </c>
      <c r="CF129" s="114">
        <f>AS129</f>
        <v>304</v>
      </c>
      <c r="CG129" s="113">
        <f>AW129</f>
        <v>329</v>
      </c>
      <c r="CH129" s="111">
        <f>G129</f>
        <v>60</v>
      </c>
      <c r="CI129" s="113">
        <f>K129</f>
        <v>65</v>
      </c>
      <c r="CJ129" s="114">
        <f>O129</f>
        <v>97</v>
      </c>
      <c r="CK129" s="114">
        <f>S129</f>
        <v>101</v>
      </c>
      <c r="CL129" s="114">
        <f>W129</f>
        <v>137</v>
      </c>
      <c r="CM129" s="114">
        <f>AA129</f>
        <v>145</v>
      </c>
      <c r="CN129" s="114">
        <f>AE129</f>
        <v>172</v>
      </c>
      <c r="CO129" s="114">
        <f>AI129</f>
        <v>193</v>
      </c>
      <c r="CP129" s="114">
        <f>AM129</f>
        <v>226</v>
      </c>
      <c r="CQ129" s="114">
        <f>AQ129</f>
        <v>299</v>
      </c>
      <c r="CR129" s="114">
        <f>AU129</f>
        <v>323</v>
      </c>
      <c r="CS129" s="114">
        <f>AY129</f>
        <v>340</v>
      </c>
      <c r="CT129" s="109">
        <f>M129-K129</f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s="12" customFormat="1" x14ac:dyDescent="0.2">
      <c r="A130" s="9" t="str">
        <f>CONCATENATE(B130,"_",C130)</f>
        <v>adrb2_human_6MXT</v>
      </c>
      <c r="B130" s="9" t="s">
        <v>126</v>
      </c>
      <c r="C130" s="9" t="s">
        <v>1526</v>
      </c>
      <c r="D130" s="9" t="str">
        <f>IFERROR(MID(VLOOKUP($B130,Seqs!$A:$B,2,0),E130,1),"")</f>
        <v/>
      </c>
      <c r="E130" s="9">
        <v>1029</v>
      </c>
      <c r="F130" s="9" t="str">
        <f>IFERROR(MID(VLOOKUP($B130,Seqs!$A:$B,2,0),G130,1),"")</f>
        <v/>
      </c>
      <c r="G130" s="9">
        <v>1061</v>
      </c>
      <c r="H130" s="9" t="str">
        <f>IFERROR(MID(VLOOKUP($B130,Seqs!$A:$B,2,0),I130,1),"")</f>
        <v/>
      </c>
      <c r="I130" s="109">
        <v>1062</v>
      </c>
      <c r="J130" s="9" t="str">
        <f>IFERROR(MID(VLOOKUP($B130,Seqs!$A:$B,2,0),K130,1),"")</f>
        <v/>
      </c>
      <c r="K130" s="109">
        <v>1065</v>
      </c>
      <c r="L130" s="9" t="str">
        <f>IFERROR(MID(VLOOKUP($B130,Seqs!$A:$B,2,0),M130,1),"")</f>
        <v/>
      </c>
      <c r="M130" s="9">
        <v>1066</v>
      </c>
      <c r="N130" s="9" t="str">
        <f>IFERROR(MID(VLOOKUP($B130,Seqs!$A:$B,2,0),O130,1),"")</f>
        <v/>
      </c>
      <c r="O130" s="9">
        <v>1096</v>
      </c>
      <c r="P130" s="9" t="str">
        <f>IFERROR(MID(VLOOKUP($B130,Seqs!$A:$B,2,0),Q130,1),"")</f>
        <v/>
      </c>
      <c r="Q130" s="9">
        <v>1098</v>
      </c>
      <c r="R130" s="9" t="str">
        <f>IFERROR(MID(VLOOKUP($B130,Seqs!$A:$B,2,0),S130,1),"")</f>
        <v/>
      </c>
      <c r="S130" s="9">
        <v>1101</v>
      </c>
      <c r="T130" s="9" t="str">
        <f>IFERROR(MID(VLOOKUP($B130,Seqs!$A:$B,2,0),U130,1),"")</f>
        <v/>
      </c>
      <c r="U130" s="9">
        <v>1102</v>
      </c>
      <c r="V130" s="9" t="str">
        <f>IFERROR(MID(VLOOKUP($B130,Seqs!$A:$B,2,0),W130,1),"")</f>
        <v/>
      </c>
      <c r="W130" s="9">
        <v>1137</v>
      </c>
      <c r="X130" s="9" t="str">
        <f>IFERROR(MID(VLOOKUP($B130,Seqs!$A:$B,2,0),Y130,1),"")</f>
        <v/>
      </c>
      <c r="Y130" s="9">
        <v>1138</v>
      </c>
      <c r="Z130" s="9" t="str">
        <f>IFERROR(MID(VLOOKUP($B130,Seqs!$A:$B,2,0),AA130,1),"")</f>
        <v/>
      </c>
      <c r="AA130" s="9">
        <v>1145</v>
      </c>
      <c r="AB130" s="9" t="str">
        <f>IFERROR(MID(VLOOKUP($B130,Seqs!$A:$B,2,0),AC130,1),"")</f>
        <v/>
      </c>
      <c r="AC130" s="9">
        <v>1146</v>
      </c>
      <c r="AD130" s="9" t="str">
        <f>IFERROR(MID(VLOOKUP($B130,Seqs!$A:$B,2,0),AE130,1),"")</f>
        <v/>
      </c>
      <c r="AE130" s="9">
        <v>1172</v>
      </c>
      <c r="AF130" s="9" t="str">
        <f>IFERROR(MID(VLOOKUP($B130,Seqs!$A:$B,2,0),AG130,1),"")</f>
        <v/>
      </c>
      <c r="AG130" s="9">
        <v>1191</v>
      </c>
      <c r="AH130" s="9" t="str">
        <f>IFERROR(MID(VLOOKUP($B130,Seqs!$A:$B,2,0),AI130,1),"")</f>
        <v/>
      </c>
      <c r="AI130" s="9">
        <v>1193</v>
      </c>
      <c r="AJ130" s="9" t="str">
        <f>IFERROR(MID(VLOOKUP($B130,Seqs!$A:$B,2,0),AK130,1),"")</f>
        <v/>
      </c>
      <c r="AK130" s="9">
        <v>1196</v>
      </c>
      <c r="AL130" s="9" t="str">
        <f>IFERROR(MID(VLOOKUP($B130,Seqs!$A:$B,2,0),AM130,1),"")</f>
        <v/>
      </c>
      <c r="AM130" s="9">
        <v>1232</v>
      </c>
      <c r="AN130" s="9" t="str">
        <f>IFERROR(MID(VLOOKUP($B130,Seqs!$A:$B,2,0),AO130,1),"")</f>
        <v/>
      </c>
      <c r="AO130" s="9">
        <v>1265</v>
      </c>
      <c r="AP130" s="9" t="str">
        <f>IFERROR(MID(VLOOKUP($B130,Seqs!$A:$B,2,0),AQ130,1),"")</f>
        <v/>
      </c>
      <c r="AQ130" s="9">
        <v>1299</v>
      </c>
      <c r="AR130" s="9" t="str">
        <f>IFERROR(MID(VLOOKUP($B130,Seqs!$A:$B,2,0),AS130,1),"")</f>
        <v/>
      </c>
      <c r="AS130" s="9">
        <v>1304</v>
      </c>
      <c r="AT130" s="9" t="str">
        <f>IFERROR(MID(VLOOKUP($B130,Seqs!$A:$B,2,0),AU130,1),"")</f>
        <v/>
      </c>
      <c r="AU130" s="9">
        <v>1323</v>
      </c>
      <c r="AV130" s="9" t="str">
        <f>IFERROR(MID(VLOOKUP($B130,Seqs!$A:$B,2,0),AW130,1),"")</f>
        <v/>
      </c>
      <c r="AW130" s="9">
        <v>1329</v>
      </c>
      <c r="AX130" s="9" t="str">
        <f>IFERROR(MID(VLOOKUP($B130,Seqs!$A:$B,2,0),AY130,1),"")</f>
        <v/>
      </c>
      <c r="AY130" s="9">
        <v>1342</v>
      </c>
      <c r="AZ130" s="110" t="str">
        <f>VLOOKUP(B130,Classification!A:D,2,0)</f>
        <v>A</v>
      </c>
      <c r="BA130" s="98" t="str">
        <f>VLOOKUP(B130,Classification!A:D,4,0)</f>
        <v>Adrenoceptors</v>
      </c>
      <c r="BB130" s="36" t="b">
        <f>AND(E130&lt;G130,OR(G130&lt;I130,I130="-"),OR(I130&lt;K130,I130="-"),OR(K130&lt;M130,K130="-"),M130&lt;O130,OR(O130&lt;Q130,Q130="-"),OR(Q130&lt;S130,Q130="-"),OR(S130&lt;U130,S130="-"),U130&lt;W130,OR(W130&lt;Y130,Y130="-"),OR(Y130&lt;AA130,Y130="-"),OR(AA130&lt;AC130,AA130="-"),AC130&lt;AE130,OR(AE130&lt;AG130,AG130="-"),OR(AG130&lt;AI130,AG130="-"),OR(AI130&lt;AK130,AI130="-"),AK130&lt;AM130,AM130&lt;AO130,AO130&lt;AQ130,AQ130&lt;AS130,AS130&lt;AU130,OR(AU130&lt;AW130,AW130="-"),OR(AW130&lt;AY130,AW130="-"))</f>
        <v>1</v>
      </c>
      <c r="BC130" s="109">
        <f>_xlfn.AGGREGATE(9,6,CH130:CS130)-_xlfn.AGGREGATE(9,6,BV130:CG130)+12</f>
        <v>252</v>
      </c>
      <c r="BD130" s="124" t="s">
        <v>23</v>
      </c>
      <c r="BE130" s="9" t="s">
        <v>1291</v>
      </c>
      <c r="BF130" s="120">
        <v>2.96</v>
      </c>
      <c r="BG130" s="51" t="s">
        <v>1</v>
      </c>
      <c r="BH130" s="51" t="s">
        <v>1</v>
      </c>
      <c r="BJ130" s="111" t="s">
        <v>1287</v>
      </c>
      <c r="BK130" s="112" t="s">
        <v>1287</v>
      </c>
      <c r="BL130" s="112" t="s">
        <v>1287</v>
      </c>
      <c r="BM130" s="112" t="s">
        <v>1287</v>
      </c>
      <c r="BN130" s="112" t="s">
        <v>1287</v>
      </c>
      <c r="BO130" s="112" t="s">
        <v>1287</v>
      </c>
      <c r="BP130" s="112" t="s">
        <v>1287</v>
      </c>
      <c r="BQ130" s="112" t="s">
        <v>1287</v>
      </c>
      <c r="BR130" s="112" t="s">
        <v>1287</v>
      </c>
      <c r="BS130" s="112" t="s">
        <v>1287</v>
      </c>
      <c r="BT130" s="112" t="s">
        <v>1287</v>
      </c>
      <c r="BU130" s="112" t="s">
        <v>1287</v>
      </c>
      <c r="BV130" s="111">
        <f>E130</f>
        <v>1029</v>
      </c>
      <c r="BW130" s="113">
        <f>I130</f>
        <v>1062</v>
      </c>
      <c r="BX130" s="114">
        <f>M130</f>
        <v>1066</v>
      </c>
      <c r="BY130" s="113">
        <f>Q130</f>
        <v>1098</v>
      </c>
      <c r="BZ130" s="114">
        <f>U130</f>
        <v>1102</v>
      </c>
      <c r="CA130" s="113">
        <f>Y130</f>
        <v>1138</v>
      </c>
      <c r="CB130" s="114">
        <f>AC130</f>
        <v>1146</v>
      </c>
      <c r="CC130" s="113">
        <f>AG130</f>
        <v>1191</v>
      </c>
      <c r="CD130" s="114">
        <f>AK130</f>
        <v>1196</v>
      </c>
      <c r="CE130" s="113">
        <f>AO130</f>
        <v>1265</v>
      </c>
      <c r="CF130" s="114">
        <f>AS130</f>
        <v>1304</v>
      </c>
      <c r="CG130" s="113">
        <f>AW130</f>
        <v>1329</v>
      </c>
      <c r="CH130" s="111">
        <f>G130</f>
        <v>1061</v>
      </c>
      <c r="CI130" s="113">
        <f>K130</f>
        <v>1065</v>
      </c>
      <c r="CJ130" s="114">
        <f>O130</f>
        <v>1096</v>
      </c>
      <c r="CK130" s="114">
        <f>S130</f>
        <v>1101</v>
      </c>
      <c r="CL130" s="114">
        <f>W130</f>
        <v>1137</v>
      </c>
      <c r="CM130" s="114">
        <f>AA130</f>
        <v>1145</v>
      </c>
      <c r="CN130" s="114">
        <f>AE130</f>
        <v>1172</v>
      </c>
      <c r="CO130" s="114">
        <f>AI130</f>
        <v>1193</v>
      </c>
      <c r="CP130" s="114">
        <f>AM130</f>
        <v>1232</v>
      </c>
      <c r="CQ130" s="114">
        <f>AQ130</f>
        <v>1299</v>
      </c>
      <c r="CR130" s="114">
        <f>AU130</f>
        <v>1323</v>
      </c>
      <c r="CS130" s="114">
        <f>AY130</f>
        <v>1342</v>
      </c>
      <c r="CT130" s="109">
        <f>M130-K130</f>
        <v>1</v>
      </c>
    </row>
    <row r="131" spans="1:1029" s="12" customFormat="1" x14ac:dyDescent="0.2">
      <c r="A131" s="9" t="str">
        <f>CONCATENATE(B131,"_",C131)</f>
        <v>adrb2_human_6N48</v>
      </c>
      <c r="B131" s="9" t="s">
        <v>126</v>
      </c>
      <c r="C131" s="9" t="s">
        <v>1581</v>
      </c>
      <c r="D131" s="9" t="str">
        <f>IFERROR(MID(VLOOKUP($B131,Seqs!$A:$B,2,0),E131,1),"")</f>
        <v/>
      </c>
      <c r="E131" s="9">
        <v>1026</v>
      </c>
      <c r="F131" s="9" t="str">
        <f>IFERROR(MID(VLOOKUP($B131,Seqs!$A:$B,2,0),G131,1),"")</f>
        <v/>
      </c>
      <c r="G131" s="9">
        <v>1061</v>
      </c>
      <c r="H131" s="9" t="str">
        <f>IFERROR(MID(VLOOKUP($B131,Seqs!$A:$B,2,0),I131,1),"")</f>
        <v/>
      </c>
      <c r="I131" s="109">
        <v>1062</v>
      </c>
      <c r="J131" s="9" t="str">
        <f>IFERROR(MID(VLOOKUP($B131,Seqs!$A:$B,2,0),K131,1),"")</f>
        <v/>
      </c>
      <c r="K131" s="109">
        <v>1065</v>
      </c>
      <c r="L131" s="9" t="str">
        <f>IFERROR(MID(VLOOKUP($B131,Seqs!$A:$B,2,0),M131,1),"")</f>
        <v/>
      </c>
      <c r="M131" s="9">
        <v>1066</v>
      </c>
      <c r="N131" s="9" t="str">
        <f>IFERROR(MID(VLOOKUP($B131,Seqs!$A:$B,2,0),O131,1),"")</f>
        <v/>
      </c>
      <c r="O131" s="9">
        <v>1097</v>
      </c>
      <c r="P131" s="9" t="str">
        <f>IFERROR(MID(VLOOKUP($B131,Seqs!$A:$B,2,0),Q131,1),"")</f>
        <v/>
      </c>
      <c r="Q131" s="9">
        <v>1098</v>
      </c>
      <c r="R131" s="9" t="str">
        <f>IFERROR(MID(VLOOKUP($B131,Seqs!$A:$B,2,0),S131,1),"")</f>
        <v/>
      </c>
      <c r="S131" s="9">
        <v>1101</v>
      </c>
      <c r="T131" s="9" t="str">
        <f>IFERROR(MID(VLOOKUP($B131,Seqs!$A:$B,2,0),U131,1),"")</f>
        <v/>
      </c>
      <c r="U131" s="9">
        <v>1102</v>
      </c>
      <c r="V131" s="9" t="str">
        <f>IFERROR(MID(VLOOKUP($B131,Seqs!$A:$B,2,0),W131,1),"")</f>
        <v/>
      </c>
      <c r="W131" s="9">
        <v>1137</v>
      </c>
      <c r="X131" s="9" t="str">
        <f>IFERROR(MID(VLOOKUP($B131,Seqs!$A:$B,2,0),Y131,1),"")</f>
        <v/>
      </c>
      <c r="Y131" s="9">
        <v>1138</v>
      </c>
      <c r="Z131" s="9" t="str">
        <f>IFERROR(MID(VLOOKUP($B131,Seqs!$A:$B,2,0),AA131,1),"")</f>
        <v/>
      </c>
      <c r="AA131" s="9">
        <v>1145</v>
      </c>
      <c r="AB131" s="9" t="str">
        <f>IFERROR(MID(VLOOKUP($B131,Seqs!$A:$B,2,0),AC131,1),"")</f>
        <v/>
      </c>
      <c r="AC131" s="9">
        <v>1146</v>
      </c>
      <c r="AD131" s="9" t="str">
        <f>IFERROR(MID(VLOOKUP($B131,Seqs!$A:$B,2,0),AE131,1),"")</f>
        <v/>
      </c>
      <c r="AE131" s="9">
        <v>1172</v>
      </c>
      <c r="AF131" s="9" t="str">
        <f>IFERROR(MID(VLOOKUP($B131,Seqs!$A:$B,2,0),AG131,1),"")</f>
        <v/>
      </c>
      <c r="AG131" s="9">
        <v>1191</v>
      </c>
      <c r="AH131" s="9" t="str">
        <f>IFERROR(MID(VLOOKUP($B131,Seqs!$A:$B,2,0),AI131,1),"")</f>
        <v/>
      </c>
      <c r="AI131" s="9">
        <v>1193</v>
      </c>
      <c r="AJ131" s="9" t="str">
        <f>IFERROR(MID(VLOOKUP($B131,Seqs!$A:$B,2,0),AK131,1),"")</f>
        <v/>
      </c>
      <c r="AK131" s="9">
        <v>1196</v>
      </c>
      <c r="AL131" s="9" t="str">
        <f>IFERROR(MID(VLOOKUP($B131,Seqs!$A:$B,2,0),AM131,1),"")</f>
        <v/>
      </c>
      <c r="AM131" s="9">
        <v>1226</v>
      </c>
      <c r="AN131" s="9" t="str">
        <f>IFERROR(MID(VLOOKUP($B131,Seqs!$A:$B,2,0),AO131,1),"")</f>
        <v/>
      </c>
      <c r="AO131" s="9">
        <v>1265</v>
      </c>
      <c r="AP131" s="9" t="str">
        <f>IFERROR(MID(VLOOKUP($B131,Seqs!$A:$B,2,0),AQ131,1),"")</f>
        <v/>
      </c>
      <c r="AQ131" s="9">
        <v>1299</v>
      </c>
      <c r="AR131" s="9" t="str">
        <f>IFERROR(MID(VLOOKUP($B131,Seqs!$A:$B,2,0),AS131,1),"")</f>
        <v/>
      </c>
      <c r="AS131" s="9">
        <v>1304</v>
      </c>
      <c r="AT131" s="9" t="str">
        <f>IFERROR(MID(VLOOKUP($B131,Seqs!$A:$B,2,0),AU131,1),"")</f>
        <v/>
      </c>
      <c r="AU131" s="9">
        <v>1322</v>
      </c>
      <c r="AV131" s="9" t="str">
        <f>IFERROR(MID(VLOOKUP($B131,Seqs!$A:$B,2,0),AW131,1),"")</f>
        <v/>
      </c>
      <c r="AW131" s="9">
        <v>1329</v>
      </c>
      <c r="AX131" s="9" t="str">
        <f>IFERROR(MID(VLOOKUP($B131,Seqs!$A:$B,2,0),AY131,1),"")</f>
        <v/>
      </c>
      <c r="AY131" s="9">
        <v>1340</v>
      </c>
      <c r="AZ131" s="110" t="str">
        <f>VLOOKUP(B131,Classification!A:D,2,0)</f>
        <v>A</v>
      </c>
      <c r="BA131" s="98" t="str">
        <f>VLOOKUP(B131,Classification!A:D,4,0)</f>
        <v>Adrenoceptors</v>
      </c>
      <c r="BB131" s="36" t="b">
        <f>AND(E131&lt;G131,OR(G131&lt;I131,I131="-"),OR(I131&lt;K131,I131="-"),OR(K131&lt;M131,K131="-"),M131&lt;O131,OR(O131&lt;Q131,Q131="-"),OR(Q131&lt;S131,Q131="-"),OR(S131&lt;U131,S131="-"),U131&lt;W131,OR(W131&lt;Y131,Y131="-"),OR(Y131&lt;AA131,Y131="-"),OR(AA131&lt;AC131,AA131="-"),AC131&lt;AE131,OR(AE131&lt;AG131,AG131="-"),OR(AG131&lt;AI131,AG131="-"),OR(AI131&lt;AK131,AI131="-"),AK131&lt;AM131,AM131&lt;AO131,AO131&lt;AQ131,AQ131&lt;AS131,AS131&lt;AU131,OR(AU131&lt;AW131,AW131="-"),OR(AW131&lt;AY131,AW131="-"))</f>
        <v>1</v>
      </c>
      <c r="BC131" s="109">
        <f>_xlfn.AGGREGATE(9,6,CH131:CS131)-_xlfn.AGGREGATE(9,6,BV131:CG131)+12</f>
        <v>247</v>
      </c>
      <c r="BD131" s="124" t="s">
        <v>23</v>
      </c>
      <c r="BE131" s="9" t="s">
        <v>1291</v>
      </c>
      <c r="BF131" s="120">
        <v>3.2</v>
      </c>
      <c r="BG131" s="51" t="s">
        <v>1</v>
      </c>
      <c r="BH131" s="51" t="s">
        <v>1</v>
      </c>
      <c r="BJ131" s="111" t="s">
        <v>1287</v>
      </c>
      <c r="BK131" s="112" t="s">
        <v>1287</v>
      </c>
      <c r="BL131" s="112" t="s">
        <v>1287</v>
      </c>
      <c r="BM131" s="112" t="s">
        <v>1287</v>
      </c>
      <c r="BN131" s="112" t="s">
        <v>1287</v>
      </c>
      <c r="BO131" s="112" t="s">
        <v>1287</v>
      </c>
      <c r="BP131" s="112" t="s">
        <v>1287</v>
      </c>
      <c r="BQ131" s="112" t="s">
        <v>1287</v>
      </c>
      <c r="BR131" s="112" t="s">
        <v>1287</v>
      </c>
      <c r="BS131" s="112" t="s">
        <v>1287</v>
      </c>
      <c r="BT131" s="112" t="s">
        <v>1287</v>
      </c>
      <c r="BU131" s="112" t="s">
        <v>1287</v>
      </c>
      <c r="BV131" s="111">
        <f>E131</f>
        <v>1026</v>
      </c>
      <c r="BW131" s="113">
        <f>I131</f>
        <v>1062</v>
      </c>
      <c r="BX131" s="114">
        <f>M131</f>
        <v>1066</v>
      </c>
      <c r="BY131" s="113">
        <f>Q131</f>
        <v>1098</v>
      </c>
      <c r="BZ131" s="114">
        <f>U131</f>
        <v>1102</v>
      </c>
      <c r="CA131" s="113">
        <f>Y131</f>
        <v>1138</v>
      </c>
      <c r="CB131" s="114">
        <f>AC131</f>
        <v>1146</v>
      </c>
      <c r="CC131" s="113">
        <f>AG131</f>
        <v>1191</v>
      </c>
      <c r="CD131" s="114">
        <f>AK131</f>
        <v>1196</v>
      </c>
      <c r="CE131" s="113">
        <f>AO131</f>
        <v>1265</v>
      </c>
      <c r="CF131" s="114">
        <f>AS131</f>
        <v>1304</v>
      </c>
      <c r="CG131" s="113">
        <f>AW131</f>
        <v>1329</v>
      </c>
      <c r="CH131" s="111">
        <f>G131</f>
        <v>1061</v>
      </c>
      <c r="CI131" s="113">
        <f>K131</f>
        <v>1065</v>
      </c>
      <c r="CJ131" s="114">
        <f>O131</f>
        <v>1097</v>
      </c>
      <c r="CK131" s="114">
        <f>S131</f>
        <v>1101</v>
      </c>
      <c r="CL131" s="114">
        <f>W131</f>
        <v>1137</v>
      </c>
      <c r="CM131" s="114">
        <f>AA131</f>
        <v>1145</v>
      </c>
      <c r="CN131" s="114">
        <f>AE131</f>
        <v>1172</v>
      </c>
      <c r="CO131" s="114">
        <f>AI131</f>
        <v>1193</v>
      </c>
      <c r="CP131" s="114">
        <f>AM131</f>
        <v>1226</v>
      </c>
      <c r="CQ131" s="114">
        <f>AQ131</f>
        <v>1299</v>
      </c>
      <c r="CR131" s="114">
        <f>AU131</f>
        <v>1322</v>
      </c>
      <c r="CS131" s="114">
        <f>AY131</f>
        <v>1340</v>
      </c>
      <c r="CT131" s="109">
        <f>M131-K131</f>
        <v>1</v>
      </c>
    </row>
    <row r="132" spans="1:1029" x14ac:dyDescent="0.2">
      <c r="A132" s="3" t="str">
        <f t="shared" si="867"/>
        <v>agtr1_human__wt</v>
      </c>
      <c r="B132" s="3" t="s">
        <v>158</v>
      </c>
      <c r="C132" s="3" t="s">
        <v>100</v>
      </c>
      <c r="D132" s="3" t="str">
        <f>IFERROR(MID(VLOOKUP($B132,Seqs!$A:$B,2,0),E132,1),"")</f>
        <v>H</v>
      </c>
      <c r="E132" s="105">
        <v>24</v>
      </c>
      <c r="F132" s="3" t="str">
        <f>IFERROR(MID(VLOOKUP($B132,Seqs!$A:$B,2,0),G132,1),"")</f>
        <v>Y</v>
      </c>
      <c r="G132" s="3">
        <v>56</v>
      </c>
      <c r="H132" s="3" t="str">
        <f>IFERROR(MID(VLOOKUP($B132,Seqs!$A:$B,2,0),I132,1),"")</f>
        <v>M</v>
      </c>
      <c r="I132" s="23">
        <v>57</v>
      </c>
      <c r="J132" s="3" t="str">
        <f>IFERROR(MID(VLOOKUP($B132,Seqs!$A:$B,2,0),K132,1),"")</f>
        <v>K</v>
      </c>
      <c r="K132" s="23">
        <v>60</v>
      </c>
      <c r="L132" s="3" t="str">
        <f>IFERROR(MID(VLOOKUP($B132,Seqs!$A:$B,2,0),M132,1),"")</f>
        <v>T</v>
      </c>
      <c r="M132" s="3">
        <v>61</v>
      </c>
      <c r="N132" s="3" t="str">
        <f>IFERROR(MID(VLOOKUP($B132,Seqs!$A:$B,2,0),O132,1),"")</f>
        <v>M</v>
      </c>
      <c r="O132" s="3">
        <v>90</v>
      </c>
      <c r="P132" s="3" t="str">
        <f>IFERROR(MID(VLOOKUP($B132,Seqs!$A:$B,2,0),Q132,1),"")</f>
        <v>R</v>
      </c>
      <c r="Q132" s="3">
        <v>93</v>
      </c>
      <c r="R132" s="3" t="str">
        <f>IFERROR(MID(VLOOKUP($B132,Seqs!$A:$B,2,0),S132,1),"")</f>
        <v>F</v>
      </c>
      <c r="S132" s="3">
        <v>96</v>
      </c>
      <c r="T132" s="3" t="str">
        <f>IFERROR(MID(VLOOKUP($B132,Seqs!$A:$B,2,0),U132,1),"")</f>
        <v>G</v>
      </c>
      <c r="U132" s="3">
        <v>97</v>
      </c>
      <c r="V132" s="3" t="str">
        <f>IFERROR(MID(VLOOKUP($B132,Seqs!$A:$B,2,0),W132,1),"")</f>
        <v>H</v>
      </c>
      <c r="W132" s="3">
        <v>132</v>
      </c>
      <c r="X132" s="3" t="str">
        <f>IFERROR(MID(VLOOKUP($B132,Seqs!$A:$B,2,0),Y132,1),"")</f>
        <v>P</v>
      </c>
      <c r="Y132" s="3">
        <v>133</v>
      </c>
      <c r="Z132" s="3" t="str">
        <f>IFERROR(MID(VLOOKUP($B132,Seqs!$A:$B,2,0),AA132,1),"")</f>
        <v>R</v>
      </c>
      <c r="AA132" s="3">
        <v>140</v>
      </c>
      <c r="AB132" s="3" t="str">
        <f>IFERROR(MID(VLOOKUP($B132,Seqs!$A:$B,2,0),AC132,1),"")</f>
        <v>T</v>
      </c>
      <c r="AC132" s="9">
        <v>141</v>
      </c>
      <c r="AD132" s="3" t="str">
        <f>IFERROR(MID(VLOOKUP($B132,Seqs!$A:$B,2,0),AE132,1),"")</f>
        <v>R</v>
      </c>
      <c r="AE132" s="3">
        <v>167</v>
      </c>
      <c r="AF132" s="3" t="str">
        <f>IFERROR(MID(VLOOKUP($B132,Seqs!$A:$B,2,0),AG132,1),"")</f>
        <v>C</v>
      </c>
      <c r="AG132" s="3">
        <v>180</v>
      </c>
      <c r="AH132" s="3" t="str">
        <f>IFERROR(MID(VLOOKUP($B132,Seqs!$A:$B,2,0),AI132,1),"")</f>
        <v>F</v>
      </c>
      <c r="AI132" s="3">
        <v>182</v>
      </c>
      <c r="AJ132" s="3" t="str">
        <f>IFERROR(MID(VLOOKUP($B132,Seqs!$A:$B,2,0),AK132,1),"")</f>
        <v>L</v>
      </c>
      <c r="AK132" s="3">
        <v>191</v>
      </c>
      <c r="AL132" s="3" t="str">
        <f>IFERROR(MID(VLOOKUP($B132,Seqs!$A:$B,2,0),AM132,1),"")</f>
        <v>A</v>
      </c>
      <c r="AM132" s="3">
        <v>225</v>
      </c>
      <c r="AN132" s="3" t="str">
        <f>IFERROR(MID(VLOOKUP($B132,Seqs!$A:$B,2,0),AO132,1),"")</f>
        <v>P</v>
      </c>
      <c r="AO132" s="3">
        <v>233</v>
      </c>
      <c r="AP132" s="3" t="str">
        <f>IFERROR(MID(VLOOKUP($B132,Seqs!$A:$B,2,0),AQ132,1),"")</f>
        <v>G</v>
      </c>
      <c r="AQ132" s="3">
        <v>269</v>
      </c>
      <c r="AR132" s="3" t="str">
        <f>IFERROR(MID(VLOOKUP($B132,Seqs!$A:$B,2,0),AS132,1),"")</f>
        <v>D</v>
      </c>
      <c r="AS132" s="3">
        <v>273</v>
      </c>
      <c r="AT132" s="3" t="str">
        <f>IFERROR(MID(VLOOKUP($B132,Seqs!$A:$B,2,0),AU132,1),"")</f>
        <v>L</v>
      </c>
      <c r="AU132" s="3">
        <v>305</v>
      </c>
      <c r="AV132" s="3" t="str">
        <f>IFERROR(MID(VLOOKUP($B132,Seqs!$A:$B,2,0),AW132,1),"")</f>
        <v>G</v>
      </c>
      <c r="AW132" s="3">
        <v>306</v>
      </c>
      <c r="AX132" s="3" t="str">
        <f>IFERROR(MID(VLOOKUP($B132,Seqs!$A:$B,2,0),AY132,1),"")</f>
        <v>I</v>
      </c>
      <c r="AY132" s="3">
        <v>320</v>
      </c>
      <c r="AZ132" s="77" t="str">
        <f>VLOOKUP(B132,Classification!A:D,2,0)</f>
        <v>A</v>
      </c>
      <c r="BA132" s="94" t="str">
        <f>VLOOKUP(B132,Classification!A:D,4,0)</f>
        <v>Angiotensin</v>
      </c>
      <c r="BB132" s="27" t="b">
        <f t="shared" si="868"/>
        <v>1</v>
      </c>
      <c r="BC132" s="23">
        <f t="shared" si="645"/>
        <v>265</v>
      </c>
      <c r="BD132" s="56" t="s">
        <v>23</v>
      </c>
      <c r="BE132" s="3" t="s">
        <v>23</v>
      </c>
      <c r="BF132" s="119" t="s">
        <v>23</v>
      </c>
      <c r="BG132" s="49" t="s">
        <v>1372</v>
      </c>
      <c r="BH132" s="49" t="s">
        <v>1377</v>
      </c>
      <c r="BI132" s="1"/>
      <c r="BJ132" s="70" t="s">
        <v>1287</v>
      </c>
      <c r="BK132" s="57" t="s">
        <v>1287</v>
      </c>
      <c r="BL132" s="57" t="s">
        <v>1287</v>
      </c>
      <c r="BM132" s="57" t="s">
        <v>1287</v>
      </c>
      <c r="BN132" s="57" t="s">
        <v>1287</v>
      </c>
      <c r="BO132" s="57" t="s">
        <v>1287</v>
      </c>
      <c r="BP132" s="57" t="s">
        <v>1287</v>
      </c>
      <c r="BQ132" s="57" t="s">
        <v>1287</v>
      </c>
      <c r="BR132" s="57" t="s">
        <v>1287</v>
      </c>
      <c r="BS132" s="57" t="s">
        <v>1287</v>
      </c>
      <c r="BT132" s="57" t="s">
        <v>1287</v>
      </c>
      <c r="BU132" s="57" t="s">
        <v>1287</v>
      </c>
      <c r="BV132" s="70">
        <f t="shared" si="646"/>
        <v>24</v>
      </c>
      <c r="BW132" s="71">
        <f t="shared" si="647"/>
        <v>57</v>
      </c>
      <c r="BX132" s="72">
        <f t="shared" si="648"/>
        <v>61</v>
      </c>
      <c r="BY132" s="71">
        <f t="shared" si="649"/>
        <v>93</v>
      </c>
      <c r="BZ132" s="72">
        <f t="shared" si="650"/>
        <v>97</v>
      </c>
      <c r="CA132" s="71">
        <f t="shared" si="651"/>
        <v>133</v>
      </c>
      <c r="CB132" s="72">
        <f t="shared" si="652"/>
        <v>141</v>
      </c>
      <c r="CC132" s="71">
        <f t="shared" si="653"/>
        <v>180</v>
      </c>
      <c r="CD132" s="72">
        <f t="shared" si="654"/>
        <v>191</v>
      </c>
      <c r="CE132" s="71">
        <f t="shared" si="655"/>
        <v>233</v>
      </c>
      <c r="CF132" s="72">
        <f t="shared" si="656"/>
        <v>273</v>
      </c>
      <c r="CG132" s="71">
        <f t="shared" si="657"/>
        <v>306</v>
      </c>
      <c r="CH132" s="70">
        <f t="shared" si="658"/>
        <v>56</v>
      </c>
      <c r="CI132" s="71">
        <f t="shared" si="659"/>
        <v>60</v>
      </c>
      <c r="CJ132" s="72">
        <f t="shared" si="660"/>
        <v>90</v>
      </c>
      <c r="CK132" s="72">
        <f t="shared" si="661"/>
        <v>96</v>
      </c>
      <c r="CL132" s="72">
        <f t="shared" si="662"/>
        <v>132</v>
      </c>
      <c r="CM132" s="72">
        <f t="shared" si="663"/>
        <v>140</v>
      </c>
      <c r="CN132" s="72">
        <f t="shared" si="664"/>
        <v>167</v>
      </c>
      <c r="CO132" s="72">
        <f t="shared" si="665"/>
        <v>182</v>
      </c>
      <c r="CP132" s="72">
        <f t="shared" si="666"/>
        <v>225</v>
      </c>
      <c r="CQ132" s="72">
        <f t="shared" si="667"/>
        <v>269</v>
      </c>
      <c r="CR132" s="72">
        <f t="shared" si="668"/>
        <v>305</v>
      </c>
      <c r="CS132" s="72">
        <f t="shared" si="669"/>
        <v>320</v>
      </c>
      <c r="CT132" s="23">
        <f t="shared" si="670"/>
        <v>1</v>
      </c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/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/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/>
      <c r="ALU132" s="2"/>
      <c r="ALV132" s="2"/>
      <c r="ALW132" s="2"/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  <c r="AMK132" s="2"/>
      <c r="AML132" s="2"/>
      <c r="AMM132" s="2"/>
      <c r="AMN132" s="2"/>
      <c r="AMO132" s="2"/>
    </row>
    <row r="133" spans="1:1029" x14ac:dyDescent="0.2">
      <c r="A133" s="3" t="str">
        <f t="shared" si="867"/>
        <v>agtr1_human_4YAY</v>
      </c>
      <c r="B133" s="3" t="s">
        <v>158</v>
      </c>
      <c r="C133" s="3" t="s">
        <v>69</v>
      </c>
      <c r="D133" s="3" t="str">
        <f>IFERROR(MID(VLOOKUP($B133,Seqs!$A:$B,2,0),E133,1),"")</f>
        <v>Y</v>
      </c>
      <c r="E133" s="3">
        <v>26</v>
      </c>
      <c r="F133" s="3" t="str">
        <f>IFERROR(MID(VLOOKUP($B133,Seqs!$A:$B,2,0),G133,1),"")</f>
        <v>Y</v>
      </c>
      <c r="G133" s="3">
        <v>56</v>
      </c>
      <c r="H133" s="3" t="str">
        <f>IFERROR(MID(VLOOKUP($B133,Seqs!$A:$B,2,0),I133,1),"")</f>
        <v>M</v>
      </c>
      <c r="I133" s="23">
        <v>57</v>
      </c>
      <c r="J133" s="3" t="str">
        <f>IFERROR(MID(VLOOKUP($B133,Seqs!$A:$B,2,0),K133,1),"")</f>
        <v>K</v>
      </c>
      <c r="K133" s="23">
        <v>60</v>
      </c>
      <c r="L133" s="3" t="str">
        <f>IFERROR(MID(VLOOKUP($B133,Seqs!$A:$B,2,0),M133,1),"")</f>
        <v>T</v>
      </c>
      <c r="M133" s="3">
        <v>61</v>
      </c>
      <c r="N133" s="3" t="str">
        <f>IFERROR(MID(VLOOKUP($B133,Seqs!$A:$B,2,0),O133,1),"")</f>
        <v>M</v>
      </c>
      <c r="O133" s="3">
        <v>90</v>
      </c>
      <c r="P133" s="3" t="str">
        <f>IFERROR(MID(VLOOKUP($B133,Seqs!$A:$B,2,0),Q133,1),"")</f>
        <v>R</v>
      </c>
      <c r="Q133" s="3">
        <v>93</v>
      </c>
      <c r="R133" s="3" t="str">
        <f>IFERROR(MID(VLOOKUP($B133,Seqs!$A:$B,2,0),S133,1),"")</f>
        <v>F</v>
      </c>
      <c r="S133" s="3">
        <v>96</v>
      </c>
      <c r="T133" s="3" t="str">
        <f>IFERROR(MID(VLOOKUP($B133,Seqs!$A:$B,2,0),U133,1),"")</f>
        <v>G</v>
      </c>
      <c r="U133" s="3">
        <v>97</v>
      </c>
      <c r="V133" s="3" t="str">
        <f>IFERROR(MID(VLOOKUP($B133,Seqs!$A:$B,2,0),W133,1),"")</f>
        <v>H</v>
      </c>
      <c r="W133" s="3">
        <v>132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R</v>
      </c>
      <c r="AC133" s="9">
        <v>137</v>
      </c>
      <c r="AD133" s="3" t="str">
        <f>IFERROR(MID(VLOOKUP($B133,Seqs!$A:$B,2,0),AE133,1),"")</f>
        <v>R</v>
      </c>
      <c r="AE133" s="3">
        <v>167</v>
      </c>
      <c r="AF133" s="3" t="str">
        <f>IFERROR(MID(VLOOKUP($B133,Seqs!$A:$B,2,0),AG133,1),"")</f>
        <v>C</v>
      </c>
      <c r="AG133" s="3">
        <v>180</v>
      </c>
      <c r="AH133" s="3" t="str">
        <f>IFERROR(MID(VLOOKUP($B133,Seqs!$A:$B,2,0),AI133,1),"")</f>
        <v>F</v>
      </c>
      <c r="AI133" s="3">
        <v>182</v>
      </c>
      <c r="AJ133" s="3" t="str">
        <f>IFERROR(MID(VLOOKUP($B133,Seqs!$A:$B,2,0),AK133,1),"")</f>
        <v>L</v>
      </c>
      <c r="AK133" s="3">
        <v>191</v>
      </c>
      <c r="AL133" s="3" t="str">
        <f>IFERROR(MID(VLOOKUP($B133,Seqs!$A:$B,2,0),AM133,1),"")</f>
        <v>L</v>
      </c>
      <c r="AM133" s="3">
        <v>222</v>
      </c>
      <c r="AN133" s="3" t="str">
        <f>IFERROR(MID(VLOOKUP($B133,Seqs!$A:$B,2,0),AO133,1),"")</f>
        <v>N</v>
      </c>
      <c r="AO133" s="3">
        <v>235</v>
      </c>
      <c r="AP133" s="3" t="str">
        <f>IFERROR(MID(VLOOKUP($B133,Seqs!$A:$B,2,0),AQ133,1),"")</f>
        <v>G</v>
      </c>
      <c r="AQ133" s="3">
        <v>269</v>
      </c>
      <c r="AR133" s="3" t="str">
        <f>IFERROR(MID(VLOOKUP($B133,Seqs!$A:$B,2,0),AS133,1),"")</f>
        <v>D</v>
      </c>
      <c r="AS133" s="3">
        <v>273</v>
      </c>
      <c r="AT133" s="3" t="str">
        <f>IFERROR(MID(VLOOKUP($B133,Seqs!$A:$B,2,0),AU133,1),"")</f>
        <v>N</v>
      </c>
      <c r="AU133" s="3">
        <v>298</v>
      </c>
      <c r="AV133" s="3" t="str">
        <f>IFERROR(MID(VLOOKUP($B133,Seqs!$A:$B,2,0),AW133,1),"")</f>
        <v/>
      </c>
      <c r="AW133" s="3" t="s">
        <v>23</v>
      </c>
      <c r="AX133" s="3" t="str">
        <f>IFERROR(MID(VLOOKUP($B133,Seqs!$A:$B,2,0),AY133,1),"")</f>
        <v/>
      </c>
      <c r="AY133" s="3" t="s">
        <v>23</v>
      </c>
      <c r="AZ133" s="77" t="str">
        <f>VLOOKUP(B133,Classification!A:D,2,0)</f>
        <v>A</v>
      </c>
      <c r="BA133" s="94" t="str">
        <f>VLOOKUP(B133,Classification!A:D,4,0)</f>
        <v>Angiotensin</v>
      </c>
      <c r="BB133" s="27" t="b">
        <f t="shared" si="868"/>
        <v>1</v>
      </c>
      <c r="BC133" s="23">
        <f t="shared" si="645"/>
        <v>234</v>
      </c>
      <c r="BD133" s="4" t="s">
        <v>23</v>
      </c>
      <c r="BE133" s="3" t="s">
        <v>1374</v>
      </c>
      <c r="BF133" s="119">
        <v>2.9</v>
      </c>
      <c r="BG133" s="49" t="s">
        <v>1377</v>
      </c>
      <c r="BH133" s="49" t="s">
        <v>1377</v>
      </c>
      <c r="BI133" s="1"/>
      <c r="BJ133" s="70" t="s">
        <v>1287</v>
      </c>
      <c r="BK133" s="57" t="s">
        <v>1287</v>
      </c>
      <c r="BL133" s="57" t="s">
        <v>1287</v>
      </c>
      <c r="BM133" s="57" t="s">
        <v>1287</v>
      </c>
      <c r="BN133" s="57" t="s">
        <v>1287</v>
      </c>
      <c r="BO133" s="57" t="s">
        <v>1287</v>
      </c>
      <c r="BP133" s="57" t="s">
        <v>1287</v>
      </c>
      <c r="BQ133" s="57" t="s">
        <v>1287</v>
      </c>
      <c r="BR133" s="57" t="s">
        <v>1287</v>
      </c>
      <c r="BS133" s="57" t="s">
        <v>1287</v>
      </c>
      <c r="BT133" s="57" t="s">
        <v>1287</v>
      </c>
      <c r="BU133" s="57" t="s">
        <v>1287</v>
      </c>
      <c r="BV133" s="70">
        <f t="shared" si="646"/>
        <v>26</v>
      </c>
      <c r="BW133" s="71">
        <f t="shared" si="647"/>
        <v>57</v>
      </c>
      <c r="BX133" s="72">
        <f t="shared" si="648"/>
        <v>61</v>
      </c>
      <c r="BY133" s="71">
        <f t="shared" si="649"/>
        <v>93</v>
      </c>
      <c r="BZ133" s="72">
        <f t="shared" si="650"/>
        <v>97</v>
      </c>
      <c r="CA133" s="71" t="str">
        <f t="shared" si="651"/>
        <v>-</v>
      </c>
      <c r="CB133" s="72">
        <f t="shared" si="652"/>
        <v>137</v>
      </c>
      <c r="CC133" s="71">
        <f t="shared" si="653"/>
        <v>180</v>
      </c>
      <c r="CD133" s="72">
        <f t="shared" si="654"/>
        <v>191</v>
      </c>
      <c r="CE133" s="71">
        <f t="shared" si="655"/>
        <v>235</v>
      </c>
      <c r="CF133" s="72">
        <f t="shared" si="656"/>
        <v>273</v>
      </c>
      <c r="CG133" s="71" t="str">
        <f t="shared" si="657"/>
        <v>-</v>
      </c>
      <c r="CH133" s="70">
        <f t="shared" si="658"/>
        <v>56</v>
      </c>
      <c r="CI133" s="71">
        <f t="shared" si="659"/>
        <v>60</v>
      </c>
      <c r="CJ133" s="72">
        <f t="shared" si="660"/>
        <v>90</v>
      </c>
      <c r="CK133" s="72">
        <f t="shared" si="661"/>
        <v>96</v>
      </c>
      <c r="CL133" s="72">
        <f t="shared" si="662"/>
        <v>132</v>
      </c>
      <c r="CM133" s="72" t="str">
        <f t="shared" si="663"/>
        <v>-</v>
      </c>
      <c r="CN133" s="72">
        <f t="shared" si="664"/>
        <v>167</v>
      </c>
      <c r="CO133" s="72">
        <f t="shared" si="665"/>
        <v>182</v>
      </c>
      <c r="CP133" s="72">
        <f t="shared" si="666"/>
        <v>222</v>
      </c>
      <c r="CQ133" s="72">
        <f t="shared" si="667"/>
        <v>269</v>
      </c>
      <c r="CR133" s="72">
        <f t="shared" si="668"/>
        <v>298</v>
      </c>
      <c r="CS133" s="72" t="str">
        <f t="shared" si="669"/>
        <v>-</v>
      </c>
      <c r="CT133" s="23">
        <f t="shared" si="670"/>
        <v>1</v>
      </c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  <c r="AMK133" s="2"/>
      <c r="AML133" s="2"/>
      <c r="AMM133" s="2"/>
      <c r="AMN133" s="2"/>
      <c r="AMO133" s="2"/>
    </row>
    <row r="134" spans="1:1029" x14ac:dyDescent="0.2">
      <c r="A134" s="3" t="str">
        <f t="shared" si="867"/>
        <v>agtr1_human_4YAY_dist</v>
      </c>
      <c r="B134" s="3" t="s">
        <v>158</v>
      </c>
      <c r="C134" s="3" t="s">
        <v>1159</v>
      </c>
      <c r="D134" s="3" t="str">
        <f>IFERROR(MID(VLOOKUP($B134,Seqs!$A:$B,2,0),E134,1),"")</f>
        <v>Y</v>
      </c>
      <c r="E134" s="3">
        <v>26</v>
      </c>
      <c r="F134" s="3" t="str">
        <f>IFERROR(MID(VLOOKUP($B134,Seqs!$A:$B,2,0),G134,1),"")</f>
        <v>Y</v>
      </c>
      <c r="G134" s="3">
        <v>56</v>
      </c>
      <c r="H134" s="3" t="str">
        <f>IFERROR(MID(VLOOKUP($B134,Seqs!$A:$B,2,0),I134,1),"")</f>
        <v>M</v>
      </c>
      <c r="I134" s="23">
        <v>57</v>
      </c>
      <c r="J134" s="3" t="str">
        <f>IFERROR(MID(VLOOKUP($B134,Seqs!$A:$B,2,0),K134,1),"")</f>
        <v>K</v>
      </c>
      <c r="K134" s="23">
        <v>60</v>
      </c>
      <c r="L134" s="3" t="str">
        <f>IFERROR(MID(VLOOKUP($B134,Seqs!$A:$B,2,0),M134,1),"")</f>
        <v>T</v>
      </c>
      <c r="M134" s="3">
        <v>61</v>
      </c>
      <c r="N134" s="3" t="str">
        <f>IFERROR(MID(VLOOKUP($B134,Seqs!$A:$B,2,0),O134,1),"")</f>
        <v>M</v>
      </c>
      <c r="O134" s="3">
        <v>90</v>
      </c>
      <c r="P134" s="3" t="str">
        <f>IFERROR(MID(VLOOKUP($B134,Seqs!$A:$B,2,0),Q134,1),"")</f>
        <v>R</v>
      </c>
      <c r="Q134" s="3">
        <v>93</v>
      </c>
      <c r="R134" s="3" t="str">
        <f>IFERROR(MID(VLOOKUP($B134,Seqs!$A:$B,2,0),S134,1),"")</f>
        <v>F</v>
      </c>
      <c r="S134" s="3">
        <v>96</v>
      </c>
      <c r="T134" s="3" t="str">
        <f>IFERROR(MID(VLOOKUP($B134,Seqs!$A:$B,2,0),U134,1),"")</f>
        <v>G</v>
      </c>
      <c r="U134" s="3">
        <v>97</v>
      </c>
      <c r="V134" s="3" t="str">
        <f>IFERROR(MID(VLOOKUP($B134,Seqs!$A:$B,2,0),W134,1),"")</f>
        <v>H</v>
      </c>
      <c r="W134" s="3">
        <v>132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R</v>
      </c>
      <c r="AC134" s="9">
        <v>137</v>
      </c>
      <c r="AD134" s="3" t="str">
        <f>IFERROR(MID(VLOOKUP($B134,Seqs!$A:$B,2,0),AE134,1),"")</f>
        <v>R</v>
      </c>
      <c r="AE134" s="3">
        <v>167</v>
      </c>
      <c r="AF134" s="3" t="str">
        <f>IFERROR(MID(VLOOKUP($B134,Seqs!$A:$B,2,0),AG134,1),"")</f>
        <v>C</v>
      </c>
      <c r="AG134" s="3">
        <v>180</v>
      </c>
      <c r="AH134" s="3" t="str">
        <f>IFERROR(MID(VLOOKUP($B134,Seqs!$A:$B,2,0),AI134,1),"")</f>
        <v>F</v>
      </c>
      <c r="AI134" s="3">
        <v>182</v>
      </c>
      <c r="AJ134" s="3" t="str">
        <f>IFERROR(MID(VLOOKUP($B134,Seqs!$A:$B,2,0),AK134,1),"")</f>
        <v>L</v>
      </c>
      <c r="AK134" s="3">
        <v>191</v>
      </c>
      <c r="AL134" s="3" t="str">
        <f>IFERROR(MID(VLOOKUP($B134,Seqs!$A:$B,2,0),AM134,1),"")</f>
        <v>L</v>
      </c>
      <c r="AM134" s="3">
        <v>222</v>
      </c>
      <c r="AN134" s="3" t="str">
        <f>IFERROR(MID(VLOOKUP($B134,Seqs!$A:$B,2,0),AO134,1),"")</f>
        <v>N</v>
      </c>
      <c r="AO134" s="3">
        <v>235</v>
      </c>
      <c r="AP134" s="3" t="str">
        <f>IFERROR(MID(VLOOKUP($B134,Seqs!$A:$B,2,0),AQ134,1),"")</f>
        <v>G</v>
      </c>
      <c r="AQ134" s="3">
        <v>269</v>
      </c>
      <c r="AR134" s="3" t="str">
        <f>IFERROR(MID(VLOOKUP($B134,Seqs!$A:$B,2,0),AS134,1),"")</f>
        <v>D</v>
      </c>
      <c r="AS134" s="3">
        <v>273</v>
      </c>
      <c r="AT134" s="3" t="str">
        <f>IFERROR(MID(VLOOKUP($B134,Seqs!$A:$B,2,0),AU134,1),"")</f>
        <v>F</v>
      </c>
      <c r="AU134" s="3">
        <v>304</v>
      </c>
      <c r="AV134" s="3" t="str">
        <f>IFERROR(MID(VLOOKUP($B134,Seqs!$A:$B,2,0),AW134,1),"")</f>
        <v>G</v>
      </c>
      <c r="AW134" s="3">
        <v>306</v>
      </c>
      <c r="AX134" s="3" t="str">
        <f>IFERROR(MID(VLOOKUP($B134,Seqs!$A:$B,2,0),AY134,1),"")</f>
        <v>L</v>
      </c>
      <c r="AY134" s="3">
        <v>317</v>
      </c>
      <c r="AZ134" s="77" t="str">
        <f>VLOOKUP(B134,Classification!A:D,2,0)</f>
        <v>A</v>
      </c>
      <c r="BA134" s="94" t="str">
        <f>VLOOKUP(B134,Classification!A:D,4,0)</f>
        <v>Angiotensin</v>
      </c>
      <c r="BB134" s="27" t="b">
        <f t="shared" si="868"/>
        <v>1</v>
      </c>
      <c r="BC134" s="23">
        <f t="shared" si="645"/>
        <v>251</v>
      </c>
      <c r="BD134" s="5"/>
      <c r="BE134" s="3" t="s">
        <v>1374</v>
      </c>
      <c r="BF134" s="119">
        <v>2.9</v>
      </c>
      <c r="BG134" s="49" t="s">
        <v>1377</v>
      </c>
      <c r="BH134" s="49" t="s">
        <v>1377</v>
      </c>
      <c r="BI134" s="1"/>
      <c r="BJ134" s="70" t="s">
        <v>1287</v>
      </c>
      <c r="BK134" s="57" t="s">
        <v>1287</v>
      </c>
      <c r="BL134" s="57" t="s">
        <v>1287</v>
      </c>
      <c r="BM134" s="57" t="s">
        <v>1287</v>
      </c>
      <c r="BN134" s="57" t="s">
        <v>1287</v>
      </c>
      <c r="BO134" s="57" t="s">
        <v>1287</v>
      </c>
      <c r="BP134" s="57" t="s">
        <v>1287</v>
      </c>
      <c r="BQ134" s="57" t="s">
        <v>1287</v>
      </c>
      <c r="BR134" s="57" t="s">
        <v>1287</v>
      </c>
      <c r="BS134" s="57" t="s">
        <v>1287</v>
      </c>
      <c r="BT134" s="57" t="s">
        <v>1287</v>
      </c>
      <c r="BU134" s="57" t="s">
        <v>1287</v>
      </c>
      <c r="BV134" s="70">
        <f t="shared" si="646"/>
        <v>26</v>
      </c>
      <c r="BW134" s="71">
        <f t="shared" si="647"/>
        <v>57</v>
      </c>
      <c r="BX134" s="72">
        <f t="shared" si="648"/>
        <v>61</v>
      </c>
      <c r="BY134" s="71">
        <f t="shared" si="649"/>
        <v>93</v>
      </c>
      <c r="BZ134" s="72">
        <f t="shared" si="650"/>
        <v>97</v>
      </c>
      <c r="CA134" s="71" t="str">
        <f t="shared" si="651"/>
        <v>-</v>
      </c>
      <c r="CB134" s="72">
        <f t="shared" si="652"/>
        <v>137</v>
      </c>
      <c r="CC134" s="71">
        <f t="shared" si="653"/>
        <v>180</v>
      </c>
      <c r="CD134" s="72">
        <f t="shared" si="654"/>
        <v>191</v>
      </c>
      <c r="CE134" s="71">
        <f t="shared" si="655"/>
        <v>235</v>
      </c>
      <c r="CF134" s="72">
        <f t="shared" si="656"/>
        <v>273</v>
      </c>
      <c r="CG134" s="71">
        <f t="shared" si="657"/>
        <v>306</v>
      </c>
      <c r="CH134" s="70">
        <f t="shared" si="658"/>
        <v>56</v>
      </c>
      <c r="CI134" s="71">
        <f t="shared" si="659"/>
        <v>60</v>
      </c>
      <c r="CJ134" s="72">
        <f t="shared" si="660"/>
        <v>90</v>
      </c>
      <c r="CK134" s="72">
        <f t="shared" si="661"/>
        <v>96</v>
      </c>
      <c r="CL134" s="72">
        <f t="shared" si="662"/>
        <v>132</v>
      </c>
      <c r="CM134" s="72" t="str">
        <f t="shared" si="663"/>
        <v>-</v>
      </c>
      <c r="CN134" s="72">
        <f t="shared" si="664"/>
        <v>167</v>
      </c>
      <c r="CO134" s="72">
        <f t="shared" si="665"/>
        <v>182</v>
      </c>
      <c r="CP134" s="72">
        <f t="shared" si="666"/>
        <v>222</v>
      </c>
      <c r="CQ134" s="72">
        <f t="shared" si="667"/>
        <v>269</v>
      </c>
      <c r="CR134" s="72">
        <f t="shared" si="668"/>
        <v>304</v>
      </c>
      <c r="CS134" s="72">
        <f t="shared" si="669"/>
        <v>317</v>
      </c>
      <c r="CT134" s="23">
        <f t="shared" si="670"/>
        <v>1</v>
      </c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/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/>
      <c r="ADS134" s="2"/>
      <c r="ADT134" s="2"/>
      <c r="ADU134" s="2"/>
      <c r="ADV134" s="2"/>
      <c r="ADW134" s="2"/>
      <c r="ADX134" s="2"/>
      <c r="ADY134" s="2"/>
      <c r="ADZ134" s="2"/>
      <c r="AEA134" s="2"/>
      <c r="AEB134" s="2"/>
      <c r="AEC134" s="2"/>
      <c r="AED134" s="2"/>
      <c r="AEE134" s="2"/>
      <c r="AEF134" s="2"/>
      <c r="AEG134" s="2"/>
      <c r="AEH134" s="2"/>
      <c r="AEI134" s="2"/>
      <c r="AEJ134" s="2"/>
      <c r="AEK134" s="2"/>
      <c r="AEL134" s="2"/>
      <c r="AEM134" s="2"/>
      <c r="AEN134" s="2"/>
      <c r="AEO134" s="2"/>
      <c r="AEP134" s="2"/>
      <c r="AEQ134" s="2"/>
      <c r="AER134" s="2"/>
      <c r="AES134" s="2"/>
      <c r="AET134" s="2"/>
      <c r="AEU134" s="2"/>
      <c r="AEV134" s="2"/>
      <c r="AEW134" s="2"/>
      <c r="AEX134" s="2"/>
      <c r="AEY134" s="2"/>
      <c r="AEZ134" s="2"/>
      <c r="AFA134" s="2"/>
      <c r="AFB134" s="2"/>
      <c r="AFC134" s="2"/>
      <c r="AFD134" s="2"/>
      <c r="AFE134" s="2"/>
      <c r="AFF134" s="2"/>
      <c r="AFG134" s="2"/>
      <c r="AFH134" s="2"/>
      <c r="AFI134" s="2"/>
      <c r="AFJ134" s="2"/>
      <c r="AFK134" s="2"/>
      <c r="AFL134" s="2"/>
      <c r="AFM134" s="2"/>
      <c r="AFN134" s="2"/>
      <c r="AFO134" s="2"/>
      <c r="AFP134" s="2"/>
      <c r="AFQ134" s="2"/>
      <c r="AFR134" s="2"/>
      <c r="AFS134" s="2"/>
      <c r="AFT134" s="2"/>
      <c r="AFU134" s="2"/>
      <c r="AFV134" s="2"/>
      <c r="AFW134" s="2"/>
      <c r="AFX134" s="2"/>
      <c r="AFY134" s="2"/>
      <c r="AFZ134" s="2"/>
      <c r="AGA134" s="2"/>
      <c r="AGB134" s="2"/>
      <c r="AGC134" s="2"/>
      <c r="AGD134" s="2"/>
      <c r="AGE134" s="2"/>
      <c r="AGF134" s="2"/>
      <c r="AGG134" s="2"/>
      <c r="AGH134" s="2"/>
      <c r="AGI134" s="2"/>
      <c r="AGJ134" s="2"/>
      <c r="AGK134" s="2"/>
      <c r="AGL134" s="2"/>
      <c r="AGM134" s="2"/>
      <c r="AGN134" s="2"/>
      <c r="AGO134" s="2"/>
      <c r="AGP134" s="2"/>
      <c r="AGQ134" s="2"/>
      <c r="AGR134" s="2"/>
      <c r="AGS134" s="2"/>
      <c r="AGT134" s="2"/>
      <c r="AGU134" s="2"/>
      <c r="AGV134" s="2"/>
      <c r="AGW134" s="2"/>
      <c r="AGX134" s="2"/>
      <c r="AGY134" s="2"/>
      <c r="AGZ134" s="2"/>
      <c r="AHA134" s="2"/>
      <c r="AHB134" s="2"/>
      <c r="AHC134" s="2"/>
      <c r="AHD134" s="2"/>
      <c r="AHE134" s="2"/>
      <c r="AHF134" s="2"/>
      <c r="AHG134" s="2"/>
      <c r="AHH134" s="2"/>
      <c r="AHI134" s="2"/>
      <c r="AHJ134" s="2"/>
      <c r="AHK134" s="2"/>
      <c r="AHL134" s="2"/>
      <c r="AHM134" s="2"/>
      <c r="AHN134" s="2"/>
      <c r="AHO134" s="2"/>
      <c r="AHP134" s="2"/>
      <c r="AHQ134" s="2"/>
      <c r="AHR134" s="2"/>
      <c r="AHS134" s="2"/>
      <c r="AHT134" s="2"/>
      <c r="AHU134" s="2"/>
      <c r="AHV134" s="2"/>
      <c r="AHW134" s="2"/>
      <c r="AHX134" s="2"/>
      <c r="AHY134" s="2"/>
      <c r="AHZ134" s="2"/>
      <c r="AIA134" s="2"/>
      <c r="AIB134" s="2"/>
      <c r="AIC134" s="2"/>
      <c r="AID134" s="2"/>
      <c r="AIE134" s="2"/>
      <c r="AIF134" s="2"/>
      <c r="AIG134" s="2"/>
      <c r="AIH134" s="2"/>
      <c r="AII134" s="2"/>
      <c r="AIJ134" s="2"/>
      <c r="AIK134" s="2"/>
      <c r="AIL134" s="2"/>
      <c r="AIM134" s="2"/>
      <c r="AIN134" s="2"/>
      <c r="AIO134" s="2"/>
      <c r="AIP134" s="2"/>
      <c r="AIQ134" s="2"/>
      <c r="AIR134" s="2"/>
      <c r="AIS134" s="2"/>
      <c r="AIT134" s="2"/>
      <c r="AIU134" s="2"/>
      <c r="AIV134" s="2"/>
      <c r="AIW134" s="2"/>
      <c r="AIX134" s="2"/>
      <c r="AIY134" s="2"/>
      <c r="AIZ134" s="2"/>
      <c r="AJA134" s="2"/>
      <c r="AJB134" s="2"/>
      <c r="AJC134" s="2"/>
      <c r="AJD134" s="2"/>
      <c r="AJE134" s="2"/>
      <c r="AJF134" s="2"/>
      <c r="AJG134" s="2"/>
      <c r="AJH134" s="2"/>
      <c r="AJI134" s="2"/>
      <c r="AJJ134" s="2"/>
      <c r="AJK134" s="2"/>
      <c r="AJL134" s="2"/>
      <c r="AJM134" s="2"/>
      <c r="AJN134" s="2"/>
      <c r="AJO134" s="2"/>
      <c r="AJP134" s="2"/>
      <c r="AJQ134" s="2"/>
      <c r="AJR134" s="2"/>
      <c r="AJS134" s="2"/>
      <c r="AJT134" s="2"/>
      <c r="AJU134" s="2"/>
      <c r="AJV134" s="2"/>
      <c r="AJW134" s="2"/>
      <c r="AJX134" s="2"/>
      <c r="AJY134" s="2"/>
      <c r="AJZ134" s="2"/>
      <c r="AKA134" s="2"/>
      <c r="AKB134" s="2"/>
      <c r="AKC134" s="2"/>
      <c r="AKD134" s="2"/>
      <c r="AKE134" s="2"/>
      <c r="AKF134" s="2"/>
      <c r="AKG134" s="2"/>
      <c r="AKH134" s="2"/>
      <c r="AKI134" s="2"/>
      <c r="AKJ134" s="2"/>
      <c r="AKK134" s="2"/>
      <c r="AKL134" s="2"/>
      <c r="AKM134" s="2"/>
      <c r="AKN134" s="2"/>
      <c r="AKO134" s="2"/>
      <c r="AKP134" s="2"/>
      <c r="AKQ134" s="2"/>
      <c r="AKR134" s="2"/>
      <c r="AKS134" s="2"/>
      <c r="AKT134" s="2"/>
      <c r="AKU134" s="2"/>
      <c r="AKV134" s="2"/>
      <c r="AKW134" s="2"/>
      <c r="AKX134" s="2"/>
      <c r="AKY134" s="2"/>
      <c r="AKZ134" s="2"/>
      <c r="ALA134" s="2"/>
      <c r="ALB134" s="2"/>
      <c r="ALC134" s="2"/>
      <c r="ALD134" s="2"/>
      <c r="ALE134" s="2"/>
      <c r="ALF134" s="2"/>
      <c r="ALG134" s="2"/>
      <c r="ALH134" s="2"/>
      <c r="ALI134" s="2"/>
      <c r="ALJ134" s="2"/>
      <c r="ALK134" s="2"/>
      <c r="ALL134" s="2"/>
      <c r="ALM134" s="2"/>
      <c r="ALN134" s="2"/>
      <c r="ALO134" s="2"/>
      <c r="ALP134" s="2"/>
      <c r="ALQ134" s="2"/>
      <c r="ALR134" s="2"/>
      <c r="ALS134" s="2"/>
      <c r="ALT134" s="2"/>
      <c r="ALU134" s="2"/>
      <c r="ALV134" s="2"/>
      <c r="ALW134" s="2"/>
      <c r="ALX134" s="2"/>
      <c r="ALY134" s="2"/>
      <c r="ALZ134" s="2"/>
      <c r="AMA134" s="2"/>
      <c r="AMB134" s="2"/>
      <c r="AMC134" s="2"/>
      <c r="AMD134" s="2"/>
      <c r="AME134" s="2"/>
      <c r="AMF134" s="2"/>
      <c r="AMG134" s="2"/>
      <c r="AMH134" s="2"/>
      <c r="AMI134" s="2"/>
      <c r="AMJ134" s="2"/>
      <c r="AMK134" s="2"/>
      <c r="AML134" s="2"/>
      <c r="AMM134" s="2"/>
      <c r="AMN134" s="2"/>
      <c r="AMO134" s="2"/>
    </row>
    <row r="135" spans="1:1029" x14ac:dyDescent="0.2">
      <c r="A135" s="3" t="str">
        <f t="shared" si="867"/>
        <v>agtr1_human_4ZUD</v>
      </c>
      <c r="B135" s="3" t="s">
        <v>158</v>
      </c>
      <c r="C135" s="3" t="s">
        <v>1336</v>
      </c>
      <c r="D135" s="3" t="str">
        <f>IFERROR(MID(VLOOKUP($B135,Seqs!$A:$B,2,0),E135,1),"")</f>
        <v>H</v>
      </c>
      <c r="E135" s="3">
        <v>24</v>
      </c>
      <c r="F135" s="3" t="str">
        <f>IFERROR(MID(VLOOKUP($B135,Seqs!$A:$B,2,0),G135,1),"")</f>
        <v>Y</v>
      </c>
      <c r="G135" s="3">
        <v>56</v>
      </c>
      <c r="H135" s="3" t="str">
        <f>IFERROR(MID(VLOOKUP($B135,Seqs!$A:$B,2,0),I135,1),"")</f>
        <v>M</v>
      </c>
      <c r="I135" s="23">
        <v>57</v>
      </c>
      <c r="J135" s="3" t="str">
        <f>IFERROR(MID(VLOOKUP($B135,Seqs!$A:$B,2,0),K135,1),"")</f>
        <v>K</v>
      </c>
      <c r="K135" s="23">
        <v>60</v>
      </c>
      <c r="L135" s="3" t="str">
        <f>IFERROR(MID(VLOOKUP($B135,Seqs!$A:$B,2,0),M135,1),"")</f>
        <v>T</v>
      </c>
      <c r="M135" s="3">
        <v>61</v>
      </c>
      <c r="N135" s="3" t="str">
        <f>IFERROR(MID(VLOOKUP($B135,Seqs!$A:$B,2,0),O135,1),"")</f>
        <v>M</v>
      </c>
      <c r="O135" s="3">
        <v>90</v>
      </c>
      <c r="P135" s="3" t="str">
        <f>IFERROR(MID(VLOOKUP($B135,Seqs!$A:$B,2,0),Q135,1),"")</f>
        <v>R</v>
      </c>
      <c r="Q135" s="3">
        <v>93</v>
      </c>
      <c r="R135" s="3" t="str">
        <f>IFERROR(MID(VLOOKUP($B135,Seqs!$A:$B,2,0),S135,1),"")</f>
        <v>F</v>
      </c>
      <c r="S135" s="3">
        <v>96</v>
      </c>
      <c r="T135" s="3" t="str">
        <f>IFERROR(MID(VLOOKUP($B135,Seqs!$A:$B,2,0),U135,1),"")</f>
        <v>G</v>
      </c>
      <c r="U135" s="3">
        <v>97</v>
      </c>
      <c r="V135" s="3" t="str">
        <f>IFERROR(MID(VLOOKUP($B135,Seqs!$A:$B,2,0),W135,1),"")</f>
        <v>H</v>
      </c>
      <c r="W135" s="3">
        <v>132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M</v>
      </c>
      <c r="AC135" s="9">
        <v>142</v>
      </c>
      <c r="AD135" s="3" t="str">
        <f>IFERROR(MID(VLOOKUP($B135,Seqs!$A:$B,2,0),AE135,1),"")</f>
        <v>R</v>
      </c>
      <c r="AE135" s="3">
        <v>167</v>
      </c>
      <c r="AF135" s="3" t="str">
        <f>IFERROR(MID(VLOOKUP($B135,Seqs!$A:$B,2,0),AG135,1),"")</f>
        <v>C</v>
      </c>
      <c r="AG135" s="3">
        <v>180</v>
      </c>
      <c r="AH135" s="3" t="str">
        <f>IFERROR(MID(VLOOKUP($B135,Seqs!$A:$B,2,0),AI135,1),"")</f>
        <v>F</v>
      </c>
      <c r="AI135" s="3">
        <v>182</v>
      </c>
      <c r="AJ135" s="3" t="str">
        <f>IFERROR(MID(VLOOKUP($B135,Seqs!$A:$B,2,0),AK135,1),"")</f>
        <v>L</v>
      </c>
      <c r="AK135" s="3">
        <v>191</v>
      </c>
      <c r="AL135" s="3" t="str">
        <f>IFERROR(MID(VLOOKUP($B135,Seqs!$A:$B,2,0),AM135,1),"")</f>
        <v>L</v>
      </c>
      <c r="AM135" s="3">
        <v>222</v>
      </c>
      <c r="AN135" s="3" t="str">
        <f>IFERROR(MID(VLOOKUP($B135,Seqs!$A:$B,2,0),AO135,1),"")</f>
        <v>D</v>
      </c>
      <c r="AO135" s="3">
        <v>236</v>
      </c>
      <c r="AP135" s="3" t="str">
        <f>IFERROR(MID(VLOOKUP($B135,Seqs!$A:$B,2,0),AQ135,1),"")</f>
        <v>G</v>
      </c>
      <c r="AQ135" s="3">
        <v>269</v>
      </c>
      <c r="AR135" s="3" t="str">
        <f>IFERROR(MID(VLOOKUP($B135,Seqs!$A:$B,2,0),AS135,1),"")</f>
        <v>D</v>
      </c>
      <c r="AS135" s="3">
        <v>273</v>
      </c>
      <c r="AT135" s="3" t="str">
        <f>IFERROR(MID(VLOOKUP($B135,Seqs!$A:$B,2,0),AU135,1),"")</f>
        <v>F</v>
      </c>
      <c r="AU135" s="3">
        <v>304</v>
      </c>
      <c r="AV135" s="3" t="str">
        <f>IFERROR(MID(VLOOKUP($B135,Seqs!$A:$B,2,0),AW135,1),"")</f>
        <v/>
      </c>
      <c r="AW135" s="3" t="s">
        <v>23</v>
      </c>
      <c r="AX135" s="3" t="str">
        <f>IFERROR(MID(VLOOKUP($B135,Seqs!$A:$B,2,0),AY135,1),"")</f>
        <v/>
      </c>
      <c r="AY135" s="3" t="s">
        <v>23</v>
      </c>
      <c r="AZ135" s="77" t="str">
        <f>VLOOKUP(B135,Classification!A:D,2,0)</f>
        <v>A</v>
      </c>
      <c r="BA135" s="94" t="str">
        <f>VLOOKUP(B135,Classification!A:D,4,0)</f>
        <v>Angiotensin</v>
      </c>
      <c r="BB135" s="27" t="b">
        <f t="shared" si="868"/>
        <v>1</v>
      </c>
      <c r="BC135" s="23">
        <f t="shared" si="645"/>
        <v>236</v>
      </c>
      <c r="BD135" s="2" t="s">
        <v>1376</v>
      </c>
      <c r="BE135" s="3" t="s">
        <v>1374</v>
      </c>
      <c r="BF135" s="119">
        <v>2.8</v>
      </c>
      <c r="BG135" s="49" t="s">
        <v>1377</v>
      </c>
      <c r="BH135" s="49" t="s">
        <v>1377</v>
      </c>
      <c r="BI135" s="1"/>
      <c r="BJ135" s="70" t="s">
        <v>1287</v>
      </c>
      <c r="BK135" s="57" t="s">
        <v>1287</v>
      </c>
      <c r="BL135" s="57" t="s">
        <v>1287</v>
      </c>
      <c r="BM135" s="57" t="s">
        <v>1287</v>
      </c>
      <c r="BN135" s="57" t="s">
        <v>1287</v>
      </c>
      <c r="BO135" s="57" t="s">
        <v>1287</v>
      </c>
      <c r="BP135" s="57" t="s">
        <v>1287</v>
      </c>
      <c r="BQ135" s="57" t="s">
        <v>1287</v>
      </c>
      <c r="BR135" s="57" t="s">
        <v>1287</v>
      </c>
      <c r="BS135" s="57" t="s">
        <v>1287</v>
      </c>
      <c r="BT135" s="57" t="s">
        <v>1287</v>
      </c>
      <c r="BU135" s="57" t="s">
        <v>1287</v>
      </c>
      <c r="BV135" s="70">
        <f t="shared" si="646"/>
        <v>24</v>
      </c>
      <c r="BW135" s="71">
        <f t="shared" si="647"/>
        <v>57</v>
      </c>
      <c r="BX135" s="72">
        <f t="shared" si="648"/>
        <v>61</v>
      </c>
      <c r="BY135" s="71">
        <f t="shared" si="649"/>
        <v>93</v>
      </c>
      <c r="BZ135" s="72">
        <f t="shared" si="650"/>
        <v>97</v>
      </c>
      <c r="CA135" s="71" t="str">
        <f t="shared" si="651"/>
        <v>-</v>
      </c>
      <c r="CB135" s="72">
        <f t="shared" si="652"/>
        <v>142</v>
      </c>
      <c r="CC135" s="71">
        <f t="shared" si="653"/>
        <v>180</v>
      </c>
      <c r="CD135" s="72">
        <f t="shared" si="654"/>
        <v>191</v>
      </c>
      <c r="CE135" s="71">
        <f t="shared" si="655"/>
        <v>236</v>
      </c>
      <c r="CF135" s="72">
        <f t="shared" si="656"/>
        <v>273</v>
      </c>
      <c r="CG135" s="71" t="str">
        <f t="shared" si="657"/>
        <v>-</v>
      </c>
      <c r="CH135" s="70">
        <f t="shared" si="658"/>
        <v>56</v>
      </c>
      <c r="CI135" s="71">
        <f t="shared" si="659"/>
        <v>60</v>
      </c>
      <c r="CJ135" s="72">
        <f t="shared" si="660"/>
        <v>90</v>
      </c>
      <c r="CK135" s="72">
        <f t="shared" si="661"/>
        <v>96</v>
      </c>
      <c r="CL135" s="72">
        <f t="shared" si="662"/>
        <v>132</v>
      </c>
      <c r="CM135" s="72" t="str">
        <f t="shared" si="663"/>
        <v>-</v>
      </c>
      <c r="CN135" s="72">
        <f t="shared" si="664"/>
        <v>167</v>
      </c>
      <c r="CO135" s="72">
        <f t="shared" si="665"/>
        <v>182</v>
      </c>
      <c r="CP135" s="72">
        <f t="shared" si="666"/>
        <v>222</v>
      </c>
      <c r="CQ135" s="72">
        <f t="shared" si="667"/>
        <v>269</v>
      </c>
      <c r="CR135" s="72">
        <f t="shared" si="668"/>
        <v>304</v>
      </c>
      <c r="CS135" s="72" t="str">
        <f t="shared" si="669"/>
        <v>-</v>
      </c>
      <c r="CT135" s="23">
        <f t="shared" si="670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s="12" customFormat="1" x14ac:dyDescent="0.2">
      <c r="A136" s="9" t="str">
        <f t="shared" ref="A136" si="869">CONCATENATE(B136,"_",C136)</f>
        <v>agtr1_human_6DO1</v>
      </c>
      <c r="B136" s="9" t="s">
        <v>158</v>
      </c>
      <c r="C136" s="9" t="s">
        <v>1555</v>
      </c>
      <c r="D136" s="9" t="str">
        <f>IFERROR(MID(VLOOKUP($B136,Seqs!$A:$B,2,0),E136,1),"")</f>
        <v>H</v>
      </c>
      <c r="E136" s="9">
        <v>24</v>
      </c>
      <c r="F136" s="9" t="str">
        <f>IFERROR(MID(VLOOKUP($B136,Seqs!$A:$B,2,0),G136,1),"")</f>
        <v>Y</v>
      </c>
      <c r="G136" s="9">
        <v>56</v>
      </c>
      <c r="H136" s="9" t="str">
        <f>IFERROR(MID(VLOOKUP($B136,Seqs!$A:$B,2,0),I136,1),"")</f>
        <v/>
      </c>
      <c r="I136" s="109" t="s">
        <v>23</v>
      </c>
      <c r="J136" s="9" t="str">
        <f>IFERROR(MID(VLOOKUP($B136,Seqs!$A:$B,2,0),K136,1),"")</f>
        <v/>
      </c>
      <c r="K136" s="109" t="s">
        <v>23</v>
      </c>
      <c r="L136" s="9" t="str">
        <f>IFERROR(MID(VLOOKUP($B136,Seqs!$A:$B,2,0),M136,1),"")</f>
        <v>T</v>
      </c>
      <c r="M136" s="9">
        <v>61</v>
      </c>
      <c r="N136" s="9" t="str">
        <f>IFERROR(MID(VLOOKUP($B136,Seqs!$A:$B,2,0),O136,1),"")</f>
        <v>M</v>
      </c>
      <c r="O136" s="9">
        <v>90</v>
      </c>
      <c r="P136" s="9" t="str">
        <f>IFERROR(MID(VLOOKUP($B136,Seqs!$A:$B,2,0),Q136,1),"")</f>
        <v>R</v>
      </c>
      <c r="Q136" s="9">
        <v>93</v>
      </c>
      <c r="R136" s="9" t="str">
        <f>IFERROR(MID(VLOOKUP($B136,Seqs!$A:$B,2,0),S136,1),"")</f>
        <v>F</v>
      </c>
      <c r="S136" s="9">
        <v>96</v>
      </c>
      <c r="T136" s="9" t="str">
        <f>IFERROR(MID(VLOOKUP($B136,Seqs!$A:$B,2,0),U136,1),"")</f>
        <v>G</v>
      </c>
      <c r="U136" s="9">
        <v>97</v>
      </c>
      <c r="V136" s="9" t="str">
        <f>IFERROR(MID(VLOOKUP($B136,Seqs!$A:$B,2,0),W136,1),"")</f>
        <v>H</v>
      </c>
      <c r="W136" s="9">
        <v>132</v>
      </c>
      <c r="X136" s="9" t="str">
        <f>IFERROR(MID(VLOOKUP($B136,Seqs!$A:$B,2,0),Y136,1),"")</f>
        <v>P</v>
      </c>
      <c r="Y136" s="9">
        <v>133</v>
      </c>
      <c r="Z136" s="9" t="str">
        <f>IFERROR(MID(VLOOKUP($B136,Seqs!$A:$B,2,0),AA136,1),"")</f>
        <v>R</v>
      </c>
      <c r="AA136" s="9">
        <v>140</v>
      </c>
      <c r="AB136" s="9" t="str">
        <f>IFERROR(MID(VLOOKUP($B136,Seqs!$A:$B,2,0),AC136,1),"")</f>
        <v>T</v>
      </c>
      <c r="AC136" s="9">
        <v>141</v>
      </c>
      <c r="AD136" s="9" t="str">
        <f>IFERROR(MID(VLOOKUP($B136,Seqs!$A:$B,2,0),AE136,1),"")</f>
        <v>R</v>
      </c>
      <c r="AE136" s="9">
        <v>167</v>
      </c>
      <c r="AF136" s="9" t="str">
        <f>IFERROR(MID(VLOOKUP($B136,Seqs!$A:$B,2,0),AG136,1),"")</f>
        <v>C</v>
      </c>
      <c r="AG136" s="9">
        <v>180</v>
      </c>
      <c r="AH136" s="9" t="str">
        <f>IFERROR(MID(VLOOKUP($B136,Seqs!$A:$B,2,0),AI136,1),"")</f>
        <v>F</v>
      </c>
      <c r="AI136" s="9">
        <v>182</v>
      </c>
      <c r="AJ136" s="9" t="str">
        <f>IFERROR(MID(VLOOKUP($B136,Seqs!$A:$B,2,0),AK136,1),"")</f>
        <v>P</v>
      </c>
      <c r="AK136" s="9">
        <v>192</v>
      </c>
      <c r="AL136" s="9" t="str">
        <f>IFERROR(MID(VLOOKUP($B136,Seqs!$A:$B,2,0),AM136,1),"")</f>
        <v>N</v>
      </c>
      <c r="AM136" s="9">
        <v>231</v>
      </c>
      <c r="AN136" s="9" t="str">
        <f>IFERROR(MID(VLOOKUP($B136,Seqs!$A:$B,2,0),AO136,1),"")</f>
        <v>T</v>
      </c>
      <c r="AO136" s="9">
        <v>336</v>
      </c>
      <c r="AP136" s="9" t="str">
        <f>IFERROR(MID(VLOOKUP($B136,Seqs!$A:$B,2,0),AQ136,1),"")</f>
        <v/>
      </c>
      <c r="AQ136" s="9">
        <v>368</v>
      </c>
      <c r="AR136" s="9" t="str">
        <f>IFERROR(MID(VLOOKUP($B136,Seqs!$A:$B,2,0),AS136,1),"")</f>
        <v/>
      </c>
      <c r="AS136" s="9">
        <v>372</v>
      </c>
      <c r="AT136" s="9" t="str">
        <f>IFERROR(MID(VLOOKUP($B136,Seqs!$A:$B,2,0),AU136,1),"")</f>
        <v/>
      </c>
      <c r="AU136" s="9">
        <v>404</v>
      </c>
      <c r="AV136" s="9" t="str">
        <f>IFERROR(MID(VLOOKUP($B136,Seqs!$A:$B,2,0),AW136,1),"")</f>
        <v/>
      </c>
      <c r="AW136" s="9">
        <v>405</v>
      </c>
      <c r="AX136" s="9" t="str">
        <f>IFERROR(MID(VLOOKUP($B136,Seqs!$A:$B,2,0),AY136,1),"")</f>
        <v/>
      </c>
      <c r="AY136" s="9">
        <v>416</v>
      </c>
      <c r="AZ136" s="110" t="str">
        <f>VLOOKUP(B136,Classification!A:D,2,0)</f>
        <v>A</v>
      </c>
      <c r="BA136" s="98" t="str">
        <f>VLOOKUP(B136,Classification!A:D,4,0)</f>
        <v>Angiotensin</v>
      </c>
      <c r="BB136" s="36" t="b">
        <f t="shared" ref="BB136" si="870">AND(E136&lt;G136,OR(G136&lt;I136,I136="-"),OR(I136&lt;K136,I136="-"),OR(K136&lt;M136,K136="-"),M136&lt;O136,OR(O136&lt;Q136,Q136="-"),OR(Q136&lt;S136,Q136="-"),OR(S136&lt;U136,S136="-"),U136&lt;W136,OR(W136&lt;Y136,Y136="-"),OR(Y136&lt;AA136,Y136="-"),OR(AA136&lt;AC136,AA136="-"),AC136&lt;AE136,OR(AE136&lt;AG136,AG136="-"),OR(AG136&lt;AI136,AG136="-"),OR(AI136&lt;AK136,AI136="-"),AK136&lt;AM136,AM136&lt;AO136,AO136&lt;AQ136,AQ136&lt;AS136,AS136&lt;AU136,OR(AU136&lt;AW136,AW136="-"),OR(AW136&lt;AY136,AW136="-"))</f>
        <v>1</v>
      </c>
      <c r="BC136" s="109">
        <f t="shared" ref="BC136" si="871">_xlfn.AGGREGATE(9,6,CH136:CS136)-_xlfn.AGGREGATE(9,6,BV136:CG136)+12</f>
        <v>260</v>
      </c>
      <c r="BD136" s="40" t="s">
        <v>1375</v>
      </c>
      <c r="BE136" s="9" t="s">
        <v>1291</v>
      </c>
      <c r="BF136" s="120">
        <v>2.9</v>
      </c>
      <c r="BG136" s="51" t="s">
        <v>1</v>
      </c>
      <c r="BH136" s="51" t="s">
        <v>1</v>
      </c>
      <c r="BJ136" s="111" t="s">
        <v>1287</v>
      </c>
      <c r="BK136" s="112" t="s">
        <v>1287</v>
      </c>
      <c r="BL136" s="112" t="s">
        <v>1287</v>
      </c>
      <c r="BM136" s="112" t="s">
        <v>1287</v>
      </c>
      <c r="BN136" s="112" t="s">
        <v>1287</v>
      </c>
      <c r="BO136" s="112" t="s">
        <v>1287</v>
      </c>
      <c r="BP136" s="112" t="s">
        <v>1287</v>
      </c>
      <c r="BQ136" s="112" t="s">
        <v>1287</v>
      </c>
      <c r="BR136" s="112" t="s">
        <v>1287</v>
      </c>
      <c r="BS136" s="112" t="s">
        <v>1287</v>
      </c>
      <c r="BT136" s="112" t="s">
        <v>1287</v>
      </c>
      <c r="BU136" s="112" t="s">
        <v>1287</v>
      </c>
      <c r="BV136" s="111">
        <f t="shared" ref="BV136" si="872">E136</f>
        <v>24</v>
      </c>
      <c r="BW136" s="113" t="str">
        <f t="shared" ref="BW136" si="873">I136</f>
        <v>-</v>
      </c>
      <c r="BX136" s="114">
        <f t="shared" ref="BX136" si="874">M136</f>
        <v>61</v>
      </c>
      <c r="BY136" s="113">
        <f t="shared" ref="BY136" si="875">Q136</f>
        <v>93</v>
      </c>
      <c r="BZ136" s="114">
        <f t="shared" ref="BZ136" si="876">U136</f>
        <v>97</v>
      </c>
      <c r="CA136" s="113">
        <f t="shared" ref="CA136" si="877">Y136</f>
        <v>133</v>
      </c>
      <c r="CB136" s="114">
        <f t="shared" ref="CB136" si="878">AC136</f>
        <v>141</v>
      </c>
      <c r="CC136" s="113">
        <f t="shared" ref="CC136" si="879">AG136</f>
        <v>180</v>
      </c>
      <c r="CD136" s="114">
        <f t="shared" ref="CD136" si="880">AK136</f>
        <v>192</v>
      </c>
      <c r="CE136" s="113">
        <f t="shared" ref="CE136" si="881">AO136</f>
        <v>336</v>
      </c>
      <c r="CF136" s="114">
        <f t="shared" ref="CF136" si="882">AS136</f>
        <v>372</v>
      </c>
      <c r="CG136" s="113">
        <f t="shared" ref="CG136" si="883">AW136</f>
        <v>405</v>
      </c>
      <c r="CH136" s="111">
        <f t="shared" ref="CH136" si="884">G136</f>
        <v>56</v>
      </c>
      <c r="CI136" s="113" t="str">
        <f t="shared" ref="CI136" si="885">K136</f>
        <v>-</v>
      </c>
      <c r="CJ136" s="114">
        <f t="shared" ref="CJ136" si="886">O136</f>
        <v>90</v>
      </c>
      <c r="CK136" s="114">
        <f t="shared" ref="CK136" si="887">S136</f>
        <v>96</v>
      </c>
      <c r="CL136" s="114">
        <f t="shared" ref="CL136" si="888">W136</f>
        <v>132</v>
      </c>
      <c r="CM136" s="114">
        <f t="shared" ref="CM136" si="889">AA136</f>
        <v>140</v>
      </c>
      <c r="CN136" s="114">
        <f t="shared" ref="CN136" si="890">AE136</f>
        <v>167</v>
      </c>
      <c r="CO136" s="114">
        <f t="shared" ref="CO136" si="891">AI136</f>
        <v>182</v>
      </c>
      <c r="CP136" s="114">
        <f t="shared" ref="CP136" si="892">AM136</f>
        <v>231</v>
      </c>
      <c r="CQ136" s="114">
        <f t="shared" ref="CQ136" si="893">AQ136</f>
        <v>368</v>
      </c>
      <c r="CR136" s="114">
        <f t="shared" ref="CR136" si="894">AU136</f>
        <v>404</v>
      </c>
      <c r="CS136" s="114">
        <f t="shared" ref="CS136" si="895">AY136</f>
        <v>416</v>
      </c>
      <c r="CT136" s="109" t="e">
        <f t="shared" ref="CT136" si="896">M136-K136</f>
        <v>#VALUE!</v>
      </c>
    </row>
    <row r="137" spans="1:1029" x14ac:dyDescent="0.2">
      <c r="A137" s="3" t="str">
        <f t="shared" ref="A137:A147" si="897">CONCATENATE(B137,"_",C137)</f>
        <v>agtr2_human__wt</v>
      </c>
      <c r="B137" s="3" t="s">
        <v>159</v>
      </c>
      <c r="C137" s="3" t="s">
        <v>100</v>
      </c>
      <c r="D137" s="3" t="str">
        <f>IFERROR(MID(VLOOKUP($B137,Seqs!$A:$B,2,0),E137,1),"")</f>
        <v>D</v>
      </c>
      <c r="E137" s="3">
        <v>45</v>
      </c>
      <c r="F137" s="3" t="str">
        <f>IFERROR(MID(VLOOKUP($B137,Seqs!$A:$B,2,0),G137,1),"")</f>
        <v>Q</v>
      </c>
      <c r="G137" s="3">
        <v>72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V</v>
      </c>
      <c r="M137" s="3">
        <v>78</v>
      </c>
      <c r="N137" s="3" t="str">
        <f>IFERROR(MID(VLOOKUP($B137,Seqs!$A:$B,2,0),O137,1),"")</f>
        <v>Y</v>
      </c>
      <c r="O137" s="3">
        <v>106</v>
      </c>
      <c r="P137" s="3" t="str">
        <f>IFERROR(MID(VLOOKUP($B137,Seqs!$A:$B,2,0),Q137,1),"")</f>
        <v>R</v>
      </c>
      <c r="Q137" s="3">
        <v>107</v>
      </c>
      <c r="R137" s="3" t="str">
        <f>IFERROR(MID(VLOOKUP($B137,Seqs!$A:$B,2,0),S137,1),"")</f>
        <v>F</v>
      </c>
      <c r="S137" s="3">
        <v>112</v>
      </c>
      <c r="T137" s="3" t="str">
        <f>IFERROR(MID(VLOOKUP($B137,Seqs!$A:$B,2,0),U137,1),"")</f>
        <v>G</v>
      </c>
      <c r="U137" s="3">
        <v>113</v>
      </c>
      <c r="V137" s="3" t="str">
        <f>IFERROR(MID(VLOOKUP($B137,Seqs!$A:$B,2,0),W137,1),"")</f>
        <v>Y</v>
      </c>
      <c r="W137" s="3">
        <v>148</v>
      </c>
      <c r="X137" s="3" t="str">
        <f>IFERROR(MID(VLOOKUP($B137,Seqs!$A:$B,2,0),Y137,1),"")</f>
        <v>P</v>
      </c>
      <c r="Y137" s="3">
        <v>149</v>
      </c>
      <c r="Z137" s="3" t="str">
        <f>IFERROR(MID(VLOOKUP($B137,Seqs!$A:$B,2,0),AA137,1),"")</f>
        <v>R</v>
      </c>
      <c r="AA137" s="3">
        <v>155</v>
      </c>
      <c r="AB137" s="3" t="str">
        <f>IFERROR(MID(VLOOKUP($B137,Seqs!$A:$B,2,0),AC137,1),"")</f>
        <v>N</v>
      </c>
      <c r="AC137" s="3">
        <v>156</v>
      </c>
      <c r="AD137" s="3" t="str">
        <f>IFERROR(MID(VLOOKUP($B137,Seqs!$A:$B,2,0),AE137,1),"")</f>
        <v>R</v>
      </c>
      <c r="AE137" s="3">
        <v>182</v>
      </c>
      <c r="AF137" s="3" t="str">
        <f>IFERROR(MID(VLOOKUP($B137,Seqs!$A:$B,2,0),AG137,1),"")</f>
        <v>C</v>
      </c>
      <c r="AG137" s="3">
        <v>195</v>
      </c>
      <c r="AH137" s="3" t="str">
        <f>IFERROR(MID(VLOOKUP($B137,Seqs!$A:$B,2,0),AI137,1),"")</f>
        <v>M</v>
      </c>
      <c r="AI137" s="3">
        <v>197</v>
      </c>
      <c r="AJ137" s="3" t="str">
        <f>IFERROR(MID(VLOOKUP($B137,Seqs!$A:$B,2,0),AK137,1),"")</f>
        <v>K</v>
      </c>
      <c r="AK137" s="3">
        <v>203</v>
      </c>
      <c r="AL137" s="3" t="str">
        <f>IFERROR(MID(VLOOKUP($B137,Seqs!$A:$B,2,0),AM137,1),"")</f>
        <v>T</v>
      </c>
      <c r="AM137" s="3">
        <v>241</v>
      </c>
      <c r="AN137" s="3" t="str">
        <f>IFERROR(MID(VLOOKUP($B137,Seqs!$A:$B,2,0),AO137,1),"")</f>
        <v>G</v>
      </c>
      <c r="AO137" s="3">
        <v>245</v>
      </c>
      <c r="AP137" s="3" t="str">
        <f>IFERROR(MID(VLOOKUP($B137,Seqs!$A:$B,2,0),AQ137,1),"")</f>
        <v>G</v>
      </c>
      <c r="AQ137" s="3">
        <v>285</v>
      </c>
      <c r="AR137" s="3" t="str">
        <f>IFERROR(MID(VLOOKUP($B137,Seqs!$A:$B,2,0),AS137,1),"")</f>
        <v>S</v>
      </c>
      <c r="AS137" s="3">
        <v>289</v>
      </c>
      <c r="AT137" s="3" t="str">
        <f>IFERROR(MID(VLOOKUP($B137,Seqs!$A:$B,2,0),AU137,1),"")</f>
        <v>V</v>
      </c>
      <c r="AU137" s="3">
        <v>321</v>
      </c>
      <c r="AV137" s="3" t="str">
        <f>IFERROR(MID(VLOOKUP($B137,Seqs!$A:$B,2,0),AW137,1),"")</f>
        <v>G</v>
      </c>
      <c r="AW137" s="3">
        <v>322</v>
      </c>
      <c r="AX137" s="3" t="str">
        <f>IFERROR(MID(VLOOKUP($B137,Seqs!$A:$B,2,0),AY137,1),"")</f>
        <v>P</v>
      </c>
      <c r="AY137" s="3">
        <v>336</v>
      </c>
      <c r="AZ137" s="77" t="str">
        <f>VLOOKUP(B137,Classification!A:D,2,0)</f>
        <v>A</v>
      </c>
      <c r="BA137" s="94" t="str">
        <f>VLOOKUP(B137,Classification!A:D,4,0)</f>
        <v>Angiotensin</v>
      </c>
      <c r="BB137" s="27" t="b">
        <f t="shared" ref="BB137:BB147" si="898">AND(E137&lt;G137,OR(G137&lt;I137,I137="-"),OR(I137&lt;K137,I137="-"),OR(K137&lt;M137,K137="-"),M137&lt;O137,OR(O137&lt;Q137,Q137="-"),OR(Q137&lt;S137,Q137="-"),OR(S137&lt;U137,S137="-"),U137&lt;W137,OR(W137&lt;Y137,Y137="-"),OR(Y137&lt;AA137,Y137="-"),OR(AA137&lt;AC137,AA137="-"),AC137&lt;AE137,OR(AE137&lt;AG137,AG137="-"),OR(AG137&lt;AI137,AG137="-"),OR(AI137&lt;AK137,AI137="-"),AK137&lt;AM137,AM137&lt;AO137,AO137&lt;AQ137,AQ137&lt;AS137,AS137&lt;AU137,OR(AU137&lt;AW137,AW137="-"),OR(AW137&lt;AY137,AW137="-"))</f>
        <v>1</v>
      </c>
      <c r="BC137" s="23">
        <f t="shared" ref="BC137:BC147" si="899">_xlfn.AGGREGATE(9,6,CH137:CS137)-_xlfn.AGGREGATE(9,6,BV137:CG137)+12</f>
        <v>265</v>
      </c>
      <c r="BD137" s="2" t="s">
        <v>23</v>
      </c>
      <c r="BE137" s="3" t="s">
        <v>23</v>
      </c>
      <c r="BF137" s="119" t="s">
        <v>23</v>
      </c>
      <c r="BG137" s="49" t="s">
        <v>1377</v>
      </c>
      <c r="BH137" s="49" t="s">
        <v>1377</v>
      </c>
      <c r="BI137" s="1"/>
      <c r="BJ137" s="70" t="s">
        <v>1287</v>
      </c>
      <c r="BK137" s="57" t="s">
        <v>1287</v>
      </c>
      <c r="BL137" s="57" t="s">
        <v>1287</v>
      </c>
      <c r="BM137" s="57" t="s">
        <v>1287</v>
      </c>
      <c r="BN137" s="57" t="s">
        <v>1287</v>
      </c>
      <c r="BO137" s="57" t="s">
        <v>1287</v>
      </c>
      <c r="BP137" s="57" t="s">
        <v>1287</v>
      </c>
      <c r="BQ137" s="57" t="s">
        <v>1287</v>
      </c>
      <c r="BR137" s="57" t="s">
        <v>1287</v>
      </c>
      <c r="BS137" s="57" t="s">
        <v>1287</v>
      </c>
      <c r="BT137" s="57" t="s">
        <v>1287</v>
      </c>
      <c r="BU137" s="57" t="s">
        <v>1287</v>
      </c>
      <c r="BV137" s="70">
        <f t="shared" ref="BV137:BV147" si="900">E137</f>
        <v>45</v>
      </c>
      <c r="BW137" s="71" t="str">
        <f t="shared" ref="BW137:BW147" si="901">I137</f>
        <v>-</v>
      </c>
      <c r="BX137" s="72">
        <f t="shared" ref="BX137:BX147" si="902">M137</f>
        <v>78</v>
      </c>
      <c r="BY137" s="71">
        <f t="shared" ref="BY137:BY147" si="903">Q137</f>
        <v>107</v>
      </c>
      <c r="BZ137" s="72">
        <f t="shared" ref="BZ137:BZ147" si="904">U137</f>
        <v>113</v>
      </c>
      <c r="CA137" s="71">
        <f t="shared" ref="CA137:CA147" si="905">Y137</f>
        <v>149</v>
      </c>
      <c r="CB137" s="72">
        <f t="shared" ref="CB137:CB147" si="906">AC137</f>
        <v>156</v>
      </c>
      <c r="CC137" s="71">
        <f t="shared" ref="CC137:CC147" si="907">AG137</f>
        <v>195</v>
      </c>
      <c r="CD137" s="72">
        <f t="shared" ref="CD137:CD147" si="908">AK137</f>
        <v>203</v>
      </c>
      <c r="CE137" s="71">
        <f t="shared" ref="CE137:CE147" si="909">AO137</f>
        <v>245</v>
      </c>
      <c r="CF137" s="72">
        <f t="shared" ref="CF137:CF147" si="910">AS137</f>
        <v>289</v>
      </c>
      <c r="CG137" s="71">
        <f t="shared" ref="CG137:CG147" si="911">AW137</f>
        <v>322</v>
      </c>
      <c r="CH137" s="70">
        <f t="shared" ref="CH137:CH147" si="912">G137</f>
        <v>72</v>
      </c>
      <c r="CI137" s="71" t="str">
        <f t="shared" ref="CI137:CI147" si="913">K137</f>
        <v>-</v>
      </c>
      <c r="CJ137" s="72">
        <f t="shared" ref="CJ137:CJ147" si="914">O137</f>
        <v>106</v>
      </c>
      <c r="CK137" s="72">
        <f t="shared" ref="CK137:CK147" si="915">S137</f>
        <v>112</v>
      </c>
      <c r="CL137" s="72">
        <f t="shared" ref="CL137:CL147" si="916">W137</f>
        <v>148</v>
      </c>
      <c r="CM137" s="72">
        <f t="shared" ref="CM137:CM147" si="917">AA137</f>
        <v>155</v>
      </c>
      <c r="CN137" s="72">
        <f t="shared" ref="CN137:CN147" si="918">AE137</f>
        <v>182</v>
      </c>
      <c r="CO137" s="72">
        <f t="shared" ref="CO137:CO147" si="919">AI137</f>
        <v>197</v>
      </c>
      <c r="CP137" s="72">
        <f t="shared" ref="CP137:CP147" si="920">AM137</f>
        <v>241</v>
      </c>
      <c r="CQ137" s="72">
        <f t="shared" ref="CQ137:CQ147" si="921">AQ137</f>
        <v>285</v>
      </c>
      <c r="CR137" s="72">
        <f t="shared" ref="CR137:CR147" si="922">AU137</f>
        <v>321</v>
      </c>
      <c r="CS137" s="72">
        <f t="shared" ref="CS137:CS147" si="923">AY137</f>
        <v>336</v>
      </c>
      <c r="CT137" s="23" t="e">
        <f t="shared" ref="CT137:CT147" si="924">M137-K137</f>
        <v>#VALUE!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x14ac:dyDescent="0.2">
      <c r="A138" s="3" t="str">
        <f t="shared" si="897"/>
        <v>agtr2_human_5UNF</v>
      </c>
      <c r="B138" s="3" t="s">
        <v>159</v>
      </c>
      <c r="C138" s="3" t="s">
        <v>1392</v>
      </c>
      <c r="D138" s="3" t="str">
        <f>IFERROR(MID(VLOOKUP($B138,Seqs!$A:$B,2,0),E138,1),"")</f>
        <v>A</v>
      </c>
      <c r="E138" s="3">
        <v>46</v>
      </c>
      <c r="F138" s="3" t="str">
        <f>IFERROR(MID(VLOOKUP($B138,Seqs!$A:$B,2,0),G138,1),"")</f>
        <v>Q</v>
      </c>
      <c r="G138" s="3">
        <v>72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V</v>
      </c>
      <c r="M138" s="3">
        <v>78</v>
      </c>
      <c r="N138" s="3" t="str">
        <f>IFERROR(MID(VLOOKUP($B138,Seqs!$A:$B,2,0),O138,1),"")</f>
        <v>Y</v>
      </c>
      <c r="O138" s="3">
        <v>106</v>
      </c>
      <c r="P138" s="3" t="str">
        <f>IFERROR(MID(VLOOKUP($B138,Seqs!$A:$B,2,0),Q138,1),"")</f>
        <v>R</v>
      </c>
      <c r="Q138" s="3">
        <v>107</v>
      </c>
      <c r="R138" s="3" t="str">
        <f>IFERROR(MID(VLOOKUP($B138,Seqs!$A:$B,2,0),S138,1),"")</f>
        <v>F</v>
      </c>
      <c r="S138" s="3">
        <v>112</v>
      </c>
      <c r="T138" s="3" t="str">
        <f>IFERROR(MID(VLOOKUP($B138,Seqs!$A:$B,2,0),U138,1),"")</f>
        <v>G</v>
      </c>
      <c r="U138" s="3">
        <v>113</v>
      </c>
      <c r="V138" s="3" t="str">
        <f>IFERROR(MID(VLOOKUP($B138,Seqs!$A:$B,2,0),W138,1),"")</f>
        <v>Y</v>
      </c>
      <c r="W138" s="3">
        <v>148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W</v>
      </c>
      <c r="AC138" s="3">
        <v>158</v>
      </c>
      <c r="AD138" s="3" t="str">
        <f>IFERROR(MID(VLOOKUP($B138,Seqs!$A:$B,2,0),AE138,1),"")</f>
        <v>R</v>
      </c>
      <c r="AE138" s="3">
        <v>182</v>
      </c>
      <c r="AF138" s="3" t="str">
        <f>IFERROR(MID(VLOOKUP($B138,Seqs!$A:$B,2,0),AG138,1),"")</f>
        <v>C</v>
      </c>
      <c r="AG138" s="3">
        <v>195</v>
      </c>
      <c r="AH138" s="3" t="str">
        <f>IFERROR(MID(VLOOKUP($B138,Seqs!$A:$B,2,0),AI138,1),"")</f>
        <v>M</v>
      </c>
      <c r="AI138" s="3">
        <v>197</v>
      </c>
      <c r="AJ138" s="3" t="str">
        <f>IFERROR(MID(VLOOKUP($B138,Seqs!$A:$B,2,0),AK138,1),"")</f>
        <v>Y</v>
      </c>
      <c r="AK138" s="3">
        <v>204</v>
      </c>
      <c r="AL138" s="3" t="str">
        <f>IFERROR(MID(VLOOKUP($B138,Seqs!$A:$B,2,0),AM138,1),"")</f>
        <v>T</v>
      </c>
      <c r="AM138" s="3">
        <v>241</v>
      </c>
      <c r="AN138" s="3" t="str">
        <f>IFERROR(MID(VLOOKUP($B138,Seqs!$A:$B,2,0),AO138,1),"")</f>
        <v>G</v>
      </c>
      <c r="AO138" s="3">
        <v>245</v>
      </c>
      <c r="AP138" s="3" t="str">
        <f>IFERROR(MID(VLOOKUP($B138,Seqs!$A:$B,2,0),AQ138,1),"")</f>
        <v>G</v>
      </c>
      <c r="AQ138" s="3">
        <v>285</v>
      </c>
      <c r="AR138" s="3" t="str">
        <f>IFERROR(MID(VLOOKUP($B138,Seqs!$A:$B,2,0),AS138,1),"")</f>
        <v>C</v>
      </c>
      <c r="AS138" s="3">
        <v>290</v>
      </c>
      <c r="AT138" s="3" t="str">
        <f>IFERROR(MID(VLOOKUP($B138,Seqs!$A:$B,2,0),AU138,1),"")</f>
        <v>V</v>
      </c>
      <c r="AU138" s="3">
        <v>321</v>
      </c>
      <c r="AV138" s="3" t="str">
        <f>IFERROR(MID(VLOOKUP($B138,Seqs!$A:$B,2,0),AW138,1),"")</f>
        <v>G</v>
      </c>
      <c r="AW138" s="3">
        <v>322</v>
      </c>
      <c r="AX138" s="3" t="str">
        <f>IFERROR(MID(VLOOKUP($B138,Seqs!$A:$B,2,0),AY138,1),"")</f>
        <v>R</v>
      </c>
      <c r="AY138" s="3">
        <v>334</v>
      </c>
      <c r="AZ138" s="77"/>
      <c r="BA138" s="94" t="str">
        <f>VLOOKUP(B138,Classification!A:D,4,0)</f>
        <v>Angiotensin</v>
      </c>
      <c r="BB138" s="27" t="b">
        <f t="shared" si="898"/>
        <v>1</v>
      </c>
      <c r="BC138" s="23">
        <f t="shared" si="899"/>
        <v>252</v>
      </c>
      <c r="BD138" s="2" t="s">
        <v>23</v>
      </c>
      <c r="BE138" s="3" t="s">
        <v>1291</v>
      </c>
      <c r="BF138" s="119">
        <v>2.8</v>
      </c>
      <c r="BG138" s="49" t="s">
        <v>1377</v>
      </c>
      <c r="BH138" s="49" t="s">
        <v>1</v>
      </c>
      <c r="BI138" s="1"/>
      <c r="BJ138" s="70" t="s">
        <v>1287</v>
      </c>
      <c r="BK138" s="57" t="s">
        <v>1287</v>
      </c>
      <c r="BL138" s="57" t="s">
        <v>1287</v>
      </c>
      <c r="BM138" s="57" t="s">
        <v>1287</v>
      </c>
      <c r="BN138" s="57" t="s">
        <v>1287</v>
      </c>
      <c r="BO138" s="57" t="s">
        <v>1287</v>
      </c>
      <c r="BP138" s="57" t="s">
        <v>1287</v>
      </c>
      <c r="BQ138" s="57" t="s">
        <v>1287</v>
      </c>
      <c r="BR138" s="57" t="s">
        <v>1287</v>
      </c>
      <c r="BS138" s="57" t="s">
        <v>1287</v>
      </c>
      <c r="BT138" s="57" t="s">
        <v>1287</v>
      </c>
      <c r="BU138" s="57" t="s">
        <v>1287</v>
      </c>
      <c r="BV138" s="70">
        <f t="shared" si="900"/>
        <v>46</v>
      </c>
      <c r="BW138" s="71" t="str">
        <f t="shared" si="901"/>
        <v>-</v>
      </c>
      <c r="BX138" s="72">
        <f t="shared" si="902"/>
        <v>78</v>
      </c>
      <c r="BY138" s="71">
        <f t="shared" si="903"/>
        <v>107</v>
      </c>
      <c r="BZ138" s="72">
        <f t="shared" si="904"/>
        <v>113</v>
      </c>
      <c r="CA138" s="71" t="str">
        <f t="shared" si="905"/>
        <v>-</v>
      </c>
      <c r="CB138" s="72">
        <f t="shared" si="906"/>
        <v>158</v>
      </c>
      <c r="CC138" s="71">
        <f t="shared" si="907"/>
        <v>195</v>
      </c>
      <c r="CD138" s="72">
        <f t="shared" si="908"/>
        <v>204</v>
      </c>
      <c r="CE138" s="71">
        <f t="shared" si="909"/>
        <v>245</v>
      </c>
      <c r="CF138" s="72">
        <f t="shared" si="910"/>
        <v>290</v>
      </c>
      <c r="CG138" s="71">
        <f t="shared" si="911"/>
        <v>322</v>
      </c>
      <c r="CH138" s="70">
        <f t="shared" si="912"/>
        <v>72</v>
      </c>
      <c r="CI138" s="71" t="str">
        <f t="shared" si="913"/>
        <v>-</v>
      </c>
      <c r="CJ138" s="72">
        <f t="shared" si="914"/>
        <v>106</v>
      </c>
      <c r="CK138" s="72">
        <f t="shared" si="915"/>
        <v>112</v>
      </c>
      <c r="CL138" s="72">
        <f t="shared" si="916"/>
        <v>148</v>
      </c>
      <c r="CM138" s="72" t="str">
        <f t="shared" si="917"/>
        <v>-</v>
      </c>
      <c r="CN138" s="72">
        <f t="shared" si="918"/>
        <v>182</v>
      </c>
      <c r="CO138" s="72">
        <f t="shared" si="919"/>
        <v>197</v>
      </c>
      <c r="CP138" s="72">
        <f t="shared" si="920"/>
        <v>241</v>
      </c>
      <c r="CQ138" s="72">
        <f t="shared" si="921"/>
        <v>285</v>
      </c>
      <c r="CR138" s="72">
        <f t="shared" si="922"/>
        <v>321</v>
      </c>
      <c r="CS138" s="72">
        <f t="shared" si="923"/>
        <v>334</v>
      </c>
      <c r="CT138" s="23" t="e">
        <f t="shared" si="924"/>
        <v>#VALUE!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 t="shared" si="897"/>
        <v>agtr2_human_5UNG</v>
      </c>
      <c r="B139" s="3" t="s">
        <v>159</v>
      </c>
      <c r="C139" s="3" t="s">
        <v>1394</v>
      </c>
      <c r="D139" s="3" t="str">
        <f>IFERROR(MID(VLOOKUP($B139,Seqs!$A:$B,2,0),E139,1),"")</f>
        <v>D</v>
      </c>
      <c r="E139" s="3">
        <v>45</v>
      </c>
      <c r="F139" s="3" t="str">
        <f>IFERROR(MID(VLOOKUP($B139,Seqs!$A:$B,2,0),G139,1),"")</f>
        <v>C</v>
      </c>
      <c r="G139" s="3">
        <v>71</v>
      </c>
      <c r="H139" s="3" t="str">
        <f>IFERROR(MID(VLOOKUP($B139,Seqs!$A:$B,2,0),I139,1),"")</f>
        <v/>
      </c>
      <c r="I139" s="23" t="s">
        <v>23</v>
      </c>
      <c r="J139" s="3" t="str">
        <f>IFERROR(MID(VLOOKUP($B139,Seqs!$A:$B,2,0),K139,1),"")</f>
        <v/>
      </c>
      <c r="K139" s="23" t="s">
        <v>23</v>
      </c>
      <c r="L139" s="3" t="str">
        <f>IFERROR(MID(VLOOKUP($B139,Seqs!$A:$B,2,0),M139,1),"")</f>
        <v>V</v>
      </c>
      <c r="M139" s="3">
        <v>78</v>
      </c>
      <c r="N139" s="3" t="str">
        <f>IFERROR(MID(VLOOKUP($B139,Seqs!$A:$B,2,0),O139,1),"")</f>
        <v>Y</v>
      </c>
      <c r="O139" s="3">
        <v>106</v>
      </c>
      <c r="P139" s="3" t="str">
        <f>IFERROR(MID(VLOOKUP($B139,Seqs!$A:$B,2,0),Q139,1),"")</f>
        <v>R</v>
      </c>
      <c r="Q139" s="3">
        <v>107</v>
      </c>
      <c r="R139" s="3" t="str">
        <f>IFERROR(MID(VLOOKUP($B139,Seqs!$A:$B,2,0),S139,1),"")</f>
        <v>F</v>
      </c>
      <c r="S139" s="3">
        <v>112</v>
      </c>
      <c r="T139" s="3" t="str">
        <f>IFERROR(MID(VLOOKUP($B139,Seqs!$A:$B,2,0),U139,1),"")</f>
        <v>G</v>
      </c>
      <c r="U139" s="3">
        <v>113</v>
      </c>
      <c r="V139" s="3" t="str">
        <f>IFERROR(MID(VLOOKUP($B139,Seqs!$A:$B,2,0),W139,1),"")</f>
        <v>Y</v>
      </c>
      <c r="W139" s="3">
        <v>148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Q</v>
      </c>
      <c r="AC139" s="3">
        <v>159</v>
      </c>
      <c r="AD139" s="3" t="str">
        <f>IFERROR(MID(VLOOKUP($B139,Seqs!$A:$B,2,0),AE139,1),"")</f>
        <v>R</v>
      </c>
      <c r="AE139" s="3">
        <v>182</v>
      </c>
      <c r="AF139" s="3" t="str">
        <f>IFERROR(MID(VLOOKUP($B139,Seqs!$A:$B,2,0),AG139,1),"")</f>
        <v>C</v>
      </c>
      <c r="AG139" s="3">
        <v>195</v>
      </c>
      <c r="AH139" s="3" t="str">
        <f>IFERROR(MID(VLOOKUP($B139,Seqs!$A:$B,2,0),AI139,1),"")</f>
        <v>M</v>
      </c>
      <c r="AI139" s="3">
        <v>197</v>
      </c>
      <c r="AJ139" s="3" t="str">
        <f>IFERROR(MID(VLOOKUP($B139,Seqs!$A:$B,2,0),AK139,1),"")</f>
        <v>K</v>
      </c>
      <c r="AK139" s="3">
        <v>203</v>
      </c>
      <c r="AL139" s="3" t="str">
        <f>IFERROR(MID(VLOOKUP($B139,Seqs!$A:$B,2,0),AM139,1),"")</f>
        <v>T</v>
      </c>
      <c r="AM139" s="3">
        <v>241</v>
      </c>
      <c r="AN139" s="3" t="str">
        <f>IFERROR(MID(VLOOKUP($B139,Seqs!$A:$B,2,0),AO139,1),"")</f>
        <v>G</v>
      </c>
      <c r="AO139" s="3">
        <v>245</v>
      </c>
      <c r="AP139" s="3" t="str">
        <f>IFERROR(MID(VLOOKUP($B139,Seqs!$A:$B,2,0),AQ139,1),"")</f>
        <v>G</v>
      </c>
      <c r="AQ139" s="3">
        <v>285</v>
      </c>
      <c r="AR139" s="3" t="str">
        <f>IFERROR(MID(VLOOKUP($B139,Seqs!$A:$B,2,0),AS139,1),"")</f>
        <v>S</v>
      </c>
      <c r="AS139" s="3">
        <v>289</v>
      </c>
      <c r="AT139" s="3" t="str">
        <f>IFERROR(MID(VLOOKUP($B139,Seqs!$A:$B,2,0),AU139,1),"")</f>
        <v>V</v>
      </c>
      <c r="AU139" s="3">
        <v>321</v>
      </c>
      <c r="AV139" s="3" t="str">
        <f>IFERROR(MID(VLOOKUP($B139,Seqs!$A:$B,2,0),AW139,1),"")</f>
        <v>G</v>
      </c>
      <c r="AW139" s="3">
        <v>322</v>
      </c>
      <c r="AX139" s="3" t="str">
        <f>IFERROR(MID(VLOOKUP($B139,Seqs!$A:$B,2,0),AY139,1),"")</f>
        <v>R</v>
      </c>
      <c r="AY139" s="3">
        <v>334</v>
      </c>
      <c r="AZ139" s="77" t="str">
        <f>VLOOKUP(B139,Classification!A:D,2,0)</f>
        <v>A</v>
      </c>
      <c r="BA139" s="94" t="str">
        <f>VLOOKUP(B139,Classification!A:D,4,0)</f>
        <v>Angiotensin</v>
      </c>
      <c r="BB139" s="27" t="b">
        <f t="shared" si="898"/>
        <v>1</v>
      </c>
      <c r="BC139" s="23">
        <f t="shared" si="899"/>
        <v>253</v>
      </c>
      <c r="BD139" s="2" t="s">
        <v>1375</v>
      </c>
      <c r="BE139" s="3" t="s">
        <v>1291</v>
      </c>
      <c r="BF139" s="119">
        <v>2.8</v>
      </c>
      <c r="BG139" s="49" t="s">
        <v>1377</v>
      </c>
      <c r="BH139" s="49" t="s">
        <v>1281</v>
      </c>
      <c r="BI139" s="1"/>
      <c r="BJ139" s="70" t="s">
        <v>1287</v>
      </c>
      <c r="BK139" s="57" t="s">
        <v>1287</v>
      </c>
      <c r="BL139" s="57" t="s">
        <v>1287</v>
      </c>
      <c r="BM139" s="57" t="s">
        <v>1287</v>
      </c>
      <c r="BN139" s="57" t="s">
        <v>1287</v>
      </c>
      <c r="BO139" s="57" t="s">
        <v>1287</v>
      </c>
      <c r="BP139" s="57" t="s">
        <v>1287</v>
      </c>
      <c r="BQ139" s="57" t="s">
        <v>1287</v>
      </c>
      <c r="BR139" s="57" t="s">
        <v>1287</v>
      </c>
      <c r="BS139" s="57" t="s">
        <v>1287</v>
      </c>
      <c r="BT139" s="57" t="s">
        <v>1287</v>
      </c>
      <c r="BU139" s="57" t="s">
        <v>1287</v>
      </c>
      <c r="BV139" s="70">
        <f t="shared" si="900"/>
        <v>45</v>
      </c>
      <c r="BW139" s="71" t="str">
        <f t="shared" si="901"/>
        <v>-</v>
      </c>
      <c r="BX139" s="72">
        <f t="shared" si="902"/>
        <v>78</v>
      </c>
      <c r="BY139" s="71">
        <f t="shared" si="903"/>
        <v>107</v>
      </c>
      <c r="BZ139" s="72">
        <f t="shared" si="904"/>
        <v>113</v>
      </c>
      <c r="CA139" s="71" t="str">
        <f t="shared" si="905"/>
        <v>-</v>
      </c>
      <c r="CB139" s="72">
        <f t="shared" si="906"/>
        <v>159</v>
      </c>
      <c r="CC139" s="71">
        <f t="shared" si="907"/>
        <v>195</v>
      </c>
      <c r="CD139" s="72">
        <f t="shared" si="908"/>
        <v>203</v>
      </c>
      <c r="CE139" s="71">
        <f t="shared" si="909"/>
        <v>245</v>
      </c>
      <c r="CF139" s="72">
        <f t="shared" si="910"/>
        <v>289</v>
      </c>
      <c r="CG139" s="71">
        <f t="shared" si="911"/>
        <v>322</v>
      </c>
      <c r="CH139" s="70">
        <f t="shared" si="912"/>
        <v>71</v>
      </c>
      <c r="CI139" s="71" t="str">
        <f t="shared" si="913"/>
        <v>-</v>
      </c>
      <c r="CJ139" s="72">
        <f t="shared" si="914"/>
        <v>106</v>
      </c>
      <c r="CK139" s="72">
        <f t="shared" si="915"/>
        <v>112</v>
      </c>
      <c r="CL139" s="72">
        <f t="shared" si="916"/>
        <v>148</v>
      </c>
      <c r="CM139" s="72" t="str">
        <f t="shared" si="917"/>
        <v>-</v>
      </c>
      <c r="CN139" s="72">
        <f t="shared" si="918"/>
        <v>182</v>
      </c>
      <c r="CO139" s="72">
        <f t="shared" si="919"/>
        <v>197</v>
      </c>
      <c r="CP139" s="72">
        <f t="shared" si="920"/>
        <v>241</v>
      </c>
      <c r="CQ139" s="72">
        <f t="shared" si="921"/>
        <v>285</v>
      </c>
      <c r="CR139" s="72">
        <f t="shared" si="922"/>
        <v>321</v>
      </c>
      <c r="CS139" s="72">
        <f t="shared" si="923"/>
        <v>334</v>
      </c>
      <c r="CT139" s="23" t="e">
        <f t="shared" si="924"/>
        <v>#VALUE!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si="897"/>
        <v>agtr2_human_5UNH</v>
      </c>
      <c r="B140" s="3" t="s">
        <v>159</v>
      </c>
      <c r="C140" s="3" t="s">
        <v>1395</v>
      </c>
      <c r="D140" s="3" t="str">
        <f>IFERROR(MID(VLOOKUP($B140,Seqs!$A:$B,2,0),E140,1),"")</f>
        <v>D</v>
      </c>
      <c r="E140" s="3">
        <v>45</v>
      </c>
      <c r="F140" s="3" t="str">
        <f>IFERROR(MID(VLOOKUP($B140,Seqs!$A:$B,2,0),G140,1),"")</f>
        <v>C</v>
      </c>
      <c r="G140" s="3">
        <v>70</v>
      </c>
      <c r="H140" s="3" t="str">
        <f>IFERROR(MID(VLOOKUP($B140,Seqs!$A:$B,2,0),I140,1),"")</f>
        <v/>
      </c>
      <c r="I140" s="23" t="s">
        <v>23</v>
      </c>
      <c r="J140" s="3" t="str">
        <f>IFERROR(MID(VLOOKUP($B140,Seqs!$A:$B,2,0),K140,1),"")</f>
        <v/>
      </c>
      <c r="K140" s="23" t="s">
        <v>23</v>
      </c>
      <c r="L140" s="3" t="str">
        <f>IFERROR(MID(VLOOKUP($B140,Seqs!$A:$B,2,0),M140,1),"")</f>
        <v>K</v>
      </c>
      <c r="M140" s="3">
        <v>77</v>
      </c>
      <c r="N140" s="3" t="str">
        <f>IFERROR(MID(VLOOKUP($B140,Seqs!$A:$B,2,0),O140,1),"")</f>
        <v>Y</v>
      </c>
      <c r="O140" s="3">
        <v>106</v>
      </c>
      <c r="P140" s="3" t="str">
        <f>IFERROR(MID(VLOOKUP($B140,Seqs!$A:$B,2,0),Q140,1),"")</f>
        <v>R</v>
      </c>
      <c r="Q140" s="3">
        <v>107</v>
      </c>
      <c r="R140" s="3" t="str">
        <f>IFERROR(MID(VLOOKUP($B140,Seqs!$A:$B,2,0),S140,1),"")</f>
        <v>F</v>
      </c>
      <c r="S140" s="3">
        <v>112</v>
      </c>
      <c r="T140" s="3" t="str">
        <f>IFERROR(MID(VLOOKUP($B140,Seqs!$A:$B,2,0),U140,1),"")</f>
        <v>G</v>
      </c>
      <c r="U140" s="3">
        <v>113</v>
      </c>
      <c r="V140" s="3" t="str">
        <f>IFERROR(MID(VLOOKUP($B140,Seqs!$A:$B,2,0),W140,1),"")</f>
        <v>Y</v>
      </c>
      <c r="W140" s="3">
        <v>148</v>
      </c>
      <c r="X140" s="3" t="str">
        <f>IFERROR(MID(VLOOKUP($B140,Seqs!$A:$B,2,0),Y140,1),"")</f>
        <v/>
      </c>
      <c r="Y140" s="3" t="s">
        <v>23</v>
      </c>
      <c r="Z140" s="3" t="str">
        <f>IFERROR(MID(VLOOKUP($B140,Seqs!$A:$B,2,0),AA140,1),"")</f>
        <v/>
      </c>
      <c r="AA140" s="3" t="s">
        <v>23</v>
      </c>
      <c r="AB140" s="3" t="str">
        <f>IFERROR(MID(VLOOKUP($B140,Seqs!$A:$B,2,0),AC140,1),"")</f>
        <v>Y</v>
      </c>
      <c r="AC140" s="3">
        <v>162</v>
      </c>
      <c r="AD140" s="3" t="str">
        <f>IFERROR(MID(VLOOKUP($B140,Seqs!$A:$B,2,0),AE140,1),"")</f>
        <v>R</v>
      </c>
      <c r="AE140" s="3">
        <v>182</v>
      </c>
      <c r="AF140" s="3" t="str">
        <f>IFERROR(MID(VLOOKUP($B140,Seqs!$A:$B,2,0),AG140,1),"")</f>
        <v>C</v>
      </c>
      <c r="AG140" s="3">
        <v>195</v>
      </c>
      <c r="AH140" s="3" t="str">
        <f>IFERROR(MID(VLOOKUP($B140,Seqs!$A:$B,2,0),AI140,1),"")</f>
        <v>M</v>
      </c>
      <c r="AI140" s="3">
        <v>197</v>
      </c>
      <c r="AJ140" s="3" t="str">
        <f>IFERROR(MID(VLOOKUP($B140,Seqs!$A:$B,2,0),AK140,1),"")</f>
        <v>Y</v>
      </c>
      <c r="AK140" s="3">
        <v>204</v>
      </c>
      <c r="AL140" s="3" t="str">
        <f>IFERROR(MID(VLOOKUP($B140,Seqs!$A:$B,2,0),AM140,1),"")</f>
        <v>T</v>
      </c>
      <c r="AM140" s="3">
        <v>241</v>
      </c>
      <c r="AN140" s="3" t="str">
        <f>IFERROR(MID(VLOOKUP($B140,Seqs!$A:$B,2,0),AO140,1),"")</f>
        <v>G</v>
      </c>
      <c r="AO140" s="3">
        <v>245</v>
      </c>
      <c r="AP140" s="3" t="str">
        <f>IFERROR(MID(VLOOKUP($B140,Seqs!$A:$B,2,0),AQ140,1),"")</f>
        <v>G</v>
      </c>
      <c r="AQ140" s="3">
        <v>285</v>
      </c>
      <c r="AR140" s="3" t="str">
        <f>IFERROR(MID(VLOOKUP($B140,Seqs!$A:$B,2,0),AS140,1),"")</f>
        <v>S</v>
      </c>
      <c r="AS140" s="3">
        <v>289</v>
      </c>
      <c r="AT140" s="3" t="str">
        <f>IFERROR(MID(VLOOKUP($B140,Seqs!$A:$B,2,0),AU140,1),"")</f>
        <v>V</v>
      </c>
      <c r="AU140" s="3">
        <v>321</v>
      </c>
      <c r="AV140" s="3" t="str">
        <f>IFERROR(MID(VLOOKUP($B140,Seqs!$A:$B,2,0),AW140,1),"")</f>
        <v>G</v>
      </c>
      <c r="AW140" s="3">
        <v>322</v>
      </c>
      <c r="AX140" s="3" t="str">
        <f>IFERROR(MID(VLOOKUP($B140,Seqs!$A:$B,2,0),AY140,1),"")</f>
        <v>V</v>
      </c>
      <c r="AY140" s="3">
        <v>332</v>
      </c>
      <c r="AZ140" s="77" t="str">
        <f>VLOOKUP(B140,Classification!A:D,2,0)</f>
        <v>A</v>
      </c>
      <c r="BA140" s="94" t="str">
        <f>VLOOKUP(B140,Classification!A:D,4,0)</f>
        <v>Angiotensin</v>
      </c>
      <c r="BB140" s="27" t="b">
        <f t="shared" si="898"/>
        <v>1</v>
      </c>
      <c r="BC140" s="23">
        <f t="shared" si="899"/>
        <v>247</v>
      </c>
      <c r="BD140" s="2" t="s">
        <v>23</v>
      </c>
      <c r="BE140" s="3" t="s">
        <v>1291</v>
      </c>
      <c r="BF140" s="119">
        <v>2.9</v>
      </c>
      <c r="BG140" s="49" t="s">
        <v>1377</v>
      </c>
      <c r="BH140" s="49" t="s">
        <v>1281</v>
      </c>
      <c r="BI140" s="1"/>
      <c r="BJ140" s="70" t="s">
        <v>1287</v>
      </c>
      <c r="BK140" s="57" t="s">
        <v>1287</v>
      </c>
      <c r="BL140" s="57" t="s">
        <v>1287</v>
      </c>
      <c r="BM140" s="57" t="s">
        <v>1287</v>
      </c>
      <c r="BN140" s="57" t="s">
        <v>1287</v>
      </c>
      <c r="BO140" s="57" t="s">
        <v>1287</v>
      </c>
      <c r="BP140" s="57" t="s">
        <v>1287</v>
      </c>
      <c r="BQ140" s="57" t="s">
        <v>1287</v>
      </c>
      <c r="BR140" s="57" t="s">
        <v>1287</v>
      </c>
      <c r="BS140" s="57" t="s">
        <v>1287</v>
      </c>
      <c r="BT140" s="57" t="s">
        <v>1287</v>
      </c>
      <c r="BU140" s="57" t="s">
        <v>1287</v>
      </c>
      <c r="BV140" s="70">
        <f t="shared" si="900"/>
        <v>45</v>
      </c>
      <c r="BW140" s="71" t="str">
        <f t="shared" si="901"/>
        <v>-</v>
      </c>
      <c r="BX140" s="72">
        <f t="shared" si="902"/>
        <v>77</v>
      </c>
      <c r="BY140" s="71">
        <f t="shared" si="903"/>
        <v>107</v>
      </c>
      <c r="BZ140" s="72">
        <f t="shared" si="904"/>
        <v>113</v>
      </c>
      <c r="CA140" s="71" t="str">
        <f t="shared" si="905"/>
        <v>-</v>
      </c>
      <c r="CB140" s="72">
        <f t="shared" si="906"/>
        <v>162</v>
      </c>
      <c r="CC140" s="71">
        <f t="shared" si="907"/>
        <v>195</v>
      </c>
      <c r="CD140" s="72">
        <f t="shared" si="908"/>
        <v>204</v>
      </c>
      <c r="CE140" s="71">
        <f t="shared" si="909"/>
        <v>245</v>
      </c>
      <c r="CF140" s="72">
        <f t="shared" si="910"/>
        <v>289</v>
      </c>
      <c r="CG140" s="71">
        <f t="shared" si="911"/>
        <v>322</v>
      </c>
      <c r="CH140" s="70">
        <f t="shared" si="912"/>
        <v>70</v>
      </c>
      <c r="CI140" s="71" t="str">
        <f t="shared" si="913"/>
        <v>-</v>
      </c>
      <c r="CJ140" s="72">
        <f t="shared" si="914"/>
        <v>106</v>
      </c>
      <c r="CK140" s="72">
        <f t="shared" si="915"/>
        <v>112</v>
      </c>
      <c r="CL140" s="72">
        <f t="shared" si="916"/>
        <v>148</v>
      </c>
      <c r="CM140" s="72" t="str">
        <f t="shared" si="917"/>
        <v>-</v>
      </c>
      <c r="CN140" s="72">
        <f t="shared" si="918"/>
        <v>182</v>
      </c>
      <c r="CO140" s="72">
        <f t="shared" si="919"/>
        <v>197</v>
      </c>
      <c r="CP140" s="72">
        <f t="shared" si="920"/>
        <v>241</v>
      </c>
      <c r="CQ140" s="72">
        <f t="shared" si="921"/>
        <v>285</v>
      </c>
      <c r="CR140" s="72">
        <f t="shared" si="922"/>
        <v>321</v>
      </c>
      <c r="CS140" s="72">
        <f t="shared" si="923"/>
        <v>332</v>
      </c>
      <c r="CT140" s="23" t="e">
        <f t="shared" si="924"/>
        <v>#VALUE!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ref="A141" si="925">CONCATENATE(B141,"_",C141)</f>
        <v>agtr2_human_5XJM</v>
      </c>
      <c r="B141" s="3" t="s">
        <v>159</v>
      </c>
      <c r="C141" s="3" t="s">
        <v>1511</v>
      </c>
      <c r="D141" s="3" t="str">
        <f>IFERROR(MID(VLOOKUP($B141,Seqs!$A:$B,2,0),E141,1),"")</f>
        <v>A</v>
      </c>
      <c r="E141" s="3">
        <v>46</v>
      </c>
      <c r="F141" s="3" t="str">
        <f>IFERROR(MID(VLOOKUP($B141,Seqs!$A:$B,2,0),G141,1),"")</f>
        <v>K</v>
      </c>
      <c r="G141" s="3">
        <v>73</v>
      </c>
      <c r="H141" s="3" t="str">
        <f>IFERROR(MID(VLOOKUP($B141,Seqs!$A:$B,2,0),I141,1),"")</f>
        <v/>
      </c>
      <c r="I141" s="23" t="s">
        <v>23</v>
      </c>
      <c r="J141" s="3" t="str">
        <f>IFERROR(MID(VLOOKUP($B141,Seqs!$A:$B,2,0),K141,1),"")</f>
        <v/>
      </c>
      <c r="K141" s="23" t="s">
        <v>23</v>
      </c>
      <c r="L141" s="3" t="str">
        <f>IFERROR(MID(VLOOKUP($B141,Seqs!$A:$B,2,0),M141,1),"")</f>
        <v>V</v>
      </c>
      <c r="M141" s="3">
        <v>78</v>
      </c>
      <c r="N141" s="3" t="str">
        <f>IFERROR(MID(VLOOKUP($B141,Seqs!$A:$B,2,0),O141,1),"")</f>
        <v>Y</v>
      </c>
      <c r="O141" s="3">
        <v>106</v>
      </c>
      <c r="P141" s="3" t="str">
        <f>IFERROR(MID(VLOOKUP($B141,Seqs!$A:$B,2,0),Q141,1),"")</f>
        <v>R</v>
      </c>
      <c r="Q141" s="3">
        <v>107</v>
      </c>
      <c r="R141" s="3" t="str">
        <f>IFERROR(MID(VLOOKUP($B141,Seqs!$A:$B,2,0),S141,1),"")</f>
        <v>F</v>
      </c>
      <c r="S141" s="3">
        <v>112</v>
      </c>
      <c r="T141" s="3" t="str">
        <f>IFERROR(MID(VLOOKUP($B141,Seqs!$A:$B,2,0),U141,1),"")</f>
        <v>G</v>
      </c>
      <c r="U141" s="3">
        <v>113</v>
      </c>
      <c r="V141" s="3" t="str">
        <f>IFERROR(MID(VLOOKUP($B141,Seqs!$A:$B,2,0),W141,1),"")</f>
        <v>Y</v>
      </c>
      <c r="W141" s="3">
        <v>148</v>
      </c>
      <c r="X141" s="3" t="str">
        <f>IFERROR(MID(VLOOKUP($B141,Seqs!$A:$B,2,0),Y141,1),"")</f>
        <v/>
      </c>
      <c r="Y141" s="3" t="s">
        <v>23</v>
      </c>
      <c r="Z141" s="3" t="str">
        <f>IFERROR(MID(VLOOKUP($B141,Seqs!$A:$B,2,0),AA141,1),"")</f>
        <v/>
      </c>
      <c r="AA141" s="3" t="s">
        <v>23</v>
      </c>
      <c r="AB141" s="3" t="str">
        <f>IFERROR(MID(VLOOKUP($B141,Seqs!$A:$B,2,0),AC141,1),"")</f>
        <v>R</v>
      </c>
      <c r="AC141" s="3">
        <v>155</v>
      </c>
      <c r="AD141" s="3" t="str">
        <f>IFERROR(MID(VLOOKUP($B141,Seqs!$A:$B,2,0),AE141,1),"")</f>
        <v>F</v>
      </c>
      <c r="AE141" s="3">
        <v>181</v>
      </c>
      <c r="AF141" s="3" t="str">
        <f>IFERROR(MID(VLOOKUP($B141,Seqs!$A:$B,2,0),AG141,1),"")</f>
        <v>C</v>
      </c>
      <c r="AG141" s="3">
        <v>195</v>
      </c>
      <c r="AH141" s="3" t="str">
        <f>IFERROR(MID(VLOOKUP($B141,Seqs!$A:$B,2,0),AI141,1),"")</f>
        <v>M</v>
      </c>
      <c r="AI141" s="3">
        <v>197</v>
      </c>
      <c r="AJ141" s="3" t="str">
        <f>IFERROR(MID(VLOOKUP($B141,Seqs!$A:$B,2,0),AK141,1),"")</f>
        <v>K</v>
      </c>
      <c r="AK141" s="3">
        <v>203</v>
      </c>
      <c r="AL141" s="3" t="str">
        <f>IFERROR(MID(VLOOKUP($B141,Seqs!$A:$B,2,0),AM141,1),"")</f>
        <v>N</v>
      </c>
      <c r="AM141" s="3">
        <v>242</v>
      </c>
      <c r="AN141" s="3" t="str">
        <f>IFERROR(MID(VLOOKUP($B141,Seqs!$A:$B,2,0),AO141,1),"")</f>
        <v>N</v>
      </c>
      <c r="AO141" s="3">
        <v>247</v>
      </c>
      <c r="AP141" s="3" t="str">
        <f>IFERROR(MID(VLOOKUP($B141,Seqs!$A:$B,2,0),AQ141,1),"")</f>
        <v>G</v>
      </c>
      <c r="AQ141" s="3">
        <v>285</v>
      </c>
      <c r="AR141" s="3" t="str">
        <f>IFERROR(MID(VLOOKUP($B141,Seqs!$A:$B,2,0),AS141,1),"")</f>
        <v>S</v>
      </c>
      <c r="AS141" s="3">
        <v>289</v>
      </c>
      <c r="AT141" s="3" t="str">
        <f>IFERROR(MID(VLOOKUP($B141,Seqs!$A:$B,2,0),AU141,1),"")</f>
        <v>F</v>
      </c>
      <c r="AU141" s="3">
        <v>320</v>
      </c>
      <c r="AV141" s="3" t="str">
        <f>IFERROR(MID(VLOOKUP($B141,Seqs!$A:$B,2,0),AW141,1),"")</f>
        <v/>
      </c>
      <c r="AW141" s="3" t="s">
        <v>23</v>
      </c>
      <c r="AX141" s="3" t="str">
        <f>IFERROR(MID(VLOOKUP($B141,Seqs!$A:$B,2,0),AY141,1),"")</f>
        <v/>
      </c>
      <c r="AY141" s="3" t="s">
        <v>23</v>
      </c>
      <c r="AZ141" s="77" t="str">
        <f>VLOOKUP(B141,Classification!A:D,2,0)</f>
        <v>A</v>
      </c>
      <c r="BA141" s="94" t="str">
        <f>VLOOKUP(B141,Classification!A:D,4,0)</f>
        <v>Angiotensin</v>
      </c>
      <c r="BB141" s="27" t="b">
        <f t="shared" ref="BB141" si="926">AND(E141&lt;G141,OR(G141&lt;I141,I141="-"),OR(I141&lt;K141,I141="-"),OR(K141&lt;M141,K141="-"),M141&lt;O141,OR(O141&lt;Q141,Q141="-"),OR(Q141&lt;S141,Q141="-"),OR(S141&lt;U141,S141="-"),U141&lt;W141,OR(W141&lt;Y141,Y141="-"),OR(Y141&lt;AA141,Y141="-"),OR(AA141&lt;AC141,AA141="-"),AC141&lt;AE141,OR(AE141&lt;AG141,AG141="-"),OR(AG141&lt;AI141,AG141="-"),OR(AI141&lt;AK141,AI141="-"),AK141&lt;AM141,AM141&lt;AO141,AO141&lt;AQ141,AQ141&lt;AS141,AS141&lt;AU141,OR(AU141&lt;AW141,AW141="-"),OR(AW141&lt;AY141,AW141="-"))</f>
        <v>1</v>
      </c>
      <c r="BC141" s="23">
        <f t="shared" ref="BC141" si="927">_xlfn.AGGREGATE(9,6,CH141:CS141)-_xlfn.AGGREGATE(9,6,BV141:CG141)+12</f>
        <v>243</v>
      </c>
      <c r="BD141" s="2" t="s">
        <v>23</v>
      </c>
      <c r="BE141" s="3" t="s">
        <v>1291</v>
      </c>
      <c r="BF141" s="119">
        <v>3.2</v>
      </c>
      <c r="BG141" s="49" t="s">
        <v>1</v>
      </c>
      <c r="BH141" s="49" t="s">
        <v>1</v>
      </c>
      <c r="BI141" s="1"/>
      <c r="BJ141" s="70" t="s">
        <v>1287</v>
      </c>
      <c r="BK141" s="57" t="s">
        <v>1287</v>
      </c>
      <c r="BL141" s="57" t="s">
        <v>1287</v>
      </c>
      <c r="BM141" s="57" t="s">
        <v>1287</v>
      </c>
      <c r="BN141" s="57" t="s">
        <v>1287</v>
      </c>
      <c r="BO141" s="57" t="s">
        <v>1287</v>
      </c>
      <c r="BP141" s="57" t="s">
        <v>1287</v>
      </c>
      <c r="BQ141" s="57" t="s">
        <v>1287</v>
      </c>
      <c r="BR141" s="57" t="s">
        <v>1287</v>
      </c>
      <c r="BS141" s="57" t="s">
        <v>1287</v>
      </c>
      <c r="BT141" s="57" t="s">
        <v>1287</v>
      </c>
      <c r="BU141" s="57" t="s">
        <v>1287</v>
      </c>
      <c r="BV141" s="70">
        <f t="shared" ref="BV141" si="928">E141</f>
        <v>46</v>
      </c>
      <c r="BW141" s="71" t="str">
        <f t="shared" ref="BW141" si="929">I141</f>
        <v>-</v>
      </c>
      <c r="BX141" s="72">
        <f t="shared" ref="BX141" si="930">M141</f>
        <v>78</v>
      </c>
      <c r="BY141" s="71">
        <f t="shared" ref="BY141" si="931">Q141</f>
        <v>107</v>
      </c>
      <c r="BZ141" s="72">
        <f t="shared" ref="BZ141" si="932">U141</f>
        <v>113</v>
      </c>
      <c r="CA141" s="71" t="str">
        <f t="shared" ref="CA141" si="933">Y141</f>
        <v>-</v>
      </c>
      <c r="CB141" s="72">
        <f t="shared" ref="CB141" si="934">AC141</f>
        <v>155</v>
      </c>
      <c r="CC141" s="71">
        <f t="shared" ref="CC141" si="935">AG141</f>
        <v>195</v>
      </c>
      <c r="CD141" s="72">
        <f t="shared" ref="CD141" si="936">AK141</f>
        <v>203</v>
      </c>
      <c r="CE141" s="71">
        <f t="shared" ref="CE141" si="937">AO141</f>
        <v>247</v>
      </c>
      <c r="CF141" s="72">
        <f t="shared" ref="CF141" si="938">AS141</f>
        <v>289</v>
      </c>
      <c r="CG141" s="71" t="str">
        <f t="shared" ref="CG141" si="939">AW141</f>
        <v>-</v>
      </c>
      <c r="CH141" s="70">
        <f t="shared" ref="CH141" si="940">G141</f>
        <v>73</v>
      </c>
      <c r="CI141" s="71" t="str">
        <f t="shared" ref="CI141" si="941">K141</f>
        <v>-</v>
      </c>
      <c r="CJ141" s="72">
        <f t="shared" ref="CJ141" si="942">O141</f>
        <v>106</v>
      </c>
      <c r="CK141" s="72">
        <f t="shared" ref="CK141" si="943">S141</f>
        <v>112</v>
      </c>
      <c r="CL141" s="72">
        <f t="shared" ref="CL141" si="944">W141</f>
        <v>148</v>
      </c>
      <c r="CM141" s="72" t="str">
        <f t="shared" ref="CM141" si="945">AA141</f>
        <v>-</v>
      </c>
      <c r="CN141" s="72">
        <f t="shared" ref="CN141" si="946">AE141</f>
        <v>181</v>
      </c>
      <c r="CO141" s="72">
        <f t="shared" ref="CO141" si="947">AI141</f>
        <v>197</v>
      </c>
      <c r="CP141" s="72">
        <f t="shared" ref="CP141" si="948">AM141</f>
        <v>242</v>
      </c>
      <c r="CQ141" s="72">
        <f t="shared" ref="CQ141" si="949">AQ141</f>
        <v>285</v>
      </c>
      <c r="CR141" s="72">
        <f t="shared" ref="CR141" si="950">AU141</f>
        <v>320</v>
      </c>
      <c r="CS141" s="72" t="str">
        <f t="shared" ref="CS141" si="951">AY141</f>
        <v>-</v>
      </c>
      <c r="CT141" s="23" t="e">
        <f t="shared" ref="CT141" si="952">M141-K141</f>
        <v>#VALUE!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x14ac:dyDescent="0.2">
      <c r="A142" s="3" t="str">
        <f t="shared" si="897"/>
        <v>apj_human__wt</v>
      </c>
      <c r="B142" s="3" t="s">
        <v>160</v>
      </c>
      <c r="C142" s="3" t="s">
        <v>100</v>
      </c>
      <c r="D142" s="3" t="str">
        <f>IFERROR(MID(VLOOKUP($B142,Seqs!$A:$B,2,0),E142,1),"")</f>
        <v>A</v>
      </c>
      <c r="E142" s="3">
        <v>29</v>
      </c>
      <c r="F142" s="3" t="str">
        <f>IFERROR(MID(VLOOKUP($B142,Seqs!$A:$B,2,0),G142,1),"")</f>
        <v>S</v>
      </c>
      <c r="G142" s="3">
        <v>56</v>
      </c>
      <c r="H142" s="3" t="str">
        <f>IFERROR(MID(VLOOKUP($B142,Seqs!$A:$B,2,0),I142,1),"")</f>
        <v>S</v>
      </c>
      <c r="I142" s="23">
        <v>57</v>
      </c>
      <c r="J142" s="3" t="str">
        <f>IFERROR(MID(VLOOKUP($B142,Seqs!$A:$B,2,0),K142,1),"")</f>
        <v>R</v>
      </c>
      <c r="K142" s="23">
        <v>61</v>
      </c>
      <c r="L142" s="3" t="str">
        <f>IFERROR(MID(VLOOKUP($B142,Seqs!$A:$B,2,0),M142,1),"")</f>
        <v>R</v>
      </c>
      <c r="M142" s="3">
        <v>62</v>
      </c>
      <c r="N142" s="3" t="str">
        <f>IFERROR(MID(VLOOKUP($B142,Seqs!$A:$B,2,0),O142,1),"")</f>
        <v>D</v>
      </c>
      <c r="O142" s="3">
        <v>92</v>
      </c>
      <c r="P142" s="3" t="str">
        <f>IFERROR(MID(VLOOKUP($B142,Seqs!$A:$B,2,0),Q142,1),"")</f>
        <v>D</v>
      </c>
      <c r="Q142" s="3">
        <v>94</v>
      </c>
      <c r="R142" s="3" t="str">
        <f>IFERROR(MID(VLOOKUP($B142,Seqs!$A:$B,2,0),S142,1),"")</f>
        <v>F</v>
      </c>
      <c r="S142" s="3">
        <v>97</v>
      </c>
      <c r="T142" s="3" t="str">
        <f>IFERROR(MID(VLOOKUP($B142,Seqs!$A:$B,2,0),U142,1),"")</f>
        <v>G</v>
      </c>
      <c r="U142" s="3">
        <v>98</v>
      </c>
      <c r="V142" s="3" t="str">
        <f>IFERROR(MID(VLOOKUP($B142,Seqs!$A:$B,2,0),W142,1),"")</f>
        <v>R</v>
      </c>
      <c r="W142" s="3">
        <v>133</v>
      </c>
      <c r="X142" s="3" t="str">
        <f>IFERROR(MID(VLOOKUP($B142,Seqs!$A:$B,2,0),Y142,1),"")</f>
        <v>P</v>
      </c>
      <c r="Y142" s="3">
        <v>134</v>
      </c>
      <c r="Z142" s="3" t="str">
        <f>IFERROR(MID(VLOOKUP($B142,Seqs!$A:$B,2,0),AA142,1),"")</f>
        <v>R</v>
      </c>
      <c r="AA142" s="3">
        <v>141</v>
      </c>
      <c r="AB142" s="3" t="str">
        <f>IFERROR(MID(VLOOKUP($B142,Seqs!$A:$B,2,0),AC142,1),"")</f>
        <v>L</v>
      </c>
      <c r="AC142" s="3">
        <v>142</v>
      </c>
      <c r="AD142" s="3" t="str">
        <f>IFERROR(MID(VLOOKUP($B142,Seqs!$A:$B,2,0),AE142,1),"")</f>
        <v>R</v>
      </c>
      <c r="AE142" s="3">
        <v>168</v>
      </c>
      <c r="AF142" s="3" t="str">
        <f>IFERROR(MID(VLOOKUP($B142,Seqs!$A:$B,2,0),AG142,1),"")</f>
        <v>C</v>
      </c>
      <c r="AG142" s="3">
        <v>181</v>
      </c>
      <c r="AH142" s="3" t="str">
        <f>IFERROR(MID(VLOOKUP($B142,Seqs!$A:$B,2,0),AI142,1),"")</f>
        <v>M</v>
      </c>
      <c r="AI142" s="3">
        <v>183</v>
      </c>
      <c r="AJ142" s="3" t="str">
        <f>IFERROR(MID(VLOOKUP($B142,Seqs!$A:$B,2,0),AK142,1),"")</f>
        <v>S</v>
      </c>
      <c r="AK142" s="3">
        <v>193</v>
      </c>
      <c r="AL142" s="3" t="str">
        <f>IFERROR(MID(VLOOKUP($B142,Seqs!$A:$B,2,0),AM142,1),"")</f>
        <v>E</v>
      </c>
      <c r="AM142" s="3">
        <v>235</v>
      </c>
      <c r="AN142" s="3" t="str">
        <f>IFERROR(MID(VLOOKUP($B142,Seqs!$A:$B,2,0),AO142,1),"")</f>
        <v>K</v>
      </c>
      <c r="AO142" s="3">
        <v>242</v>
      </c>
      <c r="AP142" s="3" t="str">
        <f>IFERROR(MID(VLOOKUP($B142,Seqs!$A:$B,2,0),AQ142,1),"")</f>
        <v>L</v>
      </c>
      <c r="AQ142" s="3">
        <v>276</v>
      </c>
      <c r="AR142" s="3" t="str">
        <f>IFERROR(MID(VLOOKUP($B142,Seqs!$A:$B,2,0),AS142,1),"")</f>
        <v>P</v>
      </c>
      <c r="AS142" s="3">
        <v>280</v>
      </c>
      <c r="AT142" s="3" t="str">
        <f>IFERROR(MID(VLOOKUP($B142,Seqs!$A:$B,2,0),AU142,1),"")</f>
        <v>F</v>
      </c>
      <c r="AU142" s="3">
        <v>312</v>
      </c>
      <c r="AV142" s="3" t="str">
        <f>IFERROR(MID(VLOOKUP($B142,Seqs!$A:$B,2,0),AW142,1),"")</f>
        <v>D</v>
      </c>
      <c r="AW142" s="3">
        <v>313</v>
      </c>
      <c r="AX142" s="3" t="str">
        <f>IFERROR(MID(VLOOKUP($B142,Seqs!$A:$B,2,0),AY142,1),"")</f>
        <v>G</v>
      </c>
      <c r="AY142" s="3">
        <v>327</v>
      </c>
      <c r="AZ142" s="77" t="str">
        <f>VLOOKUP(B142,Classification!A:D,2,0)</f>
        <v>A</v>
      </c>
      <c r="BA142" s="94" t="str">
        <f>VLOOKUP(B142,Classification!A:D,4,0)</f>
        <v>Apelin</v>
      </c>
      <c r="BB142" s="27" t="b">
        <f t="shared" si="898"/>
        <v>1</v>
      </c>
      <c r="BC142" s="23">
        <f t="shared" si="899"/>
        <v>268</v>
      </c>
      <c r="BD142" s="2"/>
      <c r="BE142" s="3" t="s">
        <v>23</v>
      </c>
      <c r="BF142" s="119" t="s">
        <v>23</v>
      </c>
      <c r="BG142" s="49" t="s">
        <v>1281</v>
      </c>
      <c r="BH142" s="49" t="s">
        <v>1281</v>
      </c>
      <c r="BI142" s="1"/>
      <c r="BJ142" s="70" t="s">
        <v>1287</v>
      </c>
      <c r="BK142" s="57" t="s">
        <v>1287</v>
      </c>
      <c r="BL142" s="57" t="s">
        <v>1287</v>
      </c>
      <c r="BM142" s="57" t="s">
        <v>1287</v>
      </c>
      <c r="BN142" s="57" t="s">
        <v>1287</v>
      </c>
      <c r="BO142" s="57" t="s">
        <v>1287</v>
      </c>
      <c r="BP142" s="57" t="s">
        <v>1287</v>
      </c>
      <c r="BQ142" s="57" t="s">
        <v>1287</v>
      </c>
      <c r="BR142" s="57" t="s">
        <v>1287</v>
      </c>
      <c r="BS142" s="57" t="s">
        <v>1287</v>
      </c>
      <c r="BT142" s="57" t="s">
        <v>1287</v>
      </c>
      <c r="BU142" s="57" t="s">
        <v>1287</v>
      </c>
      <c r="BV142" s="70">
        <f t="shared" si="900"/>
        <v>29</v>
      </c>
      <c r="BW142" s="71">
        <f t="shared" si="901"/>
        <v>57</v>
      </c>
      <c r="BX142" s="72">
        <f t="shared" si="902"/>
        <v>62</v>
      </c>
      <c r="BY142" s="71">
        <f t="shared" si="903"/>
        <v>94</v>
      </c>
      <c r="BZ142" s="72">
        <f t="shared" si="904"/>
        <v>98</v>
      </c>
      <c r="CA142" s="71">
        <f t="shared" si="905"/>
        <v>134</v>
      </c>
      <c r="CB142" s="72">
        <f t="shared" si="906"/>
        <v>142</v>
      </c>
      <c r="CC142" s="71">
        <f t="shared" si="907"/>
        <v>181</v>
      </c>
      <c r="CD142" s="72">
        <f t="shared" si="908"/>
        <v>193</v>
      </c>
      <c r="CE142" s="71">
        <f t="shared" si="909"/>
        <v>242</v>
      </c>
      <c r="CF142" s="72">
        <f t="shared" si="910"/>
        <v>280</v>
      </c>
      <c r="CG142" s="71">
        <f t="shared" si="911"/>
        <v>313</v>
      </c>
      <c r="CH142" s="70">
        <f t="shared" si="912"/>
        <v>56</v>
      </c>
      <c r="CI142" s="71">
        <f t="shared" si="913"/>
        <v>61</v>
      </c>
      <c r="CJ142" s="72">
        <f t="shared" si="914"/>
        <v>92</v>
      </c>
      <c r="CK142" s="72">
        <f t="shared" si="915"/>
        <v>97</v>
      </c>
      <c r="CL142" s="72">
        <f t="shared" si="916"/>
        <v>133</v>
      </c>
      <c r="CM142" s="72">
        <f t="shared" si="917"/>
        <v>141</v>
      </c>
      <c r="CN142" s="72">
        <f t="shared" si="918"/>
        <v>168</v>
      </c>
      <c r="CO142" s="72">
        <f t="shared" si="919"/>
        <v>183</v>
      </c>
      <c r="CP142" s="72">
        <f t="shared" si="920"/>
        <v>235</v>
      </c>
      <c r="CQ142" s="72">
        <f t="shared" si="921"/>
        <v>276</v>
      </c>
      <c r="CR142" s="72">
        <f t="shared" si="922"/>
        <v>312</v>
      </c>
      <c r="CS142" s="72">
        <f t="shared" si="923"/>
        <v>327</v>
      </c>
      <c r="CT142" s="23">
        <f t="shared" si="924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 t="shared" si="897"/>
        <v>apj_human_5VBL</v>
      </c>
      <c r="B143" s="3" t="s">
        <v>160</v>
      </c>
      <c r="C143" s="3" t="s">
        <v>1414</v>
      </c>
      <c r="D143" s="3" t="str">
        <f>IFERROR(MID(VLOOKUP($B143,Seqs!$A:$B,2,0),E143,1),"")</f>
        <v>A</v>
      </c>
      <c r="E143" s="3">
        <v>29</v>
      </c>
      <c r="F143" s="3" t="str">
        <f>IFERROR(MID(VLOOKUP($B143,Seqs!$A:$B,2,0),G143,1),"")</f>
        <v>S</v>
      </c>
      <c r="G143" s="3">
        <v>56</v>
      </c>
      <c r="H143" s="3" t="str">
        <f>IFERROR(MID(VLOOKUP($B143,Seqs!$A:$B,2,0),I143,1),"")</f>
        <v>S</v>
      </c>
      <c r="I143" s="23">
        <v>57</v>
      </c>
      <c r="J143" s="3" t="str">
        <f>IFERROR(MID(VLOOKUP($B143,Seqs!$A:$B,2,0),K143,1),"")</f>
        <v>R</v>
      </c>
      <c r="K143" s="23">
        <v>61</v>
      </c>
      <c r="L143" s="3" t="str">
        <f>IFERROR(MID(VLOOKUP($B143,Seqs!$A:$B,2,0),M143,1),"")</f>
        <v>R</v>
      </c>
      <c r="M143" s="3">
        <v>62</v>
      </c>
      <c r="N143" s="3" t="str">
        <f>IFERROR(MID(VLOOKUP($B143,Seqs!$A:$B,2,0),O143,1),"")</f>
        <v>D</v>
      </c>
      <c r="O143" s="3">
        <v>92</v>
      </c>
      <c r="P143" s="3" t="str">
        <f>IFERROR(MID(VLOOKUP($B143,Seqs!$A:$B,2,0),Q143,1),"")</f>
        <v>D</v>
      </c>
      <c r="Q143" s="3">
        <v>94</v>
      </c>
      <c r="R143" s="3" t="str">
        <f>IFERROR(MID(VLOOKUP($B143,Seqs!$A:$B,2,0),S143,1),"")</f>
        <v>F</v>
      </c>
      <c r="S143" s="3">
        <v>97</v>
      </c>
      <c r="T143" s="3" t="str">
        <f>IFERROR(MID(VLOOKUP($B143,Seqs!$A:$B,2,0),U143,1),"")</f>
        <v>G</v>
      </c>
      <c r="U143" s="3">
        <v>98</v>
      </c>
      <c r="V143" s="3" t="str">
        <f>IFERROR(MID(VLOOKUP($B143,Seqs!$A:$B,2,0),W143,1),"")</f>
        <v>R</v>
      </c>
      <c r="W143" s="3">
        <v>133</v>
      </c>
      <c r="X143" s="3" t="str">
        <f>IFERROR(MID(VLOOKUP($B143,Seqs!$A:$B,2,0),Y143,1),"")</f>
        <v/>
      </c>
      <c r="Y143" s="3" t="s">
        <v>23</v>
      </c>
      <c r="Z143" s="3" t="str">
        <f>IFERROR(MID(VLOOKUP($B143,Seqs!$A:$B,2,0),AA143,1),"")</f>
        <v/>
      </c>
      <c r="AA143" s="3" t="s">
        <v>23</v>
      </c>
      <c r="AB143" s="3" t="str">
        <f>IFERROR(MID(VLOOKUP($B143,Seqs!$A:$B,2,0),AC143,1),"")</f>
        <v>R</v>
      </c>
      <c r="AC143" s="3">
        <v>141</v>
      </c>
      <c r="AD143" s="3" t="str">
        <f>IFERROR(MID(VLOOKUP($B143,Seqs!$A:$B,2,0),AE143,1),"")</f>
        <v>R</v>
      </c>
      <c r="AE143" s="3">
        <v>168</v>
      </c>
      <c r="AF143" s="3" t="str">
        <f>IFERROR(MID(VLOOKUP($B143,Seqs!$A:$B,2,0),AG143,1),"")</f>
        <v>C</v>
      </c>
      <c r="AG143" s="3">
        <v>181</v>
      </c>
      <c r="AH143" s="3" t="str">
        <f>IFERROR(MID(VLOOKUP($B143,Seqs!$A:$B,2,0),AI143,1),"")</f>
        <v>M</v>
      </c>
      <c r="AI143" s="3">
        <v>183</v>
      </c>
      <c r="AJ143" s="3" t="str">
        <f>IFERROR(MID(VLOOKUP($B143,Seqs!$A:$B,2,0),AK143,1),"")</f>
        <v>S</v>
      </c>
      <c r="AK143" s="3">
        <v>193</v>
      </c>
      <c r="AL143" s="3" t="str">
        <f>IFERROR(MID(VLOOKUP($B143,Seqs!$A:$B,2,0),AM143,1),"")</f>
        <v>A</v>
      </c>
      <c r="AM143" s="3">
        <v>229</v>
      </c>
      <c r="AN143" s="3" t="str">
        <f>IFERROR(MID(VLOOKUP($B143,Seqs!$A:$B,2,0),AO143,1),"")</f>
        <v>R</v>
      </c>
      <c r="AO143" s="3">
        <v>244</v>
      </c>
      <c r="AP143" s="3" t="str">
        <f>IFERROR(MID(VLOOKUP($B143,Seqs!$A:$B,2,0),AQ143,1),"")</f>
        <v>L</v>
      </c>
      <c r="AQ143" s="3">
        <v>276</v>
      </c>
      <c r="AR143" s="3" t="str">
        <f>IFERROR(MID(VLOOKUP($B143,Seqs!$A:$B,2,0),AS143,1),"")</f>
        <v>P</v>
      </c>
      <c r="AS143" s="3">
        <v>280</v>
      </c>
      <c r="AT143" s="3" t="str">
        <f>IFERROR(MID(VLOOKUP($B143,Seqs!$A:$B,2,0),AU143,1),"")</f>
        <v>F</v>
      </c>
      <c r="AU143" s="3">
        <v>312</v>
      </c>
      <c r="AV143" s="3" t="str">
        <f>IFERROR(MID(VLOOKUP($B143,Seqs!$A:$B,2,0),AW143,1),"")</f>
        <v>D</v>
      </c>
      <c r="AW143" s="3">
        <v>313</v>
      </c>
      <c r="AX143" s="3" t="str">
        <f>IFERROR(MID(VLOOKUP($B143,Seqs!$A:$B,2,0),AY143,1),"")</f>
        <v>G</v>
      </c>
      <c r="AY143" s="3">
        <v>327</v>
      </c>
      <c r="AZ143" s="77" t="str">
        <f>VLOOKUP(B143,Classification!A:D,2,0)</f>
        <v>A</v>
      </c>
      <c r="BA143" s="94" t="str">
        <f>VLOOKUP(B143,Classification!A:D,4,0)</f>
        <v>Apelin</v>
      </c>
      <c r="BB143" s="27" t="b">
        <f t="shared" si="898"/>
        <v>1</v>
      </c>
      <c r="BC143" s="23">
        <f t="shared" si="899"/>
        <v>254</v>
      </c>
      <c r="BD143" s="2" t="s">
        <v>1376</v>
      </c>
      <c r="BE143" s="3" t="s">
        <v>1374</v>
      </c>
      <c r="BF143" s="119">
        <v>2.6</v>
      </c>
      <c r="BG143" s="49" t="s">
        <v>1281</v>
      </c>
      <c r="BH143" s="49" t="s">
        <v>1281</v>
      </c>
      <c r="BI143" s="1"/>
      <c r="BJ143" s="70" t="s">
        <v>1287</v>
      </c>
      <c r="BK143" s="57" t="s">
        <v>1287</v>
      </c>
      <c r="BL143" s="57" t="s">
        <v>1287</v>
      </c>
      <c r="BM143" s="57" t="s">
        <v>1287</v>
      </c>
      <c r="BN143" s="57" t="s">
        <v>1287</v>
      </c>
      <c r="BO143" s="57" t="s">
        <v>1287</v>
      </c>
      <c r="BP143" s="57" t="s">
        <v>1287</v>
      </c>
      <c r="BQ143" s="57" t="s">
        <v>1287</v>
      </c>
      <c r="BR143" s="57" t="s">
        <v>1287</v>
      </c>
      <c r="BS143" s="57" t="s">
        <v>1287</v>
      </c>
      <c r="BT143" s="57" t="s">
        <v>1287</v>
      </c>
      <c r="BU143" s="57" t="s">
        <v>1287</v>
      </c>
      <c r="BV143" s="70">
        <f t="shared" si="900"/>
        <v>29</v>
      </c>
      <c r="BW143" s="71">
        <f t="shared" si="901"/>
        <v>57</v>
      </c>
      <c r="BX143" s="72">
        <f t="shared" si="902"/>
        <v>62</v>
      </c>
      <c r="BY143" s="71">
        <f t="shared" si="903"/>
        <v>94</v>
      </c>
      <c r="BZ143" s="72">
        <f t="shared" si="904"/>
        <v>98</v>
      </c>
      <c r="CA143" s="71" t="str">
        <f t="shared" si="905"/>
        <v>-</v>
      </c>
      <c r="CB143" s="72">
        <f t="shared" si="906"/>
        <v>141</v>
      </c>
      <c r="CC143" s="71">
        <f t="shared" si="907"/>
        <v>181</v>
      </c>
      <c r="CD143" s="72">
        <f t="shared" si="908"/>
        <v>193</v>
      </c>
      <c r="CE143" s="71">
        <f t="shared" si="909"/>
        <v>244</v>
      </c>
      <c r="CF143" s="72">
        <f t="shared" si="910"/>
        <v>280</v>
      </c>
      <c r="CG143" s="71">
        <f t="shared" si="911"/>
        <v>313</v>
      </c>
      <c r="CH143" s="70">
        <f t="shared" si="912"/>
        <v>56</v>
      </c>
      <c r="CI143" s="71">
        <f t="shared" si="913"/>
        <v>61</v>
      </c>
      <c r="CJ143" s="72">
        <f t="shared" si="914"/>
        <v>92</v>
      </c>
      <c r="CK143" s="72">
        <f t="shared" si="915"/>
        <v>97</v>
      </c>
      <c r="CL143" s="72">
        <f t="shared" si="916"/>
        <v>133</v>
      </c>
      <c r="CM143" s="72" t="str">
        <f t="shared" si="917"/>
        <v>-</v>
      </c>
      <c r="CN143" s="72">
        <f t="shared" si="918"/>
        <v>168</v>
      </c>
      <c r="CO143" s="72">
        <f t="shared" si="919"/>
        <v>183</v>
      </c>
      <c r="CP143" s="72">
        <f t="shared" si="920"/>
        <v>229</v>
      </c>
      <c r="CQ143" s="72">
        <f t="shared" si="921"/>
        <v>276</v>
      </c>
      <c r="CR143" s="72">
        <f t="shared" si="922"/>
        <v>312</v>
      </c>
      <c r="CS143" s="72">
        <f t="shared" si="923"/>
        <v>327</v>
      </c>
      <c r="CT143" s="23">
        <f t="shared" si="924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 t="shared" si="897"/>
        <v>c5ar1_human__wt</v>
      </c>
      <c r="B144" s="3" t="s">
        <v>165</v>
      </c>
      <c r="C144" s="3" t="s">
        <v>100</v>
      </c>
      <c r="D144" s="3" t="str">
        <f>IFERROR(MID(VLOOKUP($B144,Seqs!$A:$B,2,0),E144,1),"")</f>
        <v>R</v>
      </c>
      <c r="E144" s="3">
        <v>34</v>
      </c>
      <c r="F144" s="3" t="str">
        <f>IFERROR(MID(VLOOKUP($B144,Seqs!$A:$B,2,0),G144,1),"")</f>
        <v>E</v>
      </c>
      <c r="G144" s="3">
        <v>65</v>
      </c>
      <c r="H144" s="3" t="str">
        <f>IFERROR(MID(VLOOKUP($B144,Seqs!$A:$B,2,0),I144,1),"")</f>
        <v/>
      </c>
      <c r="I144" s="23" t="s">
        <v>23</v>
      </c>
      <c r="J144" s="3" t="str">
        <f>IFERROR(MID(VLOOKUP($B144,Seqs!$A:$B,2,0),K144,1),"")</f>
        <v/>
      </c>
      <c r="K144" s="23" t="s">
        <v>23</v>
      </c>
      <c r="L144" s="3" t="str">
        <f>IFERROR(MID(VLOOKUP($B144,Seqs!$A:$B,2,0),M144,1),"")</f>
        <v>T</v>
      </c>
      <c r="M144" s="3">
        <v>69</v>
      </c>
      <c r="N144" s="3" t="str">
        <f>IFERROR(MID(VLOOKUP($B144,Seqs!$A:$B,2,0),O144,1),"")</f>
        <v>H</v>
      </c>
      <c r="O144" s="3">
        <v>99</v>
      </c>
      <c r="P144" s="3" t="str">
        <f>IFERROR(MID(VLOOKUP($B144,Seqs!$A:$B,2,0),Q144,1),"")</f>
        <v>H</v>
      </c>
      <c r="Q144" s="3">
        <v>101</v>
      </c>
      <c r="R144" s="3" t="str">
        <f>IFERROR(MID(VLOOKUP($B144,Seqs!$A:$B,2,0),S144,1),"")</f>
        <v>F</v>
      </c>
      <c r="S144" s="3">
        <v>104</v>
      </c>
      <c r="T144" s="3" t="str">
        <f>IFERROR(MID(VLOOKUP($B144,Seqs!$A:$B,2,0),U144,1),"")</f>
        <v>G</v>
      </c>
      <c r="U144" s="3">
        <v>105</v>
      </c>
      <c r="V144" s="3" t="str">
        <f>IFERROR(MID(VLOOKUP($B144,Seqs!$A:$B,2,0),W144,1),"")</f>
        <v>K</v>
      </c>
      <c r="W144" s="3">
        <v>140</v>
      </c>
      <c r="X144" s="3" t="str">
        <f>IFERROR(MID(VLOOKUP($B144,Seqs!$A:$B,2,0),Y144,1),"")</f>
        <v>P</v>
      </c>
      <c r="Y144" s="3">
        <v>141</v>
      </c>
      <c r="Z144" s="3" t="str">
        <f>IFERROR(MID(VLOOKUP($B144,Seqs!$A:$B,2,0),AA144,1),"")</f>
        <v>R</v>
      </c>
      <c r="AA144" s="3">
        <v>148</v>
      </c>
      <c r="AB144" s="3" t="str">
        <f>IFERROR(MID(VLOOKUP($B144,Seqs!$A:$B,2,0),AC144,1),"")</f>
        <v>G</v>
      </c>
      <c r="AC144" s="3">
        <v>149</v>
      </c>
      <c r="AD144" s="3" t="str">
        <f>IFERROR(MID(VLOOKUP($B144,Seqs!$A:$B,2,0),AE144,1),"")</f>
        <v>R</v>
      </c>
      <c r="AE144" s="3">
        <v>175</v>
      </c>
      <c r="AF144" s="3" t="str">
        <f>IFERROR(MID(VLOOKUP($B144,Seqs!$A:$B,2,0),AG144,1),"")</f>
        <v>C</v>
      </c>
      <c r="AG144" s="3">
        <v>188</v>
      </c>
      <c r="AH144" s="3" t="str">
        <f>IFERROR(MID(VLOOKUP($B144,Seqs!$A:$B,2,0),AI144,1),"")</f>
        <v>V</v>
      </c>
      <c r="AI144" s="3">
        <v>190</v>
      </c>
      <c r="AJ144" s="3" t="str">
        <f>IFERROR(MID(VLOOKUP($B144,Seqs!$A:$B,2,0),AK144,1),"")</f>
        <v>D</v>
      </c>
      <c r="AK144" s="3">
        <v>195</v>
      </c>
      <c r="AL144" s="3" t="str">
        <f>IFERROR(MID(VLOOKUP($B144,Seqs!$A:$B,2,0),AM144,1),"")</f>
        <v>R</v>
      </c>
      <c r="AM144" s="3">
        <v>232</v>
      </c>
      <c r="AN144" s="3" t="str">
        <f>IFERROR(MID(VLOOKUP($B144,Seqs!$A:$B,2,0),AO144,1),"")</f>
        <v>T</v>
      </c>
      <c r="AO144" s="3">
        <v>238</v>
      </c>
      <c r="AP144" s="3" t="str">
        <f>IFERROR(MID(VLOOKUP($B144,Seqs!$A:$B,2,0),AQ144,1),"")</f>
        <v>L</v>
      </c>
      <c r="AQ144" s="3">
        <v>268</v>
      </c>
      <c r="AR144" s="3" t="str">
        <f>IFERROR(MID(VLOOKUP($B144,Seqs!$A:$B,2,0),AS144,1),"")</f>
        <v>S</v>
      </c>
      <c r="AS144" s="3">
        <v>272</v>
      </c>
      <c r="AT144" s="3" t="str">
        <f>IFERROR(MID(VLOOKUP($B144,Seqs!$A:$B,2,0),AU144,1),"")</f>
        <v>A</v>
      </c>
      <c r="AU144" s="3">
        <v>303</v>
      </c>
      <c r="AV144" s="3" t="str">
        <f>IFERROR(MID(VLOOKUP($B144,Seqs!$A:$B,2,0),AW144,1),"")</f>
        <v>G</v>
      </c>
      <c r="AW144" s="3">
        <v>304</v>
      </c>
      <c r="AX144" s="3" t="str">
        <f>IFERROR(MID(VLOOKUP($B144,Seqs!$A:$B,2,0),AY144,1),"")</f>
        <v>K</v>
      </c>
      <c r="AY144" s="3">
        <v>313</v>
      </c>
      <c r="AZ144" s="77" t="str">
        <f>VLOOKUP(B144,Classification!A:D,2,0)</f>
        <v>A</v>
      </c>
      <c r="BA144" s="94" t="str">
        <f>VLOOKUP(B144,Classification!A:D,4,0)</f>
        <v>Complementpeptide</v>
      </c>
      <c r="BB144" s="27" t="b">
        <f t="shared" si="898"/>
        <v>1</v>
      </c>
      <c r="BC144" s="23">
        <f t="shared" si="899"/>
        <v>253</v>
      </c>
      <c r="BD144" s="2" t="s">
        <v>23</v>
      </c>
      <c r="BE144" s="3" t="s">
        <v>1374</v>
      </c>
      <c r="BF144" s="119" t="s">
        <v>23</v>
      </c>
      <c r="BI144" s="1"/>
      <c r="BJ144" s="70" t="s">
        <v>1287</v>
      </c>
      <c r="BK144" s="57" t="s">
        <v>1287</v>
      </c>
      <c r="BL144" s="57" t="s">
        <v>1287</v>
      </c>
      <c r="BM144" s="57" t="s">
        <v>1287</v>
      </c>
      <c r="BN144" s="57" t="s">
        <v>1287</v>
      </c>
      <c r="BO144" s="57" t="s">
        <v>1287</v>
      </c>
      <c r="BP144" s="57" t="s">
        <v>1287</v>
      </c>
      <c r="BQ144" s="57" t="s">
        <v>1287</v>
      </c>
      <c r="BR144" s="57" t="s">
        <v>1287</v>
      </c>
      <c r="BS144" s="57" t="s">
        <v>1287</v>
      </c>
      <c r="BT144" s="57" t="s">
        <v>1287</v>
      </c>
      <c r="BU144" s="57" t="s">
        <v>1287</v>
      </c>
      <c r="BV144" s="70">
        <f t="shared" si="900"/>
        <v>34</v>
      </c>
      <c r="BW144" s="71" t="str">
        <f t="shared" si="901"/>
        <v>-</v>
      </c>
      <c r="BX144" s="72">
        <f t="shared" si="902"/>
        <v>69</v>
      </c>
      <c r="BY144" s="71">
        <f t="shared" si="903"/>
        <v>101</v>
      </c>
      <c r="BZ144" s="72">
        <f t="shared" si="904"/>
        <v>105</v>
      </c>
      <c r="CA144" s="71">
        <f t="shared" si="905"/>
        <v>141</v>
      </c>
      <c r="CB144" s="72">
        <f t="shared" si="906"/>
        <v>149</v>
      </c>
      <c r="CC144" s="71">
        <f t="shared" si="907"/>
        <v>188</v>
      </c>
      <c r="CD144" s="72">
        <f t="shared" si="908"/>
        <v>195</v>
      </c>
      <c r="CE144" s="71">
        <f t="shared" si="909"/>
        <v>238</v>
      </c>
      <c r="CF144" s="72">
        <f t="shared" si="910"/>
        <v>272</v>
      </c>
      <c r="CG144" s="71">
        <f t="shared" si="911"/>
        <v>304</v>
      </c>
      <c r="CH144" s="70">
        <f t="shared" si="912"/>
        <v>65</v>
      </c>
      <c r="CI144" s="71" t="str">
        <f t="shared" si="913"/>
        <v>-</v>
      </c>
      <c r="CJ144" s="72">
        <f t="shared" si="914"/>
        <v>99</v>
      </c>
      <c r="CK144" s="72">
        <f t="shared" si="915"/>
        <v>104</v>
      </c>
      <c r="CL144" s="72">
        <f t="shared" si="916"/>
        <v>140</v>
      </c>
      <c r="CM144" s="72">
        <f t="shared" si="917"/>
        <v>148</v>
      </c>
      <c r="CN144" s="72">
        <f t="shared" si="918"/>
        <v>175</v>
      </c>
      <c r="CO144" s="72">
        <f t="shared" si="919"/>
        <v>190</v>
      </c>
      <c r="CP144" s="72">
        <f t="shared" si="920"/>
        <v>232</v>
      </c>
      <c r="CQ144" s="72">
        <f t="shared" si="921"/>
        <v>268</v>
      </c>
      <c r="CR144" s="72">
        <f t="shared" si="922"/>
        <v>303</v>
      </c>
      <c r="CS144" s="72">
        <f t="shared" si="923"/>
        <v>313</v>
      </c>
      <c r="CT144" s="23" t="e">
        <f t="shared" si="924"/>
        <v>#VALUE!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897"/>
        <v>c5ar1_human_5O9H</v>
      </c>
      <c r="B145" s="3" t="s">
        <v>165</v>
      </c>
      <c r="C145" s="3" t="s">
        <v>1479</v>
      </c>
      <c r="D145" s="3" t="str">
        <f>IFERROR(MID(VLOOKUP($B145,Seqs!$A:$B,2,0),E145,1),"")</f>
        <v>R</v>
      </c>
      <c r="E145" s="3">
        <v>34</v>
      </c>
      <c r="F145" s="3" t="str">
        <f>IFERROR(MID(VLOOKUP($B145,Seqs!$A:$B,2,0),G145,1),"")</f>
        <v>E</v>
      </c>
      <c r="G145" s="3">
        <v>65</v>
      </c>
      <c r="H145" s="3" t="str">
        <f>IFERROR(MID(VLOOKUP($B145,Seqs!$A:$B,2,0),I145,1),"")</f>
        <v/>
      </c>
      <c r="I145" s="23" t="s">
        <v>23</v>
      </c>
      <c r="J145" s="3" t="str">
        <f>IFERROR(MID(VLOOKUP($B145,Seqs!$A:$B,2,0),K145,1),"")</f>
        <v/>
      </c>
      <c r="K145" s="23" t="s">
        <v>23</v>
      </c>
      <c r="L145" s="3" t="str">
        <f>IFERROR(MID(VLOOKUP($B145,Seqs!$A:$B,2,0),M145,1),"")</f>
        <v>T</v>
      </c>
      <c r="M145" s="3">
        <v>69</v>
      </c>
      <c r="N145" s="3" t="str">
        <f>IFERROR(MID(VLOOKUP($B145,Seqs!$A:$B,2,0),O145,1),"")</f>
        <v>H</v>
      </c>
      <c r="O145" s="3">
        <v>99</v>
      </c>
      <c r="P145" s="3" t="str">
        <f>IFERROR(MID(VLOOKUP($B145,Seqs!$A:$B,2,0),Q145,1),"")</f>
        <v>H</v>
      </c>
      <c r="Q145" s="3">
        <v>101</v>
      </c>
      <c r="R145" s="3" t="str">
        <f>IFERROR(MID(VLOOKUP($B145,Seqs!$A:$B,2,0),S145,1),"")</f>
        <v>F</v>
      </c>
      <c r="S145" s="3">
        <v>104</v>
      </c>
      <c r="T145" s="3" t="str">
        <f>IFERROR(MID(VLOOKUP($B145,Seqs!$A:$B,2,0),U145,1),"")</f>
        <v>G</v>
      </c>
      <c r="U145" s="3">
        <v>105</v>
      </c>
      <c r="V145" s="3" t="str">
        <f>IFERROR(MID(VLOOKUP($B145,Seqs!$A:$B,2,0),W145,1),"")</f>
        <v>K</v>
      </c>
      <c r="W145" s="3">
        <v>140</v>
      </c>
      <c r="X145" s="3" t="str">
        <f>IFERROR(MID(VLOOKUP($B145,Seqs!$A:$B,2,0),Y145,1),"")</f>
        <v>P</v>
      </c>
      <c r="Y145" s="3">
        <v>141</v>
      </c>
      <c r="Z145" s="3" t="str">
        <f>IFERROR(MID(VLOOKUP($B145,Seqs!$A:$B,2,0),AA145,1),"")</f>
        <v>R</v>
      </c>
      <c r="AA145" s="3">
        <v>148</v>
      </c>
      <c r="AB145" s="3" t="str">
        <f>IFERROR(MID(VLOOKUP($B145,Seqs!$A:$B,2,0),AC145,1),"")</f>
        <v>G</v>
      </c>
      <c r="AC145" s="3">
        <v>149</v>
      </c>
      <c r="AD145" s="3" t="str">
        <f>IFERROR(MID(VLOOKUP($B145,Seqs!$A:$B,2,0),AE145,1),"")</f>
        <v>R</v>
      </c>
      <c r="AE145" s="3">
        <v>175</v>
      </c>
      <c r="AF145" s="3" t="str">
        <f>IFERROR(MID(VLOOKUP($B145,Seqs!$A:$B,2,0),AG145,1),"")</f>
        <v>C</v>
      </c>
      <c r="AG145" s="3">
        <v>188</v>
      </c>
      <c r="AH145" s="3" t="str">
        <f>IFERROR(MID(VLOOKUP($B145,Seqs!$A:$B,2,0),AI145,1),"")</f>
        <v>V</v>
      </c>
      <c r="AI145" s="3">
        <v>190</v>
      </c>
      <c r="AJ145" s="3" t="str">
        <f>IFERROR(MID(VLOOKUP($B145,Seqs!$A:$B,2,0),AK145,1),"")</f>
        <v>D</v>
      </c>
      <c r="AK145" s="3">
        <v>195</v>
      </c>
      <c r="AL145" s="3" t="str">
        <f>IFERROR(MID(VLOOKUP($B145,Seqs!$A:$B,2,0),AM145,1),"")</f>
        <v>R</v>
      </c>
      <c r="AM145" s="3">
        <v>232</v>
      </c>
      <c r="AN145" s="3" t="str">
        <f>IFERROR(MID(VLOOKUP($B145,Seqs!$A:$B,2,0),AO145,1),"")</f>
        <v>T</v>
      </c>
      <c r="AO145" s="3">
        <v>238</v>
      </c>
      <c r="AP145" s="3" t="str">
        <f>IFERROR(MID(VLOOKUP($B145,Seqs!$A:$B,2,0),AQ145,1),"")</f>
        <v>L</v>
      </c>
      <c r="AQ145" s="3">
        <v>268</v>
      </c>
      <c r="AR145" s="3" t="str">
        <f>IFERROR(MID(VLOOKUP($B145,Seqs!$A:$B,2,0),AS145,1),"")</f>
        <v>S</v>
      </c>
      <c r="AS145" s="3">
        <v>272</v>
      </c>
      <c r="AT145" s="3" t="str">
        <f>IFERROR(MID(VLOOKUP($B145,Seqs!$A:$B,2,0),AU145,1),"")</f>
        <v>F</v>
      </c>
      <c r="AU145" s="3">
        <v>307</v>
      </c>
      <c r="AV145" s="3" t="str">
        <f>IFERROR(MID(VLOOKUP($B145,Seqs!$A:$B,2,0),AW145,1),"")</f>
        <v/>
      </c>
      <c r="AW145" s="3" t="s">
        <v>23</v>
      </c>
      <c r="AX145" s="3" t="str">
        <f>IFERROR(MID(VLOOKUP($B145,Seqs!$A:$B,2,0),AY145,1),"")</f>
        <v/>
      </c>
      <c r="AY145" s="3" t="s">
        <v>23</v>
      </c>
      <c r="AZ145" s="77" t="str">
        <f>VLOOKUP(B145,Classification!A:D,2,0)</f>
        <v>A</v>
      </c>
      <c r="BA145" s="94" t="str">
        <f>VLOOKUP(B145,Classification!A:D,4,0)</f>
        <v>Complementpeptide</v>
      </c>
      <c r="BB145" s="27" t="b">
        <f t="shared" si="898"/>
        <v>1</v>
      </c>
      <c r="BC145" s="23">
        <f t="shared" si="899"/>
        <v>248</v>
      </c>
      <c r="BD145" s="2" t="s">
        <v>1376</v>
      </c>
      <c r="BE145" s="3" t="s">
        <v>1374</v>
      </c>
      <c r="BF145" s="119">
        <v>2.7</v>
      </c>
      <c r="BG145" s="49" t="s">
        <v>1</v>
      </c>
      <c r="BH145" s="49" t="s">
        <v>1</v>
      </c>
      <c r="BI145" s="1"/>
      <c r="BJ145" s="70" t="s">
        <v>1287</v>
      </c>
      <c r="BK145" s="57" t="s">
        <v>1287</v>
      </c>
      <c r="BL145" s="57" t="s">
        <v>1287</v>
      </c>
      <c r="BM145" s="57" t="s">
        <v>1287</v>
      </c>
      <c r="BN145" s="57" t="s">
        <v>1287</v>
      </c>
      <c r="BO145" s="57" t="s">
        <v>1287</v>
      </c>
      <c r="BP145" s="57" t="s">
        <v>1287</v>
      </c>
      <c r="BQ145" s="57" t="s">
        <v>1287</v>
      </c>
      <c r="BR145" s="57" t="s">
        <v>1287</v>
      </c>
      <c r="BS145" s="57" t="s">
        <v>1287</v>
      </c>
      <c r="BT145" s="57" t="s">
        <v>1287</v>
      </c>
      <c r="BU145" s="57" t="s">
        <v>1287</v>
      </c>
      <c r="BV145" s="70">
        <f t="shared" si="900"/>
        <v>34</v>
      </c>
      <c r="BW145" s="71" t="str">
        <f t="shared" si="901"/>
        <v>-</v>
      </c>
      <c r="BX145" s="72">
        <f t="shared" si="902"/>
        <v>69</v>
      </c>
      <c r="BY145" s="71">
        <f t="shared" si="903"/>
        <v>101</v>
      </c>
      <c r="BZ145" s="72">
        <f t="shared" si="904"/>
        <v>105</v>
      </c>
      <c r="CA145" s="71">
        <f t="shared" si="905"/>
        <v>141</v>
      </c>
      <c r="CB145" s="72">
        <f t="shared" si="906"/>
        <v>149</v>
      </c>
      <c r="CC145" s="71">
        <f t="shared" si="907"/>
        <v>188</v>
      </c>
      <c r="CD145" s="72">
        <f t="shared" si="908"/>
        <v>195</v>
      </c>
      <c r="CE145" s="71">
        <f t="shared" si="909"/>
        <v>238</v>
      </c>
      <c r="CF145" s="72">
        <f t="shared" si="910"/>
        <v>272</v>
      </c>
      <c r="CG145" s="71" t="str">
        <f t="shared" si="911"/>
        <v>-</v>
      </c>
      <c r="CH145" s="70">
        <f t="shared" si="912"/>
        <v>65</v>
      </c>
      <c r="CI145" s="71" t="str">
        <f t="shared" si="913"/>
        <v>-</v>
      </c>
      <c r="CJ145" s="72">
        <f t="shared" si="914"/>
        <v>99</v>
      </c>
      <c r="CK145" s="72">
        <f t="shared" si="915"/>
        <v>104</v>
      </c>
      <c r="CL145" s="72">
        <f t="shared" si="916"/>
        <v>140</v>
      </c>
      <c r="CM145" s="72">
        <f t="shared" si="917"/>
        <v>148</v>
      </c>
      <c r="CN145" s="72">
        <f t="shared" si="918"/>
        <v>175</v>
      </c>
      <c r="CO145" s="72">
        <f t="shared" si="919"/>
        <v>190</v>
      </c>
      <c r="CP145" s="72">
        <f t="shared" si="920"/>
        <v>232</v>
      </c>
      <c r="CQ145" s="72">
        <f t="shared" si="921"/>
        <v>268</v>
      </c>
      <c r="CR145" s="72">
        <f t="shared" si="922"/>
        <v>307</v>
      </c>
      <c r="CS145" s="72" t="str">
        <f t="shared" si="923"/>
        <v>-</v>
      </c>
      <c r="CT145" s="23" t="e">
        <f t="shared" si="924"/>
        <v>#VALUE!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si="897"/>
        <v>c5ar1_human_6C1Q</v>
      </c>
      <c r="B146" s="3" t="s">
        <v>165</v>
      </c>
      <c r="C146" s="3" t="s">
        <v>1498</v>
      </c>
      <c r="D146" s="3" t="str">
        <f>IFERROR(MID(VLOOKUP($B146,Seqs!$A:$B,2,0),E146,1),"")</f>
        <v>M</v>
      </c>
      <c r="E146" s="3">
        <v>120</v>
      </c>
      <c r="F146" s="3" t="str">
        <f>IFERROR(MID(VLOOKUP($B146,Seqs!$A:$B,2,0),G146,1),"")</f>
        <v>G</v>
      </c>
      <c r="G146" s="3">
        <v>151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I</v>
      </c>
      <c r="M146" s="3">
        <v>155</v>
      </c>
      <c r="N146" s="3" t="str">
        <f>IFERROR(MID(VLOOKUP($B146,Seqs!$A:$B,2,0),O146,1),"")</f>
        <v>K</v>
      </c>
      <c r="O146" s="3">
        <v>185</v>
      </c>
      <c r="P146" s="3" t="str">
        <f>IFERROR(MID(VLOOKUP($B146,Seqs!$A:$B,2,0),Q146,1),"")</f>
        <v>L</v>
      </c>
      <c r="Q146" s="3">
        <v>187</v>
      </c>
      <c r="R146" s="3" t="str">
        <f>IFERROR(MID(VLOOKUP($B146,Seqs!$A:$B,2,0),S146,1),"")</f>
        <v>V</v>
      </c>
      <c r="S146" s="3">
        <v>190</v>
      </c>
      <c r="T146" s="3" t="str">
        <f>IFERROR(MID(VLOOKUP($B146,Seqs!$A:$B,2,0),U146,1),"")</f>
        <v>D</v>
      </c>
      <c r="U146" s="3">
        <v>191</v>
      </c>
      <c r="V146" s="3" t="str">
        <f>IFERROR(MID(VLOOKUP($B146,Seqs!$A:$B,2,0),W146,1),"")</f>
        <v>L</v>
      </c>
      <c r="W146" s="3">
        <v>226</v>
      </c>
      <c r="X146" s="3" t="str">
        <f>IFERROR(MID(VLOOKUP($B146,Seqs!$A:$B,2,0),Y146,1),"")</f>
        <v>L</v>
      </c>
      <c r="Y146" s="3">
        <v>227</v>
      </c>
      <c r="Z146" s="3" t="str">
        <f>IFERROR(MID(VLOOKUP($B146,Seqs!$A:$B,2,0),AA146,1),"")</f>
        <v>A</v>
      </c>
      <c r="AA146" s="3">
        <v>234</v>
      </c>
      <c r="AB146" s="3" t="str">
        <f>IFERROR(MID(VLOOKUP($B146,Seqs!$A:$B,2,0),AC146,1),"")</f>
        <v>T</v>
      </c>
      <c r="AC146" s="3">
        <v>235</v>
      </c>
      <c r="AD146" s="3" t="str">
        <f>IFERROR(MID(VLOOKUP($B146,Seqs!$A:$B,2,0),AE146,1),"")</f>
        <v>T</v>
      </c>
      <c r="AE146" s="3">
        <v>261</v>
      </c>
      <c r="AF146" s="3" t="str">
        <f>IFERROR(MID(VLOOKUP($B146,Seqs!$A:$B,2,0),AG146,1),"")</f>
        <v>T</v>
      </c>
      <c r="AG146" s="3">
        <v>274</v>
      </c>
      <c r="AH146" s="3" t="str">
        <f>IFERROR(MID(VLOOKUP($B146,Seqs!$A:$B,2,0),AI146,1),"")</f>
        <v>L</v>
      </c>
      <c r="AI146" s="3">
        <v>276</v>
      </c>
      <c r="AJ146" s="3" t="str">
        <f>IFERROR(MID(VLOOKUP($B146,Seqs!$A:$B,2,0),AK146,1),"")</f>
        <v>L</v>
      </c>
      <c r="AK146" s="3">
        <v>281</v>
      </c>
      <c r="AL146" s="3" t="str">
        <f>IFERROR(MID(VLOOKUP($B146,Seqs!$A:$B,2,0),AM146,1),"")</f>
        <v>L</v>
      </c>
      <c r="AM146" s="3">
        <v>318</v>
      </c>
      <c r="AN146" s="3" t="str">
        <f>IFERROR(MID(VLOOKUP($B146,Seqs!$A:$B,2,0),AO146,1),"")</f>
        <v>L</v>
      </c>
      <c r="AO146" s="3">
        <v>323</v>
      </c>
      <c r="AP146" s="3" t="str">
        <f>IFERROR(MID(VLOOKUP($B146,Seqs!$A:$B,2,0),AQ146,1),"")</f>
        <v/>
      </c>
      <c r="AQ146" s="3">
        <v>354</v>
      </c>
      <c r="AR146" s="3" t="str">
        <f>IFERROR(MID(VLOOKUP($B146,Seqs!$A:$B,2,0),AS146,1),"")</f>
        <v/>
      </c>
      <c r="AS146" s="3">
        <v>358</v>
      </c>
      <c r="AT146" s="3" t="str">
        <f>IFERROR(MID(VLOOKUP($B146,Seqs!$A:$B,2,0),AU146,1),"")</f>
        <v/>
      </c>
      <c r="AU146" s="3">
        <v>394</v>
      </c>
      <c r="AV146" s="3" t="str">
        <f>IFERROR(MID(VLOOKUP($B146,Seqs!$A:$B,2,0),AW146,1),"")</f>
        <v/>
      </c>
      <c r="AW146" s="3" t="s">
        <v>23</v>
      </c>
      <c r="AX146" s="3" t="str">
        <f>IFERROR(MID(VLOOKUP($B146,Seqs!$A:$B,2,0),AY146,1),"")</f>
        <v/>
      </c>
      <c r="AY146" s="3" t="s">
        <v>23</v>
      </c>
      <c r="AZ146" s="77" t="str">
        <f>VLOOKUP(B146,Classification!A:D,2,0)</f>
        <v>A</v>
      </c>
      <c r="BA146" s="94" t="str">
        <f>VLOOKUP(B146,Classification!A:D,4,0)</f>
        <v>Complementpeptide</v>
      </c>
      <c r="BB146" s="27" t="b">
        <f t="shared" si="898"/>
        <v>1</v>
      </c>
      <c r="BC146" s="23">
        <f t="shared" si="899"/>
        <v>250</v>
      </c>
      <c r="BD146" s="2" t="s">
        <v>23</v>
      </c>
      <c r="BE146" s="3" t="s">
        <v>1374</v>
      </c>
      <c r="BF146" s="119">
        <v>2.9</v>
      </c>
      <c r="BG146" s="49" t="s">
        <v>1281</v>
      </c>
      <c r="BH146" s="49" t="s">
        <v>1281</v>
      </c>
      <c r="BI146" s="1"/>
      <c r="BJ146" s="70" t="s">
        <v>1287</v>
      </c>
      <c r="BK146" s="57" t="s">
        <v>1287</v>
      </c>
      <c r="BL146" s="57" t="s">
        <v>1287</v>
      </c>
      <c r="BM146" s="57" t="s">
        <v>1287</v>
      </c>
      <c r="BN146" s="57" t="s">
        <v>1287</v>
      </c>
      <c r="BO146" s="57" t="s">
        <v>1287</v>
      </c>
      <c r="BP146" s="57" t="s">
        <v>1287</v>
      </c>
      <c r="BQ146" s="57" t="s">
        <v>1287</v>
      </c>
      <c r="BR146" s="57" t="s">
        <v>1287</v>
      </c>
      <c r="BS146" s="57" t="s">
        <v>1287</v>
      </c>
      <c r="BT146" s="57" t="s">
        <v>1287</v>
      </c>
      <c r="BU146" s="57" t="s">
        <v>1287</v>
      </c>
      <c r="BV146" s="70">
        <f t="shared" si="900"/>
        <v>120</v>
      </c>
      <c r="BW146" s="71" t="str">
        <f t="shared" si="901"/>
        <v>-</v>
      </c>
      <c r="BX146" s="72">
        <f t="shared" si="902"/>
        <v>155</v>
      </c>
      <c r="BY146" s="71">
        <f t="shared" si="903"/>
        <v>187</v>
      </c>
      <c r="BZ146" s="72">
        <f t="shared" si="904"/>
        <v>191</v>
      </c>
      <c r="CA146" s="71">
        <f t="shared" si="905"/>
        <v>227</v>
      </c>
      <c r="CB146" s="72">
        <f t="shared" si="906"/>
        <v>235</v>
      </c>
      <c r="CC146" s="71">
        <f t="shared" si="907"/>
        <v>274</v>
      </c>
      <c r="CD146" s="72">
        <f t="shared" si="908"/>
        <v>281</v>
      </c>
      <c r="CE146" s="71">
        <f t="shared" si="909"/>
        <v>323</v>
      </c>
      <c r="CF146" s="72">
        <f t="shared" si="910"/>
        <v>358</v>
      </c>
      <c r="CG146" s="71" t="str">
        <f t="shared" si="911"/>
        <v>-</v>
      </c>
      <c r="CH146" s="70">
        <f t="shared" si="912"/>
        <v>151</v>
      </c>
      <c r="CI146" s="71" t="str">
        <f t="shared" si="913"/>
        <v>-</v>
      </c>
      <c r="CJ146" s="72">
        <f t="shared" si="914"/>
        <v>185</v>
      </c>
      <c r="CK146" s="72">
        <f t="shared" si="915"/>
        <v>190</v>
      </c>
      <c r="CL146" s="72">
        <f t="shared" si="916"/>
        <v>226</v>
      </c>
      <c r="CM146" s="72">
        <f t="shared" si="917"/>
        <v>234</v>
      </c>
      <c r="CN146" s="72">
        <f t="shared" si="918"/>
        <v>261</v>
      </c>
      <c r="CO146" s="72">
        <f t="shared" si="919"/>
        <v>276</v>
      </c>
      <c r="CP146" s="72">
        <f t="shared" si="920"/>
        <v>318</v>
      </c>
      <c r="CQ146" s="72">
        <f t="shared" si="921"/>
        <v>354</v>
      </c>
      <c r="CR146" s="72">
        <f t="shared" si="922"/>
        <v>394</v>
      </c>
      <c r="CS146" s="72" t="str">
        <f t="shared" si="923"/>
        <v>-</v>
      </c>
      <c r="CT146" s="23" t="e">
        <f t="shared" si="924"/>
        <v>#VALUE!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897"/>
        <v>c5ar1_human_6C1R</v>
      </c>
      <c r="B147" s="3" t="s">
        <v>165</v>
      </c>
      <c r="C147" s="3" t="s">
        <v>1499</v>
      </c>
      <c r="D147" s="3" t="str">
        <f>IFERROR(MID(VLOOKUP($B147,Seqs!$A:$B,2,0),E147,1),"")</f>
        <v>M</v>
      </c>
      <c r="E147" s="3">
        <v>120</v>
      </c>
      <c r="F147" s="3" t="str">
        <f>IFERROR(MID(VLOOKUP($B147,Seqs!$A:$B,2,0),G147,1),"")</f>
        <v>G</v>
      </c>
      <c r="G147" s="3">
        <v>151</v>
      </c>
      <c r="H147" s="3" t="str">
        <f>IFERROR(MID(VLOOKUP($B147,Seqs!$A:$B,2,0),I147,1),"")</f>
        <v/>
      </c>
      <c r="I147" s="23" t="s">
        <v>23</v>
      </c>
      <c r="J147" s="3" t="str">
        <f>IFERROR(MID(VLOOKUP($B147,Seqs!$A:$B,2,0),K147,1),"")</f>
        <v/>
      </c>
      <c r="K147" s="23" t="s">
        <v>23</v>
      </c>
      <c r="L147" s="3" t="str">
        <f>IFERROR(MID(VLOOKUP($B147,Seqs!$A:$B,2,0),M147,1),"")</f>
        <v>I</v>
      </c>
      <c r="M147" s="3">
        <v>155</v>
      </c>
      <c r="N147" s="3" t="str">
        <f>IFERROR(MID(VLOOKUP($B147,Seqs!$A:$B,2,0),O147,1),"")</f>
        <v>K</v>
      </c>
      <c r="O147" s="3">
        <v>185</v>
      </c>
      <c r="P147" s="3" t="str">
        <f>IFERROR(MID(VLOOKUP($B147,Seqs!$A:$B,2,0),Q147,1),"")</f>
        <v>L</v>
      </c>
      <c r="Q147" s="3">
        <v>187</v>
      </c>
      <c r="R147" s="3" t="str">
        <f>IFERROR(MID(VLOOKUP($B147,Seqs!$A:$B,2,0),S147,1),"")</f>
        <v>V</v>
      </c>
      <c r="S147" s="3">
        <v>190</v>
      </c>
      <c r="T147" s="3" t="str">
        <f>IFERROR(MID(VLOOKUP($B147,Seqs!$A:$B,2,0),U147,1),"")</f>
        <v>D</v>
      </c>
      <c r="U147" s="3">
        <v>191</v>
      </c>
      <c r="V147" s="3" t="str">
        <f>IFERROR(MID(VLOOKUP($B147,Seqs!$A:$B,2,0),W147,1),"")</f>
        <v>L</v>
      </c>
      <c r="W147" s="3">
        <v>226</v>
      </c>
      <c r="X147" s="3" t="str">
        <f>IFERROR(MID(VLOOKUP($B147,Seqs!$A:$B,2,0),Y147,1),"")</f>
        <v>L</v>
      </c>
      <c r="Y147" s="3">
        <v>227</v>
      </c>
      <c r="Z147" s="3" t="str">
        <f>IFERROR(MID(VLOOKUP($B147,Seqs!$A:$B,2,0),AA147,1),"")</f>
        <v>A</v>
      </c>
      <c r="AA147" s="3">
        <v>234</v>
      </c>
      <c r="AB147" s="3" t="str">
        <f>IFERROR(MID(VLOOKUP($B147,Seqs!$A:$B,2,0),AC147,1),"")</f>
        <v>T</v>
      </c>
      <c r="AC147" s="3">
        <v>235</v>
      </c>
      <c r="AD147" s="3" t="str">
        <f>IFERROR(MID(VLOOKUP($B147,Seqs!$A:$B,2,0),AE147,1),"")</f>
        <v>T</v>
      </c>
      <c r="AE147" s="3">
        <v>261</v>
      </c>
      <c r="AF147" s="3" t="str">
        <f>IFERROR(MID(VLOOKUP($B147,Seqs!$A:$B,2,0),AG147,1),"")</f>
        <v>T</v>
      </c>
      <c r="AG147" s="3">
        <v>274</v>
      </c>
      <c r="AH147" s="3" t="str">
        <f>IFERROR(MID(VLOOKUP($B147,Seqs!$A:$B,2,0),AI147,1),"")</f>
        <v>L</v>
      </c>
      <c r="AI147" s="3">
        <v>276</v>
      </c>
      <c r="AJ147" s="3" t="str">
        <f>IFERROR(MID(VLOOKUP($B147,Seqs!$A:$B,2,0),AK147,1),"")</f>
        <v>L</v>
      </c>
      <c r="AK147" s="3">
        <v>281</v>
      </c>
      <c r="AL147" s="3" t="str">
        <f>IFERROR(MID(VLOOKUP($B147,Seqs!$A:$B,2,0),AM147,1),"")</f>
        <v>L</v>
      </c>
      <c r="AM147" s="3">
        <v>318</v>
      </c>
      <c r="AN147" s="3" t="str">
        <f>IFERROR(MID(VLOOKUP($B147,Seqs!$A:$B,2,0),AO147,1),"")</f>
        <v>L</v>
      </c>
      <c r="AO147" s="3">
        <v>323</v>
      </c>
      <c r="AP147" s="3" t="str">
        <f>IFERROR(MID(VLOOKUP($B147,Seqs!$A:$B,2,0),AQ147,1),"")</f>
        <v/>
      </c>
      <c r="AQ147" s="3">
        <v>354</v>
      </c>
      <c r="AR147" s="3" t="str">
        <f>IFERROR(MID(VLOOKUP($B147,Seqs!$A:$B,2,0),AS147,1),"")</f>
        <v/>
      </c>
      <c r="AS147" s="3">
        <v>358</v>
      </c>
      <c r="AT147" s="3" t="str">
        <f>IFERROR(MID(VLOOKUP($B147,Seqs!$A:$B,2,0),AU147,1),"")</f>
        <v/>
      </c>
      <c r="AU147" s="3">
        <v>394</v>
      </c>
      <c r="AV147" s="3" t="str">
        <f>IFERROR(MID(VLOOKUP($B147,Seqs!$A:$B,2,0),AW147,1),"")</f>
        <v/>
      </c>
      <c r="AW147" s="3" t="s">
        <v>23</v>
      </c>
      <c r="AX147" s="3" t="str">
        <f>IFERROR(MID(VLOOKUP($B147,Seqs!$A:$B,2,0),AY147,1),"")</f>
        <v/>
      </c>
      <c r="AY147" s="3" t="s">
        <v>23</v>
      </c>
      <c r="AZ147" s="77" t="str">
        <f>VLOOKUP(B147,Classification!A:D,2,0)</f>
        <v>A</v>
      </c>
      <c r="BA147" s="94" t="str">
        <f>VLOOKUP(B147,Classification!A:D,4,0)</f>
        <v>Complementpeptide</v>
      </c>
      <c r="BB147" s="27" t="b">
        <f t="shared" si="898"/>
        <v>1</v>
      </c>
      <c r="BC147" s="23">
        <f t="shared" si="899"/>
        <v>250</v>
      </c>
      <c r="BD147" s="2" t="s">
        <v>23</v>
      </c>
      <c r="BE147" s="3" t="s">
        <v>1374</v>
      </c>
      <c r="BF147" s="119">
        <v>2.2000000000000002</v>
      </c>
      <c r="BG147" s="49" t="s">
        <v>1281</v>
      </c>
      <c r="BH147" s="49" t="s">
        <v>1281</v>
      </c>
      <c r="BI147" s="1"/>
      <c r="BJ147" s="70" t="s">
        <v>1287</v>
      </c>
      <c r="BK147" s="57" t="s">
        <v>1287</v>
      </c>
      <c r="BL147" s="57" t="s">
        <v>1287</v>
      </c>
      <c r="BM147" s="57" t="s">
        <v>1287</v>
      </c>
      <c r="BN147" s="57" t="s">
        <v>1287</v>
      </c>
      <c r="BO147" s="57" t="s">
        <v>1287</v>
      </c>
      <c r="BP147" s="57" t="s">
        <v>1287</v>
      </c>
      <c r="BQ147" s="57" t="s">
        <v>1287</v>
      </c>
      <c r="BR147" s="57" t="s">
        <v>1287</v>
      </c>
      <c r="BS147" s="57" t="s">
        <v>1287</v>
      </c>
      <c r="BT147" s="57" t="s">
        <v>1287</v>
      </c>
      <c r="BU147" s="57" t="s">
        <v>1287</v>
      </c>
      <c r="BV147" s="70">
        <f t="shared" si="900"/>
        <v>120</v>
      </c>
      <c r="BW147" s="71" t="str">
        <f t="shared" si="901"/>
        <v>-</v>
      </c>
      <c r="BX147" s="72">
        <f t="shared" si="902"/>
        <v>155</v>
      </c>
      <c r="BY147" s="71">
        <f t="shared" si="903"/>
        <v>187</v>
      </c>
      <c r="BZ147" s="72">
        <f t="shared" si="904"/>
        <v>191</v>
      </c>
      <c r="CA147" s="71">
        <f t="shared" si="905"/>
        <v>227</v>
      </c>
      <c r="CB147" s="72">
        <f t="shared" si="906"/>
        <v>235</v>
      </c>
      <c r="CC147" s="71">
        <f t="shared" si="907"/>
        <v>274</v>
      </c>
      <c r="CD147" s="72">
        <f t="shared" si="908"/>
        <v>281</v>
      </c>
      <c r="CE147" s="71">
        <f t="shared" si="909"/>
        <v>323</v>
      </c>
      <c r="CF147" s="72">
        <f t="shared" si="910"/>
        <v>358</v>
      </c>
      <c r="CG147" s="71" t="str">
        <f t="shared" si="911"/>
        <v>-</v>
      </c>
      <c r="CH147" s="70">
        <f t="shared" si="912"/>
        <v>151</v>
      </c>
      <c r="CI147" s="71" t="str">
        <f t="shared" si="913"/>
        <v>-</v>
      </c>
      <c r="CJ147" s="72">
        <f t="shared" si="914"/>
        <v>185</v>
      </c>
      <c r="CK147" s="72">
        <f t="shared" si="915"/>
        <v>190</v>
      </c>
      <c r="CL147" s="72">
        <f t="shared" si="916"/>
        <v>226</v>
      </c>
      <c r="CM147" s="72">
        <f t="shared" si="917"/>
        <v>234</v>
      </c>
      <c r="CN147" s="72">
        <f t="shared" si="918"/>
        <v>261</v>
      </c>
      <c r="CO147" s="72">
        <f t="shared" si="919"/>
        <v>276</v>
      </c>
      <c r="CP147" s="72">
        <f t="shared" si="920"/>
        <v>318</v>
      </c>
      <c r="CQ147" s="72">
        <f t="shared" si="921"/>
        <v>354</v>
      </c>
      <c r="CR147" s="72">
        <f t="shared" si="922"/>
        <v>394</v>
      </c>
      <c r="CS147" s="72" t="str">
        <f t="shared" si="923"/>
        <v>-</v>
      </c>
      <c r="CT147" s="23" t="e">
        <f t="shared" si="924"/>
        <v>#VALUE!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30" x14ac:dyDescent="0.2">
      <c r="A148" s="3" t="str">
        <f t="shared" si="867"/>
        <v>ccr2_human__wt</v>
      </c>
      <c r="B148" s="3" t="s">
        <v>170</v>
      </c>
      <c r="C148" s="3" t="s">
        <v>100</v>
      </c>
      <c r="D148" s="3" t="str">
        <f>IFERROR(MID(VLOOKUP($B148,Seqs!$A:$B,2,0),E148,1),"")</f>
        <v>V</v>
      </c>
      <c r="E148" s="3">
        <v>37</v>
      </c>
      <c r="F148" s="3" t="str">
        <f>IFERROR(MID(VLOOKUP($B148,Seqs!$A:$B,2,0),G148,1),"")</f>
        <v>C</v>
      </c>
      <c r="G148" s="3">
        <v>70</v>
      </c>
      <c r="H148" s="3" t="str">
        <f>IFERROR(MID(VLOOKUP($B148,Seqs!$A:$B,2,0),I148,1),"")</f>
        <v>K</v>
      </c>
      <c r="I148" s="23">
        <v>71</v>
      </c>
      <c r="J148" s="3" t="str">
        <f>IFERROR(MID(VLOOKUP($B148,Seqs!$A:$B,2,0),K148,1),"")</f>
        <v>K</v>
      </c>
      <c r="K148" s="23">
        <v>74</v>
      </c>
      <c r="L148" s="3" t="str">
        <f>IFERROR(MID(VLOOKUP($B148,Seqs!$A:$B,2,0),M148,1),"")</f>
        <v>C</v>
      </c>
      <c r="M148" s="3">
        <v>75</v>
      </c>
      <c r="N148" s="3" t="str">
        <f>IFERROR(MID(VLOOKUP($B148,Seqs!$A:$B,2,0),O148,1),"")</f>
        <v>N</v>
      </c>
      <c r="O148" s="3">
        <v>104</v>
      </c>
      <c r="P148" s="3" t="str">
        <f>IFERROR(MID(VLOOKUP($B148,Seqs!$A:$B,2,0),Q148,1),"")</f>
        <v>E</v>
      </c>
      <c r="Q148" s="3">
        <v>105</v>
      </c>
      <c r="R148" s="3" t="str">
        <f>IFERROR(MID(VLOOKUP($B148,Seqs!$A:$B,2,0),S148,1),"")</f>
        <v>F</v>
      </c>
      <c r="S148" s="3">
        <v>108</v>
      </c>
      <c r="T148" s="3" t="str">
        <f>IFERROR(MID(VLOOKUP($B148,Seqs!$A:$B,2,0),U148,1),"")</f>
        <v>G</v>
      </c>
      <c r="U148" s="3">
        <v>109</v>
      </c>
      <c r="V148" s="3" t="str">
        <f>IFERROR(MID(VLOOKUP($B148,Seqs!$A:$B,2,0),W148,1),"")</f>
        <v>H</v>
      </c>
      <c r="W148" s="3">
        <v>144</v>
      </c>
      <c r="X148" s="3" t="str">
        <f>IFERROR(MID(VLOOKUP($B148,Seqs!$A:$B,2,0),Y148,1),"")</f>
        <v>A</v>
      </c>
      <c r="Y148" s="3">
        <v>145</v>
      </c>
      <c r="Z148" s="3" t="str">
        <f>IFERROR(MID(VLOOKUP($B148,Seqs!$A:$B,2,0),AA148,1),"")</f>
        <v>R</v>
      </c>
      <c r="AA148" s="3">
        <v>152</v>
      </c>
      <c r="AB148" s="3" t="str">
        <f>IFERROR(MID(VLOOKUP($B148,Seqs!$A:$B,2,0),AC148,1),"")</f>
        <v>T</v>
      </c>
      <c r="AC148" s="9">
        <v>153</v>
      </c>
      <c r="AD148" s="3" t="str">
        <f>IFERROR(MID(VLOOKUP($B148,Seqs!$A:$B,2,0),AE148,1),"")</f>
        <v>T</v>
      </c>
      <c r="AE148" s="3">
        <v>179</v>
      </c>
      <c r="AF148" s="3" t="str">
        <f>IFERROR(MID(VLOOKUP($B148,Seqs!$A:$B,2,0),AG148,1),"")</f>
        <v>C</v>
      </c>
      <c r="AG148" s="3">
        <v>190</v>
      </c>
      <c r="AH148" s="3" t="str">
        <f>IFERROR(MID(VLOOKUP($B148,Seqs!$A:$B,2,0),AI148,1),"")</f>
        <v>P</v>
      </c>
      <c r="AI148" s="3">
        <v>192</v>
      </c>
      <c r="AJ148" s="3" t="str">
        <f>IFERROR(MID(VLOOKUP($B148,Seqs!$A:$B,2,0),AK148,1),"")</f>
        <v>P</v>
      </c>
      <c r="AK148" s="3">
        <v>195</v>
      </c>
      <c r="AL148" s="3" t="str">
        <f>IFERROR(MID(VLOOKUP($B148,Seqs!$A:$B,2,0),AM148,1),"")</f>
        <v>C</v>
      </c>
      <c r="AM148" s="3">
        <v>232</v>
      </c>
      <c r="AN148" s="3" t="str">
        <f>IFERROR(MID(VLOOKUP($B148,Seqs!$A:$B,2,0),AO148,1),"")</f>
        <v>K</v>
      </c>
      <c r="AO148" s="3">
        <v>236</v>
      </c>
      <c r="AP148" s="3" t="str">
        <f>IFERROR(MID(VLOOKUP($B148,Seqs!$A:$B,2,0),AQ148,1),"")</f>
        <v>G</v>
      </c>
      <c r="AQ148" s="3">
        <v>273</v>
      </c>
      <c r="AR148" s="3" t="str">
        <f>IFERROR(MID(VLOOKUP($B148,Seqs!$A:$B,2,0),AS148,1),"")</f>
        <v>E</v>
      </c>
      <c r="AS148" s="3">
        <v>278</v>
      </c>
      <c r="AT148" s="3" t="str">
        <f>IFERROR(MID(VLOOKUP($B148,Seqs!$A:$B,2,0),AU148,1),"")</f>
        <v>V</v>
      </c>
      <c r="AU148" s="3">
        <v>308</v>
      </c>
      <c r="AV148" s="3" t="str">
        <f>IFERROR(MID(VLOOKUP($B148,Seqs!$A:$B,2,0),AW148,1),"")</f>
        <v>G</v>
      </c>
      <c r="AW148" s="3">
        <v>309</v>
      </c>
      <c r="AX148" s="3" t="str">
        <f>IFERROR(MID(VLOOKUP($B148,Seqs!$A:$B,2,0),AY148,1),"")</f>
        <v>L</v>
      </c>
      <c r="AY148" s="3">
        <v>320</v>
      </c>
      <c r="AZ148" s="77" t="str">
        <f>VLOOKUP(B148,Classification!A:D,2,0)</f>
        <v>A</v>
      </c>
      <c r="BA148" s="94" t="str">
        <f>VLOOKUP(B148,Classification!A:D,4,0)</f>
        <v>Chemokine</v>
      </c>
      <c r="BB148" s="27" t="b">
        <f t="shared" si="868"/>
        <v>1</v>
      </c>
      <c r="BC148" s="23">
        <f t="shared" si="645"/>
        <v>265</v>
      </c>
      <c r="BD148" s="2" t="s">
        <v>23</v>
      </c>
      <c r="BE148" s="3" t="s">
        <v>23</v>
      </c>
      <c r="BF148" s="119" t="s">
        <v>23</v>
      </c>
      <c r="BG148" s="49" t="s">
        <v>1372</v>
      </c>
      <c r="BH148" s="49" t="s">
        <v>1377</v>
      </c>
      <c r="BI148" s="1"/>
      <c r="BJ148" s="70" t="s">
        <v>1287</v>
      </c>
      <c r="BK148" s="57" t="s">
        <v>1287</v>
      </c>
      <c r="BL148" s="57" t="s">
        <v>1287</v>
      </c>
      <c r="BM148" s="57" t="s">
        <v>1287</v>
      </c>
      <c r="BN148" s="57" t="s">
        <v>1287</v>
      </c>
      <c r="BO148" s="57" t="s">
        <v>1287</v>
      </c>
      <c r="BP148" s="57" t="s">
        <v>1287</v>
      </c>
      <c r="BQ148" s="57" t="s">
        <v>1287</v>
      </c>
      <c r="BR148" s="57" t="s">
        <v>1287</v>
      </c>
      <c r="BS148" s="57" t="s">
        <v>1287</v>
      </c>
      <c r="BT148" s="57" t="s">
        <v>1287</v>
      </c>
      <c r="BU148" s="57" t="s">
        <v>1287</v>
      </c>
      <c r="BV148" s="70">
        <f t="shared" si="646"/>
        <v>37</v>
      </c>
      <c r="BW148" s="71">
        <f t="shared" si="647"/>
        <v>71</v>
      </c>
      <c r="BX148" s="72">
        <f t="shared" si="648"/>
        <v>75</v>
      </c>
      <c r="BY148" s="71">
        <f t="shared" si="649"/>
        <v>105</v>
      </c>
      <c r="BZ148" s="72">
        <f t="shared" si="650"/>
        <v>109</v>
      </c>
      <c r="CA148" s="71">
        <f t="shared" si="651"/>
        <v>145</v>
      </c>
      <c r="CB148" s="72">
        <f t="shared" si="652"/>
        <v>153</v>
      </c>
      <c r="CC148" s="71">
        <f t="shared" si="653"/>
        <v>190</v>
      </c>
      <c r="CD148" s="72">
        <f t="shared" si="654"/>
        <v>195</v>
      </c>
      <c r="CE148" s="71">
        <f t="shared" si="655"/>
        <v>236</v>
      </c>
      <c r="CF148" s="72">
        <f t="shared" si="656"/>
        <v>278</v>
      </c>
      <c r="CG148" s="71">
        <f t="shared" si="657"/>
        <v>309</v>
      </c>
      <c r="CH148" s="70">
        <f t="shared" si="658"/>
        <v>70</v>
      </c>
      <c r="CI148" s="71">
        <f t="shared" si="659"/>
        <v>74</v>
      </c>
      <c r="CJ148" s="72">
        <f t="shared" si="660"/>
        <v>104</v>
      </c>
      <c r="CK148" s="72">
        <f t="shared" si="661"/>
        <v>108</v>
      </c>
      <c r="CL148" s="72">
        <f t="shared" si="662"/>
        <v>144</v>
      </c>
      <c r="CM148" s="72">
        <f t="shared" si="663"/>
        <v>152</v>
      </c>
      <c r="CN148" s="72">
        <f t="shared" si="664"/>
        <v>179</v>
      </c>
      <c r="CO148" s="72">
        <f t="shared" si="665"/>
        <v>192</v>
      </c>
      <c r="CP148" s="72">
        <f t="shared" si="666"/>
        <v>232</v>
      </c>
      <c r="CQ148" s="72">
        <f t="shared" si="667"/>
        <v>273</v>
      </c>
      <c r="CR148" s="72">
        <f t="shared" si="668"/>
        <v>308</v>
      </c>
      <c r="CS148" s="72">
        <f t="shared" si="669"/>
        <v>320</v>
      </c>
      <c r="CT148" s="23">
        <f t="shared" si="670"/>
        <v>1</v>
      </c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6"/>
      <c r="KT148" s="6"/>
      <c r="KU148" s="6"/>
      <c r="KV148" s="6"/>
      <c r="KW148" s="6"/>
      <c r="KX148" s="6"/>
      <c r="KY148" s="6"/>
      <c r="KZ148" s="6"/>
      <c r="LA148" s="6"/>
      <c r="LB148" s="6"/>
      <c r="LC148" s="6"/>
      <c r="LD148" s="6"/>
      <c r="LE148" s="6"/>
      <c r="LF148" s="6"/>
      <c r="LG148" s="6"/>
      <c r="LH148" s="6"/>
      <c r="LI148" s="6"/>
      <c r="LJ148" s="6"/>
      <c r="LK148" s="6"/>
      <c r="LL148" s="6"/>
      <c r="LM148" s="6"/>
      <c r="LN148" s="6"/>
      <c r="LO148" s="6"/>
      <c r="LP148" s="6"/>
      <c r="LQ148" s="6"/>
      <c r="LR148" s="6"/>
      <c r="LS148" s="6"/>
      <c r="LT148" s="6"/>
      <c r="LU148" s="6"/>
      <c r="LV148" s="6"/>
      <c r="LW148" s="6"/>
      <c r="LX148" s="6"/>
      <c r="LY148" s="6"/>
      <c r="LZ148" s="6"/>
      <c r="MA148" s="6"/>
      <c r="MB148" s="6"/>
      <c r="MC148" s="6"/>
      <c r="MD148" s="6"/>
      <c r="ME148" s="6"/>
      <c r="MF148" s="6"/>
      <c r="MG148" s="6"/>
      <c r="MH148" s="6"/>
      <c r="MI148" s="6"/>
      <c r="MJ148" s="6"/>
      <c r="MK148" s="6"/>
      <c r="ML148" s="6"/>
      <c r="MM148" s="6"/>
      <c r="MN148" s="6"/>
      <c r="MO148" s="6"/>
      <c r="MP148" s="6"/>
      <c r="MQ148" s="6"/>
      <c r="MR148" s="6"/>
      <c r="MS148" s="6"/>
      <c r="MT148" s="6"/>
      <c r="MU148" s="6"/>
      <c r="MV148" s="6"/>
      <c r="MW148" s="6"/>
      <c r="MX148" s="6"/>
      <c r="MY148" s="6"/>
      <c r="MZ148" s="6"/>
      <c r="NA148" s="6"/>
      <c r="NB148" s="6"/>
      <c r="NC148" s="6"/>
      <c r="ND148" s="6"/>
      <c r="NE148" s="6"/>
      <c r="NF148" s="6"/>
      <c r="NG148" s="6"/>
      <c r="NH148" s="6"/>
      <c r="NI148" s="6"/>
      <c r="NJ148" s="6"/>
      <c r="NK148" s="6"/>
      <c r="NL148" s="6"/>
      <c r="NM148" s="6"/>
      <c r="NN148" s="6"/>
      <c r="NO148" s="6"/>
      <c r="NP148" s="6"/>
      <c r="NQ148" s="6"/>
      <c r="NR148" s="6"/>
      <c r="NS148" s="6"/>
      <c r="NT148" s="6"/>
      <c r="NU148" s="6"/>
      <c r="NV148" s="6"/>
      <c r="NW148" s="6"/>
      <c r="NX148" s="6"/>
      <c r="NY148" s="6"/>
      <c r="NZ148" s="6"/>
      <c r="OA148" s="6"/>
      <c r="OB148" s="6"/>
      <c r="OC148" s="6"/>
      <c r="OD148" s="6"/>
      <c r="OE148" s="6"/>
      <c r="OF148" s="6"/>
      <c r="OG148" s="6"/>
      <c r="OH148" s="6"/>
      <c r="OI148" s="6"/>
      <c r="OJ148" s="6"/>
      <c r="OK148" s="6"/>
      <c r="OL148" s="6"/>
      <c r="OM148" s="6"/>
      <c r="ON148" s="6"/>
      <c r="OO148" s="6"/>
      <c r="OP148" s="6"/>
      <c r="OQ148" s="6"/>
      <c r="OR148" s="6"/>
      <c r="OS148" s="6"/>
      <c r="OT148" s="6"/>
      <c r="OU148" s="6"/>
      <c r="OV148" s="6"/>
      <c r="OW148" s="6"/>
      <c r="OX148" s="6"/>
      <c r="OY148" s="6"/>
      <c r="OZ148" s="6"/>
      <c r="PA148" s="6"/>
      <c r="PB148" s="6"/>
      <c r="PC148" s="6"/>
      <c r="PD148" s="6"/>
      <c r="PE148" s="6"/>
      <c r="PF148" s="6"/>
      <c r="PG148" s="6"/>
      <c r="PH148" s="6"/>
      <c r="PI148" s="6"/>
      <c r="PJ148" s="6"/>
      <c r="PK148" s="6"/>
      <c r="PL148" s="6"/>
      <c r="PM148" s="6"/>
      <c r="PN148" s="6"/>
      <c r="PO148" s="6"/>
      <c r="PP148" s="6"/>
      <c r="PQ148" s="6"/>
      <c r="PR148" s="6"/>
      <c r="PS148" s="6"/>
      <c r="PT148" s="6"/>
      <c r="PU148" s="6"/>
      <c r="PV148" s="6"/>
      <c r="PW148" s="6"/>
      <c r="PX148" s="6"/>
      <c r="PY148" s="6"/>
      <c r="PZ148" s="6"/>
      <c r="QA148" s="6"/>
      <c r="QB148" s="6"/>
      <c r="QC148" s="6"/>
      <c r="QD148" s="6"/>
      <c r="QE148" s="6"/>
      <c r="QF148" s="6"/>
      <c r="QG148" s="6"/>
      <c r="QH148" s="6"/>
      <c r="QI148" s="6"/>
      <c r="QJ148" s="6"/>
      <c r="QK148" s="6"/>
      <c r="QL148" s="6"/>
      <c r="QM148" s="6"/>
      <c r="QN148" s="6"/>
      <c r="QO148" s="6"/>
      <c r="QP148" s="6"/>
      <c r="QQ148" s="6"/>
      <c r="QR148" s="6"/>
      <c r="QS148" s="6"/>
      <c r="QT148" s="6"/>
      <c r="QU148" s="6"/>
      <c r="QV148" s="6"/>
      <c r="QW148" s="6"/>
      <c r="QX148" s="6"/>
      <c r="QY148" s="6"/>
      <c r="QZ148" s="6"/>
      <c r="RA148" s="6"/>
      <c r="RB148" s="6"/>
      <c r="RC148" s="6"/>
      <c r="RD148" s="6"/>
      <c r="RE148" s="6"/>
      <c r="RF148" s="6"/>
      <c r="RG148" s="6"/>
      <c r="RH148" s="6"/>
      <c r="RI148" s="6"/>
      <c r="RJ148" s="6"/>
      <c r="RK148" s="6"/>
      <c r="RL148" s="6"/>
      <c r="RM148" s="6"/>
      <c r="RN148" s="6"/>
      <c r="RO148" s="6"/>
      <c r="RP148" s="6"/>
      <c r="RQ148" s="6"/>
      <c r="RR148" s="6"/>
      <c r="RS148" s="6"/>
      <c r="RT148" s="6"/>
      <c r="RU148" s="6"/>
      <c r="RV148" s="6"/>
      <c r="RW148" s="6"/>
      <c r="RX148" s="6"/>
      <c r="RY148" s="6"/>
      <c r="RZ148" s="6"/>
      <c r="SA148" s="6"/>
      <c r="SB148" s="6"/>
      <c r="SC148" s="6"/>
      <c r="SD148" s="6"/>
      <c r="SE148" s="6"/>
      <c r="SF148" s="6"/>
      <c r="SG148" s="6"/>
      <c r="SH148" s="6"/>
      <c r="SI148" s="6"/>
      <c r="SJ148" s="6"/>
      <c r="SK148" s="6"/>
      <c r="SL148" s="6"/>
      <c r="SM148" s="6"/>
      <c r="SN148" s="6"/>
      <c r="SO148" s="6"/>
      <c r="SP148" s="6"/>
      <c r="SQ148" s="6"/>
      <c r="SR148" s="6"/>
      <c r="SS148" s="6"/>
      <c r="ST148" s="6"/>
      <c r="SU148" s="6"/>
      <c r="SV148" s="6"/>
      <c r="SW148" s="6"/>
      <c r="SX148" s="6"/>
      <c r="SY148" s="6"/>
      <c r="SZ148" s="6"/>
      <c r="TA148" s="6"/>
      <c r="TB148" s="6"/>
      <c r="TC148" s="6"/>
      <c r="TD148" s="6"/>
      <c r="TE148" s="6"/>
      <c r="TF148" s="6"/>
      <c r="TG148" s="6"/>
      <c r="TH148" s="6"/>
      <c r="TI148" s="6"/>
      <c r="TJ148" s="6"/>
      <c r="TK148" s="6"/>
      <c r="TL148" s="6"/>
      <c r="TM148" s="6"/>
      <c r="TN148" s="6"/>
      <c r="TO148" s="6"/>
      <c r="TP148" s="6"/>
      <c r="TQ148" s="6"/>
      <c r="TR148" s="6"/>
      <c r="TS148" s="6"/>
      <c r="TT148" s="6"/>
      <c r="TU148" s="6"/>
      <c r="TV148" s="6"/>
      <c r="TW148" s="6"/>
      <c r="TX148" s="6"/>
      <c r="TY148" s="6"/>
      <c r="TZ148" s="6"/>
      <c r="UA148" s="6"/>
      <c r="UB148" s="6"/>
      <c r="UC148" s="6"/>
      <c r="UD148" s="6"/>
      <c r="UE148" s="6"/>
      <c r="UF148" s="6"/>
      <c r="UG148" s="6"/>
      <c r="UH148" s="6"/>
      <c r="UI148" s="6"/>
      <c r="UJ148" s="6"/>
      <c r="UK148" s="6"/>
      <c r="UL148" s="6"/>
      <c r="UM148" s="6"/>
      <c r="UN148" s="6"/>
      <c r="UO148" s="6"/>
      <c r="UP148" s="6"/>
      <c r="UQ148" s="6"/>
      <c r="UR148" s="6"/>
      <c r="US148" s="6"/>
      <c r="UT148" s="6"/>
      <c r="UU148" s="6"/>
      <c r="UV148" s="6"/>
      <c r="UW148" s="6"/>
      <c r="UX148" s="6"/>
      <c r="UY148" s="6"/>
      <c r="UZ148" s="6"/>
      <c r="VA148" s="6"/>
      <c r="VB148" s="6"/>
      <c r="VC148" s="6"/>
      <c r="VD148" s="6"/>
      <c r="VE148" s="6"/>
      <c r="VF148" s="6"/>
      <c r="VG148" s="6"/>
      <c r="VH148" s="6"/>
      <c r="VI148" s="6"/>
      <c r="VJ148" s="6"/>
      <c r="VK148" s="6"/>
      <c r="VL148" s="6"/>
      <c r="VM148" s="6"/>
      <c r="VN148" s="6"/>
      <c r="VO148" s="6"/>
      <c r="VP148" s="6"/>
      <c r="VQ148" s="6"/>
      <c r="VR148" s="6"/>
      <c r="VS148" s="6"/>
      <c r="VT148" s="6"/>
      <c r="VU148" s="6"/>
      <c r="VV148" s="6"/>
      <c r="VW148" s="6"/>
      <c r="VX148" s="6"/>
      <c r="VY148" s="6"/>
      <c r="VZ148" s="6"/>
      <c r="WA148" s="6"/>
      <c r="WB148" s="6"/>
      <c r="WC148" s="6"/>
      <c r="WD148" s="6"/>
      <c r="WE148" s="6"/>
      <c r="WF148" s="6"/>
      <c r="WG148" s="6"/>
      <c r="WH148" s="6"/>
      <c r="WI148" s="6"/>
      <c r="WJ148" s="6"/>
      <c r="WK148" s="6"/>
      <c r="WL148" s="6"/>
      <c r="WM148" s="6"/>
      <c r="WN148" s="6"/>
      <c r="WO148" s="6"/>
      <c r="WP148" s="6"/>
      <c r="WQ148" s="6"/>
      <c r="WR148" s="6"/>
      <c r="WS148" s="6"/>
      <c r="WT148" s="6"/>
      <c r="WU148" s="6"/>
      <c r="WV148" s="6"/>
      <c r="WW148" s="6"/>
      <c r="WX148" s="6"/>
      <c r="WY148" s="6"/>
      <c r="WZ148" s="6"/>
      <c r="XA148" s="6"/>
      <c r="XB148" s="6"/>
      <c r="XC148" s="6"/>
      <c r="XD148" s="6"/>
      <c r="XE148" s="6"/>
      <c r="XF148" s="6"/>
      <c r="XG148" s="6"/>
      <c r="XH148" s="6"/>
      <c r="XI148" s="6"/>
      <c r="XJ148" s="6"/>
      <c r="XK148" s="6"/>
      <c r="XL148" s="6"/>
      <c r="XM148" s="6"/>
      <c r="XN148" s="6"/>
      <c r="XO148" s="6"/>
      <c r="XP148" s="6"/>
      <c r="XQ148" s="6"/>
      <c r="XR148" s="6"/>
      <c r="XS148" s="6"/>
      <c r="XT148" s="6"/>
      <c r="XU148" s="6"/>
      <c r="XV148" s="6"/>
      <c r="XW148" s="6"/>
      <c r="XX148" s="6"/>
      <c r="XY148" s="6"/>
      <c r="XZ148" s="6"/>
      <c r="YA148" s="6"/>
      <c r="YB148" s="6"/>
      <c r="YC148" s="6"/>
      <c r="YD148" s="6"/>
      <c r="YE148" s="6"/>
      <c r="YF148" s="6"/>
      <c r="YG148" s="6"/>
      <c r="YH148" s="6"/>
      <c r="YI148" s="6"/>
      <c r="YJ148" s="6"/>
      <c r="YK148" s="6"/>
      <c r="YL148" s="6"/>
      <c r="YM148" s="6"/>
      <c r="YN148" s="6"/>
      <c r="YO148" s="6"/>
      <c r="YP148" s="6"/>
      <c r="YQ148" s="6"/>
      <c r="YR148" s="6"/>
      <c r="YS148" s="6"/>
      <c r="YT148" s="6"/>
      <c r="YU148" s="6"/>
      <c r="YV148" s="6"/>
      <c r="YW148" s="6"/>
      <c r="YX148" s="6"/>
      <c r="YY148" s="6"/>
      <c r="YZ148" s="6"/>
      <c r="ZA148" s="6"/>
      <c r="ZB148" s="6"/>
      <c r="ZC148" s="6"/>
      <c r="ZD148" s="6"/>
      <c r="ZE148" s="6"/>
      <c r="ZF148" s="6"/>
      <c r="ZG148" s="6"/>
      <c r="ZH148" s="6"/>
      <c r="ZI148" s="6"/>
      <c r="ZJ148" s="6"/>
      <c r="ZK148" s="6"/>
      <c r="ZL148" s="6"/>
      <c r="ZM148" s="6"/>
      <c r="ZN148" s="6"/>
      <c r="ZO148" s="6"/>
      <c r="ZP148" s="6"/>
      <c r="ZQ148" s="6"/>
      <c r="ZR148" s="6"/>
      <c r="ZS148" s="6"/>
      <c r="ZT148" s="6"/>
      <c r="ZU148" s="6"/>
      <c r="ZV148" s="6"/>
      <c r="ZW148" s="6"/>
      <c r="ZX148" s="6"/>
      <c r="ZY148" s="6"/>
      <c r="ZZ148" s="6"/>
      <c r="AAA148" s="6"/>
      <c r="AAB148" s="6"/>
      <c r="AAC148" s="6"/>
      <c r="AAD148" s="6"/>
      <c r="AAE148" s="6"/>
      <c r="AAF148" s="6"/>
      <c r="AAG148" s="6"/>
      <c r="AAH148" s="6"/>
      <c r="AAI148" s="6"/>
      <c r="AAJ148" s="6"/>
      <c r="AAK148" s="6"/>
      <c r="AAL148" s="6"/>
      <c r="AAM148" s="6"/>
      <c r="AAN148" s="6"/>
      <c r="AAO148" s="6"/>
      <c r="AAP148" s="6"/>
      <c r="AAQ148" s="6"/>
      <c r="AAR148" s="6"/>
      <c r="AAS148" s="6"/>
      <c r="AAT148" s="6"/>
      <c r="AAU148" s="6"/>
      <c r="AAV148" s="6"/>
      <c r="AAW148" s="6"/>
      <c r="AAX148" s="6"/>
      <c r="AAY148" s="6"/>
      <c r="AAZ148" s="6"/>
      <c r="ABA148" s="6"/>
      <c r="ABB148" s="6"/>
      <c r="ABC148" s="6"/>
      <c r="ABD148" s="6"/>
      <c r="ABE148" s="6"/>
      <c r="ABF148" s="6"/>
      <c r="ABG148" s="6"/>
      <c r="ABH148" s="6"/>
      <c r="ABI148" s="6"/>
      <c r="ABJ148" s="6"/>
      <c r="ABK148" s="6"/>
      <c r="ABL148" s="6"/>
      <c r="ABM148" s="6"/>
      <c r="ABN148" s="6"/>
      <c r="ABO148" s="6"/>
      <c r="ABP148" s="6"/>
      <c r="ABQ148" s="6"/>
      <c r="ABR148" s="6"/>
      <c r="ABS148" s="6"/>
      <c r="ABT148" s="6"/>
      <c r="ABU148" s="6"/>
      <c r="ABV148" s="6"/>
      <c r="ABW148" s="6"/>
      <c r="ABX148" s="6"/>
      <c r="ABY148" s="6"/>
      <c r="ABZ148" s="6"/>
      <c r="ACA148" s="6"/>
      <c r="ACB148" s="6"/>
      <c r="ACC148" s="6"/>
      <c r="ACD148" s="6"/>
      <c r="ACE148" s="6"/>
      <c r="ACF148" s="6"/>
      <c r="ACG148" s="6"/>
      <c r="ACH148" s="6"/>
      <c r="ACI148" s="6"/>
      <c r="ACJ148" s="6"/>
      <c r="ACK148" s="6"/>
      <c r="ACL148" s="6"/>
      <c r="ACM148" s="6"/>
      <c r="ACN148" s="6"/>
      <c r="ACO148" s="6"/>
      <c r="ACP148" s="6"/>
      <c r="ACQ148" s="6"/>
      <c r="ACR148" s="6"/>
      <c r="ACS148" s="6"/>
      <c r="ACT148" s="6"/>
      <c r="ACU148" s="6"/>
      <c r="ACV148" s="6"/>
      <c r="ACW148" s="6"/>
      <c r="ACX148" s="6"/>
      <c r="ACY148" s="6"/>
      <c r="ACZ148" s="6"/>
      <c r="ADA148" s="6"/>
      <c r="ADB148" s="6"/>
      <c r="ADC148" s="6"/>
      <c r="ADD148" s="6"/>
      <c r="ADE148" s="6"/>
      <c r="ADF148" s="6"/>
      <c r="ADG148" s="6"/>
      <c r="ADH148" s="6"/>
      <c r="ADI148" s="6"/>
      <c r="ADJ148" s="6"/>
      <c r="ADK148" s="6"/>
      <c r="ADL148" s="6"/>
      <c r="ADM148" s="6"/>
      <c r="ADN148" s="6"/>
      <c r="ADO148" s="6"/>
      <c r="ADP148" s="6"/>
      <c r="ADQ148" s="6"/>
      <c r="ADR148" s="6"/>
      <c r="ADS148" s="6"/>
      <c r="ADT148" s="6"/>
      <c r="ADU148" s="6"/>
      <c r="ADV148" s="6"/>
      <c r="ADW148" s="6"/>
      <c r="ADX148" s="6"/>
      <c r="ADY148" s="6"/>
      <c r="ADZ148" s="6"/>
      <c r="AEA148" s="6"/>
      <c r="AEB148" s="6"/>
      <c r="AEC148" s="6"/>
      <c r="AED148" s="6"/>
      <c r="AEE148" s="6"/>
      <c r="AEF148" s="6"/>
      <c r="AEG148" s="6"/>
      <c r="AEH148" s="6"/>
      <c r="AEI148" s="6"/>
      <c r="AEJ148" s="6"/>
      <c r="AEK148" s="6"/>
      <c r="AEL148" s="6"/>
      <c r="AEM148" s="6"/>
      <c r="AEN148" s="6"/>
      <c r="AEO148" s="6"/>
      <c r="AEP148" s="6"/>
      <c r="AEQ148" s="6"/>
      <c r="AER148" s="6"/>
      <c r="AES148" s="6"/>
      <c r="AET148" s="6"/>
      <c r="AEU148" s="6"/>
      <c r="AEV148" s="6"/>
      <c r="AEW148" s="6"/>
      <c r="AEX148" s="6"/>
      <c r="AEY148" s="6"/>
      <c r="AEZ148" s="6"/>
      <c r="AFA148" s="6"/>
      <c r="AFB148" s="6"/>
      <c r="AFC148" s="6"/>
      <c r="AFD148" s="6"/>
      <c r="AFE148" s="6"/>
      <c r="AFF148" s="6"/>
      <c r="AFG148" s="6"/>
      <c r="AFH148" s="6"/>
      <c r="AFI148" s="6"/>
      <c r="AFJ148" s="6"/>
      <c r="AFK148" s="6"/>
      <c r="AFL148" s="6"/>
      <c r="AFM148" s="6"/>
      <c r="AFN148" s="6"/>
      <c r="AFO148" s="6"/>
      <c r="AFP148" s="6"/>
      <c r="AFQ148" s="6"/>
      <c r="AFR148" s="6"/>
      <c r="AFS148" s="6"/>
      <c r="AFT148" s="6"/>
      <c r="AFU148" s="6"/>
      <c r="AFV148" s="6"/>
      <c r="AFW148" s="6"/>
      <c r="AFX148" s="6"/>
      <c r="AFY148" s="6"/>
      <c r="AFZ148" s="6"/>
      <c r="AGA148" s="6"/>
      <c r="AGB148" s="6"/>
      <c r="AGC148" s="6"/>
      <c r="AGD148" s="6"/>
      <c r="AGE148" s="6"/>
      <c r="AGF148" s="6"/>
      <c r="AGG148" s="6"/>
      <c r="AGH148" s="6"/>
      <c r="AGI148" s="6"/>
      <c r="AGJ148" s="6"/>
      <c r="AGK148" s="6"/>
      <c r="AGL148" s="6"/>
      <c r="AGM148" s="6"/>
      <c r="AGN148" s="6"/>
      <c r="AGO148" s="6"/>
      <c r="AGP148" s="6"/>
      <c r="AGQ148" s="6"/>
      <c r="AGR148" s="6"/>
      <c r="AGS148" s="6"/>
      <c r="AGT148" s="6"/>
      <c r="AGU148" s="6"/>
      <c r="AGV148" s="6"/>
      <c r="AGW148" s="6"/>
      <c r="AGX148" s="6"/>
      <c r="AGY148" s="6"/>
      <c r="AGZ148" s="6"/>
      <c r="AHA148" s="6"/>
      <c r="AHB148" s="6"/>
      <c r="AHC148" s="6"/>
      <c r="AHD148" s="6"/>
      <c r="AHE148" s="6"/>
      <c r="AHF148" s="6"/>
      <c r="AHG148" s="6"/>
      <c r="AHH148" s="6"/>
      <c r="AHI148" s="6"/>
      <c r="AHJ148" s="6"/>
      <c r="AHK148" s="6"/>
      <c r="AHL148" s="6"/>
      <c r="AHM148" s="6"/>
      <c r="AHN148" s="6"/>
      <c r="AHO148" s="6"/>
      <c r="AHP148" s="6"/>
      <c r="AHQ148" s="6"/>
      <c r="AHR148" s="6"/>
      <c r="AHS148" s="6"/>
      <c r="AHT148" s="6"/>
      <c r="AHU148" s="6"/>
      <c r="AHV148" s="6"/>
      <c r="AHW148" s="6"/>
      <c r="AHX148" s="6"/>
      <c r="AHY148" s="6"/>
      <c r="AHZ148" s="6"/>
      <c r="AIA148" s="6"/>
      <c r="AIB148" s="6"/>
      <c r="AIC148" s="6"/>
      <c r="AID148" s="6"/>
      <c r="AIE148" s="6"/>
      <c r="AIF148" s="6"/>
      <c r="AIG148" s="6"/>
      <c r="AIH148" s="6"/>
      <c r="AII148" s="6"/>
      <c r="AIJ148" s="6"/>
      <c r="AIK148" s="6"/>
      <c r="AIL148" s="6"/>
      <c r="AIM148" s="6"/>
      <c r="AIN148" s="6"/>
      <c r="AIO148" s="6"/>
      <c r="AIP148" s="6"/>
      <c r="AIQ148" s="6"/>
      <c r="AIR148" s="6"/>
      <c r="AIS148" s="6"/>
      <c r="AIT148" s="6"/>
      <c r="AIU148" s="6"/>
      <c r="AIV148" s="6"/>
      <c r="AIW148" s="6"/>
      <c r="AIX148" s="6"/>
      <c r="AIY148" s="6"/>
      <c r="AIZ148" s="6"/>
      <c r="AJA148" s="6"/>
      <c r="AJB148" s="6"/>
      <c r="AJC148" s="6"/>
      <c r="AJD148" s="6"/>
      <c r="AJE148" s="6"/>
      <c r="AJF148" s="6"/>
      <c r="AJG148" s="6"/>
      <c r="AJH148" s="6"/>
      <c r="AJI148" s="6"/>
      <c r="AJJ148" s="6"/>
      <c r="AJK148" s="6"/>
      <c r="AJL148" s="6"/>
      <c r="AJM148" s="6"/>
      <c r="AJN148" s="6"/>
      <c r="AJO148" s="6"/>
      <c r="AJP148" s="6"/>
      <c r="AJQ148" s="6"/>
      <c r="AJR148" s="6"/>
      <c r="AJS148" s="6"/>
      <c r="AJT148" s="6"/>
      <c r="AJU148" s="6"/>
      <c r="AJV148" s="6"/>
      <c r="AJW148" s="6"/>
      <c r="AJX148" s="6"/>
      <c r="AJY148" s="6"/>
      <c r="AJZ148" s="6"/>
      <c r="AKA148" s="6"/>
      <c r="AKB148" s="6"/>
      <c r="AKC148" s="6"/>
      <c r="AKD148" s="6"/>
      <c r="AKE148" s="6"/>
      <c r="AKF148" s="6"/>
      <c r="AKG148" s="6"/>
      <c r="AKH148" s="6"/>
      <c r="AKI148" s="6"/>
      <c r="AKJ148" s="6"/>
      <c r="AKK148" s="6"/>
      <c r="AKL148" s="6"/>
      <c r="AKM148" s="6"/>
      <c r="AKN148" s="6"/>
      <c r="AKO148" s="6"/>
      <c r="AKP148" s="6"/>
      <c r="AKQ148" s="6"/>
      <c r="AKR148" s="6"/>
      <c r="AKS148" s="6"/>
      <c r="AKT148" s="6"/>
      <c r="AKU148" s="6"/>
      <c r="AKV148" s="6"/>
      <c r="AKW148" s="6"/>
      <c r="AKX148" s="6"/>
      <c r="AKY148" s="6"/>
      <c r="AKZ148" s="6"/>
      <c r="ALA148" s="6"/>
      <c r="ALB148" s="6"/>
      <c r="ALC148" s="6"/>
      <c r="ALD148" s="6"/>
      <c r="ALE148" s="6"/>
      <c r="ALF148" s="6"/>
      <c r="ALG148" s="6"/>
      <c r="ALH148" s="6"/>
      <c r="ALI148" s="6"/>
      <c r="ALJ148" s="6"/>
      <c r="ALK148" s="6"/>
      <c r="ALL148" s="6"/>
      <c r="ALM148" s="6"/>
      <c r="ALN148" s="6"/>
      <c r="ALO148" s="6"/>
      <c r="ALP148" s="6"/>
      <c r="ALQ148" s="6"/>
      <c r="ALR148" s="6"/>
      <c r="ALS148" s="6"/>
      <c r="ALT148" s="6"/>
      <c r="ALU148" s="6"/>
      <c r="ALV148" s="6"/>
      <c r="ALW148" s="6"/>
      <c r="ALX148" s="6"/>
      <c r="ALY148" s="6"/>
      <c r="ALZ148" s="6"/>
      <c r="AMA148" s="6"/>
      <c r="AMB148" s="6"/>
      <c r="AMC148" s="6"/>
      <c r="AMD148" s="6"/>
      <c r="AME148" s="6"/>
      <c r="AMF148" s="6"/>
      <c r="AMG148" s="6"/>
      <c r="AMH148" s="6"/>
      <c r="AMI148" s="6"/>
      <c r="AMJ148" s="6"/>
      <c r="AMK148" s="6"/>
      <c r="AML148" s="6"/>
      <c r="AMM148" s="6"/>
      <c r="AMN148" s="6"/>
      <c r="AMO148" s="6"/>
      <c r="AMP148" s="6"/>
    </row>
    <row r="149" spans="1:1030" x14ac:dyDescent="0.2">
      <c r="A149" s="3" t="str">
        <f t="shared" si="867"/>
        <v>ccr2_human_5T1A</v>
      </c>
      <c r="B149" s="3" t="s">
        <v>170</v>
      </c>
      <c r="C149" s="3" t="s">
        <v>1378</v>
      </c>
      <c r="D149" s="3" t="str">
        <f>IFERROR(MID(VLOOKUP($B149,Seqs!$A:$B,2,0),E149,1),"")</f>
        <v>V</v>
      </c>
      <c r="E149" s="3">
        <v>37</v>
      </c>
      <c r="F149" s="3" t="str">
        <f>IFERROR(MID(VLOOKUP($B149,Seqs!$A:$B,2,0),G149,1),"")</f>
        <v>C</v>
      </c>
      <c r="G149" s="3">
        <v>70</v>
      </c>
      <c r="H149" s="3" t="str">
        <f>IFERROR(MID(VLOOKUP($B149,Seqs!$A:$B,2,0),I149,1),"")</f>
        <v/>
      </c>
      <c r="I149" s="23" t="s">
        <v>23</v>
      </c>
      <c r="J149" s="3" t="str">
        <f>IFERROR(MID(VLOOKUP($B149,Seqs!$A:$B,2,0),K149,1),"")</f>
        <v/>
      </c>
      <c r="K149" s="23" t="s">
        <v>23</v>
      </c>
      <c r="L149" s="3" t="str">
        <f>IFERROR(MID(VLOOKUP($B149,Seqs!$A:$B,2,0),M149,1),"")</f>
        <v>C</v>
      </c>
      <c r="M149" s="3">
        <v>75</v>
      </c>
      <c r="N149" s="3" t="str">
        <f>IFERROR(MID(VLOOKUP($B149,Seqs!$A:$B,2,0),O149,1),"")</f>
        <v>N</v>
      </c>
      <c r="O149" s="3">
        <v>104</v>
      </c>
      <c r="P149" s="3" t="str">
        <f>IFERROR(MID(VLOOKUP($B149,Seqs!$A:$B,2,0),Q149,1),"")</f>
        <v>E</v>
      </c>
      <c r="Q149" s="3">
        <v>105</v>
      </c>
      <c r="R149" s="3" t="str">
        <f>IFERROR(MID(VLOOKUP($B149,Seqs!$A:$B,2,0),S149,1),"")</f>
        <v>F</v>
      </c>
      <c r="S149" s="3">
        <v>108</v>
      </c>
      <c r="T149" s="3" t="str">
        <f>IFERROR(MID(VLOOKUP($B149,Seqs!$A:$B,2,0),U149,1),"")</f>
        <v>G</v>
      </c>
      <c r="U149" s="3">
        <v>109</v>
      </c>
      <c r="V149" s="3" t="str">
        <f>IFERROR(MID(VLOOKUP($B149,Seqs!$A:$B,2,0),W149,1),"")</f>
        <v>H</v>
      </c>
      <c r="W149" s="3">
        <v>144</v>
      </c>
      <c r="X149" s="3" t="str">
        <f>IFERROR(MID(VLOOKUP($B149,Seqs!$A:$B,2,0),Y149,1),"")</f>
        <v>A</v>
      </c>
      <c r="Y149" s="3">
        <v>145</v>
      </c>
      <c r="Z149" s="3" t="str">
        <f>IFERROR(MID(VLOOKUP($B149,Seqs!$A:$B,2,0),AA149,1),"")</f>
        <v>R</v>
      </c>
      <c r="AA149" s="3">
        <v>152</v>
      </c>
      <c r="AB149" s="3" t="str">
        <f>IFERROR(MID(VLOOKUP($B149,Seqs!$A:$B,2,0),AC149,1),"")</f>
        <v>T</v>
      </c>
      <c r="AC149" s="9">
        <v>153</v>
      </c>
      <c r="AD149" s="3" t="str">
        <f>IFERROR(MID(VLOOKUP($B149,Seqs!$A:$B,2,0),AE149,1),"")</f>
        <v>T</v>
      </c>
      <c r="AE149" s="3">
        <v>179</v>
      </c>
      <c r="AF149" s="3" t="str">
        <f>IFERROR(MID(VLOOKUP($B149,Seqs!$A:$B,2,0),AG149,1),"")</f>
        <v>C</v>
      </c>
      <c r="AG149" s="3">
        <v>190</v>
      </c>
      <c r="AH149" s="3" t="str">
        <f>IFERROR(MID(VLOOKUP($B149,Seqs!$A:$B,2,0),AI149,1),"")</f>
        <v>P</v>
      </c>
      <c r="AI149" s="3">
        <v>192</v>
      </c>
      <c r="AJ149" s="3" t="str">
        <f>IFERROR(MID(VLOOKUP($B149,Seqs!$A:$B,2,0),AK149,1),"")</f>
        <v>P</v>
      </c>
      <c r="AK149" s="3">
        <v>195</v>
      </c>
      <c r="AL149" s="3" t="str">
        <f>IFERROR(MID(VLOOKUP($B149,Seqs!$A:$B,2,0),AM149,1),"")</f>
        <v>T</v>
      </c>
      <c r="AM149" s="3">
        <v>228</v>
      </c>
      <c r="AN149" s="3" t="str">
        <f>IFERROR(MID(VLOOKUP($B149,Seqs!$A:$B,2,0),AO149,1),"")</f>
        <v>K</v>
      </c>
      <c r="AO149" s="3">
        <v>236</v>
      </c>
      <c r="AP149" s="3" t="str">
        <f>IFERROR(MID(VLOOKUP($B149,Seqs!$A:$B,2,0),AQ149,1),"")</f>
        <v>G</v>
      </c>
      <c r="AQ149" s="3">
        <v>273</v>
      </c>
      <c r="AR149" s="3" t="str">
        <f>IFERROR(MID(VLOOKUP($B149,Seqs!$A:$B,2,0),AS149,1),"")</f>
        <v>E</v>
      </c>
      <c r="AS149" s="3">
        <v>278</v>
      </c>
      <c r="AT149" s="3" t="str">
        <f>IFERROR(MID(VLOOKUP($B149,Seqs!$A:$B,2,0),AU149,1),"")</f>
        <v>V</v>
      </c>
      <c r="AU149" s="3">
        <v>308</v>
      </c>
      <c r="AV149" s="3" t="str">
        <f>IFERROR(MID(VLOOKUP($B149,Seqs!$A:$B,2,0),AW149,1),"")</f>
        <v>G</v>
      </c>
      <c r="AW149" s="3">
        <v>309</v>
      </c>
      <c r="AX149" s="3" t="str">
        <f>IFERROR(MID(VLOOKUP($B149,Seqs!$A:$B,2,0),AY149,1),"")</f>
        <v>L</v>
      </c>
      <c r="AY149" s="3">
        <v>320</v>
      </c>
      <c r="AZ149" s="77" t="str">
        <f>VLOOKUP(B149,Classification!A:D,2,0)</f>
        <v>A</v>
      </c>
      <c r="BA149" s="94" t="str">
        <f>VLOOKUP(B149,Classification!A:D,4,0)</f>
        <v>Chemokine</v>
      </c>
      <c r="BB149" s="27" t="b">
        <f t="shared" si="868"/>
        <v>1</v>
      </c>
      <c r="BC149" s="23">
        <f t="shared" si="645"/>
        <v>258</v>
      </c>
      <c r="BD149" s="16" t="s">
        <v>1376</v>
      </c>
      <c r="BE149" s="3" t="s">
        <v>1374</v>
      </c>
      <c r="BF149" s="119">
        <v>2.81</v>
      </c>
      <c r="BG149" s="49" t="s">
        <v>1</v>
      </c>
      <c r="BH149" s="49" t="s">
        <v>1377</v>
      </c>
      <c r="BI149" s="1"/>
      <c r="BJ149" s="70" t="s">
        <v>1287</v>
      </c>
      <c r="BK149" s="57" t="s">
        <v>1287</v>
      </c>
      <c r="BL149" s="57" t="s">
        <v>1287</v>
      </c>
      <c r="BM149" s="57" t="s">
        <v>1287</v>
      </c>
      <c r="BN149" s="57" t="s">
        <v>1287</v>
      </c>
      <c r="BO149" s="57" t="s">
        <v>1287</v>
      </c>
      <c r="BP149" s="57" t="s">
        <v>1287</v>
      </c>
      <c r="BQ149" s="57" t="s">
        <v>1287</v>
      </c>
      <c r="BR149" s="57" t="s">
        <v>1287</v>
      </c>
      <c r="BS149" s="57" t="s">
        <v>1287</v>
      </c>
      <c r="BT149" s="57" t="s">
        <v>1287</v>
      </c>
      <c r="BU149" s="57" t="s">
        <v>1287</v>
      </c>
      <c r="BV149" s="70">
        <f t="shared" si="646"/>
        <v>37</v>
      </c>
      <c r="BW149" s="71" t="str">
        <f t="shared" si="647"/>
        <v>-</v>
      </c>
      <c r="BX149" s="72">
        <f t="shared" si="648"/>
        <v>75</v>
      </c>
      <c r="BY149" s="71">
        <f t="shared" si="649"/>
        <v>105</v>
      </c>
      <c r="BZ149" s="72">
        <f t="shared" si="650"/>
        <v>109</v>
      </c>
      <c r="CA149" s="71">
        <f t="shared" si="651"/>
        <v>145</v>
      </c>
      <c r="CB149" s="72">
        <f t="shared" si="652"/>
        <v>153</v>
      </c>
      <c r="CC149" s="71">
        <f t="shared" si="653"/>
        <v>190</v>
      </c>
      <c r="CD149" s="72">
        <f t="shared" si="654"/>
        <v>195</v>
      </c>
      <c r="CE149" s="71">
        <f t="shared" si="655"/>
        <v>236</v>
      </c>
      <c r="CF149" s="72">
        <f t="shared" si="656"/>
        <v>278</v>
      </c>
      <c r="CG149" s="71">
        <f t="shared" si="657"/>
        <v>309</v>
      </c>
      <c r="CH149" s="70">
        <f t="shared" si="658"/>
        <v>70</v>
      </c>
      <c r="CI149" s="71" t="str">
        <f t="shared" si="659"/>
        <v>-</v>
      </c>
      <c r="CJ149" s="72">
        <f t="shared" si="660"/>
        <v>104</v>
      </c>
      <c r="CK149" s="72">
        <f t="shared" si="661"/>
        <v>108</v>
      </c>
      <c r="CL149" s="72">
        <f t="shared" si="662"/>
        <v>144</v>
      </c>
      <c r="CM149" s="72">
        <f t="shared" si="663"/>
        <v>152</v>
      </c>
      <c r="CN149" s="72">
        <f t="shared" si="664"/>
        <v>179</v>
      </c>
      <c r="CO149" s="72">
        <f t="shared" si="665"/>
        <v>192</v>
      </c>
      <c r="CP149" s="72">
        <f t="shared" si="666"/>
        <v>228</v>
      </c>
      <c r="CQ149" s="72">
        <f t="shared" si="667"/>
        <v>273</v>
      </c>
      <c r="CR149" s="72">
        <f t="shared" si="668"/>
        <v>308</v>
      </c>
      <c r="CS149" s="72">
        <f t="shared" si="669"/>
        <v>320</v>
      </c>
      <c r="CT149" s="23" t="e">
        <f t="shared" si="670"/>
        <v>#VALUE!</v>
      </c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r="JH149" s="6"/>
      <c r="JI149" s="6"/>
      <c r="JJ149" s="6"/>
      <c r="JK149" s="6"/>
      <c r="JL149" s="6"/>
      <c r="JM149" s="6"/>
      <c r="JN149" s="6"/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6"/>
      <c r="KB149" s="6"/>
      <c r="KC149" s="6"/>
      <c r="KD149" s="6"/>
      <c r="KE149" s="6"/>
      <c r="KF149" s="6"/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6"/>
      <c r="KT149" s="6"/>
      <c r="KU149" s="6"/>
      <c r="KV149" s="6"/>
      <c r="KW149" s="6"/>
      <c r="KX149" s="6"/>
      <c r="KY149" s="6"/>
      <c r="KZ149" s="6"/>
      <c r="LA149" s="6"/>
      <c r="LB149" s="6"/>
      <c r="LC149" s="6"/>
      <c r="LD149" s="6"/>
      <c r="LE149" s="6"/>
      <c r="LF149" s="6"/>
      <c r="LG149" s="6"/>
      <c r="LH149" s="6"/>
      <c r="LI149" s="6"/>
      <c r="LJ149" s="6"/>
      <c r="LK149" s="6"/>
      <c r="LL149" s="6"/>
      <c r="LM149" s="6"/>
      <c r="LN149" s="6"/>
      <c r="LO149" s="6"/>
      <c r="LP149" s="6"/>
      <c r="LQ149" s="6"/>
      <c r="LR149" s="6"/>
      <c r="LS149" s="6"/>
      <c r="LT149" s="6"/>
      <c r="LU149" s="6"/>
      <c r="LV149" s="6"/>
      <c r="LW149" s="6"/>
      <c r="LX149" s="6"/>
      <c r="LY149" s="6"/>
      <c r="LZ149" s="6"/>
      <c r="MA149" s="6"/>
      <c r="MB149" s="6"/>
      <c r="MC149" s="6"/>
      <c r="MD149" s="6"/>
      <c r="ME149" s="6"/>
      <c r="MF149" s="6"/>
      <c r="MG149" s="6"/>
      <c r="MH149" s="6"/>
      <c r="MI149" s="6"/>
      <c r="MJ149" s="6"/>
      <c r="MK149" s="6"/>
      <c r="ML149" s="6"/>
      <c r="MM149" s="6"/>
      <c r="MN149" s="6"/>
      <c r="MO149" s="6"/>
      <c r="MP149" s="6"/>
      <c r="MQ149" s="6"/>
      <c r="MR149" s="6"/>
      <c r="MS149" s="6"/>
      <c r="MT149" s="6"/>
      <c r="MU149" s="6"/>
      <c r="MV149" s="6"/>
      <c r="MW149" s="6"/>
      <c r="MX149" s="6"/>
      <c r="MY149" s="6"/>
      <c r="MZ149" s="6"/>
      <c r="NA149" s="6"/>
      <c r="NB149" s="6"/>
      <c r="NC149" s="6"/>
      <c r="ND149" s="6"/>
      <c r="NE149" s="6"/>
      <c r="NF149" s="6"/>
      <c r="NG149" s="6"/>
      <c r="NH149" s="6"/>
      <c r="NI149" s="6"/>
      <c r="NJ149" s="6"/>
      <c r="NK149" s="6"/>
      <c r="NL149" s="6"/>
      <c r="NM149" s="6"/>
      <c r="NN149" s="6"/>
      <c r="NO149" s="6"/>
      <c r="NP149" s="6"/>
      <c r="NQ149" s="6"/>
      <c r="NR149" s="6"/>
      <c r="NS149" s="6"/>
      <c r="NT149" s="6"/>
      <c r="NU149" s="6"/>
      <c r="NV149" s="6"/>
      <c r="NW149" s="6"/>
      <c r="NX149" s="6"/>
      <c r="NY149" s="6"/>
      <c r="NZ149" s="6"/>
      <c r="OA149" s="6"/>
      <c r="OB149" s="6"/>
      <c r="OC149" s="6"/>
      <c r="OD149" s="6"/>
      <c r="OE149" s="6"/>
      <c r="OF149" s="6"/>
      <c r="OG149" s="6"/>
      <c r="OH149" s="6"/>
      <c r="OI149" s="6"/>
      <c r="OJ149" s="6"/>
      <c r="OK149" s="6"/>
      <c r="OL149" s="6"/>
      <c r="OM149" s="6"/>
      <c r="ON149" s="6"/>
      <c r="OO149" s="6"/>
      <c r="OP149" s="6"/>
      <c r="OQ149" s="6"/>
      <c r="OR149" s="6"/>
      <c r="OS149" s="6"/>
      <c r="OT149" s="6"/>
      <c r="OU149" s="6"/>
      <c r="OV149" s="6"/>
      <c r="OW149" s="6"/>
      <c r="OX149" s="6"/>
      <c r="OY149" s="6"/>
      <c r="OZ149" s="6"/>
      <c r="PA149" s="6"/>
      <c r="PB149" s="6"/>
      <c r="PC149" s="6"/>
      <c r="PD149" s="6"/>
      <c r="PE149" s="6"/>
      <c r="PF149" s="6"/>
      <c r="PG149" s="6"/>
      <c r="PH149" s="6"/>
      <c r="PI149" s="6"/>
      <c r="PJ149" s="6"/>
      <c r="PK149" s="6"/>
      <c r="PL149" s="6"/>
      <c r="PM149" s="6"/>
      <c r="PN149" s="6"/>
      <c r="PO149" s="6"/>
      <c r="PP149" s="6"/>
      <c r="PQ149" s="6"/>
      <c r="PR149" s="6"/>
      <c r="PS149" s="6"/>
      <c r="PT149" s="6"/>
      <c r="PU149" s="6"/>
      <c r="PV149" s="6"/>
      <c r="PW149" s="6"/>
      <c r="PX149" s="6"/>
      <c r="PY149" s="6"/>
      <c r="PZ149" s="6"/>
      <c r="QA149" s="6"/>
      <c r="QB149" s="6"/>
      <c r="QC149" s="6"/>
      <c r="QD149" s="6"/>
      <c r="QE149" s="6"/>
      <c r="QF149" s="6"/>
      <c r="QG149" s="6"/>
      <c r="QH149" s="6"/>
      <c r="QI149" s="6"/>
      <c r="QJ149" s="6"/>
      <c r="QK149" s="6"/>
      <c r="QL149" s="6"/>
      <c r="QM149" s="6"/>
      <c r="QN149" s="6"/>
      <c r="QO149" s="6"/>
      <c r="QP149" s="6"/>
      <c r="QQ149" s="6"/>
      <c r="QR149" s="6"/>
      <c r="QS149" s="6"/>
      <c r="QT149" s="6"/>
      <c r="QU149" s="6"/>
      <c r="QV149" s="6"/>
      <c r="QW149" s="6"/>
      <c r="QX149" s="6"/>
      <c r="QY149" s="6"/>
      <c r="QZ149" s="6"/>
      <c r="RA149" s="6"/>
      <c r="RB149" s="6"/>
      <c r="RC149" s="6"/>
      <c r="RD149" s="6"/>
      <c r="RE149" s="6"/>
      <c r="RF149" s="6"/>
      <c r="RG149" s="6"/>
      <c r="RH149" s="6"/>
      <c r="RI149" s="6"/>
      <c r="RJ149" s="6"/>
      <c r="RK149" s="6"/>
      <c r="RL149" s="6"/>
      <c r="RM149" s="6"/>
      <c r="RN149" s="6"/>
      <c r="RO149" s="6"/>
      <c r="RP149" s="6"/>
      <c r="RQ149" s="6"/>
      <c r="RR149" s="6"/>
      <c r="RS149" s="6"/>
      <c r="RT149" s="6"/>
      <c r="RU149" s="6"/>
      <c r="RV149" s="6"/>
      <c r="RW149" s="6"/>
      <c r="RX149" s="6"/>
      <c r="RY149" s="6"/>
      <c r="RZ149" s="6"/>
      <c r="SA149" s="6"/>
      <c r="SB149" s="6"/>
      <c r="SC149" s="6"/>
      <c r="SD149" s="6"/>
      <c r="SE149" s="6"/>
      <c r="SF149" s="6"/>
      <c r="SG149" s="6"/>
      <c r="SH149" s="6"/>
      <c r="SI149" s="6"/>
      <c r="SJ149" s="6"/>
      <c r="SK149" s="6"/>
      <c r="SL149" s="6"/>
      <c r="SM149" s="6"/>
      <c r="SN149" s="6"/>
      <c r="SO149" s="6"/>
      <c r="SP149" s="6"/>
      <c r="SQ149" s="6"/>
      <c r="SR149" s="6"/>
      <c r="SS149" s="6"/>
      <c r="ST149" s="6"/>
      <c r="SU149" s="6"/>
      <c r="SV149" s="6"/>
      <c r="SW149" s="6"/>
      <c r="SX149" s="6"/>
      <c r="SY149" s="6"/>
      <c r="SZ149" s="6"/>
      <c r="TA149" s="6"/>
      <c r="TB149" s="6"/>
      <c r="TC149" s="6"/>
      <c r="TD149" s="6"/>
      <c r="TE149" s="6"/>
      <c r="TF149" s="6"/>
      <c r="TG149" s="6"/>
      <c r="TH149" s="6"/>
      <c r="TI149" s="6"/>
      <c r="TJ149" s="6"/>
      <c r="TK149" s="6"/>
      <c r="TL149" s="6"/>
      <c r="TM149" s="6"/>
      <c r="TN149" s="6"/>
      <c r="TO149" s="6"/>
      <c r="TP149" s="6"/>
      <c r="TQ149" s="6"/>
      <c r="TR149" s="6"/>
      <c r="TS149" s="6"/>
      <c r="TT149" s="6"/>
      <c r="TU149" s="6"/>
      <c r="TV149" s="6"/>
      <c r="TW149" s="6"/>
      <c r="TX149" s="6"/>
      <c r="TY149" s="6"/>
      <c r="TZ149" s="6"/>
      <c r="UA149" s="6"/>
      <c r="UB149" s="6"/>
      <c r="UC149" s="6"/>
      <c r="UD149" s="6"/>
      <c r="UE149" s="6"/>
      <c r="UF149" s="6"/>
      <c r="UG149" s="6"/>
      <c r="UH149" s="6"/>
      <c r="UI149" s="6"/>
      <c r="UJ149" s="6"/>
      <c r="UK149" s="6"/>
      <c r="UL149" s="6"/>
      <c r="UM149" s="6"/>
      <c r="UN149" s="6"/>
      <c r="UO149" s="6"/>
      <c r="UP149" s="6"/>
      <c r="UQ149" s="6"/>
      <c r="UR149" s="6"/>
      <c r="US149" s="6"/>
      <c r="UT149" s="6"/>
      <c r="UU149" s="6"/>
      <c r="UV149" s="6"/>
      <c r="UW149" s="6"/>
      <c r="UX149" s="6"/>
      <c r="UY149" s="6"/>
      <c r="UZ149" s="6"/>
      <c r="VA149" s="6"/>
      <c r="VB149" s="6"/>
      <c r="VC149" s="6"/>
      <c r="VD149" s="6"/>
      <c r="VE149" s="6"/>
      <c r="VF149" s="6"/>
      <c r="VG149" s="6"/>
      <c r="VH149" s="6"/>
      <c r="VI149" s="6"/>
      <c r="VJ149" s="6"/>
      <c r="VK149" s="6"/>
      <c r="VL149" s="6"/>
      <c r="VM149" s="6"/>
      <c r="VN149" s="6"/>
      <c r="VO149" s="6"/>
      <c r="VP149" s="6"/>
      <c r="VQ149" s="6"/>
      <c r="VR149" s="6"/>
      <c r="VS149" s="6"/>
      <c r="VT149" s="6"/>
      <c r="VU149" s="6"/>
      <c r="VV149" s="6"/>
      <c r="VW149" s="6"/>
      <c r="VX149" s="6"/>
      <c r="VY149" s="6"/>
      <c r="VZ149" s="6"/>
      <c r="WA149" s="6"/>
      <c r="WB149" s="6"/>
      <c r="WC149" s="6"/>
      <c r="WD149" s="6"/>
      <c r="WE149" s="6"/>
      <c r="WF149" s="6"/>
      <c r="WG149" s="6"/>
      <c r="WH149" s="6"/>
      <c r="WI149" s="6"/>
      <c r="WJ149" s="6"/>
      <c r="WK149" s="6"/>
      <c r="WL149" s="6"/>
      <c r="WM149" s="6"/>
      <c r="WN149" s="6"/>
      <c r="WO149" s="6"/>
      <c r="WP149" s="6"/>
      <c r="WQ149" s="6"/>
      <c r="WR149" s="6"/>
      <c r="WS149" s="6"/>
      <c r="WT149" s="6"/>
      <c r="WU149" s="6"/>
      <c r="WV149" s="6"/>
      <c r="WW149" s="6"/>
      <c r="WX149" s="6"/>
      <c r="WY149" s="6"/>
      <c r="WZ149" s="6"/>
      <c r="XA149" s="6"/>
      <c r="XB149" s="6"/>
      <c r="XC149" s="6"/>
      <c r="XD149" s="6"/>
      <c r="XE149" s="6"/>
      <c r="XF149" s="6"/>
      <c r="XG149" s="6"/>
      <c r="XH149" s="6"/>
      <c r="XI149" s="6"/>
      <c r="XJ149" s="6"/>
      <c r="XK149" s="6"/>
      <c r="XL149" s="6"/>
      <c r="XM149" s="6"/>
      <c r="XN149" s="6"/>
      <c r="XO149" s="6"/>
      <c r="XP149" s="6"/>
      <c r="XQ149" s="6"/>
      <c r="XR149" s="6"/>
      <c r="XS149" s="6"/>
      <c r="XT149" s="6"/>
      <c r="XU149" s="6"/>
      <c r="XV149" s="6"/>
      <c r="XW149" s="6"/>
      <c r="XX149" s="6"/>
      <c r="XY149" s="6"/>
      <c r="XZ149" s="6"/>
      <c r="YA149" s="6"/>
      <c r="YB149" s="6"/>
      <c r="YC149" s="6"/>
      <c r="YD149" s="6"/>
      <c r="YE149" s="6"/>
      <c r="YF149" s="6"/>
      <c r="YG149" s="6"/>
      <c r="YH149" s="6"/>
      <c r="YI149" s="6"/>
      <c r="YJ149" s="6"/>
      <c r="YK149" s="6"/>
      <c r="YL149" s="6"/>
      <c r="YM149" s="6"/>
      <c r="YN149" s="6"/>
      <c r="YO149" s="6"/>
      <c r="YP149" s="6"/>
      <c r="YQ149" s="6"/>
      <c r="YR149" s="6"/>
      <c r="YS149" s="6"/>
      <c r="YT149" s="6"/>
      <c r="YU149" s="6"/>
      <c r="YV149" s="6"/>
      <c r="YW149" s="6"/>
      <c r="YX149" s="6"/>
      <c r="YY149" s="6"/>
      <c r="YZ149" s="6"/>
      <c r="ZA149" s="6"/>
      <c r="ZB149" s="6"/>
      <c r="ZC149" s="6"/>
      <c r="ZD149" s="6"/>
      <c r="ZE149" s="6"/>
      <c r="ZF149" s="6"/>
      <c r="ZG149" s="6"/>
      <c r="ZH149" s="6"/>
      <c r="ZI149" s="6"/>
      <c r="ZJ149" s="6"/>
      <c r="ZK149" s="6"/>
      <c r="ZL149" s="6"/>
      <c r="ZM149" s="6"/>
      <c r="ZN149" s="6"/>
      <c r="ZO149" s="6"/>
      <c r="ZP149" s="6"/>
      <c r="ZQ149" s="6"/>
      <c r="ZR149" s="6"/>
      <c r="ZS149" s="6"/>
      <c r="ZT149" s="6"/>
      <c r="ZU149" s="6"/>
      <c r="ZV149" s="6"/>
      <c r="ZW149" s="6"/>
      <c r="ZX149" s="6"/>
      <c r="ZY149" s="6"/>
      <c r="ZZ149" s="6"/>
      <c r="AAA149" s="6"/>
      <c r="AAB149" s="6"/>
      <c r="AAC149" s="6"/>
      <c r="AAD149" s="6"/>
      <c r="AAE149" s="6"/>
      <c r="AAF149" s="6"/>
      <c r="AAG149" s="6"/>
      <c r="AAH149" s="6"/>
      <c r="AAI149" s="6"/>
      <c r="AAJ149" s="6"/>
      <c r="AAK149" s="6"/>
      <c r="AAL149" s="6"/>
      <c r="AAM149" s="6"/>
      <c r="AAN149" s="6"/>
      <c r="AAO149" s="6"/>
      <c r="AAP149" s="6"/>
      <c r="AAQ149" s="6"/>
      <c r="AAR149" s="6"/>
      <c r="AAS149" s="6"/>
      <c r="AAT149" s="6"/>
      <c r="AAU149" s="6"/>
      <c r="AAV149" s="6"/>
      <c r="AAW149" s="6"/>
      <c r="AAX149" s="6"/>
      <c r="AAY149" s="6"/>
      <c r="AAZ149" s="6"/>
      <c r="ABA149" s="6"/>
      <c r="ABB149" s="6"/>
      <c r="ABC149" s="6"/>
      <c r="ABD149" s="6"/>
      <c r="ABE149" s="6"/>
      <c r="ABF149" s="6"/>
      <c r="ABG149" s="6"/>
      <c r="ABH149" s="6"/>
      <c r="ABI149" s="6"/>
      <c r="ABJ149" s="6"/>
      <c r="ABK149" s="6"/>
      <c r="ABL149" s="6"/>
      <c r="ABM149" s="6"/>
      <c r="ABN149" s="6"/>
      <c r="ABO149" s="6"/>
      <c r="ABP149" s="6"/>
      <c r="ABQ149" s="6"/>
      <c r="ABR149" s="6"/>
      <c r="ABS149" s="6"/>
      <c r="ABT149" s="6"/>
      <c r="ABU149" s="6"/>
      <c r="ABV149" s="6"/>
      <c r="ABW149" s="6"/>
      <c r="ABX149" s="6"/>
      <c r="ABY149" s="6"/>
      <c r="ABZ149" s="6"/>
      <c r="ACA149" s="6"/>
      <c r="ACB149" s="6"/>
      <c r="ACC149" s="6"/>
      <c r="ACD149" s="6"/>
      <c r="ACE149" s="6"/>
      <c r="ACF149" s="6"/>
      <c r="ACG149" s="6"/>
      <c r="ACH149" s="6"/>
      <c r="ACI149" s="6"/>
      <c r="ACJ149" s="6"/>
      <c r="ACK149" s="6"/>
      <c r="ACL149" s="6"/>
      <c r="ACM149" s="6"/>
      <c r="ACN149" s="6"/>
      <c r="ACO149" s="6"/>
      <c r="ACP149" s="6"/>
      <c r="ACQ149" s="6"/>
      <c r="ACR149" s="6"/>
      <c r="ACS149" s="6"/>
      <c r="ACT149" s="6"/>
      <c r="ACU149" s="6"/>
      <c r="ACV149" s="6"/>
      <c r="ACW149" s="6"/>
      <c r="ACX149" s="6"/>
      <c r="ACY149" s="6"/>
      <c r="ACZ149" s="6"/>
      <c r="ADA149" s="6"/>
      <c r="ADB149" s="6"/>
      <c r="ADC149" s="6"/>
      <c r="ADD149" s="6"/>
      <c r="ADE149" s="6"/>
      <c r="ADF149" s="6"/>
      <c r="ADG149" s="6"/>
      <c r="ADH149" s="6"/>
      <c r="ADI149" s="6"/>
      <c r="ADJ149" s="6"/>
      <c r="ADK149" s="6"/>
      <c r="ADL149" s="6"/>
      <c r="ADM149" s="6"/>
      <c r="ADN149" s="6"/>
      <c r="ADO149" s="6"/>
      <c r="ADP149" s="6"/>
      <c r="ADQ149" s="6"/>
      <c r="ADR149" s="6"/>
      <c r="ADS149" s="6"/>
      <c r="ADT149" s="6"/>
      <c r="ADU149" s="6"/>
      <c r="ADV149" s="6"/>
      <c r="ADW149" s="6"/>
      <c r="ADX149" s="6"/>
      <c r="ADY149" s="6"/>
      <c r="ADZ149" s="6"/>
      <c r="AEA149" s="6"/>
      <c r="AEB149" s="6"/>
      <c r="AEC149" s="6"/>
      <c r="AED149" s="6"/>
      <c r="AEE149" s="6"/>
      <c r="AEF149" s="6"/>
      <c r="AEG149" s="6"/>
      <c r="AEH149" s="6"/>
      <c r="AEI149" s="6"/>
      <c r="AEJ149" s="6"/>
      <c r="AEK149" s="6"/>
      <c r="AEL149" s="6"/>
      <c r="AEM149" s="6"/>
      <c r="AEN149" s="6"/>
      <c r="AEO149" s="6"/>
      <c r="AEP149" s="6"/>
      <c r="AEQ149" s="6"/>
      <c r="AER149" s="6"/>
      <c r="AES149" s="6"/>
      <c r="AET149" s="6"/>
      <c r="AEU149" s="6"/>
      <c r="AEV149" s="6"/>
      <c r="AEW149" s="6"/>
      <c r="AEX149" s="6"/>
      <c r="AEY149" s="6"/>
      <c r="AEZ149" s="6"/>
      <c r="AFA149" s="6"/>
      <c r="AFB149" s="6"/>
      <c r="AFC149" s="6"/>
      <c r="AFD149" s="6"/>
      <c r="AFE149" s="6"/>
      <c r="AFF149" s="6"/>
      <c r="AFG149" s="6"/>
      <c r="AFH149" s="6"/>
      <c r="AFI149" s="6"/>
      <c r="AFJ149" s="6"/>
      <c r="AFK149" s="6"/>
      <c r="AFL149" s="6"/>
      <c r="AFM149" s="6"/>
      <c r="AFN149" s="6"/>
      <c r="AFO149" s="6"/>
      <c r="AFP149" s="6"/>
      <c r="AFQ149" s="6"/>
      <c r="AFR149" s="6"/>
      <c r="AFS149" s="6"/>
      <c r="AFT149" s="6"/>
      <c r="AFU149" s="6"/>
      <c r="AFV149" s="6"/>
      <c r="AFW149" s="6"/>
      <c r="AFX149" s="6"/>
      <c r="AFY149" s="6"/>
      <c r="AFZ149" s="6"/>
      <c r="AGA149" s="6"/>
      <c r="AGB149" s="6"/>
      <c r="AGC149" s="6"/>
      <c r="AGD149" s="6"/>
      <c r="AGE149" s="6"/>
      <c r="AGF149" s="6"/>
      <c r="AGG149" s="6"/>
      <c r="AGH149" s="6"/>
      <c r="AGI149" s="6"/>
      <c r="AGJ149" s="6"/>
      <c r="AGK149" s="6"/>
      <c r="AGL149" s="6"/>
      <c r="AGM149" s="6"/>
      <c r="AGN149" s="6"/>
      <c r="AGO149" s="6"/>
      <c r="AGP149" s="6"/>
      <c r="AGQ149" s="6"/>
      <c r="AGR149" s="6"/>
      <c r="AGS149" s="6"/>
      <c r="AGT149" s="6"/>
      <c r="AGU149" s="6"/>
      <c r="AGV149" s="6"/>
      <c r="AGW149" s="6"/>
      <c r="AGX149" s="6"/>
      <c r="AGY149" s="6"/>
      <c r="AGZ149" s="6"/>
      <c r="AHA149" s="6"/>
      <c r="AHB149" s="6"/>
      <c r="AHC149" s="6"/>
      <c r="AHD149" s="6"/>
      <c r="AHE149" s="6"/>
      <c r="AHF149" s="6"/>
      <c r="AHG149" s="6"/>
      <c r="AHH149" s="6"/>
      <c r="AHI149" s="6"/>
      <c r="AHJ149" s="6"/>
      <c r="AHK149" s="6"/>
      <c r="AHL149" s="6"/>
      <c r="AHM149" s="6"/>
      <c r="AHN149" s="6"/>
      <c r="AHO149" s="6"/>
      <c r="AHP149" s="6"/>
      <c r="AHQ149" s="6"/>
      <c r="AHR149" s="6"/>
      <c r="AHS149" s="6"/>
      <c r="AHT149" s="6"/>
      <c r="AHU149" s="6"/>
      <c r="AHV149" s="6"/>
      <c r="AHW149" s="6"/>
      <c r="AHX149" s="6"/>
      <c r="AHY149" s="6"/>
      <c r="AHZ149" s="6"/>
      <c r="AIA149" s="6"/>
      <c r="AIB149" s="6"/>
      <c r="AIC149" s="6"/>
      <c r="AID149" s="6"/>
      <c r="AIE149" s="6"/>
      <c r="AIF149" s="6"/>
      <c r="AIG149" s="6"/>
      <c r="AIH149" s="6"/>
      <c r="AII149" s="6"/>
      <c r="AIJ149" s="6"/>
      <c r="AIK149" s="6"/>
      <c r="AIL149" s="6"/>
      <c r="AIM149" s="6"/>
      <c r="AIN149" s="6"/>
      <c r="AIO149" s="6"/>
      <c r="AIP149" s="6"/>
      <c r="AIQ149" s="6"/>
      <c r="AIR149" s="6"/>
      <c r="AIS149" s="6"/>
      <c r="AIT149" s="6"/>
      <c r="AIU149" s="6"/>
      <c r="AIV149" s="6"/>
      <c r="AIW149" s="6"/>
      <c r="AIX149" s="6"/>
      <c r="AIY149" s="6"/>
      <c r="AIZ149" s="6"/>
      <c r="AJA149" s="6"/>
      <c r="AJB149" s="6"/>
      <c r="AJC149" s="6"/>
      <c r="AJD149" s="6"/>
      <c r="AJE149" s="6"/>
      <c r="AJF149" s="6"/>
      <c r="AJG149" s="6"/>
      <c r="AJH149" s="6"/>
      <c r="AJI149" s="6"/>
      <c r="AJJ149" s="6"/>
      <c r="AJK149" s="6"/>
      <c r="AJL149" s="6"/>
      <c r="AJM149" s="6"/>
      <c r="AJN149" s="6"/>
      <c r="AJO149" s="6"/>
      <c r="AJP149" s="6"/>
      <c r="AJQ149" s="6"/>
      <c r="AJR149" s="6"/>
      <c r="AJS149" s="6"/>
      <c r="AJT149" s="6"/>
      <c r="AJU149" s="6"/>
      <c r="AJV149" s="6"/>
      <c r="AJW149" s="6"/>
      <c r="AJX149" s="6"/>
      <c r="AJY149" s="6"/>
      <c r="AJZ149" s="6"/>
      <c r="AKA149" s="6"/>
      <c r="AKB149" s="6"/>
      <c r="AKC149" s="6"/>
      <c r="AKD149" s="6"/>
      <c r="AKE149" s="6"/>
      <c r="AKF149" s="6"/>
      <c r="AKG149" s="6"/>
      <c r="AKH149" s="6"/>
      <c r="AKI149" s="6"/>
      <c r="AKJ149" s="6"/>
      <c r="AKK149" s="6"/>
      <c r="AKL149" s="6"/>
      <c r="AKM149" s="6"/>
      <c r="AKN149" s="6"/>
      <c r="AKO149" s="6"/>
      <c r="AKP149" s="6"/>
      <c r="AKQ149" s="6"/>
      <c r="AKR149" s="6"/>
      <c r="AKS149" s="6"/>
      <c r="AKT149" s="6"/>
      <c r="AKU149" s="6"/>
      <c r="AKV149" s="6"/>
      <c r="AKW149" s="6"/>
      <c r="AKX149" s="6"/>
      <c r="AKY149" s="6"/>
      <c r="AKZ149" s="6"/>
      <c r="ALA149" s="6"/>
      <c r="ALB149" s="6"/>
      <c r="ALC149" s="6"/>
      <c r="ALD149" s="6"/>
      <c r="ALE149" s="6"/>
      <c r="ALF149" s="6"/>
      <c r="ALG149" s="6"/>
      <c r="ALH149" s="6"/>
      <c r="ALI149" s="6"/>
      <c r="ALJ149" s="6"/>
      <c r="ALK149" s="6"/>
      <c r="ALL149" s="6"/>
      <c r="ALM149" s="6"/>
      <c r="ALN149" s="6"/>
      <c r="ALO149" s="6"/>
      <c r="ALP149" s="6"/>
      <c r="ALQ149" s="6"/>
      <c r="ALR149" s="6"/>
      <c r="ALS149" s="6"/>
      <c r="ALT149" s="6"/>
      <c r="ALU149" s="6"/>
      <c r="ALV149" s="6"/>
      <c r="ALW149" s="6"/>
      <c r="ALX149" s="6"/>
      <c r="ALY149" s="6"/>
      <c r="ALZ149" s="6"/>
      <c r="AMA149" s="6"/>
      <c r="AMB149" s="6"/>
      <c r="AMC149" s="6"/>
      <c r="AMD149" s="6"/>
      <c r="AME149" s="6"/>
      <c r="AMF149" s="6"/>
      <c r="AMG149" s="6"/>
      <c r="AMH149" s="6"/>
      <c r="AMI149" s="6"/>
      <c r="AMJ149" s="6"/>
      <c r="AMK149" s="6"/>
      <c r="AML149" s="6"/>
      <c r="AMM149" s="6"/>
      <c r="AMN149" s="6"/>
      <c r="AMO149" s="6"/>
      <c r="AMP149" s="6"/>
    </row>
    <row r="150" spans="1:1030" s="12" customFormat="1" x14ac:dyDescent="0.2">
      <c r="A150" s="9" t="str">
        <f t="shared" ref="A150" si="953">CONCATENATE(B150,"_",C150)</f>
        <v>ccr2_human_6GPS</v>
      </c>
      <c r="B150" s="9" t="s">
        <v>170</v>
      </c>
      <c r="C150" s="9" t="s">
        <v>1546</v>
      </c>
      <c r="D150" s="9" t="str">
        <f>IFERROR(MID(VLOOKUP($B150,Seqs!$A:$B,2,0),E150,1),"")</f>
        <v>V</v>
      </c>
      <c r="E150" s="9">
        <v>37</v>
      </c>
      <c r="F150" s="9" t="str">
        <f>IFERROR(MID(VLOOKUP($B150,Seqs!$A:$B,2,0),G150,1),"")</f>
        <v>K</v>
      </c>
      <c r="G150" s="9">
        <v>71</v>
      </c>
      <c r="H150" s="9" t="str">
        <f>IFERROR(MID(VLOOKUP($B150,Seqs!$A:$B,2,0),I150,1),"")</f>
        <v/>
      </c>
      <c r="I150" s="109" t="s">
        <v>23</v>
      </c>
      <c r="J150" s="9" t="str">
        <f>IFERROR(MID(VLOOKUP($B150,Seqs!$A:$B,2,0),K150,1),"")</f>
        <v/>
      </c>
      <c r="K150" s="109" t="s">
        <v>23</v>
      </c>
      <c r="L150" s="9" t="str">
        <f>IFERROR(MID(VLOOKUP($B150,Seqs!$A:$B,2,0),M150,1),"")</f>
        <v>L</v>
      </c>
      <c r="M150" s="9">
        <v>76</v>
      </c>
      <c r="N150" s="9" t="str">
        <f>IFERROR(MID(VLOOKUP($B150,Seqs!$A:$B,2,0),O150,1),"")</f>
        <v>A</v>
      </c>
      <c r="O150" s="9">
        <v>102</v>
      </c>
      <c r="P150" s="9" t="str">
        <f>IFERROR(MID(VLOOKUP($B150,Seqs!$A:$B,2,0),Q150,1),"")</f>
        <v>E</v>
      </c>
      <c r="Q150" s="9">
        <v>105</v>
      </c>
      <c r="R150" s="9" t="str">
        <f>IFERROR(MID(VLOOKUP($B150,Seqs!$A:$B,2,0),S150,1),"")</f>
        <v>F</v>
      </c>
      <c r="S150" s="9">
        <v>108</v>
      </c>
      <c r="T150" s="9" t="str">
        <f>IFERROR(MID(VLOOKUP($B150,Seqs!$A:$B,2,0),U150,1),"")</f>
        <v>G</v>
      </c>
      <c r="U150" s="9">
        <v>109</v>
      </c>
      <c r="V150" s="9" t="str">
        <f>IFERROR(MID(VLOOKUP($B150,Seqs!$A:$B,2,0),W150,1),"")</f>
        <v>H</v>
      </c>
      <c r="W150" s="9">
        <v>144</v>
      </c>
      <c r="X150" s="9" t="str">
        <f>IFERROR(MID(VLOOKUP($B150,Seqs!$A:$B,2,0),Y150,1),"")</f>
        <v/>
      </c>
      <c r="Y150" s="9" t="s">
        <v>23</v>
      </c>
      <c r="Z150" s="9" t="str">
        <f>IFERROR(MID(VLOOKUP($B150,Seqs!$A:$B,2,0),AA150,1),"")</f>
        <v/>
      </c>
      <c r="AA150" s="9" t="s">
        <v>23</v>
      </c>
      <c r="AB150" s="9" t="str">
        <f>IFERROR(MID(VLOOKUP($B150,Seqs!$A:$B,2,0),AC150,1),"")</f>
        <v>R</v>
      </c>
      <c r="AC150" s="9">
        <v>152</v>
      </c>
      <c r="AD150" s="9" t="str">
        <f>IFERROR(MID(VLOOKUP($B150,Seqs!$A:$B,2,0),AE150,1),"")</f>
        <v>T</v>
      </c>
      <c r="AE150" s="9">
        <v>179</v>
      </c>
      <c r="AF150" s="9" t="str">
        <f>IFERROR(MID(VLOOKUP($B150,Seqs!$A:$B,2,0),AG150,1),"")</f>
        <v>C</v>
      </c>
      <c r="AG150" s="9">
        <v>190</v>
      </c>
      <c r="AH150" s="9" t="str">
        <f>IFERROR(MID(VLOOKUP($B150,Seqs!$A:$B,2,0),AI150,1),"")</f>
        <v>P</v>
      </c>
      <c r="AI150" s="9">
        <v>192</v>
      </c>
      <c r="AJ150" s="9" t="str">
        <f>IFERROR(MID(VLOOKUP($B150,Seqs!$A:$B,2,0),AK150,1),"")</f>
        <v>P</v>
      </c>
      <c r="AK150" s="9">
        <v>195</v>
      </c>
      <c r="AL150" s="9" t="str">
        <f>IFERROR(MID(VLOOKUP($B150,Seqs!$A:$B,2,0),AM150,1),"")</f>
        <v>R</v>
      </c>
      <c r="AM150" s="9">
        <v>231</v>
      </c>
      <c r="AN150" s="9" t="str">
        <f>IFERROR(MID(VLOOKUP($B150,Seqs!$A:$B,2,0),AO150,1),"")</f>
        <v>A</v>
      </c>
      <c r="AO150" s="9">
        <v>241</v>
      </c>
      <c r="AP150" s="9" t="str">
        <f>IFERROR(MID(VLOOKUP($B150,Seqs!$A:$B,2,0),AQ150,1),"")</f>
        <v>F</v>
      </c>
      <c r="AQ150" s="9">
        <v>268</v>
      </c>
      <c r="AR150" s="9" t="str">
        <f>IFERROR(MID(VLOOKUP($B150,Seqs!$A:$B,2,0),AS150,1),"")</f>
        <v>S</v>
      </c>
      <c r="AS150" s="9">
        <v>279</v>
      </c>
      <c r="AT150" s="9" t="str">
        <f>IFERROR(MID(VLOOKUP($B150,Seqs!$A:$B,2,0),AU150,1),"")</f>
        <v>G</v>
      </c>
      <c r="AU150" s="9">
        <v>309</v>
      </c>
      <c r="AV150" s="9" t="str">
        <f>IFERROR(MID(VLOOKUP($B150,Seqs!$A:$B,2,0),AW150,1),"")</f>
        <v>E</v>
      </c>
      <c r="AW150" s="9">
        <v>310</v>
      </c>
      <c r="AX150" s="9" t="str">
        <f>IFERROR(MID(VLOOKUP($B150,Seqs!$A:$B,2,0),AY150,1),"")</f>
        <v>G</v>
      </c>
      <c r="AY150" s="9">
        <v>321</v>
      </c>
      <c r="AZ150" s="110" t="str">
        <f>VLOOKUP(B150,Classification!A:D,2,0)</f>
        <v>A</v>
      </c>
      <c r="BA150" s="98" t="str">
        <f>VLOOKUP(B150,Classification!A:D,4,0)</f>
        <v>Chemokine</v>
      </c>
      <c r="BB150" s="36" t="b">
        <f t="shared" ref="BB150" si="954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109">
        <f t="shared" ref="BC150" si="955">_xlfn.AGGREGATE(9,6,CH150:CS150)-_xlfn.AGGREGATE(9,6,BV150:CG150)+12</f>
        <v>243</v>
      </c>
      <c r="BD150" s="127" t="s">
        <v>23</v>
      </c>
      <c r="BE150" s="9" t="s">
        <v>1374</v>
      </c>
      <c r="BF150" s="120">
        <v>3.3</v>
      </c>
      <c r="BG150" s="51" t="s">
        <v>1</v>
      </c>
      <c r="BH150" s="51" t="s">
        <v>1</v>
      </c>
      <c r="BJ150" s="111" t="s">
        <v>1287</v>
      </c>
      <c r="BK150" s="112" t="s">
        <v>1287</v>
      </c>
      <c r="BL150" s="112" t="s">
        <v>1287</v>
      </c>
      <c r="BM150" s="112" t="s">
        <v>1287</v>
      </c>
      <c r="BN150" s="112" t="s">
        <v>1287</v>
      </c>
      <c r="BO150" s="112" t="s">
        <v>1287</v>
      </c>
      <c r="BP150" s="112" t="s">
        <v>1287</v>
      </c>
      <c r="BQ150" s="112" t="s">
        <v>1287</v>
      </c>
      <c r="BR150" s="112" t="s">
        <v>1287</v>
      </c>
      <c r="BS150" s="112" t="s">
        <v>1287</v>
      </c>
      <c r="BT150" s="112" t="s">
        <v>1287</v>
      </c>
      <c r="BU150" s="112" t="s">
        <v>1287</v>
      </c>
      <c r="BV150" s="111">
        <f t="shared" ref="BV150" si="956">E150</f>
        <v>37</v>
      </c>
      <c r="BW150" s="113" t="str">
        <f t="shared" ref="BW150" si="957">I150</f>
        <v>-</v>
      </c>
      <c r="BX150" s="114">
        <f t="shared" ref="BX150" si="958">M150</f>
        <v>76</v>
      </c>
      <c r="BY150" s="113">
        <f t="shared" ref="BY150" si="959">Q150</f>
        <v>105</v>
      </c>
      <c r="BZ150" s="114">
        <f t="shared" ref="BZ150" si="960">U150</f>
        <v>109</v>
      </c>
      <c r="CA150" s="113" t="str">
        <f t="shared" ref="CA150" si="961">Y150</f>
        <v>-</v>
      </c>
      <c r="CB150" s="114">
        <f t="shared" ref="CB150" si="962">AC150</f>
        <v>152</v>
      </c>
      <c r="CC150" s="113">
        <f t="shared" ref="CC150" si="963">AG150</f>
        <v>190</v>
      </c>
      <c r="CD150" s="114">
        <f t="shared" ref="CD150" si="964">AK150</f>
        <v>195</v>
      </c>
      <c r="CE150" s="113">
        <f t="shared" ref="CE150" si="965">AO150</f>
        <v>241</v>
      </c>
      <c r="CF150" s="114">
        <f t="shared" ref="CF150" si="966">AS150</f>
        <v>279</v>
      </c>
      <c r="CG150" s="113">
        <f t="shared" ref="CG150" si="967">AW150</f>
        <v>310</v>
      </c>
      <c r="CH150" s="111">
        <f t="shared" ref="CH150" si="968">G150</f>
        <v>71</v>
      </c>
      <c r="CI150" s="113" t="str">
        <f t="shared" ref="CI150" si="969">K150</f>
        <v>-</v>
      </c>
      <c r="CJ150" s="114">
        <f t="shared" ref="CJ150" si="970">O150</f>
        <v>102</v>
      </c>
      <c r="CK150" s="114">
        <f t="shared" ref="CK150" si="971">S150</f>
        <v>108</v>
      </c>
      <c r="CL150" s="114">
        <f t="shared" ref="CL150" si="972">W150</f>
        <v>144</v>
      </c>
      <c r="CM150" s="114" t="str">
        <f t="shared" ref="CM150" si="973">AA150</f>
        <v>-</v>
      </c>
      <c r="CN150" s="114">
        <f t="shared" ref="CN150" si="974">AE150</f>
        <v>179</v>
      </c>
      <c r="CO150" s="114">
        <f t="shared" ref="CO150" si="975">AI150</f>
        <v>192</v>
      </c>
      <c r="CP150" s="114">
        <f t="shared" ref="CP150" si="976">AM150</f>
        <v>231</v>
      </c>
      <c r="CQ150" s="114">
        <f t="shared" ref="CQ150" si="977">AQ150</f>
        <v>268</v>
      </c>
      <c r="CR150" s="114">
        <f t="shared" ref="CR150" si="978">AU150</f>
        <v>309</v>
      </c>
      <c r="CS150" s="114">
        <f t="shared" ref="CS150" si="979">AY150</f>
        <v>321</v>
      </c>
      <c r="CT150" s="109" t="e">
        <f t="shared" ref="CT150" si="980">M150-K150</f>
        <v>#VALUE!</v>
      </c>
      <c r="CU150" s="129"/>
      <c r="CV150" s="129"/>
      <c r="CW150" s="129"/>
      <c r="CX150" s="129"/>
      <c r="CY150" s="129"/>
      <c r="CZ150" s="129"/>
      <c r="DA150" s="129"/>
      <c r="DB150" s="129"/>
      <c r="DC150" s="129"/>
      <c r="DD150" s="129"/>
      <c r="DE150" s="129"/>
      <c r="DF150" s="129"/>
      <c r="DG150" s="129"/>
      <c r="DH150" s="129"/>
      <c r="DI150" s="129"/>
      <c r="DJ150" s="129"/>
      <c r="DK150" s="129"/>
      <c r="DL150" s="129"/>
      <c r="DM150" s="129"/>
      <c r="DN150" s="129"/>
      <c r="DO150" s="129"/>
      <c r="DP150" s="129"/>
      <c r="DQ150" s="129"/>
      <c r="DR150" s="129"/>
      <c r="DS150" s="129"/>
      <c r="DT150" s="129"/>
      <c r="DU150" s="129"/>
      <c r="DV150" s="129"/>
      <c r="DW150" s="129"/>
      <c r="DX150" s="129"/>
      <c r="DY150" s="129"/>
      <c r="DZ150" s="129"/>
      <c r="EA150" s="129"/>
      <c r="EB150" s="129"/>
      <c r="EC150" s="129"/>
      <c r="ED150" s="129"/>
      <c r="EE150" s="129"/>
      <c r="EF150" s="129"/>
      <c r="EG150" s="129"/>
      <c r="EH150" s="129"/>
      <c r="EI150" s="129"/>
      <c r="EJ150" s="129"/>
      <c r="EK150" s="129"/>
      <c r="EL150" s="129"/>
      <c r="EM150" s="129"/>
      <c r="EN150" s="129"/>
      <c r="EO150" s="129"/>
      <c r="EP150" s="129"/>
      <c r="EQ150" s="129"/>
      <c r="ER150" s="129"/>
      <c r="ES150" s="129"/>
      <c r="ET150" s="129"/>
      <c r="EU150" s="129"/>
      <c r="EV150" s="129"/>
      <c r="EW150" s="129"/>
      <c r="EX150" s="129"/>
      <c r="EY150" s="129"/>
      <c r="EZ150" s="129"/>
      <c r="FA150" s="129"/>
      <c r="FB150" s="129"/>
      <c r="FC150" s="129"/>
      <c r="FD150" s="129"/>
      <c r="FE150" s="129"/>
      <c r="FF150" s="129"/>
      <c r="FG150" s="129"/>
      <c r="FH150" s="129"/>
      <c r="FI150" s="129"/>
      <c r="FJ150" s="129"/>
      <c r="FK150" s="129"/>
      <c r="FL150" s="129"/>
      <c r="FM150" s="129"/>
      <c r="FN150" s="129"/>
      <c r="FO150" s="129"/>
      <c r="FP150" s="129"/>
      <c r="FQ150" s="129"/>
      <c r="FR150" s="129"/>
      <c r="FS150" s="129"/>
      <c r="FT150" s="129"/>
      <c r="FU150" s="129"/>
      <c r="FV150" s="129"/>
      <c r="FW150" s="129"/>
      <c r="FX150" s="129"/>
      <c r="FY150" s="129"/>
      <c r="FZ150" s="129"/>
      <c r="GA150" s="129"/>
      <c r="GB150" s="129"/>
      <c r="GC150" s="129"/>
      <c r="GD150" s="129"/>
      <c r="GE150" s="129"/>
      <c r="GF150" s="129"/>
      <c r="GG150" s="129"/>
      <c r="GH150" s="129"/>
      <c r="GI150" s="129"/>
      <c r="GJ150" s="129"/>
      <c r="GK150" s="129"/>
      <c r="GL150" s="129"/>
      <c r="GM150" s="129"/>
      <c r="GN150" s="129"/>
      <c r="GO150" s="129"/>
      <c r="GP150" s="129"/>
      <c r="GQ150" s="129"/>
      <c r="GR150" s="129"/>
      <c r="GS150" s="129"/>
      <c r="GT150" s="129"/>
      <c r="GU150" s="129"/>
      <c r="GV150" s="129"/>
      <c r="GW150" s="129"/>
      <c r="GX150" s="129"/>
      <c r="GY150" s="129"/>
      <c r="GZ150" s="129"/>
      <c r="HA150" s="129"/>
      <c r="HB150" s="129"/>
      <c r="HC150" s="129"/>
      <c r="HD150" s="129"/>
      <c r="HE150" s="129"/>
      <c r="HF150" s="129"/>
      <c r="HG150" s="129"/>
      <c r="HH150" s="129"/>
      <c r="HI150" s="129"/>
      <c r="HJ150" s="129"/>
      <c r="HK150" s="129"/>
      <c r="HL150" s="129"/>
      <c r="HM150" s="129"/>
      <c r="HN150" s="129"/>
      <c r="HO150" s="129"/>
      <c r="HP150" s="129"/>
      <c r="HQ150" s="129"/>
      <c r="HR150" s="129"/>
      <c r="HS150" s="129"/>
      <c r="HT150" s="129"/>
      <c r="HU150" s="129"/>
      <c r="HV150" s="129"/>
      <c r="HW150" s="129"/>
      <c r="HX150" s="129"/>
      <c r="HY150" s="129"/>
      <c r="HZ150" s="129"/>
      <c r="IA150" s="129"/>
      <c r="IB150" s="129"/>
      <c r="IC150" s="129"/>
      <c r="ID150" s="129"/>
      <c r="IE150" s="129"/>
      <c r="IF150" s="129"/>
      <c r="IG150" s="129"/>
      <c r="IH150" s="129"/>
      <c r="II150" s="129"/>
      <c r="IJ150" s="129"/>
      <c r="IK150" s="129"/>
      <c r="IL150" s="129"/>
      <c r="IM150" s="129"/>
      <c r="IN150" s="129"/>
      <c r="IO150" s="129"/>
      <c r="IP150" s="129"/>
      <c r="IQ150" s="129"/>
      <c r="IR150" s="129"/>
      <c r="IS150" s="129"/>
      <c r="IT150" s="129"/>
      <c r="IU150" s="129"/>
      <c r="IV150" s="129"/>
      <c r="IW150" s="129"/>
      <c r="IX150" s="129"/>
      <c r="IY150" s="129"/>
      <c r="IZ150" s="129"/>
      <c r="JA150" s="129"/>
      <c r="JB150" s="129"/>
      <c r="JC150" s="129"/>
      <c r="JD150" s="129"/>
      <c r="JE150" s="129"/>
      <c r="JF150" s="129"/>
      <c r="JG150" s="129"/>
      <c r="JH150" s="129"/>
      <c r="JI150" s="129"/>
      <c r="JJ150" s="129"/>
      <c r="JK150" s="129"/>
      <c r="JL150" s="129"/>
      <c r="JM150" s="129"/>
      <c r="JN150" s="129"/>
      <c r="JO150" s="129"/>
      <c r="JP150" s="129"/>
      <c r="JQ150" s="129"/>
      <c r="JR150" s="129"/>
      <c r="JS150" s="129"/>
      <c r="JT150" s="129"/>
      <c r="JU150" s="129"/>
      <c r="JV150" s="129"/>
      <c r="JW150" s="129"/>
      <c r="JX150" s="129"/>
      <c r="JY150" s="129"/>
      <c r="JZ150" s="129"/>
      <c r="KA150" s="129"/>
      <c r="KB150" s="129"/>
      <c r="KC150" s="129"/>
      <c r="KD150" s="129"/>
      <c r="KE150" s="129"/>
      <c r="KF150" s="129"/>
      <c r="KG150" s="129"/>
      <c r="KH150" s="129"/>
      <c r="KI150" s="129"/>
      <c r="KJ150" s="129"/>
      <c r="KK150" s="129"/>
      <c r="KL150" s="129"/>
      <c r="KM150" s="129"/>
      <c r="KN150" s="129"/>
      <c r="KO150" s="129"/>
      <c r="KP150" s="129"/>
      <c r="KQ150" s="129"/>
      <c r="KR150" s="129"/>
      <c r="KS150" s="129"/>
      <c r="KT150" s="129"/>
      <c r="KU150" s="129"/>
      <c r="KV150" s="129"/>
      <c r="KW150" s="129"/>
      <c r="KX150" s="129"/>
      <c r="KY150" s="129"/>
      <c r="KZ150" s="129"/>
      <c r="LA150" s="129"/>
      <c r="LB150" s="129"/>
      <c r="LC150" s="129"/>
      <c r="LD150" s="129"/>
      <c r="LE150" s="129"/>
      <c r="LF150" s="129"/>
      <c r="LG150" s="129"/>
      <c r="LH150" s="129"/>
      <c r="LI150" s="129"/>
      <c r="LJ150" s="129"/>
      <c r="LK150" s="129"/>
      <c r="LL150" s="129"/>
      <c r="LM150" s="129"/>
      <c r="LN150" s="129"/>
      <c r="LO150" s="129"/>
      <c r="LP150" s="129"/>
      <c r="LQ150" s="129"/>
      <c r="LR150" s="129"/>
      <c r="LS150" s="129"/>
      <c r="LT150" s="129"/>
      <c r="LU150" s="129"/>
      <c r="LV150" s="129"/>
      <c r="LW150" s="129"/>
      <c r="LX150" s="129"/>
      <c r="LY150" s="129"/>
      <c r="LZ150" s="129"/>
      <c r="MA150" s="129"/>
      <c r="MB150" s="129"/>
      <c r="MC150" s="129"/>
      <c r="MD150" s="129"/>
      <c r="ME150" s="129"/>
      <c r="MF150" s="129"/>
      <c r="MG150" s="129"/>
      <c r="MH150" s="129"/>
      <c r="MI150" s="129"/>
      <c r="MJ150" s="129"/>
      <c r="MK150" s="129"/>
      <c r="ML150" s="129"/>
      <c r="MM150" s="129"/>
      <c r="MN150" s="129"/>
      <c r="MO150" s="129"/>
      <c r="MP150" s="129"/>
      <c r="MQ150" s="129"/>
      <c r="MR150" s="129"/>
      <c r="MS150" s="129"/>
      <c r="MT150" s="129"/>
      <c r="MU150" s="129"/>
      <c r="MV150" s="129"/>
      <c r="MW150" s="129"/>
      <c r="MX150" s="129"/>
      <c r="MY150" s="129"/>
      <c r="MZ150" s="129"/>
      <c r="NA150" s="129"/>
      <c r="NB150" s="129"/>
      <c r="NC150" s="129"/>
      <c r="ND150" s="129"/>
      <c r="NE150" s="129"/>
      <c r="NF150" s="129"/>
      <c r="NG150" s="129"/>
      <c r="NH150" s="129"/>
      <c r="NI150" s="129"/>
      <c r="NJ150" s="129"/>
      <c r="NK150" s="129"/>
      <c r="NL150" s="129"/>
      <c r="NM150" s="129"/>
      <c r="NN150" s="129"/>
      <c r="NO150" s="129"/>
      <c r="NP150" s="129"/>
      <c r="NQ150" s="129"/>
      <c r="NR150" s="129"/>
      <c r="NS150" s="129"/>
      <c r="NT150" s="129"/>
      <c r="NU150" s="129"/>
      <c r="NV150" s="129"/>
      <c r="NW150" s="129"/>
      <c r="NX150" s="129"/>
      <c r="NY150" s="129"/>
      <c r="NZ150" s="129"/>
      <c r="OA150" s="129"/>
      <c r="OB150" s="129"/>
      <c r="OC150" s="129"/>
      <c r="OD150" s="129"/>
      <c r="OE150" s="129"/>
      <c r="OF150" s="129"/>
      <c r="OG150" s="129"/>
      <c r="OH150" s="129"/>
      <c r="OI150" s="129"/>
      <c r="OJ150" s="129"/>
      <c r="OK150" s="129"/>
      <c r="OL150" s="129"/>
      <c r="OM150" s="129"/>
      <c r="ON150" s="129"/>
      <c r="OO150" s="129"/>
      <c r="OP150" s="129"/>
      <c r="OQ150" s="129"/>
      <c r="OR150" s="129"/>
      <c r="OS150" s="129"/>
      <c r="OT150" s="129"/>
      <c r="OU150" s="129"/>
      <c r="OV150" s="129"/>
      <c r="OW150" s="129"/>
      <c r="OX150" s="129"/>
      <c r="OY150" s="129"/>
      <c r="OZ150" s="129"/>
      <c r="PA150" s="129"/>
      <c r="PB150" s="129"/>
      <c r="PC150" s="129"/>
      <c r="PD150" s="129"/>
      <c r="PE150" s="129"/>
      <c r="PF150" s="129"/>
      <c r="PG150" s="129"/>
      <c r="PH150" s="129"/>
      <c r="PI150" s="129"/>
      <c r="PJ150" s="129"/>
      <c r="PK150" s="129"/>
      <c r="PL150" s="129"/>
      <c r="PM150" s="129"/>
      <c r="PN150" s="129"/>
      <c r="PO150" s="129"/>
      <c r="PP150" s="129"/>
      <c r="PQ150" s="129"/>
      <c r="PR150" s="129"/>
      <c r="PS150" s="129"/>
      <c r="PT150" s="129"/>
      <c r="PU150" s="129"/>
      <c r="PV150" s="129"/>
      <c r="PW150" s="129"/>
      <c r="PX150" s="129"/>
      <c r="PY150" s="129"/>
      <c r="PZ150" s="129"/>
      <c r="QA150" s="129"/>
      <c r="QB150" s="129"/>
      <c r="QC150" s="129"/>
      <c r="QD150" s="129"/>
      <c r="QE150" s="129"/>
      <c r="QF150" s="129"/>
      <c r="QG150" s="129"/>
      <c r="QH150" s="129"/>
      <c r="QI150" s="129"/>
      <c r="QJ150" s="129"/>
      <c r="QK150" s="129"/>
      <c r="QL150" s="129"/>
      <c r="QM150" s="129"/>
      <c r="QN150" s="129"/>
      <c r="QO150" s="129"/>
      <c r="QP150" s="129"/>
      <c r="QQ150" s="129"/>
      <c r="QR150" s="129"/>
      <c r="QS150" s="129"/>
      <c r="QT150" s="129"/>
      <c r="QU150" s="129"/>
      <c r="QV150" s="129"/>
      <c r="QW150" s="129"/>
      <c r="QX150" s="129"/>
      <c r="QY150" s="129"/>
      <c r="QZ150" s="129"/>
      <c r="RA150" s="129"/>
      <c r="RB150" s="129"/>
      <c r="RC150" s="129"/>
      <c r="RD150" s="129"/>
      <c r="RE150" s="129"/>
      <c r="RF150" s="129"/>
      <c r="RG150" s="129"/>
      <c r="RH150" s="129"/>
      <c r="RI150" s="129"/>
      <c r="RJ150" s="129"/>
      <c r="RK150" s="129"/>
      <c r="RL150" s="129"/>
      <c r="RM150" s="129"/>
      <c r="RN150" s="129"/>
      <c r="RO150" s="129"/>
      <c r="RP150" s="129"/>
      <c r="RQ150" s="129"/>
      <c r="RR150" s="129"/>
      <c r="RS150" s="129"/>
      <c r="RT150" s="129"/>
      <c r="RU150" s="129"/>
      <c r="RV150" s="129"/>
      <c r="RW150" s="129"/>
      <c r="RX150" s="129"/>
      <c r="RY150" s="129"/>
      <c r="RZ150" s="129"/>
      <c r="SA150" s="129"/>
      <c r="SB150" s="129"/>
      <c r="SC150" s="129"/>
      <c r="SD150" s="129"/>
      <c r="SE150" s="129"/>
      <c r="SF150" s="129"/>
      <c r="SG150" s="129"/>
      <c r="SH150" s="129"/>
      <c r="SI150" s="129"/>
      <c r="SJ150" s="129"/>
      <c r="SK150" s="129"/>
      <c r="SL150" s="129"/>
      <c r="SM150" s="129"/>
      <c r="SN150" s="129"/>
      <c r="SO150" s="129"/>
      <c r="SP150" s="129"/>
      <c r="SQ150" s="129"/>
      <c r="SR150" s="129"/>
      <c r="SS150" s="129"/>
      <c r="ST150" s="129"/>
      <c r="SU150" s="129"/>
      <c r="SV150" s="129"/>
      <c r="SW150" s="129"/>
      <c r="SX150" s="129"/>
      <c r="SY150" s="129"/>
      <c r="SZ150" s="129"/>
      <c r="TA150" s="129"/>
      <c r="TB150" s="129"/>
      <c r="TC150" s="129"/>
      <c r="TD150" s="129"/>
      <c r="TE150" s="129"/>
      <c r="TF150" s="129"/>
      <c r="TG150" s="129"/>
      <c r="TH150" s="129"/>
      <c r="TI150" s="129"/>
      <c r="TJ150" s="129"/>
      <c r="TK150" s="129"/>
      <c r="TL150" s="129"/>
      <c r="TM150" s="129"/>
      <c r="TN150" s="129"/>
      <c r="TO150" s="129"/>
      <c r="TP150" s="129"/>
      <c r="TQ150" s="129"/>
      <c r="TR150" s="129"/>
      <c r="TS150" s="129"/>
      <c r="TT150" s="129"/>
      <c r="TU150" s="129"/>
      <c r="TV150" s="129"/>
      <c r="TW150" s="129"/>
      <c r="TX150" s="129"/>
      <c r="TY150" s="129"/>
      <c r="TZ150" s="129"/>
      <c r="UA150" s="129"/>
      <c r="UB150" s="129"/>
      <c r="UC150" s="129"/>
      <c r="UD150" s="129"/>
      <c r="UE150" s="129"/>
      <c r="UF150" s="129"/>
      <c r="UG150" s="129"/>
      <c r="UH150" s="129"/>
      <c r="UI150" s="129"/>
      <c r="UJ150" s="129"/>
      <c r="UK150" s="129"/>
      <c r="UL150" s="129"/>
      <c r="UM150" s="129"/>
      <c r="UN150" s="129"/>
      <c r="UO150" s="129"/>
      <c r="UP150" s="129"/>
      <c r="UQ150" s="129"/>
      <c r="UR150" s="129"/>
      <c r="US150" s="129"/>
      <c r="UT150" s="129"/>
      <c r="UU150" s="129"/>
      <c r="UV150" s="129"/>
      <c r="UW150" s="129"/>
      <c r="UX150" s="129"/>
      <c r="UY150" s="129"/>
      <c r="UZ150" s="129"/>
      <c r="VA150" s="129"/>
      <c r="VB150" s="129"/>
      <c r="VC150" s="129"/>
      <c r="VD150" s="129"/>
      <c r="VE150" s="129"/>
      <c r="VF150" s="129"/>
      <c r="VG150" s="129"/>
      <c r="VH150" s="129"/>
      <c r="VI150" s="129"/>
      <c r="VJ150" s="129"/>
      <c r="VK150" s="129"/>
      <c r="VL150" s="129"/>
      <c r="VM150" s="129"/>
      <c r="VN150" s="129"/>
      <c r="VO150" s="129"/>
      <c r="VP150" s="129"/>
      <c r="VQ150" s="129"/>
      <c r="VR150" s="129"/>
      <c r="VS150" s="129"/>
      <c r="VT150" s="129"/>
      <c r="VU150" s="129"/>
      <c r="VV150" s="129"/>
      <c r="VW150" s="129"/>
      <c r="VX150" s="129"/>
      <c r="VY150" s="129"/>
      <c r="VZ150" s="129"/>
      <c r="WA150" s="129"/>
      <c r="WB150" s="129"/>
      <c r="WC150" s="129"/>
      <c r="WD150" s="129"/>
      <c r="WE150" s="129"/>
      <c r="WF150" s="129"/>
      <c r="WG150" s="129"/>
      <c r="WH150" s="129"/>
      <c r="WI150" s="129"/>
      <c r="WJ150" s="129"/>
      <c r="WK150" s="129"/>
      <c r="WL150" s="129"/>
      <c r="WM150" s="129"/>
      <c r="WN150" s="129"/>
      <c r="WO150" s="129"/>
      <c r="WP150" s="129"/>
      <c r="WQ150" s="129"/>
      <c r="WR150" s="129"/>
      <c r="WS150" s="129"/>
      <c r="WT150" s="129"/>
      <c r="WU150" s="129"/>
      <c r="WV150" s="129"/>
      <c r="WW150" s="129"/>
      <c r="WX150" s="129"/>
      <c r="WY150" s="129"/>
      <c r="WZ150" s="129"/>
      <c r="XA150" s="129"/>
      <c r="XB150" s="129"/>
      <c r="XC150" s="129"/>
      <c r="XD150" s="129"/>
      <c r="XE150" s="129"/>
      <c r="XF150" s="129"/>
      <c r="XG150" s="129"/>
      <c r="XH150" s="129"/>
      <c r="XI150" s="129"/>
      <c r="XJ150" s="129"/>
      <c r="XK150" s="129"/>
      <c r="XL150" s="129"/>
      <c r="XM150" s="129"/>
      <c r="XN150" s="129"/>
      <c r="XO150" s="129"/>
      <c r="XP150" s="129"/>
      <c r="XQ150" s="129"/>
      <c r="XR150" s="129"/>
      <c r="XS150" s="129"/>
      <c r="XT150" s="129"/>
      <c r="XU150" s="129"/>
      <c r="XV150" s="129"/>
      <c r="XW150" s="129"/>
      <c r="XX150" s="129"/>
      <c r="XY150" s="129"/>
      <c r="XZ150" s="129"/>
      <c r="YA150" s="129"/>
      <c r="YB150" s="129"/>
      <c r="YC150" s="129"/>
      <c r="YD150" s="129"/>
      <c r="YE150" s="129"/>
      <c r="YF150" s="129"/>
      <c r="YG150" s="129"/>
      <c r="YH150" s="129"/>
      <c r="YI150" s="129"/>
      <c r="YJ150" s="129"/>
      <c r="YK150" s="129"/>
      <c r="YL150" s="129"/>
      <c r="YM150" s="129"/>
      <c r="YN150" s="129"/>
      <c r="YO150" s="129"/>
      <c r="YP150" s="129"/>
      <c r="YQ150" s="129"/>
      <c r="YR150" s="129"/>
      <c r="YS150" s="129"/>
      <c r="YT150" s="129"/>
      <c r="YU150" s="129"/>
      <c r="YV150" s="129"/>
      <c r="YW150" s="129"/>
      <c r="YX150" s="129"/>
      <c r="YY150" s="129"/>
      <c r="YZ150" s="129"/>
      <c r="ZA150" s="129"/>
      <c r="ZB150" s="129"/>
      <c r="ZC150" s="129"/>
      <c r="ZD150" s="129"/>
      <c r="ZE150" s="129"/>
      <c r="ZF150" s="129"/>
      <c r="ZG150" s="129"/>
      <c r="ZH150" s="129"/>
      <c r="ZI150" s="129"/>
      <c r="ZJ150" s="129"/>
      <c r="ZK150" s="129"/>
      <c r="ZL150" s="129"/>
      <c r="ZM150" s="129"/>
      <c r="ZN150" s="129"/>
      <c r="ZO150" s="129"/>
      <c r="ZP150" s="129"/>
      <c r="ZQ150" s="129"/>
      <c r="ZR150" s="129"/>
      <c r="ZS150" s="129"/>
      <c r="ZT150" s="129"/>
      <c r="ZU150" s="129"/>
      <c r="ZV150" s="129"/>
      <c r="ZW150" s="129"/>
      <c r="ZX150" s="129"/>
      <c r="ZY150" s="129"/>
      <c r="ZZ150" s="129"/>
      <c r="AAA150" s="129"/>
      <c r="AAB150" s="129"/>
      <c r="AAC150" s="129"/>
      <c r="AAD150" s="129"/>
      <c r="AAE150" s="129"/>
      <c r="AAF150" s="129"/>
      <c r="AAG150" s="129"/>
      <c r="AAH150" s="129"/>
      <c r="AAI150" s="129"/>
      <c r="AAJ150" s="129"/>
      <c r="AAK150" s="129"/>
      <c r="AAL150" s="129"/>
      <c r="AAM150" s="129"/>
      <c r="AAN150" s="129"/>
      <c r="AAO150" s="129"/>
      <c r="AAP150" s="129"/>
      <c r="AAQ150" s="129"/>
      <c r="AAR150" s="129"/>
      <c r="AAS150" s="129"/>
      <c r="AAT150" s="129"/>
      <c r="AAU150" s="129"/>
      <c r="AAV150" s="129"/>
      <c r="AAW150" s="129"/>
      <c r="AAX150" s="129"/>
      <c r="AAY150" s="129"/>
      <c r="AAZ150" s="129"/>
      <c r="ABA150" s="129"/>
      <c r="ABB150" s="129"/>
      <c r="ABC150" s="129"/>
      <c r="ABD150" s="129"/>
      <c r="ABE150" s="129"/>
      <c r="ABF150" s="129"/>
      <c r="ABG150" s="129"/>
      <c r="ABH150" s="129"/>
      <c r="ABI150" s="129"/>
      <c r="ABJ150" s="129"/>
      <c r="ABK150" s="129"/>
      <c r="ABL150" s="129"/>
      <c r="ABM150" s="129"/>
      <c r="ABN150" s="129"/>
      <c r="ABO150" s="129"/>
      <c r="ABP150" s="129"/>
      <c r="ABQ150" s="129"/>
      <c r="ABR150" s="129"/>
      <c r="ABS150" s="129"/>
      <c r="ABT150" s="129"/>
      <c r="ABU150" s="129"/>
      <c r="ABV150" s="129"/>
      <c r="ABW150" s="129"/>
      <c r="ABX150" s="129"/>
      <c r="ABY150" s="129"/>
      <c r="ABZ150" s="129"/>
      <c r="ACA150" s="129"/>
      <c r="ACB150" s="129"/>
      <c r="ACC150" s="129"/>
      <c r="ACD150" s="129"/>
      <c r="ACE150" s="129"/>
      <c r="ACF150" s="129"/>
      <c r="ACG150" s="129"/>
      <c r="ACH150" s="129"/>
      <c r="ACI150" s="129"/>
      <c r="ACJ150" s="129"/>
      <c r="ACK150" s="129"/>
      <c r="ACL150" s="129"/>
      <c r="ACM150" s="129"/>
      <c r="ACN150" s="129"/>
      <c r="ACO150" s="129"/>
      <c r="ACP150" s="129"/>
      <c r="ACQ150" s="129"/>
      <c r="ACR150" s="129"/>
      <c r="ACS150" s="129"/>
      <c r="ACT150" s="129"/>
      <c r="ACU150" s="129"/>
      <c r="ACV150" s="129"/>
      <c r="ACW150" s="129"/>
      <c r="ACX150" s="129"/>
      <c r="ACY150" s="129"/>
      <c r="ACZ150" s="129"/>
      <c r="ADA150" s="129"/>
      <c r="ADB150" s="129"/>
      <c r="ADC150" s="129"/>
      <c r="ADD150" s="129"/>
      <c r="ADE150" s="129"/>
      <c r="ADF150" s="129"/>
      <c r="ADG150" s="129"/>
      <c r="ADH150" s="129"/>
      <c r="ADI150" s="129"/>
      <c r="ADJ150" s="129"/>
      <c r="ADK150" s="129"/>
      <c r="ADL150" s="129"/>
      <c r="ADM150" s="129"/>
      <c r="ADN150" s="129"/>
      <c r="ADO150" s="129"/>
      <c r="ADP150" s="129"/>
      <c r="ADQ150" s="129"/>
      <c r="ADR150" s="129"/>
      <c r="ADS150" s="129"/>
      <c r="ADT150" s="129"/>
      <c r="ADU150" s="129"/>
      <c r="ADV150" s="129"/>
      <c r="ADW150" s="129"/>
      <c r="ADX150" s="129"/>
      <c r="ADY150" s="129"/>
      <c r="ADZ150" s="129"/>
      <c r="AEA150" s="129"/>
      <c r="AEB150" s="129"/>
      <c r="AEC150" s="129"/>
      <c r="AED150" s="129"/>
      <c r="AEE150" s="129"/>
      <c r="AEF150" s="129"/>
      <c r="AEG150" s="129"/>
      <c r="AEH150" s="129"/>
      <c r="AEI150" s="129"/>
      <c r="AEJ150" s="129"/>
      <c r="AEK150" s="129"/>
      <c r="AEL150" s="129"/>
      <c r="AEM150" s="129"/>
      <c r="AEN150" s="129"/>
      <c r="AEO150" s="129"/>
      <c r="AEP150" s="129"/>
      <c r="AEQ150" s="129"/>
      <c r="AER150" s="129"/>
      <c r="AES150" s="129"/>
      <c r="AET150" s="129"/>
      <c r="AEU150" s="129"/>
      <c r="AEV150" s="129"/>
      <c r="AEW150" s="129"/>
      <c r="AEX150" s="129"/>
      <c r="AEY150" s="129"/>
      <c r="AEZ150" s="129"/>
      <c r="AFA150" s="129"/>
      <c r="AFB150" s="129"/>
      <c r="AFC150" s="129"/>
      <c r="AFD150" s="129"/>
      <c r="AFE150" s="129"/>
      <c r="AFF150" s="129"/>
      <c r="AFG150" s="129"/>
      <c r="AFH150" s="129"/>
      <c r="AFI150" s="129"/>
      <c r="AFJ150" s="129"/>
      <c r="AFK150" s="129"/>
      <c r="AFL150" s="129"/>
      <c r="AFM150" s="129"/>
      <c r="AFN150" s="129"/>
      <c r="AFO150" s="129"/>
      <c r="AFP150" s="129"/>
      <c r="AFQ150" s="129"/>
      <c r="AFR150" s="129"/>
      <c r="AFS150" s="129"/>
      <c r="AFT150" s="129"/>
      <c r="AFU150" s="129"/>
      <c r="AFV150" s="129"/>
      <c r="AFW150" s="129"/>
      <c r="AFX150" s="129"/>
      <c r="AFY150" s="129"/>
      <c r="AFZ150" s="129"/>
      <c r="AGA150" s="129"/>
      <c r="AGB150" s="129"/>
      <c r="AGC150" s="129"/>
      <c r="AGD150" s="129"/>
      <c r="AGE150" s="129"/>
      <c r="AGF150" s="129"/>
      <c r="AGG150" s="129"/>
      <c r="AGH150" s="129"/>
      <c r="AGI150" s="129"/>
      <c r="AGJ150" s="129"/>
      <c r="AGK150" s="129"/>
      <c r="AGL150" s="129"/>
      <c r="AGM150" s="129"/>
      <c r="AGN150" s="129"/>
      <c r="AGO150" s="129"/>
      <c r="AGP150" s="129"/>
      <c r="AGQ150" s="129"/>
      <c r="AGR150" s="129"/>
      <c r="AGS150" s="129"/>
      <c r="AGT150" s="129"/>
      <c r="AGU150" s="129"/>
      <c r="AGV150" s="129"/>
      <c r="AGW150" s="129"/>
      <c r="AGX150" s="129"/>
      <c r="AGY150" s="129"/>
      <c r="AGZ150" s="129"/>
      <c r="AHA150" s="129"/>
      <c r="AHB150" s="129"/>
      <c r="AHC150" s="129"/>
      <c r="AHD150" s="129"/>
      <c r="AHE150" s="129"/>
      <c r="AHF150" s="129"/>
      <c r="AHG150" s="129"/>
      <c r="AHH150" s="129"/>
      <c r="AHI150" s="129"/>
      <c r="AHJ150" s="129"/>
      <c r="AHK150" s="129"/>
      <c r="AHL150" s="129"/>
      <c r="AHM150" s="129"/>
      <c r="AHN150" s="129"/>
      <c r="AHO150" s="129"/>
      <c r="AHP150" s="129"/>
      <c r="AHQ150" s="129"/>
      <c r="AHR150" s="129"/>
      <c r="AHS150" s="129"/>
      <c r="AHT150" s="129"/>
      <c r="AHU150" s="129"/>
      <c r="AHV150" s="129"/>
      <c r="AHW150" s="129"/>
      <c r="AHX150" s="129"/>
      <c r="AHY150" s="129"/>
      <c r="AHZ150" s="129"/>
      <c r="AIA150" s="129"/>
      <c r="AIB150" s="129"/>
      <c r="AIC150" s="129"/>
      <c r="AID150" s="129"/>
      <c r="AIE150" s="129"/>
      <c r="AIF150" s="129"/>
      <c r="AIG150" s="129"/>
      <c r="AIH150" s="129"/>
      <c r="AII150" s="129"/>
      <c r="AIJ150" s="129"/>
      <c r="AIK150" s="129"/>
      <c r="AIL150" s="129"/>
      <c r="AIM150" s="129"/>
      <c r="AIN150" s="129"/>
      <c r="AIO150" s="129"/>
      <c r="AIP150" s="129"/>
      <c r="AIQ150" s="129"/>
      <c r="AIR150" s="129"/>
      <c r="AIS150" s="129"/>
      <c r="AIT150" s="129"/>
      <c r="AIU150" s="129"/>
      <c r="AIV150" s="129"/>
      <c r="AIW150" s="129"/>
      <c r="AIX150" s="129"/>
      <c r="AIY150" s="129"/>
      <c r="AIZ150" s="129"/>
      <c r="AJA150" s="129"/>
      <c r="AJB150" s="129"/>
      <c r="AJC150" s="129"/>
      <c r="AJD150" s="129"/>
      <c r="AJE150" s="129"/>
      <c r="AJF150" s="129"/>
      <c r="AJG150" s="129"/>
      <c r="AJH150" s="129"/>
      <c r="AJI150" s="129"/>
      <c r="AJJ150" s="129"/>
      <c r="AJK150" s="129"/>
      <c r="AJL150" s="129"/>
      <c r="AJM150" s="129"/>
      <c r="AJN150" s="129"/>
      <c r="AJO150" s="129"/>
      <c r="AJP150" s="129"/>
      <c r="AJQ150" s="129"/>
      <c r="AJR150" s="129"/>
      <c r="AJS150" s="129"/>
      <c r="AJT150" s="129"/>
      <c r="AJU150" s="129"/>
      <c r="AJV150" s="129"/>
      <c r="AJW150" s="129"/>
      <c r="AJX150" s="129"/>
      <c r="AJY150" s="129"/>
      <c r="AJZ150" s="129"/>
      <c r="AKA150" s="129"/>
      <c r="AKB150" s="129"/>
      <c r="AKC150" s="129"/>
      <c r="AKD150" s="129"/>
      <c r="AKE150" s="129"/>
      <c r="AKF150" s="129"/>
      <c r="AKG150" s="129"/>
      <c r="AKH150" s="129"/>
      <c r="AKI150" s="129"/>
      <c r="AKJ150" s="129"/>
      <c r="AKK150" s="129"/>
      <c r="AKL150" s="129"/>
      <c r="AKM150" s="129"/>
      <c r="AKN150" s="129"/>
      <c r="AKO150" s="129"/>
      <c r="AKP150" s="129"/>
      <c r="AKQ150" s="129"/>
      <c r="AKR150" s="129"/>
      <c r="AKS150" s="129"/>
      <c r="AKT150" s="129"/>
      <c r="AKU150" s="129"/>
      <c r="AKV150" s="129"/>
      <c r="AKW150" s="129"/>
      <c r="AKX150" s="129"/>
      <c r="AKY150" s="129"/>
      <c r="AKZ150" s="129"/>
      <c r="ALA150" s="129"/>
      <c r="ALB150" s="129"/>
      <c r="ALC150" s="129"/>
      <c r="ALD150" s="129"/>
      <c r="ALE150" s="129"/>
      <c r="ALF150" s="129"/>
      <c r="ALG150" s="129"/>
      <c r="ALH150" s="129"/>
      <c r="ALI150" s="129"/>
      <c r="ALJ150" s="129"/>
      <c r="ALK150" s="129"/>
      <c r="ALL150" s="129"/>
      <c r="ALM150" s="129"/>
      <c r="ALN150" s="129"/>
      <c r="ALO150" s="129"/>
      <c r="ALP150" s="129"/>
      <c r="ALQ150" s="129"/>
      <c r="ALR150" s="129"/>
      <c r="ALS150" s="129"/>
      <c r="ALT150" s="129"/>
      <c r="ALU150" s="129"/>
      <c r="ALV150" s="129"/>
      <c r="ALW150" s="129"/>
      <c r="ALX150" s="129"/>
      <c r="ALY150" s="129"/>
      <c r="ALZ150" s="129"/>
      <c r="AMA150" s="129"/>
      <c r="AMB150" s="129"/>
      <c r="AMC150" s="129"/>
      <c r="AMD150" s="129"/>
      <c r="AME150" s="129"/>
      <c r="AMF150" s="129"/>
      <c r="AMG150" s="129"/>
      <c r="AMH150" s="129"/>
      <c r="AMI150" s="129"/>
      <c r="AMJ150" s="129"/>
      <c r="AMK150" s="129"/>
      <c r="AML150" s="129"/>
      <c r="AMM150" s="129"/>
      <c r="AMN150" s="129"/>
      <c r="AMO150" s="129"/>
      <c r="AMP150" s="129"/>
    </row>
    <row r="151" spans="1:1030" s="12" customFormat="1" x14ac:dyDescent="0.2">
      <c r="A151" s="9" t="str">
        <f t="shared" ref="A151" si="981">CONCATENATE(B151,"_",C151)</f>
        <v>ccr2_human_6GPX</v>
      </c>
      <c r="B151" s="9" t="s">
        <v>170</v>
      </c>
      <c r="C151" s="9" t="s">
        <v>1547</v>
      </c>
      <c r="D151" s="9" t="str">
        <f>IFERROR(MID(VLOOKUP($B151,Seqs!$A:$B,2,0),E151,1),"")</f>
        <v>F</v>
      </c>
      <c r="E151" s="9">
        <v>35</v>
      </c>
      <c r="F151" s="9" t="str">
        <f>IFERROR(MID(VLOOKUP($B151,Seqs!$A:$B,2,0),G151,1),"")</f>
        <v>K</v>
      </c>
      <c r="G151" s="9">
        <v>71</v>
      </c>
      <c r="H151" s="9" t="str">
        <f>IFERROR(MID(VLOOKUP($B151,Seqs!$A:$B,2,0),I151,1),"")</f>
        <v/>
      </c>
      <c r="I151" s="109" t="s">
        <v>23</v>
      </c>
      <c r="J151" s="9" t="str">
        <f>IFERROR(MID(VLOOKUP($B151,Seqs!$A:$B,2,0),K151,1),"")</f>
        <v/>
      </c>
      <c r="K151" s="109" t="s">
        <v>23</v>
      </c>
      <c r="L151" s="9" t="str">
        <f>IFERROR(MID(VLOOKUP($B151,Seqs!$A:$B,2,0),M151,1),"")</f>
        <v>C</v>
      </c>
      <c r="M151" s="9">
        <v>75</v>
      </c>
      <c r="N151" s="9" t="str">
        <f>IFERROR(MID(VLOOKUP($B151,Seqs!$A:$B,2,0),O151,1),"")</f>
        <v>A</v>
      </c>
      <c r="O151" s="9">
        <v>102</v>
      </c>
      <c r="P151" s="9" t="str">
        <f>IFERROR(MID(VLOOKUP($B151,Seqs!$A:$B,2,0),Q151,1),"")</f>
        <v>E</v>
      </c>
      <c r="Q151" s="9">
        <v>105</v>
      </c>
      <c r="R151" s="9" t="str">
        <f>IFERROR(MID(VLOOKUP($B151,Seqs!$A:$B,2,0),S151,1),"")</f>
        <v>F</v>
      </c>
      <c r="S151" s="9">
        <v>108</v>
      </c>
      <c r="T151" s="9" t="str">
        <f>IFERROR(MID(VLOOKUP($B151,Seqs!$A:$B,2,0),U151,1),"")</f>
        <v>G</v>
      </c>
      <c r="U151" s="9">
        <v>109</v>
      </c>
      <c r="V151" s="9" t="str">
        <f>IFERROR(MID(VLOOKUP($B151,Seqs!$A:$B,2,0),W151,1),"")</f>
        <v>H</v>
      </c>
      <c r="W151" s="9">
        <v>144</v>
      </c>
      <c r="X151" s="9" t="str">
        <f>IFERROR(MID(VLOOKUP($B151,Seqs!$A:$B,2,0),Y151,1),"")</f>
        <v/>
      </c>
      <c r="Y151" s="9" t="s">
        <v>23</v>
      </c>
      <c r="Z151" s="9" t="str">
        <f>IFERROR(MID(VLOOKUP($B151,Seqs!$A:$B,2,0),AA151,1),"")</f>
        <v/>
      </c>
      <c r="AA151" s="9" t="s">
        <v>23</v>
      </c>
      <c r="AB151" s="9" t="str">
        <f>IFERROR(MID(VLOOKUP($B151,Seqs!$A:$B,2,0),AC151,1),"")</f>
        <v>R</v>
      </c>
      <c r="AC151" s="9">
        <v>152</v>
      </c>
      <c r="AD151" s="9" t="str">
        <f>IFERROR(MID(VLOOKUP($B151,Seqs!$A:$B,2,0),AE151,1),"")</f>
        <v>T</v>
      </c>
      <c r="AE151" s="9">
        <v>179</v>
      </c>
      <c r="AF151" s="9" t="str">
        <f>IFERROR(MID(VLOOKUP($B151,Seqs!$A:$B,2,0),AG151,1),"")</f>
        <v>C</v>
      </c>
      <c r="AG151" s="9">
        <v>190</v>
      </c>
      <c r="AH151" s="9" t="str">
        <f>IFERROR(MID(VLOOKUP($B151,Seqs!$A:$B,2,0),AI151,1),"")</f>
        <v>P</v>
      </c>
      <c r="AI151" s="9">
        <v>192</v>
      </c>
      <c r="AJ151" s="9" t="str">
        <f>IFERROR(MID(VLOOKUP($B151,Seqs!$A:$B,2,0),AK151,1),"")</f>
        <v>P</v>
      </c>
      <c r="AK151" s="9">
        <v>195</v>
      </c>
      <c r="AL151" s="9" t="str">
        <f>IFERROR(MID(VLOOKUP($B151,Seqs!$A:$B,2,0),AM151,1),"")</f>
        <v>L</v>
      </c>
      <c r="AM151" s="9">
        <v>229</v>
      </c>
      <c r="AN151" s="9" t="str">
        <f>IFERROR(MID(VLOOKUP($B151,Seqs!$A:$B,2,0),AO151,1),"")</f>
        <v>A</v>
      </c>
      <c r="AO151" s="9">
        <v>241</v>
      </c>
      <c r="AP151" s="9" t="str">
        <f>IFERROR(MID(VLOOKUP($B151,Seqs!$A:$B,2,0),AQ151,1),"")</f>
        <v>F</v>
      </c>
      <c r="AQ151" s="9">
        <v>268</v>
      </c>
      <c r="AR151" s="9" t="str">
        <f>IFERROR(MID(VLOOKUP($B151,Seqs!$A:$B,2,0),AS151,1),"")</f>
        <v>N</v>
      </c>
      <c r="AS151" s="9">
        <v>276</v>
      </c>
      <c r="AT151" s="9" t="str">
        <f>IFERROR(MID(VLOOKUP($B151,Seqs!$A:$B,2,0),AU151,1),"")</f>
        <v>V</v>
      </c>
      <c r="AU151" s="9">
        <v>308</v>
      </c>
      <c r="AV151" s="9" t="str">
        <f>IFERROR(MID(VLOOKUP($B151,Seqs!$A:$B,2,0),AW151,1),"")</f>
        <v/>
      </c>
      <c r="AW151" s="9" t="s">
        <v>23</v>
      </c>
      <c r="AX151" s="9" t="str">
        <f>IFERROR(MID(VLOOKUP($B151,Seqs!$A:$B,2,0),AY151,1),"")</f>
        <v/>
      </c>
      <c r="AY151" s="9" t="s">
        <v>23</v>
      </c>
      <c r="AZ151" s="110" t="str">
        <f>VLOOKUP(B151,Classification!A:D,2,0)</f>
        <v>A</v>
      </c>
      <c r="BA151" s="98" t="str">
        <f>VLOOKUP(B151,Classification!A:D,4,0)</f>
        <v>Chemokine</v>
      </c>
      <c r="BB151" s="36" t="b">
        <f t="shared" ref="BB151" si="982">AND(E151&lt;G151,OR(G151&lt;I151,I151="-"),OR(I151&lt;K151,I151="-"),OR(K151&lt;M151,K151="-"),M151&lt;O151,OR(O151&lt;Q151,Q151="-"),OR(Q151&lt;S151,Q151="-"),OR(S151&lt;U151,S151="-"),U151&lt;W151,OR(W151&lt;Y151,Y151="-"),OR(Y151&lt;AA151,Y151="-"),OR(AA151&lt;AC151,AA151="-"),AC151&lt;AE151,OR(AE151&lt;AG151,AG151="-"),OR(AG151&lt;AI151,AG151="-"),OR(AI151&lt;AK151,AI151="-"),AK151&lt;AM151,AM151&lt;AO151,AO151&lt;AQ151,AQ151&lt;AS151,AS151&lt;AU151,OR(AU151&lt;AW151,AW151="-"),OR(AW151&lt;AY151,AW151="-"))</f>
        <v>1</v>
      </c>
      <c r="BC151" s="109">
        <f t="shared" ref="BC151" si="983">_xlfn.AGGREGATE(9,6,CH151:CS151)-_xlfn.AGGREGATE(9,6,BV151:CG151)+12</f>
        <v>235</v>
      </c>
      <c r="BD151" s="127" t="s">
        <v>23</v>
      </c>
      <c r="BE151" s="9" t="s">
        <v>1374</v>
      </c>
      <c r="BF151" s="120">
        <v>2.7</v>
      </c>
      <c r="BG151" s="51" t="s">
        <v>1</v>
      </c>
      <c r="BH151" s="51" t="s">
        <v>1</v>
      </c>
      <c r="BJ151" s="111" t="s">
        <v>1287</v>
      </c>
      <c r="BK151" s="112" t="s">
        <v>1287</v>
      </c>
      <c r="BL151" s="112" t="s">
        <v>1287</v>
      </c>
      <c r="BM151" s="112" t="s">
        <v>1287</v>
      </c>
      <c r="BN151" s="112" t="s">
        <v>1287</v>
      </c>
      <c r="BO151" s="112" t="s">
        <v>1287</v>
      </c>
      <c r="BP151" s="112" t="s">
        <v>1287</v>
      </c>
      <c r="BQ151" s="112" t="s">
        <v>1287</v>
      </c>
      <c r="BR151" s="112" t="s">
        <v>1287</v>
      </c>
      <c r="BS151" s="112" t="s">
        <v>1287</v>
      </c>
      <c r="BT151" s="112" t="s">
        <v>1287</v>
      </c>
      <c r="BU151" s="112" t="s">
        <v>1287</v>
      </c>
      <c r="BV151" s="111">
        <f t="shared" ref="BV151" si="984">E151</f>
        <v>35</v>
      </c>
      <c r="BW151" s="113" t="str">
        <f t="shared" ref="BW151" si="985">I151</f>
        <v>-</v>
      </c>
      <c r="BX151" s="114">
        <f t="shared" ref="BX151" si="986">M151</f>
        <v>75</v>
      </c>
      <c r="BY151" s="113">
        <f t="shared" ref="BY151" si="987">Q151</f>
        <v>105</v>
      </c>
      <c r="BZ151" s="114">
        <f t="shared" ref="BZ151" si="988">U151</f>
        <v>109</v>
      </c>
      <c r="CA151" s="113" t="str">
        <f t="shared" ref="CA151" si="989">Y151</f>
        <v>-</v>
      </c>
      <c r="CB151" s="114">
        <f t="shared" ref="CB151" si="990">AC151</f>
        <v>152</v>
      </c>
      <c r="CC151" s="113">
        <f t="shared" ref="CC151" si="991">AG151</f>
        <v>190</v>
      </c>
      <c r="CD151" s="114">
        <f t="shared" ref="CD151" si="992">AK151</f>
        <v>195</v>
      </c>
      <c r="CE151" s="113">
        <f t="shared" ref="CE151" si="993">AO151</f>
        <v>241</v>
      </c>
      <c r="CF151" s="114">
        <f t="shared" ref="CF151" si="994">AS151</f>
        <v>276</v>
      </c>
      <c r="CG151" s="113" t="str">
        <f t="shared" ref="CG151" si="995">AW151</f>
        <v>-</v>
      </c>
      <c r="CH151" s="111">
        <f t="shared" ref="CH151" si="996">G151</f>
        <v>71</v>
      </c>
      <c r="CI151" s="113" t="str">
        <f t="shared" ref="CI151" si="997">K151</f>
        <v>-</v>
      </c>
      <c r="CJ151" s="114">
        <f t="shared" ref="CJ151" si="998">O151</f>
        <v>102</v>
      </c>
      <c r="CK151" s="114">
        <f t="shared" ref="CK151" si="999">S151</f>
        <v>108</v>
      </c>
      <c r="CL151" s="114">
        <f t="shared" ref="CL151" si="1000">W151</f>
        <v>144</v>
      </c>
      <c r="CM151" s="114" t="str">
        <f t="shared" ref="CM151" si="1001">AA151</f>
        <v>-</v>
      </c>
      <c r="CN151" s="114">
        <f t="shared" ref="CN151" si="1002">AE151</f>
        <v>179</v>
      </c>
      <c r="CO151" s="114">
        <f t="shared" ref="CO151" si="1003">AI151</f>
        <v>192</v>
      </c>
      <c r="CP151" s="114">
        <f t="shared" ref="CP151" si="1004">AM151</f>
        <v>229</v>
      </c>
      <c r="CQ151" s="114">
        <f t="shared" ref="CQ151" si="1005">AQ151</f>
        <v>268</v>
      </c>
      <c r="CR151" s="114">
        <f t="shared" ref="CR151" si="1006">AU151</f>
        <v>308</v>
      </c>
      <c r="CS151" s="114" t="str">
        <f t="shared" ref="CS151" si="1007">AY151</f>
        <v>-</v>
      </c>
      <c r="CT151" s="109" t="e">
        <f t="shared" ref="CT151" si="1008">M151-K151</f>
        <v>#VALUE!</v>
      </c>
      <c r="CU151" s="129"/>
      <c r="CV151" s="129"/>
      <c r="CW151" s="129"/>
      <c r="CX151" s="129"/>
      <c r="CY151" s="129"/>
      <c r="CZ151" s="129"/>
      <c r="DA151" s="129"/>
      <c r="DB151" s="129"/>
      <c r="DC151" s="129"/>
      <c r="DD151" s="129"/>
      <c r="DE151" s="129"/>
      <c r="DF151" s="129"/>
      <c r="DG151" s="129"/>
      <c r="DH151" s="129"/>
      <c r="DI151" s="129"/>
      <c r="DJ151" s="129"/>
      <c r="DK151" s="129"/>
      <c r="DL151" s="129"/>
      <c r="DM151" s="129"/>
      <c r="DN151" s="129"/>
      <c r="DO151" s="129"/>
      <c r="DP151" s="129"/>
      <c r="DQ151" s="129"/>
      <c r="DR151" s="129"/>
      <c r="DS151" s="129"/>
      <c r="DT151" s="129"/>
      <c r="DU151" s="129"/>
      <c r="DV151" s="129"/>
      <c r="DW151" s="129"/>
      <c r="DX151" s="129"/>
      <c r="DY151" s="129"/>
      <c r="DZ151" s="129"/>
      <c r="EA151" s="129"/>
      <c r="EB151" s="129"/>
      <c r="EC151" s="129"/>
      <c r="ED151" s="129"/>
      <c r="EE151" s="129"/>
      <c r="EF151" s="129"/>
      <c r="EG151" s="129"/>
      <c r="EH151" s="129"/>
      <c r="EI151" s="129"/>
      <c r="EJ151" s="129"/>
      <c r="EK151" s="129"/>
      <c r="EL151" s="129"/>
      <c r="EM151" s="129"/>
      <c r="EN151" s="129"/>
      <c r="EO151" s="129"/>
      <c r="EP151" s="129"/>
      <c r="EQ151" s="129"/>
      <c r="ER151" s="129"/>
      <c r="ES151" s="129"/>
      <c r="ET151" s="129"/>
      <c r="EU151" s="129"/>
      <c r="EV151" s="129"/>
      <c r="EW151" s="129"/>
      <c r="EX151" s="129"/>
      <c r="EY151" s="129"/>
      <c r="EZ151" s="129"/>
      <c r="FA151" s="129"/>
      <c r="FB151" s="129"/>
      <c r="FC151" s="129"/>
      <c r="FD151" s="129"/>
      <c r="FE151" s="129"/>
      <c r="FF151" s="129"/>
      <c r="FG151" s="129"/>
      <c r="FH151" s="129"/>
      <c r="FI151" s="129"/>
      <c r="FJ151" s="129"/>
      <c r="FK151" s="129"/>
      <c r="FL151" s="129"/>
      <c r="FM151" s="129"/>
      <c r="FN151" s="129"/>
      <c r="FO151" s="129"/>
      <c r="FP151" s="129"/>
      <c r="FQ151" s="129"/>
      <c r="FR151" s="129"/>
      <c r="FS151" s="129"/>
      <c r="FT151" s="129"/>
      <c r="FU151" s="129"/>
      <c r="FV151" s="129"/>
      <c r="FW151" s="129"/>
      <c r="FX151" s="129"/>
      <c r="FY151" s="129"/>
      <c r="FZ151" s="129"/>
      <c r="GA151" s="129"/>
      <c r="GB151" s="129"/>
      <c r="GC151" s="129"/>
      <c r="GD151" s="129"/>
      <c r="GE151" s="129"/>
      <c r="GF151" s="129"/>
      <c r="GG151" s="129"/>
      <c r="GH151" s="129"/>
      <c r="GI151" s="129"/>
      <c r="GJ151" s="129"/>
      <c r="GK151" s="129"/>
      <c r="GL151" s="129"/>
      <c r="GM151" s="129"/>
      <c r="GN151" s="129"/>
      <c r="GO151" s="129"/>
      <c r="GP151" s="129"/>
      <c r="GQ151" s="129"/>
      <c r="GR151" s="129"/>
      <c r="GS151" s="129"/>
      <c r="GT151" s="129"/>
      <c r="GU151" s="129"/>
      <c r="GV151" s="129"/>
      <c r="GW151" s="129"/>
      <c r="GX151" s="129"/>
      <c r="GY151" s="129"/>
      <c r="GZ151" s="129"/>
      <c r="HA151" s="129"/>
      <c r="HB151" s="129"/>
      <c r="HC151" s="129"/>
      <c r="HD151" s="129"/>
      <c r="HE151" s="129"/>
      <c r="HF151" s="129"/>
      <c r="HG151" s="129"/>
      <c r="HH151" s="129"/>
      <c r="HI151" s="129"/>
      <c r="HJ151" s="129"/>
      <c r="HK151" s="129"/>
      <c r="HL151" s="129"/>
      <c r="HM151" s="129"/>
      <c r="HN151" s="129"/>
      <c r="HO151" s="129"/>
      <c r="HP151" s="129"/>
      <c r="HQ151" s="129"/>
      <c r="HR151" s="129"/>
      <c r="HS151" s="129"/>
      <c r="HT151" s="129"/>
      <c r="HU151" s="129"/>
      <c r="HV151" s="129"/>
      <c r="HW151" s="129"/>
      <c r="HX151" s="129"/>
      <c r="HY151" s="129"/>
      <c r="HZ151" s="129"/>
      <c r="IA151" s="129"/>
      <c r="IB151" s="129"/>
      <c r="IC151" s="129"/>
      <c r="ID151" s="129"/>
      <c r="IE151" s="129"/>
      <c r="IF151" s="129"/>
      <c r="IG151" s="129"/>
      <c r="IH151" s="129"/>
      <c r="II151" s="129"/>
      <c r="IJ151" s="129"/>
      <c r="IK151" s="129"/>
      <c r="IL151" s="129"/>
      <c r="IM151" s="129"/>
      <c r="IN151" s="129"/>
      <c r="IO151" s="129"/>
      <c r="IP151" s="129"/>
      <c r="IQ151" s="129"/>
      <c r="IR151" s="129"/>
      <c r="IS151" s="129"/>
      <c r="IT151" s="129"/>
      <c r="IU151" s="129"/>
      <c r="IV151" s="129"/>
      <c r="IW151" s="129"/>
      <c r="IX151" s="129"/>
      <c r="IY151" s="129"/>
      <c r="IZ151" s="129"/>
      <c r="JA151" s="129"/>
      <c r="JB151" s="129"/>
      <c r="JC151" s="129"/>
      <c r="JD151" s="129"/>
      <c r="JE151" s="129"/>
      <c r="JF151" s="129"/>
      <c r="JG151" s="129"/>
      <c r="JH151" s="129"/>
      <c r="JI151" s="129"/>
      <c r="JJ151" s="129"/>
      <c r="JK151" s="129"/>
      <c r="JL151" s="129"/>
      <c r="JM151" s="129"/>
      <c r="JN151" s="129"/>
      <c r="JO151" s="129"/>
      <c r="JP151" s="129"/>
      <c r="JQ151" s="129"/>
      <c r="JR151" s="129"/>
      <c r="JS151" s="129"/>
      <c r="JT151" s="129"/>
      <c r="JU151" s="129"/>
      <c r="JV151" s="129"/>
      <c r="JW151" s="129"/>
      <c r="JX151" s="129"/>
      <c r="JY151" s="129"/>
      <c r="JZ151" s="129"/>
      <c r="KA151" s="129"/>
      <c r="KB151" s="129"/>
      <c r="KC151" s="129"/>
      <c r="KD151" s="129"/>
      <c r="KE151" s="129"/>
      <c r="KF151" s="129"/>
      <c r="KG151" s="129"/>
      <c r="KH151" s="129"/>
      <c r="KI151" s="129"/>
      <c r="KJ151" s="129"/>
      <c r="KK151" s="129"/>
      <c r="KL151" s="129"/>
      <c r="KM151" s="129"/>
      <c r="KN151" s="129"/>
      <c r="KO151" s="129"/>
      <c r="KP151" s="129"/>
      <c r="KQ151" s="129"/>
      <c r="KR151" s="129"/>
      <c r="KS151" s="129"/>
      <c r="KT151" s="129"/>
      <c r="KU151" s="129"/>
      <c r="KV151" s="129"/>
      <c r="KW151" s="129"/>
      <c r="KX151" s="129"/>
      <c r="KY151" s="129"/>
      <c r="KZ151" s="129"/>
      <c r="LA151" s="129"/>
      <c r="LB151" s="129"/>
      <c r="LC151" s="129"/>
      <c r="LD151" s="129"/>
      <c r="LE151" s="129"/>
      <c r="LF151" s="129"/>
      <c r="LG151" s="129"/>
      <c r="LH151" s="129"/>
      <c r="LI151" s="129"/>
      <c r="LJ151" s="129"/>
      <c r="LK151" s="129"/>
      <c r="LL151" s="129"/>
      <c r="LM151" s="129"/>
      <c r="LN151" s="129"/>
      <c r="LO151" s="129"/>
      <c r="LP151" s="129"/>
      <c r="LQ151" s="129"/>
      <c r="LR151" s="129"/>
      <c r="LS151" s="129"/>
      <c r="LT151" s="129"/>
      <c r="LU151" s="129"/>
      <c r="LV151" s="129"/>
      <c r="LW151" s="129"/>
      <c r="LX151" s="129"/>
      <c r="LY151" s="129"/>
      <c r="LZ151" s="129"/>
      <c r="MA151" s="129"/>
      <c r="MB151" s="129"/>
      <c r="MC151" s="129"/>
      <c r="MD151" s="129"/>
      <c r="ME151" s="129"/>
      <c r="MF151" s="129"/>
      <c r="MG151" s="129"/>
      <c r="MH151" s="129"/>
      <c r="MI151" s="129"/>
      <c r="MJ151" s="129"/>
      <c r="MK151" s="129"/>
      <c r="ML151" s="129"/>
      <c r="MM151" s="129"/>
      <c r="MN151" s="129"/>
      <c r="MO151" s="129"/>
      <c r="MP151" s="129"/>
      <c r="MQ151" s="129"/>
      <c r="MR151" s="129"/>
      <c r="MS151" s="129"/>
      <c r="MT151" s="129"/>
      <c r="MU151" s="129"/>
      <c r="MV151" s="129"/>
      <c r="MW151" s="129"/>
      <c r="MX151" s="129"/>
      <c r="MY151" s="129"/>
      <c r="MZ151" s="129"/>
      <c r="NA151" s="129"/>
      <c r="NB151" s="129"/>
      <c r="NC151" s="129"/>
      <c r="ND151" s="129"/>
      <c r="NE151" s="129"/>
      <c r="NF151" s="129"/>
      <c r="NG151" s="129"/>
      <c r="NH151" s="129"/>
      <c r="NI151" s="129"/>
      <c r="NJ151" s="129"/>
      <c r="NK151" s="129"/>
      <c r="NL151" s="129"/>
      <c r="NM151" s="129"/>
      <c r="NN151" s="129"/>
      <c r="NO151" s="129"/>
      <c r="NP151" s="129"/>
      <c r="NQ151" s="129"/>
      <c r="NR151" s="129"/>
      <c r="NS151" s="129"/>
      <c r="NT151" s="129"/>
      <c r="NU151" s="129"/>
      <c r="NV151" s="129"/>
      <c r="NW151" s="129"/>
      <c r="NX151" s="129"/>
      <c r="NY151" s="129"/>
      <c r="NZ151" s="129"/>
      <c r="OA151" s="129"/>
      <c r="OB151" s="129"/>
      <c r="OC151" s="129"/>
      <c r="OD151" s="129"/>
      <c r="OE151" s="129"/>
      <c r="OF151" s="129"/>
      <c r="OG151" s="129"/>
      <c r="OH151" s="129"/>
      <c r="OI151" s="129"/>
      <c r="OJ151" s="129"/>
      <c r="OK151" s="129"/>
      <c r="OL151" s="129"/>
      <c r="OM151" s="129"/>
      <c r="ON151" s="129"/>
      <c r="OO151" s="129"/>
      <c r="OP151" s="129"/>
      <c r="OQ151" s="129"/>
      <c r="OR151" s="129"/>
      <c r="OS151" s="129"/>
      <c r="OT151" s="129"/>
      <c r="OU151" s="129"/>
      <c r="OV151" s="129"/>
      <c r="OW151" s="129"/>
      <c r="OX151" s="129"/>
      <c r="OY151" s="129"/>
      <c r="OZ151" s="129"/>
      <c r="PA151" s="129"/>
      <c r="PB151" s="129"/>
      <c r="PC151" s="129"/>
      <c r="PD151" s="129"/>
      <c r="PE151" s="129"/>
      <c r="PF151" s="129"/>
      <c r="PG151" s="129"/>
      <c r="PH151" s="129"/>
      <c r="PI151" s="129"/>
      <c r="PJ151" s="129"/>
      <c r="PK151" s="129"/>
      <c r="PL151" s="129"/>
      <c r="PM151" s="129"/>
      <c r="PN151" s="129"/>
      <c r="PO151" s="129"/>
      <c r="PP151" s="129"/>
      <c r="PQ151" s="129"/>
      <c r="PR151" s="129"/>
      <c r="PS151" s="129"/>
      <c r="PT151" s="129"/>
      <c r="PU151" s="129"/>
      <c r="PV151" s="129"/>
      <c r="PW151" s="129"/>
      <c r="PX151" s="129"/>
      <c r="PY151" s="129"/>
      <c r="PZ151" s="129"/>
      <c r="QA151" s="129"/>
      <c r="QB151" s="129"/>
      <c r="QC151" s="129"/>
      <c r="QD151" s="129"/>
      <c r="QE151" s="129"/>
      <c r="QF151" s="129"/>
      <c r="QG151" s="129"/>
      <c r="QH151" s="129"/>
      <c r="QI151" s="129"/>
      <c r="QJ151" s="129"/>
      <c r="QK151" s="129"/>
      <c r="QL151" s="129"/>
      <c r="QM151" s="129"/>
      <c r="QN151" s="129"/>
      <c r="QO151" s="129"/>
      <c r="QP151" s="129"/>
      <c r="QQ151" s="129"/>
      <c r="QR151" s="129"/>
      <c r="QS151" s="129"/>
      <c r="QT151" s="129"/>
      <c r="QU151" s="129"/>
      <c r="QV151" s="129"/>
      <c r="QW151" s="129"/>
      <c r="QX151" s="129"/>
      <c r="QY151" s="129"/>
      <c r="QZ151" s="129"/>
      <c r="RA151" s="129"/>
      <c r="RB151" s="129"/>
      <c r="RC151" s="129"/>
      <c r="RD151" s="129"/>
      <c r="RE151" s="129"/>
      <c r="RF151" s="129"/>
      <c r="RG151" s="129"/>
      <c r="RH151" s="129"/>
      <c r="RI151" s="129"/>
      <c r="RJ151" s="129"/>
      <c r="RK151" s="129"/>
      <c r="RL151" s="129"/>
      <c r="RM151" s="129"/>
      <c r="RN151" s="129"/>
      <c r="RO151" s="129"/>
      <c r="RP151" s="129"/>
      <c r="RQ151" s="129"/>
      <c r="RR151" s="129"/>
      <c r="RS151" s="129"/>
      <c r="RT151" s="129"/>
      <c r="RU151" s="129"/>
      <c r="RV151" s="129"/>
      <c r="RW151" s="129"/>
      <c r="RX151" s="129"/>
      <c r="RY151" s="129"/>
      <c r="RZ151" s="129"/>
      <c r="SA151" s="129"/>
      <c r="SB151" s="129"/>
      <c r="SC151" s="129"/>
      <c r="SD151" s="129"/>
      <c r="SE151" s="129"/>
      <c r="SF151" s="129"/>
      <c r="SG151" s="129"/>
      <c r="SH151" s="129"/>
      <c r="SI151" s="129"/>
      <c r="SJ151" s="129"/>
      <c r="SK151" s="129"/>
      <c r="SL151" s="129"/>
      <c r="SM151" s="129"/>
      <c r="SN151" s="129"/>
      <c r="SO151" s="129"/>
      <c r="SP151" s="129"/>
      <c r="SQ151" s="129"/>
      <c r="SR151" s="129"/>
      <c r="SS151" s="129"/>
      <c r="ST151" s="129"/>
      <c r="SU151" s="129"/>
      <c r="SV151" s="129"/>
      <c r="SW151" s="129"/>
      <c r="SX151" s="129"/>
      <c r="SY151" s="129"/>
      <c r="SZ151" s="129"/>
      <c r="TA151" s="129"/>
      <c r="TB151" s="129"/>
      <c r="TC151" s="129"/>
      <c r="TD151" s="129"/>
      <c r="TE151" s="129"/>
      <c r="TF151" s="129"/>
      <c r="TG151" s="129"/>
      <c r="TH151" s="129"/>
      <c r="TI151" s="129"/>
      <c r="TJ151" s="129"/>
      <c r="TK151" s="129"/>
      <c r="TL151" s="129"/>
      <c r="TM151" s="129"/>
      <c r="TN151" s="129"/>
      <c r="TO151" s="129"/>
      <c r="TP151" s="129"/>
      <c r="TQ151" s="129"/>
      <c r="TR151" s="129"/>
      <c r="TS151" s="129"/>
      <c r="TT151" s="129"/>
      <c r="TU151" s="129"/>
      <c r="TV151" s="129"/>
      <c r="TW151" s="129"/>
      <c r="TX151" s="129"/>
      <c r="TY151" s="129"/>
      <c r="TZ151" s="129"/>
      <c r="UA151" s="129"/>
      <c r="UB151" s="129"/>
      <c r="UC151" s="129"/>
      <c r="UD151" s="129"/>
      <c r="UE151" s="129"/>
      <c r="UF151" s="129"/>
      <c r="UG151" s="129"/>
      <c r="UH151" s="129"/>
      <c r="UI151" s="129"/>
      <c r="UJ151" s="129"/>
      <c r="UK151" s="129"/>
      <c r="UL151" s="129"/>
      <c r="UM151" s="129"/>
      <c r="UN151" s="129"/>
      <c r="UO151" s="129"/>
      <c r="UP151" s="129"/>
      <c r="UQ151" s="129"/>
      <c r="UR151" s="129"/>
      <c r="US151" s="129"/>
      <c r="UT151" s="129"/>
      <c r="UU151" s="129"/>
      <c r="UV151" s="129"/>
      <c r="UW151" s="129"/>
      <c r="UX151" s="129"/>
      <c r="UY151" s="129"/>
      <c r="UZ151" s="129"/>
      <c r="VA151" s="129"/>
      <c r="VB151" s="129"/>
      <c r="VC151" s="129"/>
      <c r="VD151" s="129"/>
      <c r="VE151" s="129"/>
      <c r="VF151" s="129"/>
      <c r="VG151" s="129"/>
      <c r="VH151" s="129"/>
      <c r="VI151" s="129"/>
      <c r="VJ151" s="129"/>
      <c r="VK151" s="129"/>
      <c r="VL151" s="129"/>
      <c r="VM151" s="129"/>
      <c r="VN151" s="129"/>
      <c r="VO151" s="129"/>
      <c r="VP151" s="129"/>
      <c r="VQ151" s="129"/>
      <c r="VR151" s="129"/>
      <c r="VS151" s="129"/>
      <c r="VT151" s="129"/>
      <c r="VU151" s="129"/>
      <c r="VV151" s="129"/>
      <c r="VW151" s="129"/>
      <c r="VX151" s="129"/>
      <c r="VY151" s="129"/>
      <c r="VZ151" s="129"/>
      <c r="WA151" s="129"/>
      <c r="WB151" s="129"/>
      <c r="WC151" s="129"/>
      <c r="WD151" s="129"/>
      <c r="WE151" s="129"/>
      <c r="WF151" s="129"/>
      <c r="WG151" s="129"/>
      <c r="WH151" s="129"/>
      <c r="WI151" s="129"/>
      <c r="WJ151" s="129"/>
      <c r="WK151" s="129"/>
      <c r="WL151" s="129"/>
      <c r="WM151" s="129"/>
      <c r="WN151" s="129"/>
      <c r="WO151" s="129"/>
      <c r="WP151" s="129"/>
      <c r="WQ151" s="129"/>
      <c r="WR151" s="129"/>
      <c r="WS151" s="129"/>
      <c r="WT151" s="129"/>
      <c r="WU151" s="129"/>
      <c r="WV151" s="129"/>
      <c r="WW151" s="129"/>
      <c r="WX151" s="129"/>
      <c r="WY151" s="129"/>
      <c r="WZ151" s="129"/>
      <c r="XA151" s="129"/>
      <c r="XB151" s="129"/>
      <c r="XC151" s="129"/>
      <c r="XD151" s="129"/>
      <c r="XE151" s="129"/>
      <c r="XF151" s="129"/>
      <c r="XG151" s="129"/>
      <c r="XH151" s="129"/>
      <c r="XI151" s="129"/>
      <c r="XJ151" s="129"/>
      <c r="XK151" s="129"/>
      <c r="XL151" s="129"/>
      <c r="XM151" s="129"/>
      <c r="XN151" s="129"/>
      <c r="XO151" s="129"/>
      <c r="XP151" s="129"/>
      <c r="XQ151" s="129"/>
      <c r="XR151" s="129"/>
      <c r="XS151" s="129"/>
      <c r="XT151" s="129"/>
      <c r="XU151" s="129"/>
      <c r="XV151" s="129"/>
      <c r="XW151" s="129"/>
      <c r="XX151" s="129"/>
      <c r="XY151" s="129"/>
      <c r="XZ151" s="129"/>
      <c r="YA151" s="129"/>
      <c r="YB151" s="129"/>
      <c r="YC151" s="129"/>
      <c r="YD151" s="129"/>
      <c r="YE151" s="129"/>
      <c r="YF151" s="129"/>
      <c r="YG151" s="129"/>
      <c r="YH151" s="129"/>
      <c r="YI151" s="129"/>
      <c r="YJ151" s="129"/>
      <c r="YK151" s="129"/>
      <c r="YL151" s="129"/>
      <c r="YM151" s="129"/>
      <c r="YN151" s="129"/>
      <c r="YO151" s="129"/>
      <c r="YP151" s="129"/>
      <c r="YQ151" s="129"/>
      <c r="YR151" s="129"/>
      <c r="YS151" s="129"/>
      <c r="YT151" s="129"/>
      <c r="YU151" s="129"/>
      <c r="YV151" s="129"/>
      <c r="YW151" s="129"/>
      <c r="YX151" s="129"/>
      <c r="YY151" s="129"/>
      <c r="YZ151" s="129"/>
      <c r="ZA151" s="129"/>
      <c r="ZB151" s="129"/>
      <c r="ZC151" s="129"/>
      <c r="ZD151" s="129"/>
      <c r="ZE151" s="129"/>
      <c r="ZF151" s="129"/>
      <c r="ZG151" s="129"/>
      <c r="ZH151" s="129"/>
      <c r="ZI151" s="129"/>
      <c r="ZJ151" s="129"/>
      <c r="ZK151" s="129"/>
      <c r="ZL151" s="129"/>
      <c r="ZM151" s="129"/>
      <c r="ZN151" s="129"/>
      <c r="ZO151" s="129"/>
      <c r="ZP151" s="129"/>
      <c r="ZQ151" s="129"/>
      <c r="ZR151" s="129"/>
      <c r="ZS151" s="129"/>
      <c r="ZT151" s="129"/>
      <c r="ZU151" s="129"/>
      <c r="ZV151" s="129"/>
      <c r="ZW151" s="129"/>
      <c r="ZX151" s="129"/>
      <c r="ZY151" s="129"/>
      <c r="ZZ151" s="129"/>
      <c r="AAA151" s="129"/>
      <c r="AAB151" s="129"/>
      <c r="AAC151" s="129"/>
      <c r="AAD151" s="129"/>
      <c r="AAE151" s="129"/>
      <c r="AAF151" s="129"/>
      <c r="AAG151" s="129"/>
      <c r="AAH151" s="129"/>
      <c r="AAI151" s="129"/>
      <c r="AAJ151" s="129"/>
      <c r="AAK151" s="129"/>
      <c r="AAL151" s="129"/>
      <c r="AAM151" s="129"/>
      <c r="AAN151" s="129"/>
      <c r="AAO151" s="129"/>
      <c r="AAP151" s="129"/>
      <c r="AAQ151" s="129"/>
      <c r="AAR151" s="129"/>
      <c r="AAS151" s="129"/>
      <c r="AAT151" s="129"/>
      <c r="AAU151" s="129"/>
      <c r="AAV151" s="129"/>
      <c r="AAW151" s="129"/>
      <c r="AAX151" s="129"/>
      <c r="AAY151" s="129"/>
      <c r="AAZ151" s="129"/>
      <c r="ABA151" s="129"/>
      <c r="ABB151" s="129"/>
      <c r="ABC151" s="129"/>
      <c r="ABD151" s="129"/>
      <c r="ABE151" s="129"/>
      <c r="ABF151" s="129"/>
      <c r="ABG151" s="129"/>
      <c r="ABH151" s="129"/>
      <c r="ABI151" s="129"/>
      <c r="ABJ151" s="129"/>
      <c r="ABK151" s="129"/>
      <c r="ABL151" s="129"/>
      <c r="ABM151" s="129"/>
      <c r="ABN151" s="129"/>
      <c r="ABO151" s="129"/>
      <c r="ABP151" s="129"/>
      <c r="ABQ151" s="129"/>
      <c r="ABR151" s="129"/>
      <c r="ABS151" s="129"/>
      <c r="ABT151" s="129"/>
      <c r="ABU151" s="129"/>
      <c r="ABV151" s="129"/>
      <c r="ABW151" s="129"/>
      <c r="ABX151" s="129"/>
      <c r="ABY151" s="129"/>
      <c r="ABZ151" s="129"/>
      <c r="ACA151" s="129"/>
      <c r="ACB151" s="129"/>
      <c r="ACC151" s="129"/>
      <c r="ACD151" s="129"/>
      <c r="ACE151" s="129"/>
      <c r="ACF151" s="129"/>
      <c r="ACG151" s="129"/>
      <c r="ACH151" s="129"/>
      <c r="ACI151" s="129"/>
      <c r="ACJ151" s="129"/>
      <c r="ACK151" s="129"/>
      <c r="ACL151" s="129"/>
      <c r="ACM151" s="129"/>
      <c r="ACN151" s="129"/>
      <c r="ACO151" s="129"/>
      <c r="ACP151" s="129"/>
      <c r="ACQ151" s="129"/>
      <c r="ACR151" s="129"/>
      <c r="ACS151" s="129"/>
      <c r="ACT151" s="129"/>
      <c r="ACU151" s="129"/>
      <c r="ACV151" s="129"/>
      <c r="ACW151" s="129"/>
      <c r="ACX151" s="129"/>
      <c r="ACY151" s="129"/>
      <c r="ACZ151" s="129"/>
      <c r="ADA151" s="129"/>
      <c r="ADB151" s="129"/>
      <c r="ADC151" s="129"/>
      <c r="ADD151" s="129"/>
      <c r="ADE151" s="129"/>
      <c r="ADF151" s="129"/>
      <c r="ADG151" s="129"/>
      <c r="ADH151" s="129"/>
      <c r="ADI151" s="129"/>
      <c r="ADJ151" s="129"/>
      <c r="ADK151" s="129"/>
      <c r="ADL151" s="129"/>
      <c r="ADM151" s="129"/>
      <c r="ADN151" s="129"/>
      <c r="ADO151" s="129"/>
      <c r="ADP151" s="129"/>
      <c r="ADQ151" s="129"/>
      <c r="ADR151" s="129"/>
      <c r="ADS151" s="129"/>
      <c r="ADT151" s="129"/>
      <c r="ADU151" s="129"/>
      <c r="ADV151" s="129"/>
      <c r="ADW151" s="129"/>
      <c r="ADX151" s="129"/>
      <c r="ADY151" s="129"/>
      <c r="ADZ151" s="129"/>
      <c r="AEA151" s="129"/>
      <c r="AEB151" s="129"/>
      <c r="AEC151" s="129"/>
      <c r="AED151" s="129"/>
      <c r="AEE151" s="129"/>
      <c r="AEF151" s="129"/>
      <c r="AEG151" s="129"/>
      <c r="AEH151" s="129"/>
      <c r="AEI151" s="129"/>
      <c r="AEJ151" s="129"/>
      <c r="AEK151" s="129"/>
      <c r="AEL151" s="129"/>
      <c r="AEM151" s="129"/>
      <c r="AEN151" s="129"/>
      <c r="AEO151" s="129"/>
      <c r="AEP151" s="129"/>
      <c r="AEQ151" s="129"/>
      <c r="AER151" s="129"/>
      <c r="AES151" s="129"/>
      <c r="AET151" s="129"/>
      <c r="AEU151" s="129"/>
      <c r="AEV151" s="129"/>
      <c r="AEW151" s="129"/>
      <c r="AEX151" s="129"/>
      <c r="AEY151" s="129"/>
      <c r="AEZ151" s="129"/>
      <c r="AFA151" s="129"/>
      <c r="AFB151" s="129"/>
      <c r="AFC151" s="129"/>
      <c r="AFD151" s="129"/>
      <c r="AFE151" s="129"/>
      <c r="AFF151" s="129"/>
      <c r="AFG151" s="129"/>
      <c r="AFH151" s="129"/>
      <c r="AFI151" s="129"/>
      <c r="AFJ151" s="129"/>
      <c r="AFK151" s="129"/>
      <c r="AFL151" s="129"/>
      <c r="AFM151" s="129"/>
      <c r="AFN151" s="129"/>
      <c r="AFO151" s="129"/>
      <c r="AFP151" s="129"/>
      <c r="AFQ151" s="129"/>
      <c r="AFR151" s="129"/>
      <c r="AFS151" s="129"/>
      <c r="AFT151" s="129"/>
      <c r="AFU151" s="129"/>
      <c r="AFV151" s="129"/>
      <c r="AFW151" s="129"/>
      <c r="AFX151" s="129"/>
      <c r="AFY151" s="129"/>
      <c r="AFZ151" s="129"/>
      <c r="AGA151" s="129"/>
      <c r="AGB151" s="129"/>
      <c r="AGC151" s="129"/>
      <c r="AGD151" s="129"/>
      <c r="AGE151" s="129"/>
      <c r="AGF151" s="129"/>
      <c r="AGG151" s="129"/>
      <c r="AGH151" s="129"/>
      <c r="AGI151" s="129"/>
      <c r="AGJ151" s="129"/>
      <c r="AGK151" s="129"/>
      <c r="AGL151" s="129"/>
      <c r="AGM151" s="129"/>
      <c r="AGN151" s="129"/>
      <c r="AGO151" s="129"/>
      <c r="AGP151" s="129"/>
      <c r="AGQ151" s="129"/>
      <c r="AGR151" s="129"/>
      <c r="AGS151" s="129"/>
      <c r="AGT151" s="129"/>
      <c r="AGU151" s="129"/>
      <c r="AGV151" s="129"/>
      <c r="AGW151" s="129"/>
      <c r="AGX151" s="129"/>
      <c r="AGY151" s="129"/>
      <c r="AGZ151" s="129"/>
      <c r="AHA151" s="129"/>
      <c r="AHB151" s="129"/>
      <c r="AHC151" s="129"/>
      <c r="AHD151" s="129"/>
      <c r="AHE151" s="129"/>
      <c r="AHF151" s="129"/>
      <c r="AHG151" s="129"/>
      <c r="AHH151" s="129"/>
      <c r="AHI151" s="129"/>
      <c r="AHJ151" s="129"/>
      <c r="AHK151" s="129"/>
      <c r="AHL151" s="129"/>
      <c r="AHM151" s="129"/>
      <c r="AHN151" s="129"/>
      <c r="AHO151" s="129"/>
      <c r="AHP151" s="129"/>
      <c r="AHQ151" s="129"/>
      <c r="AHR151" s="129"/>
      <c r="AHS151" s="129"/>
      <c r="AHT151" s="129"/>
      <c r="AHU151" s="129"/>
      <c r="AHV151" s="129"/>
      <c r="AHW151" s="129"/>
      <c r="AHX151" s="129"/>
      <c r="AHY151" s="129"/>
      <c r="AHZ151" s="129"/>
      <c r="AIA151" s="129"/>
      <c r="AIB151" s="129"/>
      <c r="AIC151" s="129"/>
      <c r="AID151" s="129"/>
      <c r="AIE151" s="129"/>
      <c r="AIF151" s="129"/>
      <c r="AIG151" s="129"/>
      <c r="AIH151" s="129"/>
      <c r="AII151" s="129"/>
      <c r="AIJ151" s="129"/>
      <c r="AIK151" s="129"/>
      <c r="AIL151" s="129"/>
      <c r="AIM151" s="129"/>
      <c r="AIN151" s="129"/>
      <c r="AIO151" s="129"/>
      <c r="AIP151" s="129"/>
      <c r="AIQ151" s="129"/>
      <c r="AIR151" s="129"/>
      <c r="AIS151" s="129"/>
      <c r="AIT151" s="129"/>
      <c r="AIU151" s="129"/>
      <c r="AIV151" s="129"/>
      <c r="AIW151" s="129"/>
      <c r="AIX151" s="129"/>
      <c r="AIY151" s="129"/>
      <c r="AIZ151" s="129"/>
      <c r="AJA151" s="129"/>
      <c r="AJB151" s="129"/>
      <c r="AJC151" s="129"/>
      <c r="AJD151" s="129"/>
      <c r="AJE151" s="129"/>
      <c r="AJF151" s="129"/>
      <c r="AJG151" s="129"/>
      <c r="AJH151" s="129"/>
      <c r="AJI151" s="129"/>
      <c r="AJJ151" s="129"/>
      <c r="AJK151" s="129"/>
      <c r="AJL151" s="129"/>
      <c r="AJM151" s="129"/>
      <c r="AJN151" s="129"/>
      <c r="AJO151" s="129"/>
      <c r="AJP151" s="129"/>
      <c r="AJQ151" s="129"/>
      <c r="AJR151" s="129"/>
      <c r="AJS151" s="129"/>
      <c r="AJT151" s="129"/>
      <c r="AJU151" s="129"/>
      <c r="AJV151" s="129"/>
      <c r="AJW151" s="129"/>
      <c r="AJX151" s="129"/>
      <c r="AJY151" s="129"/>
      <c r="AJZ151" s="129"/>
      <c r="AKA151" s="129"/>
      <c r="AKB151" s="129"/>
      <c r="AKC151" s="129"/>
      <c r="AKD151" s="129"/>
      <c r="AKE151" s="129"/>
      <c r="AKF151" s="129"/>
      <c r="AKG151" s="129"/>
      <c r="AKH151" s="129"/>
      <c r="AKI151" s="129"/>
      <c r="AKJ151" s="129"/>
      <c r="AKK151" s="129"/>
      <c r="AKL151" s="129"/>
      <c r="AKM151" s="129"/>
      <c r="AKN151" s="129"/>
      <c r="AKO151" s="129"/>
      <c r="AKP151" s="129"/>
      <c r="AKQ151" s="129"/>
      <c r="AKR151" s="129"/>
      <c r="AKS151" s="129"/>
      <c r="AKT151" s="129"/>
      <c r="AKU151" s="129"/>
      <c r="AKV151" s="129"/>
      <c r="AKW151" s="129"/>
      <c r="AKX151" s="129"/>
      <c r="AKY151" s="129"/>
      <c r="AKZ151" s="129"/>
      <c r="ALA151" s="129"/>
      <c r="ALB151" s="129"/>
      <c r="ALC151" s="129"/>
      <c r="ALD151" s="129"/>
      <c r="ALE151" s="129"/>
      <c r="ALF151" s="129"/>
      <c r="ALG151" s="129"/>
      <c r="ALH151" s="129"/>
      <c r="ALI151" s="129"/>
      <c r="ALJ151" s="129"/>
      <c r="ALK151" s="129"/>
      <c r="ALL151" s="129"/>
      <c r="ALM151" s="129"/>
      <c r="ALN151" s="129"/>
      <c r="ALO151" s="129"/>
      <c r="ALP151" s="129"/>
      <c r="ALQ151" s="129"/>
      <c r="ALR151" s="129"/>
      <c r="ALS151" s="129"/>
      <c r="ALT151" s="129"/>
      <c r="ALU151" s="129"/>
      <c r="ALV151" s="129"/>
      <c r="ALW151" s="129"/>
      <c r="ALX151" s="129"/>
      <c r="ALY151" s="129"/>
      <c r="ALZ151" s="129"/>
      <c r="AMA151" s="129"/>
      <c r="AMB151" s="129"/>
      <c r="AMC151" s="129"/>
      <c r="AMD151" s="129"/>
      <c r="AME151" s="129"/>
      <c r="AMF151" s="129"/>
      <c r="AMG151" s="129"/>
      <c r="AMH151" s="129"/>
      <c r="AMI151" s="129"/>
      <c r="AMJ151" s="129"/>
      <c r="AMK151" s="129"/>
      <c r="AML151" s="129"/>
      <c r="AMM151" s="129"/>
      <c r="AMN151" s="129"/>
      <c r="AMO151" s="129"/>
      <c r="AMP151" s="129"/>
    </row>
    <row r="152" spans="1:1030" x14ac:dyDescent="0.2">
      <c r="A152" s="3" t="str">
        <f t="shared" si="867"/>
        <v>ccr5_human__wt</v>
      </c>
      <c r="B152" s="3" t="s">
        <v>173</v>
      </c>
      <c r="C152" s="3" t="s">
        <v>100</v>
      </c>
      <c r="D152" s="3" t="str">
        <f>IFERROR(MID(VLOOKUP($B152,Seqs!$A:$B,2,0),E152,1),"")</f>
        <v>K</v>
      </c>
      <c r="E152" s="3">
        <v>22</v>
      </c>
      <c r="F152" s="3" t="str">
        <f>IFERROR(MID(VLOOKUP($B152,Seqs!$A:$B,2,0),G152,1),"")</f>
        <v>C</v>
      </c>
      <c r="G152" s="3">
        <v>58</v>
      </c>
      <c r="H152" s="3" t="str">
        <f>IFERROR(MID(VLOOKUP($B152,Seqs!$A:$B,2,0),I152,1),"")</f>
        <v>K</v>
      </c>
      <c r="I152" s="23">
        <v>59</v>
      </c>
      <c r="J152" s="3" t="str">
        <f>IFERROR(MID(VLOOKUP($B152,Seqs!$A:$B,2,0),K152,1),"")</f>
        <v>K</v>
      </c>
      <c r="K152" s="23">
        <v>62</v>
      </c>
      <c r="L152" s="3" t="str">
        <f>IFERROR(MID(VLOOKUP($B152,Seqs!$A:$B,2,0),M152,1),"")</f>
        <v>S</v>
      </c>
      <c r="M152" s="3">
        <v>63</v>
      </c>
      <c r="N152" s="3" t="str">
        <f>IFERROR(MID(VLOOKUP($B152,Seqs!$A:$B,2,0),O152,1),"")</f>
        <v>A</v>
      </c>
      <c r="O152" s="3">
        <v>92</v>
      </c>
      <c r="P152" s="3" t="str">
        <f>IFERROR(MID(VLOOKUP($B152,Seqs!$A:$B,2,0),Q152,1),"")</f>
        <v>Q</v>
      </c>
      <c r="Q152" s="3">
        <v>93</v>
      </c>
      <c r="R152" s="3" t="str">
        <f>IFERROR(MID(VLOOKUP($B152,Seqs!$A:$B,2,0),S152,1),"")</f>
        <v>F</v>
      </c>
      <c r="S152" s="3">
        <v>96</v>
      </c>
      <c r="T152" s="3" t="str">
        <f>IFERROR(MID(VLOOKUP($B152,Seqs!$A:$B,2,0),U152,1),"")</f>
        <v>G</v>
      </c>
      <c r="U152" s="3">
        <v>97</v>
      </c>
      <c r="V152" s="3" t="str">
        <f>IFERROR(MID(VLOOKUP($B152,Seqs!$A:$B,2,0),W152,1),"")</f>
        <v>H</v>
      </c>
      <c r="W152" s="3">
        <v>132</v>
      </c>
      <c r="X152" s="3" t="str">
        <f>IFERROR(MID(VLOOKUP($B152,Seqs!$A:$B,2,0),Y152,1),"")</f>
        <v>A</v>
      </c>
      <c r="Y152" s="3">
        <v>133</v>
      </c>
      <c r="Z152" s="3" t="str">
        <f>IFERROR(MID(VLOOKUP($B152,Seqs!$A:$B,2,0),AA152,1),"")</f>
        <v>R</v>
      </c>
      <c r="AA152" s="3">
        <v>140</v>
      </c>
      <c r="AB152" s="3" t="str">
        <f>IFERROR(MID(VLOOKUP($B152,Seqs!$A:$B,2,0),AC152,1),"")</f>
        <v>T</v>
      </c>
      <c r="AC152" s="9">
        <v>141</v>
      </c>
      <c r="AD152" s="3" t="str">
        <f>IFERROR(MID(VLOOKUP($B152,Seqs!$A:$B,2,0),AE152,1),"")</f>
        <v>T</v>
      </c>
      <c r="AE152" s="3">
        <v>167</v>
      </c>
      <c r="AF152" s="3" t="str">
        <f>IFERROR(MID(VLOOKUP($B152,Seqs!$A:$B,2,0),AG152,1),"")</f>
        <v>C</v>
      </c>
      <c r="AG152" s="3">
        <v>178</v>
      </c>
      <c r="AH152" s="3" t="str">
        <f>IFERROR(MID(VLOOKUP($B152,Seqs!$A:$B,2,0),AI152,1),"")</f>
        <v>S</v>
      </c>
      <c r="AI152" s="3">
        <v>180</v>
      </c>
      <c r="AJ152" s="3" t="str">
        <f>IFERROR(MID(VLOOKUP($B152,Seqs!$A:$B,2,0),AK152,1),"")</f>
        <v>Q</v>
      </c>
      <c r="AK152" s="3">
        <v>186</v>
      </c>
      <c r="AL152" s="3" t="str">
        <f>IFERROR(MID(VLOOKUP($B152,Seqs!$A:$B,2,0),AM152,1),"")</f>
        <v>C</v>
      </c>
      <c r="AM152" s="3">
        <v>224</v>
      </c>
      <c r="AN152" s="3" t="str">
        <f>IFERROR(MID(VLOOKUP($B152,Seqs!$A:$B,2,0),AO152,1),"")</f>
        <v>K</v>
      </c>
      <c r="AO152" s="3">
        <v>228</v>
      </c>
      <c r="AP152" s="3" t="str">
        <f>IFERROR(MID(VLOOKUP($B152,Seqs!$A:$B,2,0),AQ152,1),"")</f>
        <v>G</v>
      </c>
      <c r="AQ152" s="3">
        <v>265</v>
      </c>
      <c r="AR152" s="3" t="str">
        <f>IFERROR(MID(VLOOKUP($B152,Seqs!$A:$B,2,0),AS152,1),"")</f>
        <v>N</v>
      </c>
      <c r="AS152" s="3">
        <v>268</v>
      </c>
      <c r="AT152" s="3" t="str">
        <f>IFERROR(MID(VLOOKUP($B152,Seqs!$A:$B,2,0),AU152,1),"")</f>
        <v>V</v>
      </c>
      <c r="AU152" s="3">
        <v>300</v>
      </c>
      <c r="AV152" s="3" t="str">
        <f>IFERROR(MID(VLOOKUP($B152,Seqs!$A:$B,2,0),AW152,1),"")</f>
        <v>G</v>
      </c>
      <c r="AW152" s="3">
        <v>301</v>
      </c>
      <c r="AX152" s="3" t="str">
        <f>IFERROR(MID(VLOOKUP($B152,Seqs!$A:$B,2,0),AY152,1),"")</f>
        <v>Q</v>
      </c>
      <c r="AY152" s="3">
        <v>313</v>
      </c>
      <c r="AZ152" s="77" t="str">
        <f>VLOOKUP(B152,Classification!A:D,2,0)</f>
        <v>A</v>
      </c>
      <c r="BA152" s="94" t="str">
        <f>VLOOKUP(B152,Classification!A:D,4,0)</f>
        <v>Chemokine</v>
      </c>
      <c r="BB152" s="27" t="b">
        <f t="shared" si="868"/>
        <v>1</v>
      </c>
      <c r="BC152" s="23">
        <f t="shared" si="645"/>
        <v>272</v>
      </c>
      <c r="BD152" s="34" t="s">
        <v>23</v>
      </c>
      <c r="BE152" s="3" t="s">
        <v>23</v>
      </c>
      <c r="BF152" s="119" t="s">
        <v>23</v>
      </c>
      <c r="BG152" s="49" t="s">
        <v>1372</v>
      </c>
      <c r="BH152" s="49" t="s">
        <v>1377</v>
      </c>
      <c r="BI152" s="1"/>
      <c r="BJ152" s="70" t="s">
        <v>1287</v>
      </c>
      <c r="BK152" s="57" t="s">
        <v>1287</v>
      </c>
      <c r="BL152" s="57" t="s">
        <v>1287</v>
      </c>
      <c r="BM152" s="57" t="s">
        <v>1287</v>
      </c>
      <c r="BN152" s="57" t="s">
        <v>1287</v>
      </c>
      <c r="BO152" s="57" t="s">
        <v>1287</v>
      </c>
      <c r="BP152" s="57" t="s">
        <v>1287</v>
      </c>
      <c r="BQ152" s="57" t="s">
        <v>1287</v>
      </c>
      <c r="BR152" s="57" t="s">
        <v>1287</v>
      </c>
      <c r="BS152" s="57" t="s">
        <v>1287</v>
      </c>
      <c r="BT152" s="57" t="s">
        <v>1287</v>
      </c>
      <c r="BU152" s="57" t="s">
        <v>1287</v>
      </c>
      <c r="BV152" s="70">
        <f t="shared" si="646"/>
        <v>22</v>
      </c>
      <c r="BW152" s="71">
        <f t="shared" si="647"/>
        <v>59</v>
      </c>
      <c r="BX152" s="72">
        <f t="shared" si="648"/>
        <v>63</v>
      </c>
      <c r="BY152" s="71">
        <f t="shared" si="649"/>
        <v>93</v>
      </c>
      <c r="BZ152" s="72">
        <f t="shared" si="650"/>
        <v>97</v>
      </c>
      <c r="CA152" s="71">
        <f t="shared" si="651"/>
        <v>133</v>
      </c>
      <c r="CB152" s="72">
        <f t="shared" si="652"/>
        <v>141</v>
      </c>
      <c r="CC152" s="71">
        <f t="shared" si="653"/>
        <v>178</v>
      </c>
      <c r="CD152" s="72">
        <f t="shared" si="654"/>
        <v>186</v>
      </c>
      <c r="CE152" s="71">
        <f t="shared" si="655"/>
        <v>228</v>
      </c>
      <c r="CF152" s="72">
        <f t="shared" si="656"/>
        <v>268</v>
      </c>
      <c r="CG152" s="71">
        <f t="shared" si="657"/>
        <v>301</v>
      </c>
      <c r="CH152" s="70">
        <f t="shared" si="658"/>
        <v>58</v>
      </c>
      <c r="CI152" s="71">
        <f t="shared" si="659"/>
        <v>62</v>
      </c>
      <c r="CJ152" s="72">
        <f t="shared" si="660"/>
        <v>92</v>
      </c>
      <c r="CK152" s="72">
        <f t="shared" si="661"/>
        <v>96</v>
      </c>
      <c r="CL152" s="72">
        <f t="shared" si="662"/>
        <v>132</v>
      </c>
      <c r="CM152" s="72">
        <f t="shared" si="663"/>
        <v>140</v>
      </c>
      <c r="CN152" s="72">
        <f t="shared" si="664"/>
        <v>167</v>
      </c>
      <c r="CO152" s="72">
        <f t="shared" si="665"/>
        <v>180</v>
      </c>
      <c r="CP152" s="72">
        <f t="shared" si="666"/>
        <v>224</v>
      </c>
      <c r="CQ152" s="72">
        <f t="shared" si="667"/>
        <v>265</v>
      </c>
      <c r="CR152" s="72">
        <f t="shared" si="668"/>
        <v>300</v>
      </c>
      <c r="CS152" s="72">
        <f t="shared" si="669"/>
        <v>313</v>
      </c>
      <c r="CT152" s="23">
        <f t="shared" si="670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si="867"/>
        <v>ccr5_human_4MBS</v>
      </c>
      <c r="B153" s="3" t="s">
        <v>173</v>
      </c>
      <c r="C153" s="3" t="s">
        <v>74</v>
      </c>
      <c r="D153" s="3" t="str">
        <f>IFERROR(MID(VLOOKUP($B153,Seqs!$A:$B,2,0),E153,1),"")</f>
        <v>V</v>
      </c>
      <c r="E153" s="3">
        <v>25</v>
      </c>
      <c r="F153" s="3" t="str">
        <f>IFERROR(MID(VLOOKUP($B153,Seqs!$A:$B,2,0),G153,1),"")</f>
        <v>C</v>
      </c>
      <c r="G153" s="3">
        <v>58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S</v>
      </c>
      <c r="M153" s="3">
        <v>63</v>
      </c>
      <c r="N153" s="3" t="str">
        <f>IFERROR(MID(VLOOKUP($B153,Seqs!$A:$B,2,0),O153,1),"")</f>
        <v>A</v>
      </c>
      <c r="O153" s="3">
        <v>92</v>
      </c>
      <c r="P153" s="3" t="str">
        <f>IFERROR(MID(VLOOKUP($B153,Seqs!$A:$B,2,0),Q153,1),"")</f>
        <v>Q</v>
      </c>
      <c r="Q153" s="3">
        <v>93</v>
      </c>
      <c r="R153" s="3" t="str">
        <f>IFERROR(MID(VLOOKUP($B153,Seqs!$A:$B,2,0),S153,1),"")</f>
        <v>F</v>
      </c>
      <c r="S153" s="3">
        <v>96</v>
      </c>
      <c r="T153" s="3" t="str">
        <f>IFERROR(MID(VLOOKUP($B153,Seqs!$A:$B,2,0),U153,1),"")</f>
        <v>G</v>
      </c>
      <c r="U153" s="3">
        <v>97</v>
      </c>
      <c r="V153" s="3" t="str">
        <f>IFERROR(MID(VLOOKUP($B153,Seqs!$A:$B,2,0),W153,1),"")</f>
        <v>H</v>
      </c>
      <c r="W153" s="3">
        <v>132</v>
      </c>
      <c r="X153" s="3" t="str">
        <f>IFERROR(MID(VLOOKUP($B153,Seqs!$A:$B,2,0),Y153,1),"")</f>
        <v>A</v>
      </c>
      <c r="Y153" s="3">
        <v>133</v>
      </c>
      <c r="Z153" s="3" t="str">
        <f>IFERROR(MID(VLOOKUP($B153,Seqs!$A:$B,2,0),AA153,1),"")</f>
        <v>R</v>
      </c>
      <c r="AA153" s="3">
        <v>140</v>
      </c>
      <c r="AB153" s="3" t="str">
        <f>IFERROR(MID(VLOOKUP($B153,Seqs!$A:$B,2,0),AC153,1),"")</f>
        <v>T</v>
      </c>
      <c r="AC153" s="9">
        <v>141</v>
      </c>
      <c r="AD153" s="3" t="str">
        <f>IFERROR(MID(VLOOKUP($B153,Seqs!$A:$B,2,0),AE153,1),"")</f>
        <v>T</v>
      </c>
      <c r="AE153" s="3">
        <v>167</v>
      </c>
      <c r="AF153" s="3" t="str">
        <f>IFERROR(MID(VLOOKUP($B153,Seqs!$A:$B,2,0),AG153,1),"")</f>
        <v>C</v>
      </c>
      <c r="AG153" s="3">
        <v>178</v>
      </c>
      <c r="AH153" s="3" t="str">
        <f>IFERROR(MID(VLOOKUP($B153,Seqs!$A:$B,2,0),AI153,1),"")</f>
        <v>S</v>
      </c>
      <c r="AI153" s="3">
        <v>180</v>
      </c>
      <c r="AJ153" s="3" t="str">
        <f>IFERROR(MID(VLOOKUP($B153,Seqs!$A:$B,2,0),AK153,1),"")</f>
        <v>Q</v>
      </c>
      <c r="AK153" s="3">
        <v>186</v>
      </c>
      <c r="AL153" s="3" t="str">
        <f>IFERROR(MID(VLOOKUP($B153,Seqs!$A:$B,2,0),AM153,1),"")</f>
        <v>R</v>
      </c>
      <c r="AM153" s="3">
        <v>223</v>
      </c>
      <c r="AN153" s="3" t="str">
        <f>IFERROR(MID(VLOOKUP($B153,Seqs!$A:$B,2,0),AO153,1),"")</f>
        <v>K</v>
      </c>
      <c r="AO153" s="3">
        <v>228</v>
      </c>
      <c r="AP153" s="3" t="str">
        <f>IFERROR(MID(VLOOKUP($B153,Seqs!$A:$B,2,0),AQ153,1),"")</f>
        <v>G</v>
      </c>
      <c r="AQ153" s="3">
        <v>265</v>
      </c>
      <c r="AR153" s="3" t="str">
        <f>IFERROR(MID(VLOOKUP($B153,Seqs!$A:$B,2,0),AS153,1),"")</f>
        <v>N</v>
      </c>
      <c r="AS153" s="3">
        <v>268</v>
      </c>
      <c r="AT153" s="3" t="str">
        <f>IFERROR(MID(VLOOKUP($B153,Seqs!$A:$B,2,0),AU153,1),"")</f>
        <v>V</v>
      </c>
      <c r="AU153" s="3">
        <v>300</v>
      </c>
      <c r="AV153" s="3" t="str">
        <f>IFERROR(MID(VLOOKUP($B153,Seqs!$A:$B,2,0),AW153,1),"")</f>
        <v>G</v>
      </c>
      <c r="AW153" s="3">
        <v>301</v>
      </c>
      <c r="AX153" s="3" t="str">
        <f>IFERROR(MID(VLOOKUP($B153,Seqs!$A:$B,2,0),AY153,1),"")</f>
        <v>Q</v>
      </c>
      <c r="AY153" s="3">
        <v>313</v>
      </c>
      <c r="AZ153" s="77" t="str">
        <f>VLOOKUP(B153,Classification!A:D,2,0)</f>
        <v>A</v>
      </c>
      <c r="BA153" s="94" t="str">
        <f>VLOOKUP(B153,Classification!A:D,4,0)</f>
        <v>Chemokine</v>
      </c>
      <c r="BB153" s="27" t="b">
        <f t="shared" si="868"/>
        <v>1</v>
      </c>
      <c r="BC153" s="23">
        <f t="shared" si="645"/>
        <v>265</v>
      </c>
      <c r="BD153" s="2" t="s">
        <v>23</v>
      </c>
      <c r="BE153" s="3" t="s">
        <v>1374</v>
      </c>
      <c r="BF153" s="119">
        <v>2.71</v>
      </c>
      <c r="BG153" s="49" t="s">
        <v>1377</v>
      </c>
      <c r="BH153" s="49" t="s">
        <v>1377</v>
      </c>
      <c r="BI153" s="1"/>
      <c r="BJ153" s="70" t="s">
        <v>1287</v>
      </c>
      <c r="BK153" s="57" t="s">
        <v>1287</v>
      </c>
      <c r="BL153" s="57" t="s">
        <v>1287</v>
      </c>
      <c r="BM153" s="57" t="s">
        <v>1287</v>
      </c>
      <c r="BN153" s="57" t="s">
        <v>1287</v>
      </c>
      <c r="BO153" s="57" t="s">
        <v>1287</v>
      </c>
      <c r="BP153" s="57" t="s">
        <v>1287</v>
      </c>
      <c r="BQ153" s="57" t="s">
        <v>1287</v>
      </c>
      <c r="BR153" s="57" t="s">
        <v>1287</v>
      </c>
      <c r="BS153" s="57" t="s">
        <v>1287</v>
      </c>
      <c r="BT153" s="57" t="s">
        <v>1287</v>
      </c>
      <c r="BU153" s="57" t="s">
        <v>1287</v>
      </c>
      <c r="BV153" s="70">
        <f t="shared" si="646"/>
        <v>25</v>
      </c>
      <c r="BW153" s="71" t="str">
        <f t="shared" si="647"/>
        <v>-</v>
      </c>
      <c r="BX153" s="72">
        <f t="shared" si="648"/>
        <v>63</v>
      </c>
      <c r="BY153" s="71">
        <f t="shared" si="649"/>
        <v>93</v>
      </c>
      <c r="BZ153" s="72">
        <f t="shared" si="650"/>
        <v>97</v>
      </c>
      <c r="CA153" s="71">
        <f t="shared" si="651"/>
        <v>133</v>
      </c>
      <c r="CB153" s="72">
        <f t="shared" si="652"/>
        <v>141</v>
      </c>
      <c r="CC153" s="71">
        <f t="shared" si="653"/>
        <v>178</v>
      </c>
      <c r="CD153" s="72">
        <f t="shared" si="654"/>
        <v>186</v>
      </c>
      <c r="CE153" s="71">
        <f t="shared" si="655"/>
        <v>228</v>
      </c>
      <c r="CF153" s="72">
        <f t="shared" si="656"/>
        <v>268</v>
      </c>
      <c r="CG153" s="71">
        <f t="shared" si="657"/>
        <v>301</v>
      </c>
      <c r="CH153" s="70">
        <f t="shared" si="658"/>
        <v>58</v>
      </c>
      <c r="CI153" s="71" t="str">
        <f t="shared" si="659"/>
        <v>-</v>
      </c>
      <c r="CJ153" s="72">
        <f t="shared" si="660"/>
        <v>92</v>
      </c>
      <c r="CK153" s="72">
        <f t="shared" si="661"/>
        <v>96</v>
      </c>
      <c r="CL153" s="72">
        <f t="shared" si="662"/>
        <v>132</v>
      </c>
      <c r="CM153" s="72">
        <f t="shared" si="663"/>
        <v>140</v>
      </c>
      <c r="CN153" s="72">
        <f t="shared" si="664"/>
        <v>167</v>
      </c>
      <c r="CO153" s="72">
        <f t="shared" si="665"/>
        <v>180</v>
      </c>
      <c r="CP153" s="72">
        <f t="shared" si="666"/>
        <v>223</v>
      </c>
      <c r="CQ153" s="72">
        <f t="shared" si="667"/>
        <v>265</v>
      </c>
      <c r="CR153" s="72">
        <f t="shared" si="668"/>
        <v>300</v>
      </c>
      <c r="CS153" s="72">
        <f t="shared" si="669"/>
        <v>313</v>
      </c>
      <c r="CT153" s="23" t="e">
        <f t="shared" si="670"/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>CONCATENATE(B154,"_",C154)</f>
        <v>ccr5_human_5UIW</v>
      </c>
      <c r="B154" s="3" t="s">
        <v>173</v>
      </c>
      <c r="C154" s="3" t="s">
        <v>1423</v>
      </c>
      <c r="D154" s="3" t="str">
        <f>IFERROR(MID(VLOOKUP($B154,Seqs!$A:$B,2,0),E154,1),"")</f>
        <v>K</v>
      </c>
      <c r="E154" s="3">
        <v>22</v>
      </c>
      <c r="F154" s="3" t="str">
        <f>IFERROR(MID(VLOOKUP($B154,Seqs!$A:$B,2,0),G154,1),"")</f>
        <v>C</v>
      </c>
      <c r="G154" s="3">
        <v>58</v>
      </c>
      <c r="H154" s="3" t="str">
        <f>IFERROR(MID(VLOOKUP($B154,Seqs!$A:$B,2,0),I154,1),"")</f>
        <v/>
      </c>
      <c r="I154" s="23" t="s">
        <v>23</v>
      </c>
      <c r="J154" s="3" t="str">
        <f>IFERROR(MID(VLOOKUP($B154,Seqs!$A:$B,2,0),K154,1),"")</f>
        <v/>
      </c>
      <c r="K154" s="23" t="s">
        <v>23</v>
      </c>
      <c r="L154" s="3" t="str">
        <f>IFERROR(MID(VLOOKUP($B154,Seqs!$A:$B,2,0),M154,1),"")</f>
        <v>S</v>
      </c>
      <c r="M154" s="3">
        <v>63</v>
      </c>
      <c r="N154" s="3" t="str">
        <f>IFERROR(MID(VLOOKUP($B154,Seqs!$A:$B,2,0),O154,1),"")</f>
        <v>A</v>
      </c>
      <c r="O154" s="3">
        <v>92</v>
      </c>
      <c r="P154" s="3" t="str">
        <f>IFERROR(MID(VLOOKUP($B154,Seqs!$A:$B,2,0),Q154,1),"")</f>
        <v>Q</v>
      </c>
      <c r="Q154" s="3">
        <v>93</v>
      </c>
      <c r="R154" s="3" t="str">
        <f>IFERROR(MID(VLOOKUP($B154,Seqs!$A:$B,2,0),S154,1),"")</f>
        <v>F</v>
      </c>
      <c r="S154" s="3">
        <v>96</v>
      </c>
      <c r="T154" s="3" t="str">
        <f>IFERROR(MID(VLOOKUP($B154,Seqs!$A:$B,2,0),U154,1),"")</f>
        <v>G</v>
      </c>
      <c r="U154" s="3">
        <v>97</v>
      </c>
      <c r="V154" s="3" t="str">
        <f>IFERROR(MID(VLOOKUP($B154,Seqs!$A:$B,2,0),W154,1),"")</f>
        <v>H</v>
      </c>
      <c r="W154" s="3">
        <v>132</v>
      </c>
      <c r="X154" s="3" t="str">
        <f>IFERROR(MID(VLOOKUP($B154,Seqs!$A:$B,2,0),Y154,1),"")</f>
        <v>A</v>
      </c>
      <c r="Y154" s="3">
        <v>133</v>
      </c>
      <c r="Z154" s="3" t="str">
        <f>IFERROR(MID(VLOOKUP($B154,Seqs!$A:$B,2,0),AA154,1),"")</f>
        <v>R</v>
      </c>
      <c r="AA154" s="3">
        <v>140</v>
      </c>
      <c r="AB154" s="3" t="str">
        <f>IFERROR(MID(VLOOKUP($B154,Seqs!$A:$B,2,0),AC154,1),"")</f>
        <v>T</v>
      </c>
      <c r="AC154" s="3">
        <v>141</v>
      </c>
      <c r="AD154" s="3" t="str">
        <f>IFERROR(MID(VLOOKUP($B154,Seqs!$A:$B,2,0),AE154,1),"")</f>
        <v>T</v>
      </c>
      <c r="AE154" s="3">
        <v>167</v>
      </c>
      <c r="AF154" s="3" t="str">
        <f>IFERROR(MID(VLOOKUP($B154,Seqs!$A:$B,2,0),AG154,1),"")</f>
        <v>C</v>
      </c>
      <c r="AG154" s="3">
        <v>178</v>
      </c>
      <c r="AH154" s="3" t="str">
        <f>IFERROR(MID(VLOOKUP($B154,Seqs!$A:$B,2,0),AI154,1),"")</f>
        <v>S</v>
      </c>
      <c r="AI154" s="3">
        <v>180</v>
      </c>
      <c r="AJ154" s="3" t="str">
        <f>IFERROR(MID(VLOOKUP($B154,Seqs!$A:$B,2,0),AK154,1),"")</f>
        <v>Q</v>
      </c>
      <c r="AK154" s="3">
        <v>186</v>
      </c>
      <c r="AL154" s="3" t="str">
        <f>IFERROR(MID(VLOOKUP($B154,Seqs!$A:$B,2,0),AM154,1),"")</f>
        <v>R</v>
      </c>
      <c r="AM154" s="3">
        <v>223</v>
      </c>
      <c r="AN154" s="3" t="str">
        <f>IFERROR(MID(VLOOKUP($B154,Seqs!$A:$B,2,0),AO154,1),"")</f>
        <v>E</v>
      </c>
      <c r="AO154" s="3">
        <v>227</v>
      </c>
      <c r="AP154" s="3" t="str">
        <f>IFERROR(MID(VLOOKUP($B154,Seqs!$A:$B,2,0),AQ154,1),"")</f>
        <v>Q</v>
      </c>
      <c r="AQ154" s="3">
        <v>261</v>
      </c>
      <c r="AR154" s="3" t="str">
        <f>IFERROR(MID(VLOOKUP($B154,Seqs!$A:$B,2,0),AS154,1),"")</f>
        <v>N</v>
      </c>
      <c r="AS154" s="3">
        <v>268</v>
      </c>
      <c r="AT154" s="3" t="str">
        <f>IFERROR(MID(VLOOKUP($B154,Seqs!$A:$B,2,0),AU154,1),"")</f>
        <v>V</v>
      </c>
      <c r="AU154" s="3">
        <v>300</v>
      </c>
      <c r="AV154" s="3" t="str">
        <f>IFERROR(MID(VLOOKUP($B154,Seqs!$A:$B,2,0),AW154,1),"")</f>
        <v>G</v>
      </c>
      <c r="AW154" s="3">
        <v>301</v>
      </c>
      <c r="AX154" s="3" t="str">
        <f>IFERROR(MID(VLOOKUP($B154,Seqs!$A:$B,2,0),AY154,1),"")</f>
        <v>I</v>
      </c>
      <c r="AY154" s="3">
        <v>316</v>
      </c>
      <c r="AZ154" s="77" t="str">
        <f>VLOOKUP(B154,Classification!A:D,2,0)</f>
        <v>A</v>
      </c>
      <c r="BA154" s="94" t="str">
        <f>VLOOKUP(B154,Classification!A:D,4,0)</f>
        <v>Chemokine</v>
      </c>
      <c r="BB154" s="27" t="b">
        <f>AND(E154&lt;G154,OR(G154&lt;I154,I154="-"),OR(I154&lt;K154,I154="-"),OR(K154&lt;M154,K154="-"),M154&lt;O154,OR(O154&lt;Q154,Q154="-"),OR(Q154&lt;S154,Q154="-"),OR(S154&lt;U154,S154="-"),U154&lt;W154,OR(W154&lt;Y154,Y154="-"),OR(Y154&lt;AA154,Y154="-"),OR(AA154&lt;AC154,AA154="-"),AC154&lt;AE154,OR(AE154&lt;AG154,AG154="-"),OR(AG154&lt;AI154,AG154="-"),OR(AI154&lt;AK154,AI154="-"),AK154&lt;AM154,AM154&lt;AO154,AO154&lt;AQ154,AQ154&lt;AS154,AS154&lt;AU154,OR(AU154&lt;AW154,AW154="-"),OR(AW154&lt;AY154,AW154="-"))</f>
        <v>1</v>
      </c>
      <c r="BC154" s="23">
        <f>_xlfn.AGGREGATE(9,6,CH154:CS154)-_xlfn.AGGREGATE(9,6,BV154:CG154)+12</f>
        <v>268</v>
      </c>
      <c r="BD154" s="2" t="s">
        <v>1376</v>
      </c>
      <c r="BE154" s="3" t="s">
        <v>1374</v>
      </c>
      <c r="BF154" s="119">
        <v>2.2000000000000002</v>
      </c>
      <c r="BG154" s="49" t="s">
        <v>1377</v>
      </c>
      <c r="BH154" s="49" t="s">
        <v>1377</v>
      </c>
      <c r="BI154" s="1"/>
      <c r="BJ154" s="70" t="s">
        <v>1287</v>
      </c>
      <c r="BK154" s="57" t="s">
        <v>1287</v>
      </c>
      <c r="BL154" s="57" t="s">
        <v>1287</v>
      </c>
      <c r="BM154" s="57" t="s">
        <v>1287</v>
      </c>
      <c r="BN154" s="57" t="s">
        <v>1287</v>
      </c>
      <c r="BO154" s="57" t="s">
        <v>1287</v>
      </c>
      <c r="BP154" s="57" t="s">
        <v>1287</v>
      </c>
      <c r="BQ154" s="57" t="s">
        <v>1287</v>
      </c>
      <c r="BR154" s="57" t="s">
        <v>1287</v>
      </c>
      <c r="BS154" s="57" t="s">
        <v>1287</v>
      </c>
      <c r="BT154" s="57" t="s">
        <v>1287</v>
      </c>
      <c r="BU154" s="57" t="s">
        <v>1287</v>
      </c>
      <c r="BV154" s="70">
        <f>E154</f>
        <v>22</v>
      </c>
      <c r="BW154" s="71" t="str">
        <f>I154</f>
        <v>-</v>
      </c>
      <c r="BX154" s="72">
        <f>M154</f>
        <v>63</v>
      </c>
      <c r="BY154" s="71">
        <f>Q154</f>
        <v>93</v>
      </c>
      <c r="BZ154" s="72">
        <f>U154</f>
        <v>97</v>
      </c>
      <c r="CA154" s="71">
        <f>Y154</f>
        <v>133</v>
      </c>
      <c r="CB154" s="72">
        <f>AC154</f>
        <v>141</v>
      </c>
      <c r="CC154" s="71">
        <f>AG154</f>
        <v>178</v>
      </c>
      <c r="CD154" s="72">
        <f>AK154</f>
        <v>186</v>
      </c>
      <c r="CE154" s="71">
        <f>AO154</f>
        <v>227</v>
      </c>
      <c r="CF154" s="72">
        <f>AS154</f>
        <v>268</v>
      </c>
      <c r="CG154" s="71">
        <f>AW154</f>
        <v>301</v>
      </c>
      <c r="CH154" s="70">
        <f>G154</f>
        <v>58</v>
      </c>
      <c r="CI154" s="71" t="str">
        <f>K154</f>
        <v>-</v>
      </c>
      <c r="CJ154" s="72">
        <f>O154</f>
        <v>92</v>
      </c>
      <c r="CK154" s="72">
        <f>S154</f>
        <v>96</v>
      </c>
      <c r="CL154" s="72">
        <f>W154</f>
        <v>132</v>
      </c>
      <c r="CM154" s="72">
        <f>AA154</f>
        <v>140</v>
      </c>
      <c r="CN154" s="72">
        <f>AE154</f>
        <v>167</v>
      </c>
      <c r="CO154" s="72">
        <f>AI154</f>
        <v>180</v>
      </c>
      <c r="CP154" s="72">
        <f>AM154</f>
        <v>223</v>
      </c>
      <c r="CQ154" s="72">
        <f>AQ154</f>
        <v>261</v>
      </c>
      <c r="CR154" s="72">
        <f>AU154</f>
        <v>300</v>
      </c>
      <c r="CS154" s="72">
        <f>AY154</f>
        <v>316</v>
      </c>
      <c r="CT154" s="23" t="e">
        <f>M154-K154</f>
        <v>#VALUE!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30" s="12" customFormat="1" x14ac:dyDescent="0.2">
      <c r="A155" s="9" t="str">
        <f>CONCATENATE(B155,"_",C155)</f>
        <v>ccr5_human_6AKX</v>
      </c>
      <c r="B155" s="9" t="s">
        <v>173</v>
      </c>
      <c r="C155" s="9" t="s">
        <v>1524</v>
      </c>
      <c r="D155" s="9" t="str">
        <f>IFERROR(MID(VLOOKUP($B155,Seqs!$A:$B,2,0),E155,1),"")</f>
        <v>V</v>
      </c>
      <c r="E155" s="9">
        <v>25</v>
      </c>
      <c r="F155" s="9" t="str">
        <f>IFERROR(MID(VLOOKUP($B155,Seqs!$A:$B,2,0),G155,1),"")</f>
        <v>C</v>
      </c>
      <c r="G155" s="9">
        <v>58</v>
      </c>
      <c r="H155" s="9" t="str">
        <f>IFERROR(MID(VLOOKUP($B155,Seqs!$A:$B,2,0),I155,1),"")</f>
        <v/>
      </c>
      <c r="I155" s="109" t="s">
        <v>23</v>
      </c>
      <c r="J155" s="9" t="str">
        <f>IFERROR(MID(VLOOKUP($B155,Seqs!$A:$B,2,0),K155,1),"")</f>
        <v/>
      </c>
      <c r="K155" s="109" t="s">
        <v>23</v>
      </c>
      <c r="L155" s="9" t="str">
        <f>IFERROR(MID(VLOOKUP($B155,Seqs!$A:$B,2,0),M155,1),"")</f>
        <v>S</v>
      </c>
      <c r="M155" s="9">
        <v>63</v>
      </c>
      <c r="N155" s="9" t="str">
        <f>IFERROR(MID(VLOOKUP($B155,Seqs!$A:$B,2,0),O155,1),"")</f>
        <v>A</v>
      </c>
      <c r="O155" s="9">
        <v>92</v>
      </c>
      <c r="P155" s="9" t="str">
        <f>IFERROR(MID(VLOOKUP($B155,Seqs!$A:$B,2,0),Q155,1),"")</f>
        <v>Q</v>
      </c>
      <c r="Q155" s="9">
        <v>93</v>
      </c>
      <c r="R155" s="9" t="str">
        <f>IFERROR(MID(VLOOKUP($B155,Seqs!$A:$B,2,0),S155,1),"")</f>
        <v>F</v>
      </c>
      <c r="S155" s="9">
        <v>96</v>
      </c>
      <c r="T155" s="9" t="str">
        <f>IFERROR(MID(VLOOKUP($B155,Seqs!$A:$B,2,0),U155,1),"")</f>
        <v>G</v>
      </c>
      <c r="U155" s="9">
        <v>97</v>
      </c>
      <c r="V155" s="9" t="str">
        <f>IFERROR(MID(VLOOKUP($B155,Seqs!$A:$B,2,0),W155,1),"")</f>
        <v>H</v>
      </c>
      <c r="W155" s="9">
        <v>132</v>
      </c>
      <c r="X155" s="9" t="str">
        <f>IFERROR(MID(VLOOKUP($B155,Seqs!$A:$B,2,0),Y155,1),"")</f>
        <v>A</v>
      </c>
      <c r="Y155" s="9">
        <v>133</v>
      </c>
      <c r="Z155" s="9" t="str">
        <f>IFERROR(MID(VLOOKUP($B155,Seqs!$A:$B,2,0),AA155,1),"")</f>
        <v>R</v>
      </c>
      <c r="AA155" s="9">
        <v>140</v>
      </c>
      <c r="AB155" s="9" t="str">
        <f>IFERROR(MID(VLOOKUP($B155,Seqs!$A:$B,2,0),AC155,1),"")</f>
        <v>T</v>
      </c>
      <c r="AC155" s="9">
        <v>141</v>
      </c>
      <c r="AD155" s="9" t="str">
        <f>IFERROR(MID(VLOOKUP($B155,Seqs!$A:$B,2,0),AE155,1),"")</f>
        <v>T</v>
      </c>
      <c r="AE155" s="9">
        <v>167</v>
      </c>
      <c r="AF155" s="9" t="str">
        <f>IFERROR(MID(VLOOKUP($B155,Seqs!$A:$B,2,0),AG155,1),"")</f>
        <v>C</v>
      </c>
      <c r="AG155" s="9">
        <v>178</v>
      </c>
      <c r="AH155" s="9" t="str">
        <f>IFERROR(MID(VLOOKUP($B155,Seqs!$A:$B,2,0),AI155,1),"")</f>
        <v>S</v>
      </c>
      <c r="AI155" s="9">
        <v>180</v>
      </c>
      <c r="AJ155" s="9" t="str">
        <f>IFERROR(MID(VLOOKUP($B155,Seqs!$A:$B,2,0),AK155,1),"")</f>
        <v>Q</v>
      </c>
      <c r="AK155" s="9">
        <v>186</v>
      </c>
      <c r="AL155" s="9" t="str">
        <f>IFERROR(MID(VLOOKUP($B155,Seqs!$A:$B,2,0),AM155,1),"")</f>
        <v>R</v>
      </c>
      <c r="AM155" s="9">
        <v>223</v>
      </c>
      <c r="AN155" s="9" t="str">
        <f>IFERROR(MID(VLOOKUP($B155,Seqs!$A:$B,2,0),AO155,1),"")</f>
        <v>K</v>
      </c>
      <c r="AO155" s="9">
        <v>228</v>
      </c>
      <c r="AP155" s="9" t="str">
        <f>IFERROR(MID(VLOOKUP($B155,Seqs!$A:$B,2,0),AQ155,1),"")</f>
        <v>G</v>
      </c>
      <c r="AQ155" s="9">
        <v>265</v>
      </c>
      <c r="AR155" s="9" t="str">
        <f>IFERROR(MID(VLOOKUP($B155,Seqs!$A:$B,2,0),AS155,1),"")</f>
        <v>N</v>
      </c>
      <c r="AS155" s="9">
        <v>268</v>
      </c>
      <c r="AT155" s="9" t="str">
        <f>IFERROR(MID(VLOOKUP($B155,Seqs!$A:$B,2,0),AU155,1),"")</f>
        <v>V</v>
      </c>
      <c r="AU155" s="9">
        <v>300</v>
      </c>
      <c r="AV155" s="9" t="str">
        <f>IFERROR(MID(VLOOKUP($B155,Seqs!$A:$B,2,0),AW155,1),"")</f>
        <v>G</v>
      </c>
      <c r="AW155" s="9">
        <v>301</v>
      </c>
      <c r="AX155" s="9" t="str">
        <f>IFERROR(MID(VLOOKUP($B155,Seqs!$A:$B,2,0),AY155,1),"")</f>
        <v>Q</v>
      </c>
      <c r="AY155" s="9">
        <v>313</v>
      </c>
      <c r="AZ155" s="110" t="str">
        <f>VLOOKUP(B155,Classification!A:D,2,0)</f>
        <v>A</v>
      </c>
      <c r="BA155" s="98" t="str">
        <f>VLOOKUP(B155,Classification!A:D,4,0)</f>
        <v>Chemokine</v>
      </c>
      <c r="BB155" s="36" t="b">
        <f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109">
        <f>_xlfn.AGGREGATE(9,6,CH155:CS155)-_xlfn.AGGREGATE(9,6,BV155:CG155)+12</f>
        <v>265</v>
      </c>
      <c r="BD155" s="40" t="s">
        <v>23</v>
      </c>
      <c r="BE155" s="9" t="s">
        <v>1374</v>
      </c>
      <c r="BF155" s="120">
        <v>2.8</v>
      </c>
      <c r="BG155" s="51" t="s">
        <v>1281</v>
      </c>
      <c r="BH155" s="51" t="s">
        <v>1281</v>
      </c>
      <c r="BJ155" s="111" t="s">
        <v>1287</v>
      </c>
      <c r="BK155" s="112" t="s">
        <v>1287</v>
      </c>
      <c r="BL155" s="112" t="s">
        <v>1287</v>
      </c>
      <c r="BM155" s="112" t="s">
        <v>1287</v>
      </c>
      <c r="BN155" s="112" t="s">
        <v>1287</v>
      </c>
      <c r="BO155" s="112" t="s">
        <v>1287</v>
      </c>
      <c r="BP155" s="112" t="s">
        <v>1287</v>
      </c>
      <c r="BQ155" s="112" t="s">
        <v>1287</v>
      </c>
      <c r="BR155" s="112" t="s">
        <v>1287</v>
      </c>
      <c r="BS155" s="112" t="s">
        <v>1287</v>
      </c>
      <c r="BT155" s="112" t="s">
        <v>1287</v>
      </c>
      <c r="BU155" s="112" t="s">
        <v>1287</v>
      </c>
      <c r="BV155" s="111">
        <f>E155</f>
        <v>25</v>
      </c>
      <c r="BW155" s="113" t="str">
        <f>I155</f>
        <v>-</v>
      </c>
      <c r="BX155" s="114">
        <f>M155</f>
        <v>63</v>
      </c>
      <c r="BY155" s="113">
        <f>Q155</f>
        <v>93</v>
      </c>
      <c r="BZ155" s="114">
        <f>U155</f>
        <v>97</v>
      </c>
      <c r="CA155" s="113">
        <f>Y155</f>
        <v>133</v>
      </c>
      <c r="CB155" s="114">
        <f>AC155</f>
        <v>141</v>
      </c>
      <c r="CC155" s="113">
        <f>AG155</f>
        <v>178</v>
      </c>
      <c r="CD155" s="114">
        <f>AK155</f>
        <v>186</v>
      </c>
      <c r="CE155" s="113">
        <f>AO155</f>
        <v>228</v>
      </c>
      <c r="CF155" s="114">
        <f>AS155</f>
        <v>268</v>
      </c>
      <c r="CG155" s="113">
        <f>AW155</f>
        <v>301</v>
      </c>
      <c r="CH155" s="111">
        <f>G155</f>
        <v>58</v>
      </c>
      <c r="CI155" s="113" t="str">
        <f>K155</f>
        <v>-</v>
      </c>
      <c r="CJ155" s="114">
        <f>O155</f>
        <v>92</v>
      </c>
      <c r="CK155" s="114">
        <f>S155</f>
        <v>96</v>
      </c>
      <c r="CL155" s="114">
        <f>W155</f>
        <v>132</v>
      </c>
      <c r="CM155" s="114">
        <f>AA155</f>
        <v>140</v>
      </c>
      <c r="CN155" s="114">
        <f>AE155</f>
        <v>167</v>
      </c>
      <c r="CO155" s="114">
        <f>AI155</f>
        <v>180</v>
      </c>
      <c r="CP155" s="114">
        <f>AM155</f>
        <v>223</v>
      </c>
      <c r="CQ155" s="114">
        <f>AQ155</f>
        <v>265</v>
      </c>
      <c r="CR155" s="114">
        <f>AU155</f>
        <v>300</v>
      </c>
      <c r="CS155" s="114">
        <f>AY155</f>
        <v>313</v>
      </c>
      <c r="CT155" s="109" t="e">
        <f>M155-K155</f>
        <v>#VALUE!</v>
      </c>
    </row>
    <row r="156" spans="1:1030" s="12" customFormat="1" x14ac:dyDescent="0.2">
      <c r="A156" s="9" t="str">
        <f>CONCATENATE(B156,"_",C156)</f>
        <v>ccr5_human_6AKY</v>
      </c>
      <c r="B156" s="9" t="s">
        <v>173</v>
      </c>
      <c r="C156" s="9" t="s">
        <v>1525</v>
      </c>
      <c r="D156" s="9" t="str">
        <f>IFERROR(MID(VLOOKUP($B156,Seqs!$A:$B,2,0),E156,1),"")</f>
        <v>V</v>
      </c>
      <c r="E156" s="9">
        <v>25</v>
      </c>
      <c r="F156" s="9" t="str">
        <f>IFERROR(MID(VLOOKUP($B156,Seqs!$A:$B,2,0),G156,1),"")</f>
        <v>C</v>
      </c>
      <c r="G156" s="9">
        <v>58</v>
      </c>
      <c r="H156" s="9" t="str">
        <f>IFERROR(MID(VLOOKUP($B156,Seqs!$A:$B,2,0),I156,1),"")</f>
        <v/>
      </c>
      <c r="I156" s="109" t="s">
        <v>23</v>
      </c>
      <c r="J156" s="9" t="str">
        <f>IFERROR(MID(VLOOKUP($B156,Seqs!$A:$B,2,0),K156,1),"")</f>
        <v/>
      </c>
      <c r="K156" s="109" t="s">
        <v>23</v>
      </c>
      <c r="L156" s="9" t="str">
        <f>IFERROR(MID(VLOOKUP($B156,Seqs!$A:$B,2,0),M156,1),"")</f>
        <v>S</v>
      </c>
      <c r="M156" s="9">
        <v>63</v>
      </c>
      <c r="N156" s="9" t="str">
        <f>IFERROR(MID(VLOOKUP($B156,Seqs!$A:$B,2,0),O156,1),"")</f>
        <v>A</v>
      </c>
      <c r="O156" s="9">
        <v>92</v>
      </c>
      <c r="P156" s="9" t="str">
        <f>IFERROR(MID(VLOOKUP($B156,Seqs!$A:$B,2,0),Q156,1),"")</f>
        <v>Q</v>
      </c>
      <c r="Q156" s="9">
        <v>93</v>
      </c>
      <c r="R156" s="9" t="str">
        <f>IFERROR(MID(VLOOKUP($B156,Seqs!$A:$B,2,0),S156,1),"")</f>
        <v>F</v>
      </c>
      <c r="S156" s="9">
        <v>96</v>
      </c>
      <c r="T156" s="9" t="str">
        <f>IFERROR(MID(VLOOKUP($B156,Seqs!$A:$B,2,0),U156,1),"")</f>
        <v>G</v>
      </c>
      <c r="U156" s="9">
        <v>97</v>
      </c>
      <c r="V156" s="9" t="str">
        <f>IFERROR(MID(VLOOKUP($B156,Seqs!$A:$B,2,0),W156,1),"")</f>
        <v>H</v>
      </c>
      <c r="W156" s="9">
        <v>132</v>
      </c>
      <c r="X156" s="9" t="str">
        <f>IFERROR(MID(VLOOKUP($B156,Seqs!$A:$B,2,0),Y156,1),"")</f>
        <v>A</v>
      </c>
      <c r="Y156" s="9">
        <v>133</v>
      </c>
      <c r="Z156" s="9" t="str">
        <f>IFERROR(MID(VLOOKUP($B156,Seqs!$A:$B,2,0),AA156,1),"")</f>
        <v>R</v>
      </c>
      <c r="AA156" s="9">
        <v>140</v>
      </c>
      <c r="AB156" s="9" t="str">
        <f>IFERROR(MID(VLOOKUP($B156,Seqs!$A:$B,2,0),AC156,1),"")</f>
        <v>T</v>
      </c>
      <c r="AC156" s="9">
        <v>141</v>
      </c>
      <c r="AD156" s="9" t="str">
        <f>IFERROR(MID(VLOOKUP($B156,Seqs!$A:$B,2,0),AE156,1),"")</f>
        <v>T</v>
      </c>
      <c r="AE156" s="9">
        <v>167</v>
      </c>
      <c r="AF156" s="9" t="str">
        <f>IFERROR(MID(VLOOKUP($B156,Seqs!$A:$B,2,0),AG156,1),"")</f>
        <v>C</v>
      </c>
      <c r="AG156" s="9">
        <v>178</v>
      </c>
      <c r="AH156" s="9" t="str">
        <f>IFERROR(MID(VLOOKUP($B156,Seqs!$A:$B,2,0),AI156,1),"")</f>
        <v>S</v>
      </c>
      <c r="AI156" s="9">
        <v>180</v>
      </c>
      <c r="AJ156" s="9" t="str">
        <f>IFERROR(MID(VLOOKUP($B156,Seqs!$A:$B,2,0),AK156,1),"")</f>
        <v>Q</v>
      </c>
      <c r="AK156" s="9">
        <v>186</v>
      </c>
      <c r="AL156" s="9" t="str">
        <f>IFERROR(MID(VLOOKUP($B156,Seqs!$A:$B,2,0),AM156,1),"")</f>
        <v>R</v>
      </c>
      <c r="AM156" s="9">
        <v>223</v>
      </c>
      <c r="AN156" s="9" t="str">
        <f>IFERROR(MID(VLOOKUP($B156,Seqs!$A:$B,2,0),AO156,1),"")</f>
        <v>H</v>
      </c>
      <c r="AO156" s="9">
        <v>231</v>
      </c>
      <c r="AP156" s="9" t="str">
        <f>IFERROR(MID(VLOOKUP($B156,Seqs!$A:$B,2,0),AQ156,1),"")</f>
        <v>F</v>
      </c>
      <c r="AQ156" s="9">
        <v>260</v>
      </c>
      <c r="AR156" s="9" t="str">
        <f>IFERROR(MID(VLOOKUP($B156,Seqs!$A:$B,2,0),AS156,1),"")</f>
        <v>N</v>
      </c>
      <c r="AS156" s="9">
        <v>268</v>
      </c>
      <c r="AT156" s="9" t="str">
        <f>IFERROR(MID(VLOOKUP($B156,Seqs!$A:$B,2,0),AU156,1),"")</f>
        <v>V</v>
      </c>
      <c r="AU156" s="9">
        <v>300</v>
      </c>
      <c r="AV156" s="9" t="str">
        <f>IFERROR(MID(VLOOKUP($B156,Seqs!$A:$B,2,0),AW156,1),"")</f>
        <v>G</v>
      </c>
      <c r="AW156" s="9">
        <v>301</v>
      </c>
      <c r="AX156" s="9" t="str">
        <f>IFERROR(MID(VLOOKUP($B156,Seqs!$A:$B,2,0),AY156,1),"")</f>
        <v>L</v>
      </c>
      <c r="AY156" s="9">
        <v>308</v>
      </c>
      <c r="AZ156" s="110" t="str">
        <f>VLOOKUP(B156,Classification!A:D,2,0)</f>
        <v>A</v>
      </c>
      <c r="BA156" s="98" t="str">
        <f>VLOOKUP(B156,Classification!A:D,4,0)</f>
        <v>Chemokine</v>
      </c>
      <c r="BB156" s="36" t="b">
        <f>AND(E156&lt;G156,OR(G156&lt;I156,I156="-"),OR(I156&lt;K156,I156="-"),OR(K156&lt;M156,K156="-"),M156&lt;O156,OR(O156&lt;Q156,Q156="-"),OR(Q156&lt;S156,Q156="-"),OR(S156&lt;U156,S156="-"),U156&lt;W156,OR(W156&lt;Y156,Y156="-"),OR(Y156&lt;AA156,Y156="-"),OR(AA156&lt;AC156,AA156="-"),AC156&lt;AE156,OR(AE156&lt;AG156,AG156="-"),OR(AG156&lt;AI156,AG156="-"),OR(AI156&lt;AK156,AI156="-"),AK156&lt;AM156,AM156&lt;AO156,AO156&lt;AQ156,AQ156&lt;AS156,AS156&lt;AU156,OR(AU156&lt;AW156,AW156="-"),OR(AW156&lt;AY156,AW156="-"))</f>
        <v>1</v>
      </c>
      <c r="BC156" s="109">
        <f>_xlfn.AGGREGATE(9,6,CH156:CS156)-_xlfn.AGGREGATE(9,6,BV156:CG156)+12</f>
        <v>252</v>
      </c>
      <c r="BD156" s="40" t="s">
        <v>23</v>
      </c>
      <c r="BE156" s="9" t="s">
        <v>1374</v>
      </c>
      <c r="BF156" s="120">
        <v>2.8</v>
      </c>
      <c r="BG156" s="51" t="s">
        <v>1281</v>
      </c>
      <c r="BH156" s="51" t="s">
        <v>1281</v>
      </c>
      <c r="BJ156" s="111" t="s">
        <v>1287</v>
      </c>
      <c r="BK156" s="112" t="s">
        <v>1287</v>
      </c>
      <c r="BL156" s="112" t="s">
        <v>1287</v>
      </c>
      <c r="BM156" s="112" t="s">
        <v>1287</v>
      </c>
      <c r="BN156" s="112" t="s">
        <v>1287</v>
      </c>
      <c r="BO156" s="112" t="s">
        <v>1287</v>
      </c>
      <c r="BP156" s="112" t="s">
        <v>1287</v>
      </c>
      <c r="BQ156" s="112" t="s">
        <v>1287</v>
      </c>
      <c r="BR156" s="112" t="s">
        <v>1287</v>
      </c>
      <c r="BS156" s="112" t="s">
        <v>1287</v>
      </c>
      <c r="BT156" s="112" t="s">
        <v>1287</v>
      </c>
      <c r="BU156" s="112" t="s">
        <v>1287</v>
      </c>
      <c r="BV156" s="111">
        <f>E156</f>
        <v>25</v>
      </c>
      <c r="BW156" s="113" t="str">
        <f>I156</f>
        <v>-</v>
      </c>
      <c r="BX156" s="114">
        <f>M156</f>
        <v>63</v>
      </c>
      <c r="BY156" s="113">
        <f>Q156</f>
        <v>93</v>
      </c>
      <c r="BZ156" s="114">
        <f>U156</f>
        <v>97</v>
      </c>
      <c r="CA156" s="113">
        <f>Y156</f>
        <v>133</v>
      </c>
      <c r="CB156" s="114">
        <f>AC156</f>
        <v>141</v>
      </c>
      <c r="CC156" s="113">
        <f>AG156</f>
        <v>178</v>
      </c>
      <c r="CD156" s="114">
        <f>AK156</f>
        <v>186</v>
      </c>
      <c r="CE156" s="113">
        <f>AO156</f>
        <v>231</v>
      </c>
      <c r="CF156" s="114">
        <f>AS156</f>
        <v>268</v>
      </c>
      <c r="CG156" s="113">
        <f>AW156</f>
        <v>301</v>
      </c>
      <c r="CH156" s="111">
        <f>G156</f>
        <v>58</v>
      </c>
      <c r="CI156" s="113" t="str">
        <f>K156</f>
        <v>-</v>
      </c>
      <c r="CJ156" s="114">
        <f>O156</f>
        <v>92</v>
      </c>
      <c r="CK156" s="114">
        <f>S156</f>
        <v>96</v>
      </c>
      <c r="CL156" s="114">
        <f>W156</f>
        <v>132</v>
      </c>
      <c r="CM156" s="114">
        <f>AA156</f>
        <v>140</v>
      </c>
      <c r="CN156" s="114">
        <f>AE156</f>
        <v>167</v>
      </c>
      <c r="CO156" s="114">
        <f>AI156</f>
        <v>180</v>
      </c>
      <c r="CP156" s="114">
        <f>AM156</f>
        <v>223</v>
      </c>
      <c r="CQ156" s="114">
        <f>AQ156</f>
        <v>260</v>
      </c>
      <c r="CR156" s="114">
        <f>AU156</f>
        <v>300</v>
      </c>
      <c r="CS156" s="114">
        <f>AY156</f>
        <v>308</v>
      </c>
      <c r="CT156" s="109" t="e">
        <f>M156-K156</f>
        <v>#VALUE!</v>
      </c>
    </row>
    <row r="157" spans="1:1030" s="12" customFormat="1" x14ac:dyDescent="0.2">
      <c r="A157" s="9" t="str">
        <f>CONCATENATE(B157,"_",C157)</f>
        <v>ccr5_human_6MEO</v>
      </c>
      <c r="B157" s="9" t="s">
        <v>173</v>
      </c>
      <c r="C157" s="9" t="s">
        <v>1541</v>
      </c>
      <c r="D157" s="9" t="str">
        <f>IFERROR(MID(VLOOKUP($B157,Seqs!$A:$B,2,0),E157,1),"")</f>
        <v>K</v>
      </c>
      <c r="E157" s="9">
        <v>26</v>
      </c>
      <c r="F157" s="9" t="str">
        <f>IFERROR(MID(VLOOKUP($B157,Seqs!$A:$B,2,0),G157,1),"")</f>
        <v>R</v>
      </c>
      <c r="G157" s="9">
        <v>60</v>
      </c>
      <c r="H157" s="9" t="str">
        <f>IFERROR(MID(VLOOKUP($B157,Seqs!$A:$B,2,0),I157,1),"")</f>
        <v/>
      </c>
      <c r="I157" s="109" t="s">
        <v>23</v>
      </c>
      <c r="J157" s="9" t="str">
        <f>IFERROR(MID(VLOOKUP($B157,Seqs!$A:$B,2,0),K157,1),"")</f>
        <v/>
      </c>
      <c r="K157" s="109" t="s">
        <v>23</v>
      </c>
      <c r="L157" s="9" t="str">
        <f>IFERROR(MID(VLOOKUP($B157,Seqs!$A:$B,2,0),M157,1),"")</f>
        <v>S</v>
      </c>
      <c r="M157" s="9">
        <v>63</v>
      </c>
      <c r="N157" s="9" t="str">
        <f>IFERROR(MID(VLOOKUP($B157,Seqs!$A:$B,2,0),O157,1),"")</f>
        <v>A</v>
      </c>
      <c r="O157" s="9">
        <v>90</v>
      </c>
      <c r="P157" s="9" t="str">
        <f>IFERROR(MID(VLOOKUP($B157,Seqs!$A:$B,2,0),Q157,1),"")</f>
        <v>Q</v>
      </c>
      <c r="Q157" s="9">
        <v>93</v>
      </c>
      <c r="R157" s="9" t="str">
        <f>IFERROR(MID(VLOOKUP($B157,Seqs!$A:$B,2,0),S157,1),"")</f>
        <v>F</v>
      </c>
      <c r="S157" s="9">
        <v>96</v>
      </c>
      <c r="T157" s="9" t="str">
        <f>IFERROR(MID(VLOOKUP($B157,Seqs!$A:$B,2,0),U157,1),"")</f>
        <v>M</v>
      </c>
      <c r="U157" s="9">
        <v>100</v>
      </c>
      <c r="V157" s="9" t="str">
        <f>IFERROR(MID(VLOOKUP($B157,Seqs!$A:$B,2,0),W157,1),"")</f>
        <v>H</v>
      </c>
      <c r="W157" s="9">
        <v>132</v>
      </c>
      <c r="X157" s="9" t="str">
        <f>IFERROR(MID(VLOOKUP($B157,Seqs!$A:$B,2,0),Y157,1),"")</f>
        <v>A</v>
      </c>
      <c r="Y157" s="9">
        <v>133</v>
      </c>
      <c r="Z157" s="9" t="str">
        <f>IFERROR(MID(VLOOKUP($B157,Seqs!$A:$B,2,0),AA157,1),"")</f>
        <v>R</v>
      </c>
      <c r="AA157" s="9">
        <v>140</v>
      </c>
      <c r="AB157" s="9" t="str">
        <f>IFERROR(MID(VLOOKUP($B157,Seqs!$A:$B,2,0),AC157,1),"")</f>
        <v>T</v>
      </c>
      <c r="AC157" s="9">
        <v>141</v>
      </c>
      <c r="AD157" s="9" t="str">
        <f>IFERROR(MID(VLOOKUP($B157,Seqs!$A:$B,2,0),AE157,1),"")</f>
        <v>I</v>
      </c>
      <c r="AE157" s="9">
        <v>165</v>
      </c>
      <c r="AF157" s="9" t="str">
        <f>IFERROR(MID(VLOOKUP($B157,Seqs!$A:$B,2,0),AG157,1),"")</f>
        <v>C</v>
      </c>
      <c r="AG157" s="9">
        <v>178</v>
      </c>
      <c r="AH157" s="9" t="str">
        <f>IFERROR(MID(VLOOKUP($B157,Seqs!$A:$B,2,0),AI157,1),"")</f>
        <v>S</v>
      </c>
      <c r="AI157" s="9">
        <v>180</v>
      </c>
      <c r="AJ157" s="9" t="str">
        <f>IFERROR(MID(VLOOKUP($B157,Seqs!$A:$B,2,0),AK157,1),"")</f>
        <v>Q</v>
      </c>
      <c r="AK157" s="9">
        <v>186</v>
      </c>
      <c r="AL157" s="9" t="str">
        <f>IFERROR(MID(VLOOKUP($B157,Seqs!$A:$B,2,0),AM157,1),"")</f>
        <v>C</v>
      </c>
      <c r="AM157" s="9">
        <v>224</v>
      </c>
      <c r="AN157" s="9" t="str">
        <f>IFERROR(MID(VLOOKUP($B157,Seqs!$A:$B,2,0),AO157,1),"")</f>
        <v>K</v>
      </c>
      <c r="AO157" s="9">
        <v>228</v>
      </c>
      <c r="AP157" s="9" t="str">
        <f>IFERROR(MID(VLOOKUP($B157,Seqs!$A:$B,2,0),AQ157,1),"")</f>
        <v>F</v>
      </c>
      <c r="AQ157" s="9">
        <v>260</v>
      </c>
      <c r="AR157" s="9" t="str">
        <f>IFERROR(MID(VLOOKUP($B157,Seqs!$A:$B,2,0),AS157,1),"")</f>
        <v>N</v>
      </c>
      <c r="AS157" s="9">
        <v>268</v>
      </c>
      <c r="AT157" s="9" t="str">
        <f>IFERROR(MID(VLOOKUP($B157,Seqs!$A:$B,2,0),AU157,1),"")</f>
        <v>V</v>
      </c>
      <c r="AU157" s="9">
        <v>300</v>
      </c>
      <c r="AV157" s="9" t="str">
        <f>IFERROR(MID(VLOOKUP($B157,Seqs!$A:$B,2,0),AW157,1),"")</f>
        <v/>
      </c>
      <c r="AW157" s="9" t="s">
        <v>23</v>
      </c>
      <c r="AX157" s="9" t="str">
        <f>IFERROR(MID(VLOOKUP($B157,Seqs!$A:$B,2,0),AY157,1),"")</f>
        <v/>
      </c>
      <c r="AY157" s="9" t="s">
        <v>23</v>
      </c>
      <c r="AZ157" s="110" t="str">
        <f>VLOOKUP(B157,Classification!A:D,2,0)</f>
        <v>A</v>
      </c>
      <c r="BA157" s="98" t="str">
        <f>VLOOKUP(B157,Classification!A:D,4,0)</f>
        <v>Chemokine</v>
      </c>
      <c r="BB157" s="36" t="b">
        <f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109">
        <f>_xlfn.AGGREGATE(9,6,CH157:CS157)-_xlfn.AGGREGATE(9,6,BV157:CG157)+12</f>
        <v>243</v>
      </c>
      <c r="BD157" s="40" t="s">
        <v>23</v>
      </c>
      <c r="BE157" s="9" t="s">
        <v>1374</v>
      </c>
      <c r="BF157" s="120">
        <v>3.9</v>
      </c>
      <c r="BG157" s="51" t="s">
        <v>1281</v>
      </c>
      <c r="BH157" s="51" t="s">
        <v>1281</v>
      </c>
      <c r="BJ157" s="111" t="s">
        <v>1287</v>
      </c>
      <c r="BK157" s="112" t="s">
        <v>1287</v>
      </c>
      <c r="BL157" s="112" t="s">
        <v>1287</v>
      </c>
      <c r="BM157" s="112" t="s">
        <v>1287</v>
      </c>
      <c r="BN157" s="112" t="s">
        <v>1287</v>
      </c>
      <c r="BO157" s="112" t="s">
        <v>1287</v>
      </c>
      <c r="BP157" s="112" t="s">
        <v>1287</v>
      </c>
      <c r="BQ157" s="112" t="s">
        <v>1287</v>
      </c>
      <c r="BR157" s="112" t="s">
        <v>1287</v>
      </c>
      <c r="BS157" s="112" t="s">
        <v>1287</v>
      </c>
      <c r="BT157" s="112" t="s">
        <v>1287</v>
      </c>
      <c r="BU157" s="112" t="s">
        <v>1287</v>
      </c>
      <c r="BV157" s="111">
        <f>E157</f>
        <v>26</v>
      </c>
      <c r="BW157" s="113" t="str">
        <f>I157</f>
        <v>-</v>
      </c>
      <c r="BX157" s="114">
        <f>M157</f>
        <v>63</v>
      </c>
      <c r="BY157" s="113">
        <f>Q157</f>
        <v>93</v>
      </c>
      <c r="BZ157" s="114">
        <f>U157</f>
        <v>100</v>
      </c>
      <c r="CA157" s="113">
        <f>Y157</f>
        <v>133</v>
      </c>
      <c r="CB157" s="114">
        <f>AC157</f>
        <v>141</v>
      </c>
      <c r="CC157" s="113">
        <f>AG157</f>
        <v>178</v>
      </c>
      <c r="CD157" s="114">
        <f>AK157</f>
        <v>186</v>
      </c>
      <c r="CE157" s="113">
        <f>AO157</f>
        <v>228</v>
      </c>
      <c r="CF157" s="114">
        <f>AS157</f>
        <v>268</v>
      </c>
      <c r="CG157" s="113" t="str">
        <f>AW157</f>
        <v>-</v>
      </c>
      <c r="CH157" s="111">
        <f>G157</f>
        <v>60</v>
      </c>
      <c r="CI157" s="113" t="str">
        <f>K157</f>
        <v>-</v>
      </c>
      <c r="CJ157" s="114">
        <f>O157</f>
        <v>90</v>
      </c>
      <c r="CK157" s="114">
        <f>S157</f>
        <v>96</v>
      </c>
      <c r="CL157" s="114">
        <f>W157</f>
        <v>132</v>
      </c>
      <c r="CM157" s="114">
        <f>AA157</f>
        <v>140</v>
      </c>
      <c r="CN157" s="114">
        <f>AE157</f>
        <v>165</v>
      </c>
      <c r="CO157" s="114">
        <f>AI157</f>
        <v>180</v>
      </c>
      <c r="CP157" s="114">
        <f>AM157</f>
        <v>224</v>
      </c>
      <c r="CQ157" s="114">
        <f>AQ157</f>
        <v>260</v>
      </c>
      <c r="CR157" s="114">
        <f>AU157</f>
        <v>300</v>
      </c>
      <c r="CS157" s="114" t="str">
        <f>AY157</f>
        <v>-</v>
      </c>
      <c r="CT157" s="109" t="e">
        <f>M157-K157</f>
        <v>#VALUE!</v>
      </c>
    </row>
    <row r="158" spans="1:1030" s="12" customFormat="1" x14ac:dyDescent="0.2">
      <c r="A158" s="9" t="str">
        <f>CONCATENATE(B158,"_",C158)</f>
        <v>ccr5_human_6MET</v>
      </c>
      <c r="B158" s="9" t="s">
        <v>173</v>
      </c>
      <c r="C158" s="9" t="s">
        <v>1540</v>
      </c>
      <c r="D158" s="9" t="str">
        <f>IFERROR(MID(VLOOKUP($B158,Seqs!$A:$B,2,0),E158,1),"")</f>
        <v>K</v>
      </c>
      <c r="E158" s="9">
        <v>26</v>
      </c>
      <c r="F158" s="9" t="str">
        <f>IFERROR(MID(VLOOKUP($B158,Seqs!$A:$B,2,0),G158,1),"")</f>
        <v>R</v>
      </c>
      <c r="G158" s="9">
        <v>60</v>
      </c>
      <c r="H158" s="9" t="str">
        <f>IFERROR(MID(VLOOKUP($B158,Seqs!$A:$B,2,0),I158,1),"")</f>
        <v/>
      </c>
      <c r="I158" s="109" t="s">
        <v>23</v>
      </c>
      <c r="J158" s="9" t="str">
        <f>IFERROR(MID(VLOOKUP($B158,Seqs!$A:$B,2,0),K158,1),"")</f>
        <v/>
      </c>
      <c r="K158" s="109" t="s">
        <v>23</v>
      </c>
      <c r="L158" s="9" t="str">
        <f>IFERROR(MID(VLOOKUP($B158,Seqs!$A:$B,2,0),M158,1),"")</f>
        <v>S</v>
      </c>
      <c r="M158" s="9">
        <v>63</v>
      </c>
      <c r="N158" s="9" t="str">
        <f>IFERROR(MID(VLOOKUP($B158,Seqs!$A:$B,2,0),O158,1),"")</f>
        <v>A</v>
      </c>
      <c r="O158" s="9">
        <v>90</v>
      </c>
      <c r="P158" s="9" t="str">
        <f>IFERROR(MID(VLOOKUP($B158,Seqs!$A:$B,2,0),Q158,1),"")</f>
        <v>Q</v>
      </c>
      <c r="Q158" s="9">
        <v>93</v>
      </c>
      <c r="R158" s="9" t="str">
        <f>IFERROR(MID(VLOOKUP($B158,Seqs!$A:$B,2,0),S158,1),"")</f>
        <v>F</v>
      </c>
      <c r="S158" s="9">
        <v>96</v>
      </c>
      <c r="T158" s="9" t="str">
        <f>IFERROR(MID(VLOOKUP($B158,Seqs!$A:$B,2,0),U158,1),"")</f>
        <v>M</v>
      </c>
      <c r="U158" s="9">
        <v>100</v>
      </c>
      <c r="V158" s="9" t="str">
        <f>IFERROR(MID(VLOOKUP($B158,Seqs!$A:$B,2,0),W158,1),"")</f>
        <v>H</v>
      </c>
      <c r="W158" s="9">
        <v>132</v>
      </c>
      <c r="X158" s="9" t="str">
        <f>IFERROR(MID(VLOOKUP($B158,Seqs!$A:$B,2,0),Y158,1),"")</f>
        <v>A</v>
      </c>
      <c r="Y158" s="9">
        <v>133</v>
      </c>
      <c r="Z158" s="9" t="str">
        <f>IFERROR(MID(VLOOKUP($B158,Seqs!$A:$B,2,0),AA158,1),"")</f>
        <v>R</v>
      </c>
      <c r="AA158" s="9">
        <v>140</v>
      </c>
      <c r="AB158" s="9" t="str">
        <f>IFERROR(MID(VLOOKUP($B158,Seqs!$A:$B,2,0),AC158,1),"")</f>
        <v>T</v>
      </c>
      <c r="AC158" s="9">
        <v>141</v>
      </c>
      <c r="AD158" s="9" t="str">
        <f>IFERROR(MID(VLOOKUP($B158,Seqs!$A:$B,2,0),AE158,1),"")</f>
        <v>I</v>
      </c>
      <c r="AE158" s="9">
        <v>165</v>
      </c>
      <c r="AF158" s="9" t="str">
        <f>IFERROR(MID(VLOOKUP($B158,Seqs!$A:$B,2,0),AG158,1),"")</f>
        <v>C</v>
      </c>
      <c r="AG158" s="9">
        <v>178</v>
      </c>
      <c r="AH158" s="9" t="str">
        <f>IFERROR(MID(VLOOKUP($B158,Seqs!$A:$B,2,0),AI158,1),"")</f>
        <v>S</v>
      </c>
      <c r="AI158" s="9">
        <v>180</v>
      </c>
      <c r="AJ158" s="9" t="str">
        <f>IFERROR(MID(VLOOKUP($B158,Seqs!$A:$B,2,0),AK158,1),"")</f>
        <v>Q</v>
      </c>
      <c r="AK158" s="9">
        <v>186</v>
      </c>
      <c r="AL158" s="9" t="str">
        <f>IFERROR(MID(VLOOKUP($B158,Seqs!$A:$B,2,0),AM158,1),"")</f>
        <v>C</v>
      </c>
      <c r="AM158" s="9">
        <v>224</v>
      </c>
      <c r="AN158" s="9" t="str">
        <f>IFERROR(MID(VLOOKUP($B158,Seqs!$A:$B,2,0),AO158,1),"")</f>
        <v>K</v>
      </c>
      <c r="AO158" s="9">
        <v>228</v>
      </c>
      <c r="AP158" s="9" t="str">
        <f>IFERROR(MID(VLOOKUP($B158,Seqs!$A:$B,2,0),AQ158,1),"")</f>
        <v>F</v>
      </c>
      <c r="AQ158" s="9">
        <v>260</v>
      </c>
      <c r="AR158" s="9" t="str">
        <f>IFERROR(MID(VLOOKUP($B158,Seqs!$A:$B,2,0),AS158,1),"")</f>
        <v>N</v>
      </c>
      <c r="AS158" s="9">
        <v>268</v>
      </c>
      <c r="AT158" s="9" t="str">
        <f>IFERROR(MID(VLOOKUP($B158,Seqs!$A:$B,2,0),AU158,1),"")</f>
        <v>V</v>
      </c>
      <c r="AU158" s="9">
        <v>300</v>
      </c>
      <c r="AV158" s="9" t="str">
        <f>IFERROR(MID(VLOOKUP($B158,Seqs!$A:$B,2,0),AW158,1),"")</f>
        <v/>
      </c>
      <c r="AW158" s="9" t="s">
        <v>23</v>
      </c>
      <c r="AX158" s="9" t="str">
        <f>IFERROR(MID(VLOOKUP($B158,Seqs!$A:$B,2,0),AY158,1),"")</f>
        <v/>
      </c>
      <c r="AY158" s="9" t="s">
        <v>23</v>
      </c>
      <c r="AZ158" s="110" t="str">
        <f>VLOOKUP(B158,Classification!A:D,2,0)</f>
        <v>A</v>
      </c>
      <c r="BA158" s="98" t="str">
        <f>VLOOKUP(B158,Classification!A:D,4,0)</f>
        <v>Chemokine</v>
      </c>
      <c r="BB158" s="36" t="b">
        <f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109">
        <f>_xlfn.AGGREGATE(9,6,CH158:CS158)-_xlfn.AGGREGATE(9,6,BV158:CG158)+12</f>
        <v>243</v>
      </c>
      <c r="BD158" s="40" t="s">
        <v>23</v>
      </c>
      <c r="BE158" s="9" t="s">
        <v>1374</v>
      </c>
      <c r="BF158" s="120">
        <v>4.5</v>
      </c>
      <c r="BG158" s="51" t="s">
        <v>1281</v>
      </c>
      <c r="BH158" s="51" t="s">
        <v>1281</v>
      </c>
      <c r="BJ158" s="111" t="s">
        <v>1287</v>
      </c>
      <c r="BK158" s="112" t="s">
        <v>1287</v>
      </c>
      <c r="BL158" s="112" t="s">
        <v>1287</v>
      </c>
      <c r="BM158" s="112" t="s">
        <v>1287</v>
      </c>
      <c r="BN158" s="112" t="s">
        <v>1287</v>
      </c>
      <c r="BO158" s="112" t="s">
        <v>1287</v>
      </c>
      <c r="BP158" s="112" t="s">
        <v>1287</v>
      </c>
      <c r="BQ158" s="112" t="s">
        <v>1287</v>
      </c>
      <c r="BR158" s="112" t="s">
        <v>1287</v>
      </c>
      <c r="BS158" s="112" t="s">
        <v>1287</v>
      </c>
      <c r="BT158" s="112" t="s">
        <v>1287</v>
      </c>
      <c r="BU158" s="112" t="s">
        <v>1287</v>
      </c>
      <c r="BV158" s="111">
        <f>E158</f>
        <v>26</v>
      </c>
      <c r="BW158" s="113" t="str">
        <f>I158</f>
        <v>-</v>
      </c>
      <c r="BX158" s="114">
        <f>M158</f>
        <v>63</v>
      </c>
      <c r="BY158" s="113">
        <f>Q158</f>
        <v>93</v>
      </c>
      <c r="BZ158" s="114">
        <f>U158</f>
        <v>100</v>
      </c>
      <c r="CA158" s="113">
        <f>Y158</f>
        <v>133</v>
      </c>
      <c r="CB158" s="114">
        <f>AC158</f>
        <v>141</v>
      </c>
      <c r="CC158" s="113">
        <f>AG158</f>
        <v>178</v>
      </c>
      <c r="CD158" s="114">
        <f>AK158</f>
        <v>186</v>
      </c>
      <c r="CE158" s="113">
        <f>AO158</f>
        <v>228</v>
      </c>
      <c r="CF158" s="114">
        <f>AS158</f>
        <v>268</v>
      </c>
      <c r="CG158" s="113" t="str">
        <f>AW158</f>
        <v>-</v>
      </c>
      <c r="CH158" s="111">
        <f>G158</f>
        <v>60</v>
      </c>
      <c r="CI158" s="113" t="str">
        <f>K158</f>
        <v>-</v>
      </c>
      <c r="CJ158" s="114">
        <f>O158</f>
        <v>90</v>
      </c>
      <c r="CK158" s="114">
        <f>S158</f>
        <v>96</v>
      </c>
      <c r="CL158" s="114">
        <f>W158</f>
        <v>132</v>
      </c>
      <c r="CM158" s="114">
        <f>AA158</f>
        <v>140</v>
      </c>
      <c r="CN158" s="114">
        <f>AE158</f>
        <v>165</v>
      </c>
      <c r="CO158" s="114">
        <f>AI158</f>
        <v>180</v>
      </c>
      <c r="CP158" s="114">
        <f>AM158</f>
        <v>224</v>
      </c>
      <c r="CQ158" s="114">
        <f>AQ158</f>
        <v>260</v>
      </c>
      <c r="CR158" s="114">
        <f>AU158</f>
        <v>300</v>
      </c>
      <c r="CS158" s="114" t="str">
        <f>AY158</f>
        <v>-</v>
      </c>
      <c r="CT158" s="109" t="e">
        <f>M158-K158</f>
        <v>#VALUE!</v>
      </c>
    </row>
    <row r="159" spans="1:1030" x14ac:dyDescent="0.2">
      <c r="A159" s="3" t="str">
        <f t="shared" si="867"/>
        <v>ccr9_human__wt</v>
      </c>
      <c r="B159" s="3" t="s">
        <v>177</v>
      </c>
      <c r="C159" s="3" t="s">
        <v>100</v>
      </c>
      <c r="D159" s="3" t="str">
        <f>IFERROR(MID(VLOOKUP($B159,Seqs!$A:$B,2,0),E159,1),"")</f>
        <v>V</v>
      </c>
      <c r="E159" s="3">
        <v>43</v>
      </c>
      <c r="F159" s="3" t="str">
        <f>IFERROR(MID(VLOOKUP($B159,Seqs!$A:$B,2,0),G159,1),"")</f>
        <v>C</v>
      </c>
      <c r="G159" s="3">
        <v>76</v>
      </c>
      <c r="H159" s="3" t="str">
        <f>IFERROR(MID(VLOOKUP($B159,Seqs!$A:$B,2,0),I159,1),"")</f>
        <v>T</v>
      </c>
      <c r="I159" s="23">
        <v>77</v>
      </c>
      <c r="J159" s="3" t="str">
        <f>IFERROR(MID(VLOOKUP($B159,Seqs!$A:$B,2,0),K159,1),"")</f>
        <v>K</v>
      </c>
      <c r="K159" s="23">
        <v>80</v>
      </c>
      <c r="L159" s="3" t="str">
        <f>IFERROR(MID(VLOOKUP($B159,Seqs!$A:$B,2,0),M159,1),"")</f>
        <v>T</v>
      </c>
      <c r="M159" s="3">
        <v>81</v>
      </c>
      <c r="N159" s="3" t="str">
        <f>IFERROR(MID(VLOOKUP($B159,Seqs!$A:$B,2,0),O159,1),"")</f>
        <v>D</v>
      </c>
      <c r="O159" s="3">
        <v>110</v>
      </c>
      <c r="P159" s="3" t="str">
        <f>IFERROR(MID(VLOOKUP($B159,Seqs!$A:$B,2,0),Q159,1),"")</f>
        <v>Q</v>
      </c>
      <c r="Q159" s="3">
        <v>111</v>
      </c>
      <c r="R159" s="3" t="str">
        <f>IFERROR(MID(VLOOKUP($B159,Seqs!$A:$B,2,0),S159,1),"")</f>
        <v>F</v>
      </c>
      <c r="S159" s="3">
        <v>114</v>
      </c>
      <c r="T159" s="3" t="str">
        <f>IFERROR(MID(VLOOKUP($B159,Seqs!$A:$B,2,0),U159,1),"")</f>
        <v>Q</v>
      </c>
      <c r="U159" s="3">
        <v>115</v>
      </c>
      <c r="V159" s="3" t="str">
        <f>IFERROR(MID(VLOOKUP($B159,Seqs!$A:$B,2,0),W159,1),"")</f>
        <v>Q</v>
      </c>
      <c r="W159" s="3">
        <v>150</v>
      </c>
      <c r="X159" s="3" t="str">
        <f>IFERROR(MID(VLOOKUP($B159,Seqs!$A:$B,2,0),Y159,1),"")</f>
        <v>A</v>
      </c>
      <c r="Y159" s="3">
        <v>151</v>
      </c>
      <c r="Z159" s="3" t="str">
        <f>IFERROR(MID(VLOOKUP($B159,Seqs!$A:$B,2,0),AA159,1),"")</f>
        <v>W</v>
      </c>
      <c r="AA159" s="3">
        <v>157</v>
      </c>
      <c r="AB159" s="3" t="str">
        <f>IFERROR(MID(VLOOKUP($B159,Seqs!$A:$B,2,0),AC159,1),"")</f>
        <v>R</v>
      </c>
      <c r="AC159" s="9">
        <v>158</v>
      </c>
      <c r="AD159" s="3" t="str">
        <f>IFERROR(MID(VLOOKUP($B159,Seqs!$A:$B,2,0),AE159,1),"")</f>
        <v>S</v>
      </c>
      <c r="AE159" s="3">
        <v>187</v>
      </c>
      <c r="AF159" s="3" t="str">
        <f>IFERROR(MID(VLOOKUP($B159,Seqs!$A:$B,2,0),AG159,1),"")</f>
        <v>C</v>
      </c>
      <c r="AG159" s="3">
        <v>198</v>
      </c>
      <c r="AH159" s="3" t="str">
        <f>IFERROR(MID(VLOOKUP($B159,Seqs!$A:$B,2,0),AI159,1),"")</f>
        <v>M</v>
      </c>
      <c r="AI159" s="3">
        <v>200</v>
      </c>
      <c r="AJ159" s="3" t="str">
        <f>IFERROR(MID(VLOOKUP($B159,Seqs!$A:$B,2,0),AK159,1),"")</f>
        <v>K</v>
      </c>
      <c r="AK159" s="3">
        <v>209</v>
      </c>
      <c r="AL159" s="3" t="str">
        <f>IFERROR(MID(VLOOKUP($B159,Seqs!$A:$B,2,0),AM159,1),"")</f>
        <v>A</v>
      </c>
      <c r="AM159" s="3">
        <v>244</v>
      </c>
      <c r="AN159" s="3" t="str">
        <f>IFERROR(MID(VLOOKUP($B159,Seqs!$A:$B,2,0),AO159,1),"")</f>
        <v>S</v>
      </c>
      <c r="AO159" s="3">
        <v>247</v>
      </c>
      <c r="AP159" s="3" t="str">
        <f>IFERROR(MID(VLOOKUP($B159,Seqs!$A:$B,2,0),AQ159,1),"")</f>
        <v>M</v>
      </c>
      <c r="AQ159" s="3">
        <v>284</v>
      </c>
      <c r="AR159" s="3" t="str">
        <f>IFERROR(MID(VLOOKUP($B159,Seqs!$A:$B,2,0),AS159,1),"")</f>
        <v>N</v>
      </c>
      <c r="AS159" s="3">
        <v>288</v>
      </c>
      <c r="AT159" s="3" t="str">
        <f>IFERROR(MID(VLOOKUP($B159,Seqs!$A:$B,2,0),AU159,1),"")</f>
        <v>V</v>
      </c>
      <c r="AU159" s="3">
        <v>320</v>
      </c>
      <c r="AV159" s="3" t="str">
        <f>IFERROR(MID(VLOOKUP($B159,Seqs!$A:$B,2,0),AW159,1),"")</f>
        <v>G</v>
      </c>
      <c r="AW159" s="3">
        <v>321</v>
      </c>
      <c r="AX159" s="3" t="str">
        <f>IFERROR(MID(VLOOKUP($B159,Seqs!$A:$B,2,0),AY159,1),"")</f>
        <v>A</v>
      </c>
      <c r="AY159" s="3">
        <v>341</v>
      </c>
      <c r="AZ159" s="77" t="str">
        <f>VLOOKUP(B159,Classification!A:D,2,0)</f>
        <v>A</v>
      </c>
      <c r="BA159" s="94" t="str">
        <f>VLOOKUP(B159,Classification!A:D,4,0)</f>
        <v>Chemokine</v>
      </c>
      <c r="BB159" s="27" t="b">
        <f t="shared" si="868"/>
        <v>1</v>
      </c>
      <c r="BC159" s="23">
        <f t="shared" si="645"/>
        <v>276</v>
      </c>
      <c r="BD159" s="56" t="s">
        <v>23</v>
      </c>
      <c r="BE159" s="3" t="s">
        <v>23</v>
      </c>
      <c r="BF159" s="119" t="s">
        <v>23</v>
      </c>
      <c r="BG159" s="49" t="s">
        <v>1372</v>
      </c>
      <c r="BH159" s="49" t="s">
        <v>1377</v>
      </c>
      <c r="BI159" s="1"/>
      <c r="BJ159" s="70" t="s">
        <v>1287</v>
      </c>
      <c r="BK159" s="57" t="s">
        <v>1287</v>
      </c>
      <c r="BL159" s="57" t="s">
        <v>1287</v>
      </c>
      <c r="BM159" s="57" t="s">
        <v>1287</v>
      </c>
      <c r="BN159" s="57" t="s">
        <v>1287</v>
      </c>
      <c r="BO159" s="57" t="s">
        <v>1287</v>
      </c>
      <c r="BP159" s="57" t="s">
        <v>1287</v>
      </c>
      <c r="BQ159" s="57" t="s">
        <v>1287</v>
      </c>
      <c r="BR159" s="57" t="s">
        <v>1287</v>
      </c>
      <c r="BS159" s="57" t="s">
        <v>1287</v>
      </c>
      <c r="BT159" s="57" t="s">
        <v>1287</v>
      </c>
      <c r="BU159" s="57" t="s">
        <v>1287</v>
      </c>
      <c r="BV159" s="70">
        <f t="shared" si="646"/>
        <v>43</v>
      </c>
      <c r="BW159" s="71">
        <f t="shared" si="647"/>
        <v>77</v>
      </c>
      <c r="BX159" s="72">
        <f t="shared" si="648"/>
        <v>81</v>
      </c>
      <c r="BY159" s="71">
        <f t="shared" si="649"/>
        <v>111</v>
      </c>
      <c r="BZ159" s="72">
        <f t="shared" si="650"/>
        <v>115</v>
      </c>
      <c r="CA159" s="71">
        <f t="shared" si="651"/>
        <v>151</v>
      </c>
      <c r="CB159" s="72">
        <f t="shared" si="652"/>
        <v>158</v>
      </c>
      <c r="CC159" s="71">
        <f t="shared" si="653"/>
        <v>198</v>
      </c>
      <c r="CD159" s="72">
        <f t="shared" si="654"/>
        <v>209</v>
      </c>
      <c r="CE159" s="71">
        <f t="shared" si="655"/>
        <v>247</v>
      </c>
      <c r="CF159" s="72">
        <f t="shared" si="656"/>
        <v>288</v>
      </c>
      <c r="CG159" s="71">
        <f t="shared" si="657"/>
        <v>321</v>
      </c>
      <c r="CH159" s="70">
        <f t="shared" si="658"/>
        <v>76</v>
      </c>
      <c r="CI159" s="71">
        <f t="shared" si="659"/>
        <v>80</v>
      </c>
      <c r="CJ159" s="72">
        <f t="shared" si="660"/>
        <v>110</v>
      </c>
      <c r="CK159" s="72">
        <f t="shared" si="661"/>
        <v>114</v>
      </c>
      <c r="CL159" s="72">
        <f t="shared" si="662"/>
        <v>150</v>
      </c>
      <c r="CM159" s="72">
        <f t="shared" si="663"/>
        <v>157</v>
      </c>
      <c r="CN159" s="72">
        <f t="shared" si="664"/>
        <v>187</v>
      </c>
      <c r="CO159" s="72">
        <f t="shared" si="665"/>
        <v>200</v>
      </c>
      <c r="CP159" s="72">
        <f t="shared" si="666"/>
        <v>244</v>
      </c>
      <c r="CQ159" s="72">
        <f t="shared" si="667"/>
        <v>284</v>
      </c>
      <c r="CR159" s="72">
        <f t="shared" si="668"/>
        <v>320</v>
      </c>
      <c r="CS159" s="72">
        <f t="shared" si="669"/>
        <v>341</v>
      </c>
      <c r="CT159" s="23">
        <f t="shared" si="670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x14ac:dyDescent="0.2">
      <c r="A160" s="3" t="str">
        <f t="shared" si="867"/>
        <v>ccr9_human_5LWE</v>
      </c>
      <c r="B160" s="3" t="s">
        <v>177</v>
      </c>
      <c r="C160" s="3" t="s">
        <v>1365</v>
      </c>
      <c r="D160" s="3" t="str">
        <f>IFERROR(MID(VLOOKUP($B160,Seqs!$A:$B,2,0),E160,1),"")</f>
        <v>V</v>
      </c>
      <c r="E160" s="3">
        <v>43</v>
      </c>
      <c r="F160" s="3" t="str">
        <f>IFERROR(MID(VLOOKUP($B160,Seqs!$A:$B,2,0),G160,1),"")</f>
        <v>C</v>
      </c>
      <c r="G160" s="3">
        <v>76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T</v>
      </c>
      <c r="M160" s="3">
        <v>81</v>
      </c>
      <c r="N160" s="3" t="str">
        <f>IFERROR(MID(VLOOKUP($B160,Seqs!$A:$B,2,0),O160,1),"")</f>
        <v>A</v>
      </c>
      <c r="O160" s="3">
        <v>108</v>
      </c>
      <c r="P160" s="3" t="str">
        <f>IFERROR(MID(VLOOKUP($B160,Seqs!$A:$B,2,0),Q160,1),"")</f>
        <v/>
      </c>
      <c r="Q160" s="3" t="s">
        <v>23</v>
      </c>
      <c r="R160" s="3" t="str">
        <f>IFERROR(MID(VLOOKUP($B160,Seqs!$A:$B,2,0),S160,1),"")</f>
        <v/>
      </c>
      <c r="S160" s="3" t="s">
        <v>23</v>
      </c>
      <c r="T160" s="3" t="str">
        <f>IFERROR(MID(VLOOKUP($B160,Seqs!$A:$B,2,0),U160,1),"")</f>
        <v>C</v>
      </c>
      <c r="U160" s="3">
        <v>119</v>
      </c>
      <c r="V160" s="3" t="str">
        <f>IFERROR(MID(VLOOKUP($B160,Seqs!$A:$B,2,0),W160,1),"")</f>
        <v>Q</v>
      </c>
      <c r="W160" s="3">
        <v>150</v>
      </c>
      <c r="X160" s="3" t="str">
        <f>IFERROR(MID(VLOOKUP($B160,Seqs!$A:$B,2,0),Y160,1),"")</f>
        <v>A</v>
      </c>
      <c r="Y160" s="3">
        <v>151</v>
      </c>
      <c r="Z160" s="3" t="str">
        <f>IFERROR(MID(VLOOKUP($B160,Seqs!$A:$B,2,0),AA160,1),"")</f>
        <v>W</v>
      </c>
      <c r="AA160" s="3">
        <v>157</v>
      </c>
      <c r="AB160" s="3" t="str">
        <f>IFERROR(MID(VLOOKUP($B160,Seqs!$A:$B,2,0),AC160,1),"")</f>
        <v>R</v>
      </c>
      <c r="AC160" s="9">
        <v>158</v>
      </c>
      <c r="AD160" s="3" t="str">
        <f>IFERROR(MID(VLOOKUP($B160,Seqs!$A:$B,2,0),AE160,1),"")</f>
        <v>I</v>
      </c>
      <c r="AE160" s="3">
        <v>184</v>
      </c>
      <c r="AF160" s="3" t="str">
        <f>IFERROR(MID(VLOOKUP($B160,Seqs!$A:$B,2,0),AG160,1),"")</f>
        <v/>
      </c>
      <c r="AG160" s="3" t="s">
        <v>23</v>
      </c>
      <c r="AH160" s="3" t="str">
        <f>IFERROR(MID(VLOOKUP($B160,Seqs!$A:$B,2,0),AI160,1),"")</f>
        <v/>
      </c>
      <c r="AI160" s="3" t="s">
        <v>23</v>
      </c>
      <c r="AJ160" s="3" t="str">
        <f>IFERROR(MID(VLOOKUP($B160,Seqs!$A:$B,2,0),AK160,1),"")</f>
        <v/>
      </c>
      <c r="AK160" s="3" t="s">
        <v>23</v>
      </c>
      <c r="AL160" s="3" t="str">
        <f>IFERROR(MID(VLOOKUP($B160,Seqs!$A:$B,2,0),AM160,1),"")</f>
        <v/>
      </c>
      <c r="AM160" s="3" t="s">
        <v>23</v>
      </c>
      <c r="AN160" s="3" t="str">
        <f>IFERROR(MID(VLOOKUP($B160,Seqs!$A:$B,2,0),AO160,1),"")</f>
        <v>S</v>
      </c>
      <c r="AO160" s="3">
        <v>247</v>
      </c>
      <c r="AP160" s="3" t="str">
        <f>IFERROR(MID(VLOOKUP($B160,Seqs!$A:$B,2,0),AQ160,1),"")</f>
        <v>M</v>
      </c>
      <c r="AQ160" s="3">
        <v>284</v>
      </c>
      <c r="AR160" s="3" t="str">
        <f>IFERROR(MID(VLOOKUP($B160,Seqs!$A:$B,2,0),AS160,1),"")</f>
        <v>N</v>
      </c>
      <c r="AS160" s="3">
        <v>288</v>
      </c>
      <c r="AT160" s="3" t="str">
        <f>IFERROR(MID(VLOOKUP($B160,Seqs!$A:$B,2,0),AU160,1),"")</f>
        <v>V</v>
      </c>
      <c r="AU160" s="3">
        <v>320</v>
      </c>
      <c r="AV160" s="3" t="str">
        <f>IFERROR(MID(VLOOKUP($B160,Seqs!$A:$B,2,0),AW160,1),"")</f>
        <v>G</v>
      </c>
      <c r="AW160" s="3">
        <v>321</v>
      </c>
      <c r="AX160" s="3" t="str">
        <f>IFERROR(MID(VLOOKUP($B160,Seqs!$A:$B,2,0),AY160,1),"")</f>
        <v>A</v>
      </c>
      <c r="AY160" s="3">
        <v>341</v>
      </c>
      <c r="AZ160" s="77" t="str">
        <f>VLOOKUP(B160,Classification!A:D,2,0)</f>
        <v>A</v>
      </c>
      <c r="BA160" s="94" t="str">
        <f>VLOOKUP(B160,Classification!A:D,4,0)</f>
        <v>Chemokine</v>
      </c>
      <c r="BB160" s="27" t="b">
        <f t="shared" si="868"/>
        <v>0</v>
      </c>
      <c r="BC160" s="23">
        <f t="shared" si="645"/>
        <v>224</v>
      </c>
      <c r="BD160" s="16" t="s">
        <v>1376</v>
      </c>
      <c r="BE160" s="3" t="s">
        <v>1374</v>
      </c>
      <c r="BF160" s="119">
        <v>2.8</v>
      </c>
      <c r="BG160" s="49" t="s">
        <v>1377</v>
      </c>
      <c r="BH160" s="49" t="s">
        <v>1377</v>
      </c>
      <c r="BI160" s="1"/>
      <c r="BJ160" s="70" t="s">
        <v>1287</v>
      </c>
      <c r="BK160" s="57" t="s">
        <v>1287</v>
      </c>
      <c r="BL160" s="57" t="s">
        <v>1287</v>
      </c>
      <c r="BM160" s="57" t="s">
        <v>1287</v>
      </c>
      <c r="BN160" s="57" t="s">
        <v>1287</v>
      </c>
      <c r="BO160" s="57" t="s">
        <v>1287</v>
      </c>
      <c r="BP160" s="57" t="s">
        <v>1287</v>
      </c>
      <c r="BQ160" s="57" t="s">
        <v>1287</v>
      </c>
      <c r="BR160" s="57" t="s">
        <v>1287</v>
      </c>
      <c r="BS160" s="57" t="s">
        <v>1287</v>
      </c>
      <c r="BT160" s="57" t="s">
        <v>1287</v>
      </c>
      <c r="BU160" s="57" t="s">
        <v>1287</v>
      </c>
      <c r="BV160" s="70">
        <f t="shared" si="646"/>
        <v>43</v>
      </c>
      <c r="BW160" s="71" t="str">
        <f t="shared" si="647"/>
        <v>-</v>
      </c>
      <c r="BX160" s="72">
        <f t="shared" si="648"/>
        <v>81</v>
      </c>
      <c r="BY160" s="71" t="str">
        <f t="shared" si="649"/>
        <v>-</v>
      </c>
      <c r="BZ160" s="72">
        <f t="shared" si="650"/>
        <v>119</v>
      </c>
      <c r="CA160" s="71">
        <f t="shared" si="651"/>
        <v>151</v>
      </c>
      <c r="CB160" s="72">
        <f t="shared" si="652"/>
        <v>158</v>
      </c>
      <c r="CC160" s="71" t="str">
        <f t="shared" si="653"/>
        <v>-</v>
      </c>
      <c r="CD160" s="72" t="str">
        <f t="shared" si="654"/>
        <v>-</v>
      </c>
      <c r="CE160" s="71">
        <f t="shared" si="655"/>
        <v>247</v>
      </c>
      <c r="CF160" s="72">
        <f t="shared" si="656"/>
        <v>288</v>
      </c>
      <c r="CG160" s="71">
        <f t="shared" si="657"/>
        <v>321</v>
      </c>
      <c r="CH160" s="70">
        <f t="shared" si="658"/>
        <v>76</v>
      </c>
      <c r="CI160" s="71" t="str">
        <f t="shared" si="659"/>
        <v>-</v>
      </c>
      <c r="CJ160" s="72">
        <f t="shared" si="660"/>
        <v>108</v>
      </c>
      <c r="CK160" s="72" t="str">
        <f t="shared" si="661"/>
        <v>-</v>
      </c>
      <c r="CL160" s="72">
        <f t="shared" si="662"/>
        <v>150</v>
      </c>
      <c r="CM160" s="72">
        <f t="shared" si="663"/>
        <v>157</v>
      </c>
      <c r="CN160" s="72">
        <f t="shared" si="664"/>
        <v>184</v>
      </c>
      <c r="CO160" s="72" t="str">
        <f t="shared" si="665"/>
        <v>-</v>
      </c>
      <c r="CP160" s="72" t="str">
        <f t="shared" si="666"/>
        <v>-</v>
      </c>
      <c r="CQ160" s="72">
        <f t="shared" si="667"/>
        <v>284</v>
      </c>
      <c r="CR160" s="72">
        <f t="shared" si="668"/>
        <v>320</v>
      </c>
      <c r="CS160" s="72">
        <f t="shared" si="669"/>
        <v>341</v>
      </c>
      <c r="CT160" s="23" t="e">
        <f t="shared" si="670"/>
        <v>#VALUE!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x14ac:dyDescent="0.2">
      <c r="A161" s="3" t="str">
        <f>CONCATENATE(B161,"_",C161)</f>
        <v>ccr9_human_5LWE_dist</v>
      </c>
      <c r="B161" s="3" t="s">
        <v>177</v>
      </c>
      <c r="C161" s="3" t="s">
        <v>1384</v>
      </c>
      <c r="D161" s="3" t="str">
        <f>IFERROR(MID(VLOOKUP($B161,Seqs!$A:$B,2,0),E161,1),"")</f>
        <v>V</v>
      </c>
      <c r="E161" s="3">
        <v>43</v>
      </c>
      <c r="F161" s="3" t="str">
        <f>IFERROR(MID(VLOOKUP($B161,Seqs!$A:$B,2,0),G161,1),"")</f>
        <v>C</v>
      </c>
      <c r="G161" s="3">
        <v>76</v>
      </c>
      <c r="H161" s="3" t="str">
        <f>IFERROR(MID(VLOOKUP($B161,Seqs!$A:$B,2,0),I161,1),"")</f>
        <v/>
      </c>
      <c r="I161" s="23" t="s">
        <v>23</v>
      </c>
      <c r="J161" s="3" t="str">
        <f>IFERROR(MID(VLOOKUP($B161,Seqs!$A:$B,2,0),K161,1),"")</f>
        <v/>
      </c>
      <c r="K161" s="23" t="s">
        <v>23</v>
      </c>
      <c r="L161" s="3" t="str">
        <f>IFERROR(MID(VLOOKUP($B161,Seqs!$A:$B,2,0),M161,1),"")</f>
        <v>T</v>
      </c>
      <c r="M161" s="3">
        <v>81</v>
      </c>
      <c r="N161" s="3" t="str">
        <f>IFERROR(MID(VLOOKUP($B161,Seqs!$A:$B,2,0),O161,1),"")</f>
        <v>A</v>
      </c>
      <c r="O161" s="3">
        <v>108</v>
      </c>
      <c r="P161" s="3" t="str">
        <f>IFERROR(MID(VLOOKUP($B161,Seqs!$A:$B,2,0),Q161,1),"")</f>
        <v/>
      </c>
      <c r="Q161" s="3" t="s">
        <v>23</v>
      </c>
      <c r="R161" s="3" t="str">
        <f>IFERROR(MID(VLOOKUP($B161,Seqs!$A:$B,2,0),S161,1),"")</f>
        <v/>
      </c>
      <c r="S161" s="3" t="s">
        <v>23</v>
      </c>
      <c r="T161" s="3" t="str">
        <f>IFERROR(MID(VLOOKUP($B161,Seqs!$A:$B,2,0),U161,1),"")</f>
        <v>C</v>
      </c>
      <c r="U161" s="3">
        <v>119</v>
      </c>
      <c r="V161" s="3" t="str">
        <f>IFERROR(MID(VLOOKUP($B161,Seqs!$A:$B,2,0),W161,1),"")</f>
        <v>Q</v>
      </c>
      <c r="W161" s="3">
        <v>150</v>
      </c>
      <c r="X161" s="3" t="str">
        <f>IFERROR(MID(VLOOKUP($B161,Seqs!$A:$B,2,0),Y161,1),"")</f>
        <v>A</v>
      </c>
      <c r="Y161" s="3">
        <v>151</v>
      </c>
      <c r="Z161" s="3" t="str">
        <f>IFERROR(MID(VLOOKUP($B161,Seqs!$A:$B,2,0),AA161,1),"")</f>
        <v>W</v>
      </c>
      <c r="AA161" s="3">
        <v>157</v>
      </c>
      <c r="AB161" s="3" t="str">
        <f>IFERROR(MID(VLOOKUP($B161,Seqs!$A:$B,2,0),AC161,1),"")</f>
        <v>R</v>
      </c>
      <c r="AC161" s="9">
        <v>158</v>
      </c>
      <c r="AD161" s="3" t="str">
        <f>IFERROR(MID(VLOOKUP($B161,Seqs!$A:$B,2,0),AE161,1),"")</f>
        <v>I</v>
      </c>
      <c r="AE161" s="3">
        <v>184</v>
      </c>
      <c r="AF161" s="3" t="str">
        <f>IFERROR(MID(VLOOKUP($B161,Seqs!$A:$B,2,0),AG161,1),"")</f>
        <v/>
      </c>
      <c r="AG161" s="3" t="s">
        <v>23</v>
      </c>
      <c r="AH161" s="3" t="str">
        <f>IFERROR(MID(VLOOKUP($B161,Seqs!$A:$B,2,0),AI161,1),"")</f>
        <v/>
      </c>
      <c r="AI161" s="3" t="s">
        <v>23</v>
      </c>
      <c r="AJ161" s="3" t="str">
        <f>IFERROR(MID(VLOOKUP($B161,Seqs!$A:$B,2,0),AK161,1),"")</f>
        <v>K</v>
      </c>
      <c r="AK161" s="3">
        <v>209</v>
      </c>
      <c r="AL161" s="3" t="str">
        <f>IFERROR(MID(VLOOKUP($B161,Seqs!$A:$B,2,0),AM161,1),"")</f>
        <v>A</v>
      </c>
      <c r="AM161" s="3">
        <v>244</v>
      </c>
      <c r="AN161" s="3" t="str">
        <f>IFERROR(MID(VLOOKUP($B161,Seqs!$A:$B,2,0),AO161,1),"")</f>
        <v>S</v>
      </c>
      <c r="AO161" s="3">
        <v>247</v>
      </c>
      <c r="AP161" s="3" t="str">
        <f>IFERROR(MID(VLOOKUP($B161,Seqs!$A:$B,2,0),AQ161,1),"")</f>
        <v>M</v>
      </c>
      <c r="AQ161" s="3">
        <v>284</v>
      </c>
      <c r="AR161" s="3" t="str">
        <f>IFERROR(MID(VLOOKUP($B161,Seqs!$A:$B,2,0),AS161,1),"")</f>
        <v>N</v>
      </c>
      <c r="AS161" s="3">
        <v>288</v>
      </c>
      <c r="AT161" s="3" t="str">
        <f>IFERROR(MID(VLOOKUP($B161,Seqs!$A:$B,2,0),AU161,1),"")</f>
        <v>V</v>
      </c>
      <c r="AU161" s="3">
        <v>320</v>
      </c>
      <c r="AV161" s="3" t="str">
        <f>IFERROR(MID(VLOOKUP($B161,Seqs!$A:$B,2,0),AW161,1),"")</f>
        <v>G</v>
      </c>
      <c r="AW161" s="3">
        <v>321</v>
      </c>
      <c r="AX161" s="3" t="str">
        <f>IFERROR(MID(VLOOKUP($B161,Seqs!$A:$B,2,0),AY161,1),"")</f>
        <v>A</v>
      </c>
      <c r="AY161" s="3">
        <v>341</v>
      </c>
      <c r="AZ161" s="77" t="str">
        <f>VLOOKUP(B161,Classification!A:D,2,0)</f>
        <v>A</v>
      </c>
      <c r="BA161" s="94" t="str">
        <f>VLOOKUP(B161,Classification!A:D,4,0)</f>
        <v>Chemokine</v>
      </c>
      <c r="BB161" s="27" t="b">
        <f>AND(E161&lt;G161,OR(G161&lt;I161,I161="-"),OR(I161&lt;K161,I161="-"),OR(K161&lt;M161,K161="-"),M161&lt;O161,OR(O161&lt;Q161,Q161="-"),OR(Q161&lt;S161,Q161="-"),OR(S161&lt;U161,S161="-"),U161&lt;W161,OR(W161&lt;Y161,Y161="-"),OR(Y161&lt;AA161,Y161="-"),OR(AA161&lt;AC161,AA161="-"),AC161&lt;AE161,OR(AE161&lt;AG161,AG161="-"),OR(AG161&lt;AI161,AG161="-"),OR(AI161&lt;AK161,AI161="-"),AK161&lt;AM161,AM161&lt;AO161,AO161&lt;AQ161,AQ161&lt;AS161,AS161&lt;AU161,OR(AU161&lt;AW161,AW161="-"),OR(AW161&lt;AY161,AW161="-"))</f>
        <v>1</v>
      </c>
      <c r="BC161" s="23">
        <f>_xlfn.AGGREGATE(9,6,CH161:CS161)-_xlfn.AGGREGATE(9,6,BV161:CG161)+12</f>
        <v>259</v>
      </c>
      <c r="BD161" s="16" t="s">
        <v>23</v>
      </c>
      <c r="BE161" s="3" t="s">
        <v>1374</v>
      </c>
      <c r="BF161" s="119">
        <v>2.8</v>
      </c>
      <c r="BG161" s="49" t="s">
        <v>1377</v>
      </c>
      <c r="BH161" s="49" t="s">
        <v>1377</v>
      </c>
      <c r="BI161" s="1"/>
      <c r="BJ161" s="70" t="s">
        <v>1287</v>
      </c>
      <c r="BK161" s="57" t="s">
        <v>1287</v>
      </c>
      <c r="BL161" s="57" t="s">
        <v>1287</v>
      </c>
      <c r="BM161" s="57" t="s">
        <v>1287</v>
      </c>
      <c r="BN161" s="57" t="s">
        <v>1287</v>
      </c>
      <c r="BO161" s="57" t="s">
        <v>1287</v>
      </c>
      <c r="BP161" s="57" t="s">
        <v>1287</v>
      </c>
      <c r="BQ161" s="57" t="s">
        <v>1287</v>
      </c>
      <c r="BR161" s="57" t="s">
        <v>1287</v>
      </c>
      <c r="BS161" s="57" t="s">
        <v>1287</v>
      </c>
      <c r="BT161" s="57" t="s">
        <v>1287</v>
      </c>
      <c r="BU161" s="57" t="s">
        <v>1287</v>
      </c>
      <c r="BV161" s="70">
        <f>E161</f>
        <v>43</v>
      </c>
      <c r="BW161" s="71" t="str">
        <f>I161</f>
        <v>-</v>
      </c>
      <c r="BX161" s="72">
        <f>M161</f>
        <v>81</v>
      </c>
      <c r="BY161" s="71" t="str">
        <f>Q161</f>
        <v>-</v>
      </c>
      <c r="BZ161" s="72">
        <f>U161</f>
        <v>119</v>
      </c>
      <c r="CA161" s="71">
        <f>Y161</f>
        <v>151</v>
      </c>
      <c r="CB161" s="72">
        <f>AC161</f>
        <v>158</v>
      </c>
      <c r="CC161" s="71" t="str">
        <f>AG161</f>
        <v>-</v>
      </c>
      <c r="CD161" s="72">
        <f>AK161</f>
        <v>209</v>
      </c>
      <c r="CE161" s="71">
        <f>AO161</f>
        <v>247</v>
      </c>
      <c r="CF161" s="72">
        <f>AS161</f>
        <v>288</v>
      </c>
      <c r="CG161" s="71">
        <f>AW161</f>
        <v>321</v>
      </c>
      <c r="CH161" s="70">
        <f>G161</f>
        <v>76</v>
      </c>
      <c r="CI161" s="71" t="str">
        <f>K161</f>
        <v>-</v>
      </c>
      <c r="CJ161" s="72">
        <f>O161</f>
        <v>108</v>
      </c>
      <c r="CK161" s="72" t="str">
        <f>S161</f>
        <v>-</v>
      </c>
      <c r="CL161" s="72">
        <f>W161</f>
        <v>150</v>
      </c>
      <c r="CM161" s="72">
        <f>AA161</f>
        <v>157</v>
      </c>
      <c r="CN161" s="72">
        <f>AE161</f>
        <v>184</v>
      </c>
      <c r="CO161" s="72" t="str">
        <f>AI161</f>
        <v>-</v>
      </c>
      <c r="CP161" s="72">
        <f>AM161</f>
        <v>244</v>
      </c>
      <c r="CQ161" s="72">
        <f>AQ161</f>
        <v>284</v>
      </c>
      <c r="CR161" s="72">
        <f>AU161</f>
        <v>320</v>
      </c>
      <c r="CS161" s="72">
        <f>AY161</f>
        <v>341</v>
      </c>
      <c r="CT161" s="23" t="e">
        <f>M161-K161</f>
        <v>#VALUE!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x14ac:dyDescent="0.2">
      <c r="A162" s="3" t="str">
        <f t="shared" si="867"/>
        <v>cnr1_human__wt</v>
      </c>
      <c r="B162" s="3" t="s">
        <v>182</v>
      </c>
      <c r="C162" s="3" t="s">
        <v>100</v>
      </c>
      <c r="D162" s="3" t="str">
        <f>IFERROR(MID(VLOOKUP($B162,Seqs!$A:$B,2,0),E162,1),"")</f>
        <v>N</v>
      </c>
      <c r="E162" s="3">
        <v>112</v>
      </c>
      <c r="F162" s="3" t="str">
        <f>IFERROR(MID(VLOOKUP($B162,Seqs!$A:$B,2,0),G162,1),"")</f>
        <v>S</v>
      </c>
      <c r="G162" s="3">
        <v>144</v>
      </c>
      <c r="H162" s="3" t="str">
        <f>IFERROR(MID(VLOOKUP($B162,Seqs!$A:$B,2,0),I162,1),"")</f>
        <v>R</v>
      </c>
      <c r="I162" s="23">
        <v>145</v>
      </c>
      <c r="J162" s="3" t="str">
        <f>IFERROR(MID(VLOOKUP($B162,Seqs!$A:$B,2,0),K162,1),"")</f>
        <v>R</v>
      </c>
      <c r="K162" s="23">
        <v>148</v>
      </c>
      <c r="L162" s="3" t="str">
        <f>IFERROR(MID(VLOOKUP($B162,Seqs!$A:$B,2,0),M162,1),"")</f>
        <v>R</v>
      </c>
      <c r="M162" s="3">
        <v>150</v>
      </c>
      <c r="N162" s="3" t="str">
        <f>IFERROR(MID(VLOOKUP($B162,Seqs!$A:$B,2,0),O162,1),"")</f>
        <v>V</v>
      </c>
      <c r="O162" s="3">
        <v>179</v>
      </c>
      <c r="P162" s="3" t="str">
        <f>IFERROR(MID(VLOOKUP($B162,Seqs!$A:$B,2,0),Q162,1),"")</f>
        <v/>
      </c>
      <c r="Q162" s="3" t="s">
        <v>23</v>
      </c>
      <c r="R162" s="3" t="str">
        <f>IFERROR(MID(VLOOKUP($B162,Seqs!$A:$B,2,0),S162,1),"")</f>
        <v/>
      </c>
      <c r="S162" s="3" t="s">
        <v>23</v>
      </c>
      <c r="T162" s="3" t="str">
        <f>IFERROR(MID(VLOOKUP($B162,Seqs!$A:$B,2,0),U162,1),"")</f>
        <v>S</v>
      </c>
      <c r="U162" s="3">
        <v>185</v>
      </c>
      <c r="V162" s="3" t="str">
        <f>IFERROR(MID(VLOOKUP($B162,Seqs!$A:$B,2,0),W162,1),"")</f>
        <v>R</v>
      </c>
      <c r="W162" s="3">
        <v>220</v>
      </c>
      <c r="X162" s="3" t="str">
        <f>IFERROR(MID(VLOOKUP($B162,Seqs!$A:$B,2,0),Y162,1),"")</f>
        <v>P</v>
      </c>
      <c r="Y162" s="3">
        <v>221</v>
      </c>
      <c r="Z162" s="3" t="str">
        <f>IFERROR(MID(VLOOKUP($B162,Seqs!$A:$B,2,0),AA162,1),"")</f>
        <v>V</v>
      </c>
      <c r="AA162" s="3">
        <v>228</v>
      </c>
      <c r="AB162" s="3" t="str">
        <f>IFERROR(MID(VLOOKUP($B162,Seqs!$A:$B,2,0),AC162,1),"")</f>
        <v>T</v>
      </c>
      <c r="AC162" s="9">
        <v>229</v>
      </c>
      <c r="AD162" s="3" t="str">
        <f>IFERROR(MID(VLOOKUP($B162,Seqs!$A:$B,2,0),AE162,1),"")</f>
        <v>G</v>
      </c>
      <c r="AE162" s="3">
        <v>254</v>
      </c>
      <c r="AF162" s="3" t="str">
        <f>IFERROR(MID(VLOOKUP($B162,Seqs!$A:$B,2,0),AG162,1),"")</f>
        <v/>
      </c>
      <c r="AG162" s="3" t="s">
        <v>23</v>
      </c>
      <c r="AH162" s="3" t="str">
        <f>IFERROR(MID(VLOOKUP($B162,Seqs!$A:$B,2,0),AI162,1),"")</f>
        <v/>
      </c>
      <c r="AI162" s="3" t="s">
        <v>23</v>
      </c>
      <c r="AJ162" s="3" t="str">
        <f>IFERROR(MID(VLOOKUP($B162,Seqs!$A:$B,2,0),AK162,1),"")</f>
        <v>D</v>
      </c>
      <c r="AK162" s="3">
        <v>272</v>
      </c>
      <c r="AL162" s="3" t="str">
        <f>IFERROR(MID(VLOOKUP($B162,Seqs!$A:$B,2,0),AM162,1),"")</f>
        <v>G</v>
      </c>
      <c r="AM162" s="3">
        <v>312</v>
      </c>
      <c r="AN162" s="3" t="str">
        <f>IFERROR(MID(VLOOKUP($B162,Seqs!$A:$B,2,0),AO162,1),"")</f>
        <v>P</v>
      </c>
      <c r="AO162" s="3">
        <v>332</v>
      </c>
      <c r="AP162" s="3" t="str">
        <f>IFERROR(MID(VLOOKUP($B162,Seqs!$A:$B,2,0),AQ162,1),"")</f>
        <v>G</v>
      </c>
      <c r="AQ162" s="3">
        <v>369</v>
      </c>
      <c r="AR162" s="3" t="str">
        <f>IFERROR(MID(VLOOKUP($B162,Seqs!$A:$B,2,0),AS162,1),"")</f>
        <v>N</v>
      </c>
      <c r="AS162" s="3">
        <v>372</v>
      </c>
      <c r="AT162" s="3" t="str">
        <f>IFERROR(MID(VLOOKUP($B162,Seqs!$A:$B,2,0),AU162,1),"")</f>
        <v>R</v>
      </c>
      <c r="AU162" s="3">
        <v>400</v>
      </c>
      <c r="AV162" s="3" t="str">
        <f>IFERROR(MID(VLOOKUP($B162,Seqs!$A:$B,2,0),AW162,1),"")</f>
        <v>S</v>
      </c>
      <c r="AW162" s="3">
        <v>401</v>
      </c>
      <c r="AX162" s="3" t="str">
        <f>IFERROR(MID(VLOOKUP($B162,Seqs!$A:$B,2,0),AY162,1),"")</f>
        <v>P</v>
      </c>
      <c r="AY162" s="3">
        <v>413</v>
      </c>
      <c r="AZ162" s="77" t="str">
        <f>VLOOKUP(B162,Classification!A:D,2,0)</f>
        <v>A</v>
      </c>
      <c r="BA162" s="94" t="str">
        <f>VLOOKUP(B162,Classification!A:D,4,0)</f>
        <v>Cannabinoid</v>
      </c>
      <c r="BB162" s="27" t="b">
        <f t="shared" si="868"/>
        <v>1</v>
      </c>
      <c r="BC162" s="23">
        <f t="shared" si="645"/>
        <v>260</v>
      </c>
      <c r="BD162" s="56" t="s">
        <v>23</v>
      </c>
      <c r="BE162" s="3" t="s">
        <v>23</v>
      </c>
      <c r="BF162" s="119" t="s">
        <v>23</v>
      </c>
      <c r="BG162" s="49" t="s">
        <v>1372</v>
      </c>
      <c r="BH162" s="49" t="s">
        <v>1377</v>
      </c>
      <c r="BJ162" s="70" t="s">
        <v>1287</v>
      </c>
      <c r="BK162" s="57" t="s">
        <v>1287</v>
      </c>
      <c r="BL162" s="57" t="s">
        <v>1287</v>
      </c>
      <c r="BM162" s="57" t="s">
        <v>1287</v>
      </c>
      <c r="BN162" s="57" t="s">
        <v>1287</v>
      </c>
      <c r="BO162" s="57" t="s">
        <v>1287</v>
      </c>
      <c r="BP162" s="57" t="s">
        <v>1287</v>
      </c>
      <c r="BQ162" s="57" t="s">
        <v>1287</v>
      </c>
      <c r="BR162" s="57" t="s">
        <v>1287</v>
      </c>
      <c r="BS162" s="57" t="s">
        <v>1287</v>
      </c>
      <c r="BT162" s="57" t="s">
        <v>1287</v>
      </c>
      <c r="BU162" s="57" t="s">
        <v>1287</v>
      </c>
      <c r="BV162" s="70">
        <f t="shared" si="646"/>
        <v>112</v>
      </c>
      <c r="BW162" s="71">
        <f t="shared" si="647"/>
        <v>145</v>
      </c>
      <c r="BX162" s="72">
        <f t="shared" si="648"/>
        <v>150</v>
      </c>
      <c r="BY162" s="71" t="str">
        <f t="shared" si="649"/>
        <v>-</v>
      </c>
      <c r="BZ162" s="72">
        <f t="shared" si="650"/>
        <v>185</v>
      </c>
      <c r="CA162" s="71">
        <f t="shared" si="651"/>
        <v>221</v>
      </c>
      <c r="CB162" s="72">
        <f t="shared" si="652"/>
        <v>229</v>
      </c>
      <c r="CC162" s="71" t="str">
        <f t="shared" si="653"/>
        <v>-</v>
      </c>
      <c r="CD162" s="72">
        <f t="shared" si="654"/>
        <v>272</v>
      </c>
      <c r="CE162" s="71">
        <f t="shared" si="655"/>
        <v>332</v>
      </c>
      <c r="CF162" s="72">
        <f t="shared" si="656"/>
        <v>372</v>
      </c>
      <c r="CG162" s="71">
        <f t="shared" si="657"/>
        <v>401</v>
      </c>
      <c r="CH162" s="70">
        <f t="shared" si="658"/>
        <v>144</v>
      </c>
      <c r="CI162" s="71">
        <f t="shared" si="659"/>
        <v>148</v>
      </c>
      <c r="CJ162" s="72">
        <f t="shared" si="660"/>
        <v>179</v>
      </c>
      <c r="CK162" s="72" t="str">
        <f t="shared" si="661"/>
        <v>-</v>
      </c>
      <c r="CL162" s="72">
        <f t="shared" si="662"/>
        <v>220</v>
      </c>
      <c r="CM162" s="72">
        <f t="shared" si="663"/>
        <v>228</v>
      </c>
      <c r="CN162" s="72">
        <f t="shared" si="664"/>
        <v>254</v>
      </c>
      <c r="CO162" s="72" t="str">
        <f t="shared" si="665"/>
        <v>-</v>
      </c>
      <c r="CP162" s="72">
        <f t="shared" si="666"/>
        <v>312</v>
      </c>
      <c r="CQ162" s="72">
        <f t="shared" si="667"/>
        <v>369</v>
      </c>
      <c r="CR162" s="72">
        <f t="shared" si="668"/>
        <v>400</v>
      </c>
      <c r="CS162" s="72">
        <f t="shared" si="669"/>
        <v>413</v>
      </c>
      <c r="CT162" s="23">
        <f t="shared" si="670"/>
        <v>2</v>
      </c>
    </row>
    <row r="163" spans="1:1030" s="3" customFormat="1" x14ac:dyDescent="0.2">
      <c r="A163" s="3" t="str">
        <f t="shared" si="867"/>
        <v>cnr1_human_5TGZ</v>
      </c>
      <c r="B163" s="3" t="s">
        <v>182</v>
      </c>
      <c r="C163" s="3" t="s">
        <v>1359</v>
      </c>
      <c r="D163" s="3" t="str">
        <f>IFERROR(MID(VLOOKUP($B163,Seqs!$A:$B,2,0),E163,1),"")</f>
        <v>P</v>
      </c>
      <c r="E163" s="3">
        <v>113</v>
      </c>
      <c r="F163" s="3" t="str">
        <f>IFERROR(MID(VLOOKUP($B163,Seqs!$A:$B,2,0),G163,1),"")</f>
        <v>S</v>
      </c>
      <c r="G163" s="3">
        <v>144</v>
      </c>
      <c r="H163" s="3" t="str">
        <f>IFERROR(MID(VLOOKUP($B163,Seqs!$A:$B,2,0),I163,1),"")</f>
        <v>R</v>
      </c>
      <c r="I163" s="23">
        <v>145</v>
      </c>
      <c r="J163" s="3" t="str">
        <f>IFERROR(MID(VLOOKUP($B163,Seqs!$A:$B,2,0),K163,1),"")</f>
        <v>R</v>
      </c>
      <c r="K163" s="23">
        <v>148</v>
      </c>
      <c r="L163" s="3" t="str">
        <f>IFERROR(MID(VLOOKUP($B163,Seqs!$A:$B,2,0),M163,1),"")</f>
        <v>R</v>
      </c>
      <c r="M163" s="3">
        <v>150</v>
      </c>
      <c r="N163" s="3" t="str">
        <f>IFERROR(MID(VLOOKUP($B163,Seqs!$A:$B,2,0),O163,1),"")</f>
        <v>V</v>
      </c>
      <c r="O163" s="3">
        <v>179</v>
      </c>
      <c r="P163" s="3" t="str">
        <f>IFERROR(MID(VLOOKUP($B163,Seqs!$A:$B,2,0),Q163,1),"")</f>
        <v/>
      </c>
      <c r="Q163" s="3" t="s">
        <v>23</v>
      </c>
      <c r="R163" s="3" t="str">
        <f>IFERROR(MID(VLOOKUP($B163,Seqs!$A:$B,2,0),S163,1),"")</f>
        <v/>
      </c>
      <c r="S163" s="3" t="s">
        <v>23</v>
      </c>
      <c r="T163" s="3" t="str">
        <f>IFERROR(MID(VLOOKUP($B163,Seqs!$A:$B,2,0),U163,1),"")</f>
        <v>S</v>
      </c>
      <c r="U163" s="3">
        <v>185</v>
      </c>
      <c r="V163" s="3" t="str">
        <f>IFERROR(MID(VLOOKUP($B163,Seqs!$A:$B,2,0),W163,1),"")</f>
        <v>R</v>
      </c>
      <c r="W163" s="3">
        <v>220</v>
      </c>
      <c r="X163" s="3" t="str">
        <f>IFERROR(MID(VLOOKUP($B163,Seqs!$A:$B,2,0),Y163,1),"")</f>
        <v>P</v>
      </c>
      <c r="Y163" s="3">
        <v>221</v>
      </c>
      <c r="Z163" s="3" t="str">
        <f>IFERROR(MID(VLOOKUP($B163,Seqs!$A:$B,2,0),AA163,1),"")</f>
        <v>V</v>
      </c>
      <c r="AA163" s="3">
        <v>228</v>
      </c>
      <c r="AB163" s="3" t="str">
        <f>IFERROR(MID(VLOOKUP($B163,Seqs!$A:$B,2,0),AC163,1),"")</f>
        <v>T</v>
      </c>
      <c r="AC163" s="9">
        <v>229</v>
      </c>
      <c r="AD163" s="3" t="str">
        <f>IFERROR(MID(VLOOKUP($B163,Seqs!$A:$B,2,0),AE163,1),"")</f>
        <v>G</v>
      </c>
      <c r="AE163" s="3">
        <v>254</v>
      </c>
      <c r="AF163" s="3" t="str">
        <f>IFERROR(MID(VLOOKUP($B163,Seqs!$A:$B,2,0),AG163,1),"")</f>
        <v/>
      </c>
      <c r="AG163" s="3" t="s">
        <v>23</v>
      </c>
      <c r="AH163" s="3" t="str">
        <f>IFERROR(MID(VLOOKUP($B163,Seqs!$A:$B,2,0),AI163,1),"")</f>
        <v/>
      </c>
      <c r="AI163" s="3" t="s">
        <v>23</v>
      </c>
      <c r="AJ163" s="3" t="str">
        <f>IFERROR(MID(VLOOKUP($B163,Seqs!$A:$B,2,0),AK163,1),"")</f>
        <v>D</v>
      </c>
      <c r="AK163" s="3">
        <v>272</v>
      </c>
      <c r="AL163" s="3" t="str">
        <f>IFERROR(MID(VLOOKUP($B163,Seqs!$A:$B,2,0),AM163,1),"")</f>
        <v>H</v>
      </c>
      <c r="AM163" s="3">
        <v>304</v>
      </c>
      <c r="AN163" s="3" t="str">
        <f>IFERROR(MID(VLOOKUP($B163,Seqs!$A:$B,2,0),AO163,1),"")</f>
        <v>P</v>
      </c>
      <c r="AO163" s="3">
        <v>332</v>
      </c>
      <c r="AP163" s="3" t="str">
        <f>IFERROR(MID(VLOOKUP($B163,Seqs!$A:$B,2,0),AQ163,1),"")</f>
        <v>F</v>
      </c>
      <c r="AQ163" s="3">
        <v>368</v>
      </c>
      <c r="AR163" s="3" t="str">
        <f>IFERROR(MID(VLOOKUP($B163,Seqs!$A:$B,2,0),AS163,1),"")</f>
        <v>N</v>
      </c>
      <c r="AS163" s="3">
        <v>372</v>
      </c>
      <c r="AT163" s="3" t="str">
        <f>IFERROR(MID(VLOOKUP($B163,Seqs!$A:$B,2,0),AU163,1),"")</f>
        <v>R</v>
      </c>
      <c r="AU163" s="3">
        <v>400</v>
      </c>
      <c r="AV163" s="3" t="str">
        <f>IFERROR(MID(VLOOKUP($B163,Seqs!$A:$B,2,0),AW163,1),"")</f>
        <v>S</v>
      </c>
      <c r="AW163" s="3">
        <v>401</v>
      </c>
      <c r="AX163" s="3" t="str">
        <f>IFERROR(MID(VLOOKUP($B163,Seqs!$A:$B,2,0),AY163,1),"")</f>
        <v>M</v>
      </c>
      <c r="AY163" s="3">
        <v>411</v>
      </c>
      <c r="AZ163" s="77" t="str">
        <f>VLOOKUP(B163,Classification!A:D,2,0)</f>
        <v>A</v>
      </c>
      <c r="BA163" s="94" t="str">
        <f>VLOOKUP(B163,Classification!A:D,4,0)</f>
        <v>Cannabinoid</v>
      </c>
      <c r="BB163" s="27" t="b">
        <f t="shared" si="868"/>
        <v>1</v>
      </c>
      <c r="BC163" s="23">
        <f t="shared" si="645"/>
        <v>248</v>
      </c>
      <c r="BD163" s="16" t="s">
        <v>1376</v>
      </c>
      <c r="BE163" s="3" t="s">
        <v>1374</v>
      </c>
      <c r="BF163" s="119">
        <v>2.8</v>
      </c>
      <c r="BG163" s="49" t="s">
        <v>1377</v>
      </c>
      <c r="BH163" s="49" t="s">
        <v>1377</v>
      </c>
      <c r="BJ163" s="70" t="s">
        <v>1287</v>
      </c>
      <c r="BK163" s="57" t="s">
        <v>1287</v>
      </c>
      <c r="BL163" s="57" t="s">
        <v>1287</v>
      </c>
      <c r="BM163" s="57" t="s">
        <v>1287</v>
      </c>
      <c r="BN163" s="57" t="s">
        <v>1287</v>
      </c>
      <c r="BO163" s="57" t="s">
        <v>1287</v>
      </c>
      <c r="BP163" s="57" t="s">
        <v>1287</v>
      </c>
      <c r="BQ163" s="57" t="s">
        <v>1287</v>
      </c>
      <c r="BR163" s="57" t="s">
        <v>1287</v>
      </c>
      <c r="BS163" s="57" t="s">
        <v>1287</v>
      </c>
      <c r="BT163" s="57" t="s">
        <v>1287</v>
      </c>
      <c r="BU163" s="57" t="s">
        <v>1287</v>
      </c>
      <c r="BV163" s="70">
        <f t="shared" si="646"/>
        <v>113</v>
      </c>
      <c r="BW163" s="71">
        <f t="shared" si="647"/>
        <v>145</v>
      </c>
      <c r="BX163" s="72">
        <f t="shared" si="648"/>
        <v>150</v>
      </c>
      <c r="BY163" s="71" t="str">
        <f t="shared" si="649"/>
        <v>-</v>
      </c>
      <c r="BZ163" s="72">
        <f t="shared" si="650"/>
        <v>185</v>
      </c>
      <c r="CA163" s="71">
        <f t="shared" si="651"/>
        <v>221</v>
      </c>
      <c r="CB163" s="72">
        <f t="shared" si="652"/>
        <v>229</v>
      </c>
      <c r="CC163" s="71" t="str">
        <f t="shared" si="653"/>
        <v>-</v>
      </c>
      <c r="CD163" s="72">
        <f t="shared" si="654"/>
        <v>272</v>
      </c>
      <c r="CE163" s="71">
        <f t="shared" si="655"/>
        <v>332</v>
      </c>
      <c r="CF163" s="72">
        <f t="shared" si="656"/>
        <v>372</v>
      </c>
      <c r="CG163" s="71">
        <f t="shared" si="657"/>
        <v>401</v>
      </c>
      <c r="CH163" s="70">
        <f t="shared" si="658"/>
        <v>144</v>
      </c>
      <c r="CI163" s="71">
        <f t="shared" si="659"/>
        <v>148</v>
      </c>
      <c r="CJ163" s="72">
        <f t="shared" si="660"/>
        <v>179</v>
      </c>
      <c r="CK163" s="72" t="str">
        <f t="shared" si="661"/>
        <v>-</v>
      </c>
      <c r="CL163" s="72">
        <f t="shared" si="662"/>
        <v>220</v>
      </c>
      <c r="CM163" s="72">
        <f t="shared" si="663"/>
        <v>228</v>
      </c>
      <c r="CN163" s="72">
        <f t="shared" si="664"/>
        <v>254</v>
      </c>
      <c r="CO163" s="72" t="str">
        <f t="shared" si="665"/>
        <v>-</v>
      </c>
      <c r="CP163" s="72">
        <f t="shared" si="666"/>
        <v>304</v>
      </c>
      <c r="CQ163" s="72">
        <f t="shared" si="667"/>
        <v>368</v>
      </c>
      <c r="CR163" s="72">
        <f t="shared" si="668"/>
        <v>400</v>
      </c>
      <c r="CS163" s="72">
        <f t="shared" si="669"/>
        <v>411</v>
      </c>
      <c r="CT163" s="23">
        <f t="shared" si="670"/>
        <v>2</v>
      </c>
      <c r="AMP163" s="1"/>
    </row>
    <row r="164" spans="1:1030" x14ac:dyDescent="0.2">
      <c r="A164" s="3" t="str">
        <f t="shared" si="867"/>
        <v>cnr1_human_5U09</v>
      </c>
      <c r="B164" s="3" t="s">
        <v>182</v>
      </c>
      <c r="C164" s="3" t="s">
        <v>1364</v>
      </c>
      <c r="D164" s="3" t="str">
        <f>IFERROR(MID(VLOOKUP($B164,Seqs!$A:$B,2,0),E164,1),"")</f>
        <v>N</v>
      </c>
      <c r="E164" s="3">
        <v>112</v>
      </c>
      <c r="F164" s="3" t="str">
        <f>IFERROR(MID(VLOOKUP($B164,Seqs!$A:$B,2,0),G164,1),"")</f>
        <v>S</v>
      </c>
      <c r="G164" s="3">
        <v>144</v>
      </c>
      <c r="H164" s="3" t="str">
        <f>IFERROR(MID(VLOOKUP($B164,Seqs!$A:$B,2,0),I164,1),"")</f>
        <v>R</v>
      </c>
      <c r="I164" s="23">
        <v>145</v>
      </c>
      <c r="J164" s="3" t="str">
        <f>IFERROR(MID(VLOOKUP($B164,Seqs!$A:$B,2,0),K164,1),"")</f>
        <v>R</v>
      </c>
      <c r="K164" s="23">
        <v>148</v>
      </c>
      <c r="L164" s="3" t="str">
        <f>IFERROR(MID(VLOOKUP($B164,Seqs!$A:$B,2,0),M164,1),"")</f>
        <v>R</v>
      </c>
      <c r="M164" s="3">
        <v>150</v>
      </c>
      <c r="N164" s="3" t="str">
        <f>IFERROR(MID(VLOOKUP($B164,Seqs!$A:$B,2,0),O164,1),"")</f>
        <v>V</v>
      </c>
      <c r="O164" s="3">
        <v>179</v>
      </c>
      <c r="P164" s="3" t="str">
        <f>IFERROR(MID(VLOOKUP($B164,Seqs!$A:$B,2,0),Q164,1),"")</f>
        <v/>
      </c>
      <c r="Q164" s="3" t="s">
        <v>23</v>
      </c>
      <c r="R164" s="3" t="str">
        <f>IFERROR(MID(VLOOKUP($B164,Seqs!$A:$B,2,0),S164,1),"")</f>
        <v/>
      </c>
      <c r="S164" s="3" t="s">
        <v>23</v>
      </c>
      <c r="T164" s="3" t="str">
        <f>IFERROR(MID(VLOOKUP($B164,Seqs!$A:$B,2,0),U164,1),"")</f>
        <v>S</v>
      </c>
      <c r="U164" s="3">
        <v>185</v>
      </c>
      <c r="V164" s="3" t="str">
        <f>IFERROR(MID(VLOOKUP($B164,Seqs!$A:$B,2,0),W164,1),"")</f>
        <v>R</v>
      </c>
      <c r="W164" s="3">
        <v>220</v>
      </c>
      <c r="X164" s="3" t="str">
        <f>IFERROR(MID(VLOOKUP($B164,Seqs!$A:$B,2,0),Y164,1),"")</f>
        <v>P</v>
      </c>
      <c r="Y164" s="3">
        <v>221</v>
      </c>
      <c r="Z164" s="3" t="str">
        <f>IFERROR(MID(VLOOKUP($B164,Seqs!$A:$B,2,0),AA164,1),"")</f>
        <v>V</v>
      </c>
      <c r="AA164" s="3">
        <v>228</v>
      </c>
      <c r="AB164" s="3" t="str">
        <f>IFERROR(MID(VLOOKUP($B164,Seqs!$A:$B,2,0),AC164,1),"")</f>
        <v>T</v>
      </c>
      <c r="AC164" s="9">
        <v>229</v>
      </c>
      <c r="AD164" s="3" t="str">
        <f>IFERROR(MID(VLOOKUP($B164,Seqs!$A:$B,2,0),AE164,1),"")</f>
        <v>G</v>
      </c>
      <c r="AE164" s="3">
        <v>254</v>
      </c>
      <c r="AF164" s="3" t="str">
        <f>IFERROR(MID(VLOOKUP($B164,Seqs!$A:$B,2,0),AG164,1),"")</f>
        <v/>
      </c>
      <c r="AG164" s="3" t="s">
        <v>23</v>
      </c>
      <c r="AH164" s="3" t="str">
        <f>IFERROR(MID(VLOOKUP($B164,Seqs!$A:$B,2,0),AI164,1),"")</f>
        <v/>
      </c>
      <c r="AI164" s="3" t="s">
        <v>23</v>
      </c>
      <c r="AJ164" s="3" t="str">
        <f>IFERROR(MID(VLOOKUP($B164,Seqs!$A:$B,2,0),AK164,1),"")</f>
        <v>D</v>
      </c>
      <c r="AK164" s="3">
        <v>272</v>
      </c>
      <c r="AL164" s="3" t="str">
        <f>IFERROR(MID(VLOOKUP($B164,Seqs!$A:$B,2,0),AM164,1),"")</f>
        <v>A</v>
      </c>
      <c r="AM164" s="3">
        <v>301</v>
      </c>
      <c r="AN164" s="3" t="str">
        <f>IFERROR(MID(VLOOKUP($B164,Seqs!$A:$B,2,0),AO164,1),"")</f>
        <v>D</v>
      </c>
      <c r="AO164" s="3">
        <v>333</v>
      </c>
      <c r="AP164" s="3" t="str">
        <f>IFERROR(MID(VLOOKUP($B164,Seqs!$A:$B,2,0),AQ164,1),"")</f>
        <v>F</v>
      </c>
      <c r="AQ164" s="3">
        <v>368</v>
      </c>
      <c r="AR164" s="3" t="str">
        <f>IFERROR(MID(VLOOKUP($B164,Seqs!$A:$B,2,0),AS164,1),"")</f>
        <v>L</v>
      </c>
      <c r="AS164" s="3">
        <v>374</v>
      </c>
      <c r="AT164" s="3" t="str">
        <f>IFERROR(MID(VLOOKUP($B164,Seqs!$A:$B,2,0),AU164,1),"")</f>
        <v>R</v>
      </c>
      <c r="AU164" s="3">
        <v>400</v>
      </c>
      <c r="AV164" s="3" t="str">
        <f>IFERROR(MID(VLOOKUP($B164,Seqs!$A:$B,2,0),AW164,1),"")</f>
        <v>S</v>
      </c>
      <c r="AW164" s="3">
        <v>401</v>
      </c>
      <c r="AX164" s="3" t="str">
        <f>IFERROR(MID(VLOOKUP($B164,Seqs!$A:$B,2,0),AY164,1),"")</f>
        <v>M</v>
      </c>
      <c r="AY164" s="3">
        <v>411</v>
      </c>
      <c r="AZ164" s="77" t="str">
        <f>VLOOKUP(B164,Classification!A:D,2,0)</f>
        <v>A</v>
      </c>
      <c r="BA164" s="94" t="str">
        <f>VLOOKUP(B164,Classification!A:D,4,0)</f>
        <v>Cannabinoid</v>
      </c>
      <c r="BB164" s="27" t="b">
        <f t="shared" si="868"/>
        <v>1</v>
      </c>
      <c r="BC164" s="23">
        <f t="shared" si="645"/>
        <v>243</v>
      </c>
      <c r="BD164" s="2" t="s">
        <v>23</v>
      </c>
      <c r="BE164" s="3" t="s">
        <v>1374</v>
      </c>
      <c r="BF164" s="119">
        <v>2.6</v>
      </c>
      <c r="BG164" s="49" t="s">
        <v>1377</v>
      </c>
      <c r="BH164" s="49" t="s">
        <v>1377</v>
      </c>
      <c r="BJ164" s="70" t="s">
        <v>1287</v>
      </c>
      <c r="BK164" s="57" t="s">
        <v>1287</v>
      </c>
      <c r="BL164" s="57" t="s">
        <v>1287</v>
      </c>
      <c r="BM164" s="57" t="s">
        <v>1287</v>
      </c>
      <c r="BN164" s="57" t="s">
        <v>1287</v>
      </c>
      <c r="BO164" s="57" t="s">
        <v>1287</v>
      </c>
      <c r="BP164" s="57" t="s">
        <v>1287</v>
      </c>
      <c r="BQ164" s="57" t="s">
        <v>1287</v>
      </c>
      <c r="BR164" s="57" t="s">
        <v>1287</v>
      </c>
      <c r="BS164" s="57" t="s">
        <v>1287</v>
      </c>
      <c r="BT164" s="57" t="s">
        <v>1287</v>
      </c>
      <c r="BU164" s="57" t="s">
        <v>1287</v>
      </c>
      <c r="BV164" s="70">
        <f t="shared" si="646"/>
        <v>112</v>
      </c>
      <c r="BW164" s="71">
        <f t="shared" si="647"/>
        <v>145</v>
      </c>
      <c r="BX164" s="72">
        <f t="shared" si="648"/>
        <v>150</v>
      </c>
      <c r="BY164" s="71" t="str">
        <f t="shared" si="649"/>
        <v>-</v>
      </c>
      <c r="BZ164" s="72">
        <f t="shared" si="650"/>
        <v>185</v>
      </c>
      <c r="CA164" s="71">
        <f t="shared" si="651"/>
        <v>221</v>
      </c>
      <c r="CB164" s="72">
        <f t="shared" si="652"/>
        <v>229</v>
      </c>
      <c r="CC164" s="71" t="str">
        <f t="shared" si="653"/>
        <v>-</v>
      </c>
      <c r="CD164" s="72">
        <f t="shared" si="654"/>
        <v>272</v>
      </c>
      <c r="CE164" s="71">
        <f t="shared" si="655"/>
        <v>333</v>
      </c>
      <c r="CF164" s="72">
        <f t="shared" si="656"/>
        <v>374</v>
      </c>
      <c r="CG164" s="71">
        <f t="shared" si="657"/>
        <v>401</v>
      </c>
      <c r="CH164" s="70">
        <f t="shared" si="658"/>
        <v>144</v>
      </c>
      <c r="CI164" s="71">
        <f t="shared" si="659"/>
        <v>148</v>
      </c>
      <c r="CJ164" s="72">
        <f t="shared" si="660"/>
        <v>179</v>
      </c>
      <c r="CK164" s="72" t="str">
        <f t="shared" si="661"/>
        <v>-</v>
      </c>
      <c r="CL164" s="72">
        <f t="shared" si="662"/>
        <v>220</v>
      </c>
      <c r="CM164" s="72">
        <f t="shared" si="663"/>
        <v>228</v>
      </c>
      <c r="CN164" s="72">
        <f t="shared" si="664"/>
        <v>254</v>
      </c>
      <c r="CO164" s="72" t="str">
        <f t="shared" si="665"/>
        <v>-</v>
      </c>
      <c r="CP164" s="72">
        <f t="shared" si="666"/>
        <v>301</v>
      </c>
      <c r="CQ164" s="72">
        <f t="shared" si="667"/>
        <v>368</v>
      </c>
      <c r="CR164" s="72">
        <f t="shared" si="668"/>
        <v>400</v>
      </c>
      <c r="CS164" s="72">
        <f t="shared" si="669"/>
        <v>411</v>
      </c>
      <c r="CT164" s="23">
        <f t="shared" si="670"/>
        <v>2</v>
      </c>
    </row>
    <row r="165" spans="1:1030" x14ac:dyDescent="0.2">
      <c r="A165" s="3" t="str">
        <f>CONCATENATE(B165,"_",C165)</f>
        <v>cnr1_human_5XR8</v>
      </c>
      <c r="B165" s="3" t="s">
        <v>182</v>
      </c>
      <c r="C165" s="3" t="s">
        <v>1424</v>
      </c>
      <c r="D165" s="3" t="str">
        <f>IFERROR(MID(VLOOKUP($B165,Seqs!$A:$B,2,0),E165,1),"")</f>
        <v>N</v>
      </c>
      <c r="E165" s="3">
        <v>112</v>
      </c>
      <c r="F165" s="3" t="str">
        <f>IFERROR(MID(VLOOKUP($B165,Seqs!$A:$B,2,0),G165,1),"")</f>
        <v>S</v>
      </c>
      <c r="G165" s="3">
        <v>146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Y</v>
      </c>
      <c r="M165" s="3">
        <v>153</v>
      </c>
      <c r="N165" s="3" t="str">
        <f>IFERROR(MID(VLOOKUP($B165,Seqs!$A:$B,2,0),O165,1),"")</f>
        <v>F</v>
      </c>
      <c r="O165" s="3">
        <v>180</v>
      </c>
      <c r="P165" s="3" t="str">
        <f>IFERROR(MID(VLOOKUP($B165,Seqs!$A:$B,2,0),Q165,1),"")</f>
        <v/>
      </c>
      <c r="Q165" s="3" t="s">
        <v>23</v>
      </c>
      <c r="R165" s="3" t="str">
        <f>IFERROR(MID(VLOOKUP($B165,Seqs!$A:$B,2,0),S165,1),"")</f>
        <v/>
      </c>
      <c r="S165" s="3" t="s">
        <v>23</v>
      </c>
      <c r="T165" s="3" t="str">
        <f>IFERROR(MID(VLOOKUP($B165,Seqs!$A:$B,2,0),U165,1),"")</f>
        <v>S</v>
      </c>
      <c r="U165" s="3">
        <v>185</v>
      </c>
      <c r="V165" s="3" t="str">
        <f>IFERROR(MID(VLOOKUP($B165,Seqs!$A:$B,2,0),W165,1),"")</f>
        <v>R</v>
      </c>
      <c r="W165" s="3">
        <v>220</v>
      </c>
      <c r="X165" s="3" t="str">
        <f>IFERROR(MID(VLOOKUP($B165,Seqs!$A:$B,2,0),Y165,1),"")</f>
        <v>P</v>
      </c>
      <c r="Y165" s="3">
        <v>221</v>
      </c>
      <c r="Z165" s="3" t="str">
        <f>IFERROR(MID(VLOOKUP($B165,Seqs!$A:$B,2,0),AA165,1),"")</f>
        <v>V</v>
      </c>
      <c r="AA165" s="3">
        <v>228</v>
      </c>
      <c r="AB165" s="3" t="str">
        <f>IFERROR(MID(VLOOKUP($B165,Seqs!$A:$B,2,0),AC165,1),"")</f>
        <v>T</v>
      </c>
      <c r="AC165" s="3">
        <v>229</v>
      </c>
      <c r="AD165" s="3" t="str">
        <f>IFERROR(MID(VLOOKUP($B165,Seqs!$A:$B,2,0),AE165,1),"")</f>
        <v>G</v>
      </c>
      <c r="AE165" s="3">
        <v>254</v>
      </c>
      <c r="AF165" s="3" t="str">
        <f>IFERROR(MID(VLOOKUP($B165,Seqs!$A:$B,2,0),AG165,1),"")</f>
        <v/>
      </c>
      <c r="AG165" s="3" t="s">
        <v>23</v>
      </c>
      <c r="AH165" s="3" t="str">
        <f>IFERROR(MID(VLOOKUP($B165,Seqs!$A:$B,2,0),AI165,1),"")</f>
        <v/>
      </c>
      <c r="AI165" s="3" t="s">
        <v>23</v>
      </c>
      <c r="AJ165" s="3" t="str">
        <f>IFERROR(MID(VLOOKUP($B165,Seqs!$A:$B,2,0),AK165,1),"")</f>
        <v>D</v>
      </c>
      <c r="AK165" s="3">
        <v>272</v>
      </c>
      <c r="AL165" s="3" t="str">
        <f>IFERROR(MID(VLOOKUP($B165,Seqs!$A:$B,2,0),AM165,1),"")</f>
        <v>S</v>
      </c>
      <c r="AM165" s="3">
        <v>303</v>
      </c>
      <c r="AN165" s="3" t="str">
        <f>IFERROR(MID(VLOOKUP($B165,Seqs!$A:$B,2,0),AO165,1),"")</f>
        <v>D</v>
      </c>
      <c r="AO165" s="3">
        <v>338</v>
      </c>
      <c r="AP165" s="3" t="str">
        <f>IFERROR(MID(VLOOKUP($B165,Seqs!$A:$B,2,0),AQ165,1),"")</f>
        <v>F</v>
      </c>
      <c r="AQ165" s="3">
        <v>368</v>
      </c>
      <c r="AR165" s="3" t="str">
        <f>IFERROR(MID(VLOOKUP($B165,Seqs!$A:$B,2,0),AS165,1),"")</f>
        <v>N</v>
      </c>
      <c r="AS165" s="3">
        <v>372</v>
      </c>
      <c r="AT165" s="3" t="str">
        <f>IFERROR(MID(VLOOKUP($B165,Seqs!$A:$B,2,0),AU165,1),"")</f>
        <v>Y</v>
      </c>
      <c r="AU165" s="3">
        <v>397</v>
      </c>
      <c r="AV165" s="3" t="str">
        <f>IFERROR(MID(VLOOKUP($B165,Seqs!$A:$B,2,0),AW165,1),"")</f>
        <v>S</v>
      </c>
      <c r="AW165" s="3">
        <v>401</v>
      </c>
      <c r="AX165" s="3" t="str">
        <f>IFERROR(MID(VLOOKUP($B165,Seqs!$A:$B,2,0),AY165,1),"")</f>
        <v>F</v>
      </c>
      <c r="AY165" s="3">
        <v>412</v>
      </c>
      <c r="AZ165" s="77" t="str">
        <f>VLOOKUP(B165,Classification!A:D,2,0)</f>
        <v>A</v>
      </c>
      <c r="BA165" s="94" t="str">
        <f>VLOOKUP(B165,Classification!A:D,4,0)</f>
        <v>Cannabinoid</v>
      </c>
      <c r="BB165" s="27" t="b">
        <f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23">
        <f>_xlfn.AGGREGATE(9,6,CH165:CS165)-_xlfn.AGGREGATE(9,6,BV165:CG165)+12</f>
        <v>237</v>
      </c>
      <c r="BD165" s="2" t="s">
        <v>23</v>
      </c>
      <c r="BE165" s="3" t="s">
        <v>1291</v>
      </c>
      <c r="BF165" s="119">
        <v>2.95</v>
      </c>
      <c r="BG165" s="49" t="s">
        <v>1</v>
      </c>
      <c r="BH165" s="49" t="s">
        <v>1</v>
      </c>
      <c r="BJ165" s="70" t="s">
        <v>1287</v>
      </c>
      <c r="BK165" s="57" t="s">
        <v>1287</v>
      </c>
      <c r="BL165" s="57" t="s">
        <v>1287</v>
      </c>
      <c r="BM165" s="57" t="s">
        <v>1287</v>
      </c>
      <c r="BN165" s="57" t="s">
        <v>1287</v>
      </c>
      <c r="BO165" s="57" t="s">
        <v>1287</v>
      </c>
      <c r="BP165" s="57" t="s">
        <v>1287</v>
      </c>
      <c r="BQ165" s="57" t="s">
        <v>1287</v>
      </c>
      <c r="BR165" s="57" t="s">
        <v>1287</v>
      </c>
      <c r="BS165" s="57" t="s">
        <v>1287</v>
      </c>
      <c r="BT165" s="57" t="s">
        <v>1287</v>
      </c>
      <c r="BU165" s="57" t="s">
        <v>1287</v>
      </c>
      <c r="BV165" s="70">
        <f>E165</f>
        <v>112</v>
      </c>
      <c r="BW165" s="71" t="str">
        <f>I165</f>
        <v>-</v>
      </c>
      <c r="BX165" s="72">
        <f>M165</f>
        <v>153</v>
      </c>
      <c r="BY165" s="71" t="str">
        <f>Q165</f>
        <v>-</v>
      </c>
      <c r="BZ165" s="72">
        <f>U165</f>
        <v>185</v>
      </c>
      <c r="CA165" s="71">
        <f>Y165</f>
        <v>221</v>
      </c>
      <c r="CB165" s="72">
        <f>AC165</f>
        <v>229</v>
      </c>
      <c r="CC165" s="71" t="str">
        <f>AG165</f>
        <v>-</v>
      </c>
      <c r="CD165" s="72">
        <f>AK165</f>
        <v>272</v>
      </c>
      <c r="CE165" s="71">
        <f>AO165</f>
        <v>338</v>
      </c>
      <c r="CF165" s="72">
        <f>AS165</f>
        <v>372</v>
      </c>
      <c r="CG165" s="71">
        <f>AW165</f>
        <v>401</v>
      </c>
      <c r="CH165" s="70">
        <f>G165</f>
        <v>146</v>
      </c>
      <c r="CI165" s="71" t="str">
        <f>K165</f>
        <v>-</v>
      </c>
      <c r="CJ165" s="72">
        <f>O165</f>
        <v>180</v>
      </c>
      <c r="CK165" s="72" t="str">
        <f>S165</f>
        <v>-</v>
      </c>
      <c r="CL165" s="72">
        <f>W165</f>
        <v>220</v>
      </c>
      <c r="CM165" s="72">
        <f>AA165</f>
        <v>228</v>
      </c>
      <c r="CN165" s="72">
        <f>AE165</f>
        <v>254</v>
      </c>
      <c r="CO165" s="72" t="str">
        <f>AI165</f>
        <v>-</v>
      </c>
      <c r="CP165" s="72">
        <f>AM165</f>
        <v>303</v>
      </c>
      <c r="CQ165" s="72">
        <f>AQ165</f>
        <v>368</v>
      </c>
      <c r="CR165" s="72">
        <f>AU165</f>
        <v>397</v>
      </c>
      <c r="CS165" s="72">
        <f>AY165</f>
        <v>412</v>
      </c>
      <c r="CT165" s="23" t="e">
        <f>M165-K165</f>
        <v>#VALUE!</v>
      </c>
    </row>
    <row r="166" spans="1:1030" x14ac:dyDescent="0.2">
      <c r="A166" s="3" t="str">
        <f>CONCATENATE(B166,"_",C166)</f>
        <v>cnr1_human_5XRA</v>
      </c>
      <c r="B166" s="3" t="s">
        <v>182</v>
      </c>
      <c r="C166" s="3" t="s">
        <v>1425</v>
      </c>
      <c r="D166" s="3" t="str">
        <f>IFERROR(MID(VLOOKUP($B166,Seqs!$A:$B,2,0),E166,1),"")</f>
        <v>N</v>
      </c>
      <c r="E166" s="3">
        <v>112</v>
      </c>
      <c r="F166" s="3" t="str">
        <f>IFERROR(MID(VLOOKUP($B166,Seqs!$A:$B,2,0),G166,1),"")</f>
        <v>S</v>
      </c>
      <c r="G166" s="3">
        <v>146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Y</v>
      </c>
      <c r="M166" s="3">
        <v>153</v>
      </c>
      <c r="N166" s="3" t="str">
        <f>IFERROR(MID(VLOOKUP($B166,Seqs!$A:$B,2,0),O166,1),"")</f>
        <v>F</v>
      </c>
      <c r="O166" s="3">
        <v>180</v>
      </c>
      <c r="P166" s="3" t="str">
        <f>IFERROR(MID(VLOOKUP($B166,Seqs!$A:$B,2,0),Q166,1),"")</f>
        <v/>
      </c>
      <c r="Q166" s="3" t="s">
        <v>23</v>
      </c>
      <c r="R166" s="3" t="str">
        <f>IFERROR(MID(VLOOKUP($B166,Seqs!$A:$B,2,0),S166,1),"")</f>
        <v/>
      </c>
      <c r="S166" s="3" t="s">
        <v>23</v>
      </c>
      <c r="T166" s="3" t="str">
        <f>IFERROR(MID(VLOOKUP($B166,Seqs!$A:$B,2,0),U166,1),"")</f>
        <v>S</v>
      </c>
      <c r="U166" s="3">
        <v>185</v>
      </c>
      <c r="V166" s="3" t="str">
        <f>IFERROR(MID(VLOOKUP($B166,Seqs!$A:$B,2,0),W166,1),"")</f>
        <v>R</v>
      </c>
      <c r="W166" s="3">
        <v>220</v>
      </c>
      <c r="X166" s="3" t="str">
        <f>IFERROR(MID(VLOOKUP($B166,Seqs!$A:$B,2,0),Y166,1),"")</f>
        <v>P</v>
      </c>
      <c r="Y166" s="3">
        <v>221</v>
      </c>
      <c r="Z166" s="3" t="str">
        <f>IFERROR(MID(VLOOKUP($B166,Seqs!$A:$B,2,0),AA166,1),"")</f>
        <v>V</v>
      </c>
      <c r="AA166" s="3">
        <v>228</v>
      </c>
      <c r="AB166" s="3" t="str">
        <f>IFERROR(MID(VLOOKUP($B166,Seqs!$A:$B,2,0),AC166,1),"")</f>
        <v>T</v>
      </c>
      <c r="AC166" s="3">
        <v>229</v>
      </c>
      <c r="AD166" s="3" t="str">
        <f>IFERROR(MID(VLOOKUP($B166,Seqs!$A:$B,2,0),AE166,1),"")</f>
        <v>G</v>
      </c>
      <c r="AE166" s="3">
        <v>254</v>
      </c>
      <c r="AF166" s="3" t="str">
        <f>IFERROR(MID(VLOOKUP($B166,Seqs!$A:$B,2,0),AG166,1),"")</f>
        <v/>
      </c>
      <c r="AG166" s="3" t="s">
        <v>23</v>
      </c>
      <c r="AH166" s="3" t="str">
        <f>IFERROR(MID(VLOOKUP($B166,Seqs!$A:$B,2,0),AI166,1),"")</f>
        <v/>
      </c>
      <c r="AI166" s="3" t="s">
        <v>23</v>
      </c>
      <c r="AJ166" s="3" t="str">
        <f>IFERROR(MID(VLOOKUP($B166,Seqs!$A:$B,2,0),AK166,1),"")</f>
        <v>D</v>
      </c>
      <c r="AK166" s="3">
        <v>272</v>
      </c>
      <c r="AL166" s="3" t="str">
        <f>IFERROR(MID(VLOOKUP($B166,Seqs!$A:$B,2,0),AM166,1),"")</f>
        <v>A</v>
      </c>
      <c r="AM166" s="3">
        <v>305</v>
      </c>
      <c r="AN166" s="3" t="str">
        <f>IFERROR(MID(VLOOKUP($B166,Seqs!$A:$B,2,0),AO166,1),"")</f>
        <v>D</v>
      </c>
      <c r="AO166" s="3">
        <v>338</v>
      </c>
      <c r="AP166" s="3" t="str">
        <f>IFERROR(MID(VLOOKUP($B166,Seqs!$A:$B,2,0),AQ166,1),"")</f>
        <v>G</v>
      </c>
      <c r="AQ166" s="3">
        <v>369</v>
      </c>
      <c r="AR166" s="3" t="str">
        <f>IFERROR(MID(VLOOKUP($B166,Seqs!$A:$B,2,0),AS166,1),"")</f>
        <v>N</v>
      </c>
      <c r="AS166" s="3">
        <v>372</v>
      </c>
      <c r="AT166" s="3" t="str">
        <f>IFERROR(MID(VLOOKUP($B166,Seqs!$A:$B,2,0),AU166,1),"")</f>
        <v>Y</v>
      </c>
      <c r="AU166" s="3">
        <v>397</v>
      </c>
      <c r="AV166" s="3" t="str">
        <f>IFERROR(MID(VLOOKUP($B166,Seqs!$A:$B,2,0),AW166,1),"")</f>
        <v>S</v>
      </c>
      <c r="AW166" s="3">
        <v>401</v>
      </c>
      <c r="AX166" s="3" t="str">
        <f>IFERROR(MID(VLOOKUP($B166,Seqs!$A:$B,2,0),AY166,1),"")</f>
        <v>F</v>
      </c>
      <c r="AY166" s="3">
        <v>412</v>
      </c>
      <c r="AZ166" s="77" t="str">
        <f>VLOOKUP(B166,Classification!A:D,2,0)</f>
        <v>A</v>
      </c>
      <c r="BA166" s="94" t="str">
        <f>VLOOKUP(B166,Classification!A:D,4,0)</f>
        <v>Cannabinoid</v>
      </c>
      <c r="BB166" s="27" t="b">
        <f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23">
        <f>_xlfn.AGGREGATE(9,6,CH166:CS166)-_xlfn.AGGREGATE(9,6,BV166:CG166)+12</f>
        <v>240</v>
      </c>
      <c r="BD166" s="2" t="s">
        <v>23</v>
      </c>
      <c r="BE166" s="3" t="s">
        <v>1291</v>
      </c>
      <c r="BF166" s="119">
        <v>2.8</v>
      </c>
      <c r="BG166" s="49" t="s">
        <v>1</v>
      </c>
      <c r="BH166" s="49" t="s">
        <v>1</v>
      </c>
      <c r="BJ166" s="70" t="s">
        <v>1287</v>
      </c>
      <c r="BK166" s="57" t="s">
        <v>1287</v>
      </c>
      <c r="BL166" s="57" t="s">
        <v>1287</v>
      </c>
      <c r="BM166" s="57" t="s">
        <v>1287</v>
      </c>
      <c r="BN166" s="57" t="s">
        <v>1287</v>
      </c>
      <c r="BO166" s="57" t="s">
        <v>1287</v>
      </c>
      <c r="BP166" s="57" t="s">
        <v>1287</v>
      </c>
      <c r="BQ166" s="57" t="s">
        <v>1287</v>
      </c>
      <c r="BR166" s="57" t="s">
        <v>1287</v>
      </c>
      <c r="BS166" s="57" t="s">
        <v>1287</v>
      </c>
      <c r="BT166" s="57" t="s">
        <v>1287</v>
      </c>
      <c r="BU166" s="57" t="s">
        <v>1287</v>
      </c>
      <c r="BV166" s="70">
        <f>E166</f>
        <v>112</v>
      </c>
      <c r="BW166" s="71" t="str">
        <f>I166</f>
        <v>-</v>
      </c>
      <c r="BX166" s="72">
        <f>M166</f>
        <v>153</v>
      </c>
      <c r="BY166" s="71" t="str">
        <f>Q166</f>
        <v>-</v>
      </c>
      <c r="BZ166" s="72">
        <f>U166</f>
        <v>185</v>
      </c>
      <c r="CA166" s="71">
        <f>Y166</f>
        <v>221</v>
      </c>
      <c r="CB166" s="72">
        <f>AC166</f>
        <v>229</v>
      </c>
      <c r="CC166" s="71" t="str">
        <f>AG166</f>
        <v>-</v>
      </c>
      <c r="CD166" s="72">
        <f>AK166</f>
        <v>272</v>
      </c>
      <c r="CE166" s="71">
        <f>AO166</f>
        <v>338</v>
      </c>
      <c r="CF166" s="72">
        <f>AS166</f>
        <v>372</v>
      </c>
      <c r="CG166" s="71">
        <f>AW166</f>
        <v>401</v>
      </c>
      <c r="CH166" s="70">
        <f>G166</f>
        <v>146</v>
      </c>
      <c r="CI166" s="71" t="str">
        <f>K166</f>
        <v>-</v>
      </c>
      <c r="CJ166" s="72">
        <f>O166</f>
        <v>180</v>
      </c>
      <c r="CK166" s="72" t="str">
        <f>S166</f>
        <v>-</v>
      </c>
      <c r="CL166" s="72">
        <f>W166</f>
        <v>220</v>
      </c>
      <c r="CM166" s="72">
        <f>AA166</f>
        <v>228</v>
      </c>
      <c r="CN166" s="72">
        <f>AE166</f>
        <v>254</v>
      </c>
      <c r="CO166" s="72" t="str">
        <f>AI166</f>
        <v>-</v>
      </c>
      <c r="CP166" s="72">
        <f>AM166</f>
        <v>305</v>
      </c>
      <c r="CQ166" s="72">
        <f>AQ166</f>
        <v>369</v>
      </c>
      <c r="CR166" s="72">
        <f>AU166</f>
        <v>397</v>
      </c>
      <c r="CS166" s="72">
        <f>AY166</f>
        <v>412</v>
      </c>
      <c r="CT166" s="23" t="e">
        <f>M166-K166</f>
        <v>#VALUE!</v>
      </c>
    </row>
    <row r="167" spans="1:1030" s="12" customFormat="1" x14ac:dyDescent="0.2">
      <c r="A167" s="9" t="str">
        <f>CONCATENATE(B167,"_",C167)</f>
        <v>cnr1_human_6N4B</v>
      </c>
      <c r="B167" s="9" t="s">
        <v>182</v>
      </c>
      <c r="C167" s="9" t="s">
        <v>1556</v>
      </c>
      <c r="D167" s="9" t="str">
        <f>IFERROR(MID(VLOOKUP($B167,Seqs!$A:$B,2,0),E167,1),"")</f>
        <v>N</v>
      </c>
      <c r="E167" s="9">
        <v>112</v>
      </c>
      <c r="F167" s="9" t="str">
        <f>IFERROR(MID(VLOOKUP($B167,Seqs!$A:$B,2,0),G167,1),"")</f>
        <v>H</v>
      </c>
      <c r="G167" s="9">
        <v>143</v>
      </c>
      <c r="H167" s="9" t="str">
        <f>IFERROR(MID(VLOOKUP($B167,Seqs!$A:$B,2,0),I167,1),"")</f>
        <v>R</v>
      </c>
      <c r="I167" s="109">
        <v>145</v>
      </c>
      <c r="J167" s="9" t="str">
        <f>IFERROR(MID(VLOOKUP($B167,Seqs!$A:$B,2,0),K167,1),"")</f>
        <v>R</v>
      </c>
      <c r="K167" s="109">
        <v>148</v>
      </c>
      <c r="L167" s="9" t="str">
        <f>IFERROR(MID(VLOOKUP($B167,Seqs!$A:$B,2,0),M167,1),"")</f>
        <v>Y</v>
      </c>
      <c r="M167" s="9">
        <v>153</v>
      </c>
      <c r="N167" s="9" t="str">
        <f>IFERROR(MID(VLOOKUP($B167,Seqs!$A:$B,2,0),O167,1),"")</f>
        <v>H</v>
      </c>
      <c r="O167" s="9">
        <v>178</v>
      </c>
      <c r="P167" s="9" t="str">
        <f>IFERROR(MID(VLOOKUP($B167,Seqs!$A:$B,2,0),Q167,1),"")</f>
        <v/>
      </c>
      <c r="Q167" s="9" t="s">
        <v>23</v>
      </c>
      <c r="R167" s="9" t="str">
        <f>IFERROR(MID(VLOOKUP($B167,Seqs!$A:$B,2,0),S167,1),"")</f>
        <v/>
      </c>
      <c r="S167" s="9" t="s">
        <v>23</v>
      </c>
      <c r="T167" s="9" t="str">
        <f>IFERROR(MID(VLOOKUP($B167,Seqs!$A:$B,2,0),U167,1),"")</f>
        <v>S</v>
      </c>
      <c r="U167" s="9">
        <v>185</v>
      </c>
      <c r="V167" s="9" t="str">
        <f>IFERROR(MID(VLOOKUP($B167,Seqs!$A:$B,2,0),W167,1),"")</f>
        <v>R</v>
      </c>
      <c r="W167" s="9">
        <v>220</v>
      </c>
      <c r="X167" s="9" t="str">
        <f>IFERROR(MID(VLOOKUP($B167,Seqs!$A:$B,2,0),Y167,1),"")</f>
        <v>P</v>
      </c>
      <c r="Y167" s="9">
        <v>221</v>
      </c>
      <c r="Z167" s="9" t="str">
        <f>IFERROR(MID(VLOOKUP($B167,Seqs!$A:$B,2,0),AA167,1),"")</f>
        <v>V</v>
      </c>
      <c r="AA167" s="9">
        <v>228</v>
      </c>
      <c r="AB167" s="9" t="str">
        <f>IFERROR(MID(VLOOKUP($B167,Seqs!$A:$B,2,0),AC167,1),"")</f>
        <v>T</v>
      </c>
      <c r="AC167" s="9">
        <v>229</v>
      </c>
      <c r="AD167" s="9" t="str">
        <f>IFERROR(MID(VLOOKUP($B167,Seqs!$A:$B,2,0),AE167,1),"")</f>
        <v>G</v>
      </c>
      <c r="AE167" s="9">
        <v>254</v>
      </c>
      <c r="AF167" s="9" t="str">
        <f>IFERROR(MID(VLOOKUP($B167,Seqs!$A:$B,2,0),AG167,1),"")</f>
        <v/>
      </c>
      <c r="AG167" s="9" t="s">
        <v>23</v>
      </c>
      <c r="AH167" s="9" t="str">
        <f>IFERROR(MID(VLOOKUP($B167,Seqs!$A:$B,2,0),AI167,1),"")</f>
        <v/>
      </c>
      <c r="AI167" s="9" t="s">
        <v>23</v>
      </c>
      <c r="AJ167" s="9" t="str">
        <f>IFERROR(MID(VLOOKUP($B167,Seqs!$A:$B,2,0),AK167,1),"")</f>
        <v>D</v>
      </c>
      <c r="AK167" s="9">
        <v>272</v>
      </c>
      <c r="AL167" s="9" t="str">
        <f>IFERROR(MID(VLOOKUP($B167,Seqs!$A:$B,2,0),AM167,1),"")</f>
        <v>R</v>
      </c>
      <c r="AM167" s="9">
        <v>311</v>
      </c>
      <c r="AN167" s="9" t="str">
        <f>IFERROR(MID(VLOOKUP($B167,Seqs!$A:$B,2,0),AO167,1),"")</f>
        <v>A</v>
      </c>
      <c r="AO167" s="9">
        <v>335</v>
      </c>
      <c r="AP167" s="9" t="str">
        <f>IFERROR(MID(VLOOKUP($B167,Seqs!$A:$B,2,0),AQ167,1),"")</f>
        <v>M</v>
      </c>
      <c r="AQ167" s="9">
        <v>363</v>
      </c>
      <c r="AR167" s="9" t="str">
        <f>IFERROR(MID(VLOOKUP($B167,Seqs!$A:$B,2,0),AS167,1),"")</f>
        <v>L</v>
      </c>
      <c r="AS167" s="9">
        <v>374</v>
      </c>
      <c r="AT167" s="9" t="str">
        <f>IFERROR(MID(VLOOKUP($B167,Seqs!$A:$B,2,0),AU167,1),"")</f>
        <v>R</v>
      </c>
      <c r="AU167" s="9">
        <v>400</v>
      </c>
      <c r="AV167" s="9" t="str">
        <f>IFERROR(MID(VLOOKUP($B167,Seqs!$A:$B,2,0),AW167,1),"")</f>
        <v>S</v>
      </c>
      <c r="AW167" s="9">
        <v>401</v>
      </c>
      <c r="AX167" s="9" t="str">
        <f>IFERROR(MID(VLOOKUP($B167,Seqs!$A:$B,2,0),AY167,1),"")</f>
        <v>M</v>
      </c>
      <c r="AY167" s="9">
        <v>411</v>
      </c>
      <c r="AZ167" s="110" t="str">
        <f>VLOOKUP(B167,Classification!A:D,2,0)</f>
        <v>A</v>
      </c>
      <c r="BA167" s="98" t="str">
        <f>VLOOKUP(B167,Classification!A:D,4,0)</f>
        <v>Cannabinoid</v>
      </c>
      <c r="BB167" s="36" t="b">
        <f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109">
        <f>_xlfn.AGGREGATE(9,6,CH167:CS167)-_xlfn.AGGREGATE(9,6,BV167:CG167)+12</f>
        <v>241</v>
      </c>
      <c r="BD167" s="40" t="s">
        <v>1375</v>
      </c>
      <c r="BE167" s="9" t="s">
        <v>1291</v>
      </c>
      <c r="BF167" s="120">
        <v>3</v>
      </c>
      <c r="BG167" s="51" t="s">
        <v>1422</v>
      </c>
      <c r="BH167" s="51" t="s">
        <v>1422</v>
      </c>
      <c r="BI167" s="9"/>
      <c r="BJ167" s="111" t="s">
        <v>1287</v>
      </c>
      <c r="BK167" s="112" t="s">
        <v>1287</v>
      </c>
      <c r="BL167" s="112" t="s">
        <v>1287</v>
      </c>
      <c r="BM167" s="112" t="s">
        <v>1287</v>
      </c>
      <c r="BN167" s="112" t="s">
        <v>1287</v>
      </c>
      <c r="BO167" s="112" t="s">
        <v>1287</v>
      </c>
      <c r="BP167" s="112" t="s">
        <v>1287</v>
      </c>
      <c r="BQ167" s="112" t="s">
        <v>1287</v>
      </c>
      <c r="BR167" s="112" t="s">
        <v>1287</v>
      </c>
      <c r="BS167" s="112" t="s">
        <v>1287</v>
      </c>
      <c r="BT167" s="112" t="s">
        <v>1287</v>
      </c>
      <c r="BU167" s="112" t="s">
        <v>1287</v>
      </c>
      <c r="BV167" s="111">
        <f>E167</f>
        <v>112</v>
      </c>
      <c r="BW167" s="113">
        <f>I167</f>
        <v>145</v>
      </c>
      <c r="BX167" s="114">
        <f>M167</f>
        <v>153</v>
      </c>
      <c r="BY167" s="113" t="str">
        <f>Q167</f>
        <v>-</v>
      </c>
      <c r="BZ167" s="114">
        <f>U167</f>
        <v>185</v>
      </c>
      <c r="CA167" s="113">
        <f>Y167</f>
        <v>221</v>
      </c>
      <c r="CB167" s="114">
        <f>AC167</f>
        <v>229</v>
      </c>
      <c r="CC167" s="113" t="str">
        <f>AG167</f>
        <v>-</v>
      </c>
      <c r="CD167" s="114">
        <f>AK167</f>
        <v>272</v>
      </c>
      <c r="CE167" s="113">
        <f>AO167</f>
        <v>335</v>
      </c>
      <c r="CF167" s="114">
        <f>AS167</f>
        <v>374</v>
      </c>
      <c r="CG167" s="113">
        <f>AW167</f>
        <v>401</v>
      </c>
      <c r="CH167" s="111">
        <f>G167</f>
        <v>143</v>
      </c>
      <c r="CI167" s="113">
        <f>K167</f>
        <v>148</v>
      </c>
      <c r="CJ167" s="114">
        <f>O167</f>
        <v>178</v>
      </c>
      <c r="CK167" s="114" t="str">
        <f>S167</f>
        <v>-</v>
      </c>
      <c r="CL167" s="114">
        <f>W167</f>
        <v>220</v>
      </c>
      <c r="CM167" s="114">
        <f>AA167</f>
        <v>228</v>
      </c>
      <c r="CN167" s="114">
        <f>AE167</f>
        <v>254</v>
      </c>
      <c r="CO167" s="114" t="str">
        <f>AI167</f>
        <v>-</v>
      </c>
      <c r="CP167" s="114">
        <f>AM167</f>
        <v>311</v>
      </c>
      <c r="CQ167" s="114">
        <f>AQ167</f>
        <v>363</v>
      </c>
      <c r="CR167" s="114">
        <f>AU167</f>
        <v>400</v>
      </c>
      <c r="CS167" s="114">
        <f>AY167</f>
        <v>411</v>
      </c>
      <c r="CT167" s="109">
        <f>M167-K167</f>
        <v>5</v>
      </c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  <c r="AMO167" s="9"/>
    </row>
    <row r="168" spans="1:1030" s="12" customFormat="1" x14ac:dyDescent="0.2">
      <c r="A168" s="9" t="str">
        <f>CONCATENATE(B168,"_",C168)</f>
        <v>cnr2_human__wt</v>
      </c>
      <c r="B168" s="9" t="s">
        <v>183</v>
      </c>
      <c r="C168" s="9" t="s">
        <v>100</v>
      </c>
      <c r="D168" s="9" t="str">
        <f>IFERROR(MID(VLOOKUP($B168,Seqs!$A:$B,2,0),E168,1),"")</f>
        <v>S</v>
      </c>
      <c r="E168" s="9">
        <v>29</v>
      </c>
      <c r="F168" s="9" t="str">
        <f>IFERROR(MID(VLOOKUP($B168,Seqs!$A:$B,2,0),G168,1),"")</f>
        <v>S</v>
      </c>
      <c r="G168" s="9">
        <v>61</v>
      </c>
      <c r="H168" s="9" t="str">
        <f>IFERROR(MID(VLOOKUP($B168,Seqs!$A:$B,2,0),I168,1),"")</f>
        <v>H</v>
      </c>
      <c r="I168" s="109">
        <v>62</v>
      </c>
      <c r="J168" s="9" t="str">
        <f>IFERROR(MID(VLOOKUP($B168,Seqs!$A:$B,2,0),K168,1),"")</f>
        <v>R</v>
      </c>
      <c r="K168" s="109">
        <v>65</v>
      </c>
      <c r="L168" s="9" t="str">
        <f>IFERROR(MID(VLOOKUP($B168,Seqs!$A:$B,2,0),M168,1),"")</f>
        <v>K</v>
      </c>
      <c r="M168" s="9">
        <v>67</v>
      </c>
      <c r="N168" s="9" t="str">
        <f>IFERROR(MID(VLOOKUP($B168,Seqs!$A:$B,2,0),O168,1),"")</f>
        <v>V</v>
      </c>
      <c r="O168" s="9">
        <v>96</v>
      </c>
      <c r="P168" s="9" t="str">
        <f>IFERROR(MID(VLOOKUP($B168,Seqs!$A:$B,2,0),Q168,1),"")</f>
        <v/>
      </c>
      <c r="Q168" s="9" t="s">
        <v>23</v>
      </c>
      <c r="R168" s="9" t="str">
        <f>IFERROR(MID(VLOOKUP($B168,Seqs!$A:$B,2,0),S168,1),"")</f>
        <v/>
      </c>
      <c r="S168" s="9" t="s">
        <v>23</v>
      </c>
      <c r="T168" s="9" t="str">
        <f>IFERROR(MID(VLOOKUP($B168,Seqs!$A:$B,2,0),U168,1),"")</f>
        <v>S</v>
      </c>
      <c r="U168" s="9">
        <v>102</v>
      </c>
      <c r="V168" s="9" t="str">
        <f>IFERROR(MID(VLOOKUP($B168,Seqs!$A:$B,2,0),W168,1),"")</f>
        <v>Y</v>
      </c>
      <c r="W168" s="9">
        <v>137</v>
      </c>
      <c r="X168" s="9" t="str">
        <f>IFERROR(MID(VLOOKUP($B168,Seqs!$A:$B,2,0),Y168,1),"")</f>
        <v>P</v>
      </c>
      <c r="Y168" s="9">
        <v>138</v>
      </c>
      <c r="Z168" s="9" t="str">
        <f>IFERROR(MID(VLOOKUP($B168,Seqs!$A:$B,2,0),AA168,1),"")</f>
        <v>L</v>
      </c>
      <c r="AA168" s="9">
        <v>145</v>
      </c>
      <c r="AB168" s="9" t="str">
        <f>IFERROR(MID(VLOOKUP($B168,Seqs!$A:$B,2,0),AC168,1),"")</f>
        <v>T</v>
      </c>
      <c r="AC168" s="9">
        <v>146</v>
      </c>
      <c r="AD168" s="9" t="str">
        <f>IFERROR(MID(VLOOKUP($B168,Seqs!$A:$B,2,0),AE168,1),"")</f>
        <v>G</v>
      </c>
      <c r="AE168" s="9">
        <v>171</v>
      </c>
      <c r="AF168" s="9" t="str">
        <f>IFERROR(MID(VLOOKUP($B168,Seqs!$A:$B,2,0),AG168,1),"")</f>
        <v/>
      </c>
      <c r="AG168" s="9" t="s">
        <v>23</v>
      </c>
      <c r="AH168" s="9" t="str">
        <f>IFERROR(MID(VLOOKUP($B168,Seqs!$A:$B,2,0),AI168,1),"")</f>
        <v/>
      </c>
      <c r="AI168" s="9" t="s">
        <v>23</v>
      </c>
      <c r="AJ168" s="9" t="str">
        <f>IFERROR(MID(VLOOKUP($B168,Seqs!$A:$B,2,0),AK168,1),"")</f>
        <v>P</v>
      </c>
      <c r="AK168" s="9">
        <v>187</v>
      </c>
      <c r="AL168" s="9" t="str">
        <f>IFERROR(MID(VLOOKUP($B168,Seqs!$A:$B,2,0),AM168,1),"")</f>
        <v>G</v>
      </c>
      <c r="AM168" s="9">
        <v>225</v>
      </c>
      <c r="AN168" s="9" t="str">
        <f>IFERROR(MID(VLOOKUP($B168,Seqs!$A:$B,2,0),AO168,1),"")</f>
        <v>V</v>
      </c>
      <c r="AO168" s="9">
        <v>231</v>
      </c>
      <c r="AP168" s="9" t="str">
        <f>IFERROR(MID(VLOOKUP($B168,Seqs!$A:$B,2,0),AQ168,1),"")</f>
        <v>T</v>
      </c>
      <c r="AQ168" s="9">
        <v>271</v>
      </c>
      <c r="AR168" s="9" t="str">
        <f>IFERROR(MID(VLOOKUP($B168,Seqs!$A:$B,2,0),AS168,1),"")</f>
        <v>S</v>
      </c>
      <c r="AS168" s="9">
        <v>274</v>
      </c>
      <c r="AT168" s="9" t="str">
        <f>IFERROR(MID(VLOOKUP($B168,Seqs!$A:$B,2,0),AU168,1),"")</f>
        <v>R</v>
      </c>
      <c r="AU168" s="9">
        <v>302</v>
      </c>
      <c r="AV168" s="9" t="str">
        <f>IFERROR(MID(VLOOKUP($B168,Seqs!$A:$B,2,0),AW168,1),"")</f>
        <v>S</v>
      </c>
      <c r="AW168" s="9">
        <v>303</v>
      </c>
      <c r="AX168" s="9" t="str">
        <f>IFERROR(MID(VLOOKUP($B168,Seqs!$A:$B,2,0),AY168,1),"")</f>
        <v>K</v>
      </c>
      <c r="AY168" s="9">
        <v>319</v>
      </c>
      <c r="AZ168" s="110" t="str">
        <f>VLOOKUP(B168,Classification!A:D,2,0)</f>
        <v>A</v>
      </c>
      <c r="BA168" s="98" t="str">
        <f>VLOOKUP(B168,Classification!A:D,4,0)</f>
        <v>Cannabinoid</v>
      </c>
      <c r="BB168" s="36" t="b">
        <f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109">
        <f>_xlfn.AGGREGATE(9,6,CH168:CS168)-_xlfn.AGGREGATE(9,6,BV168:CG168)+12</f>
        <v>265</v>
      </c>
      <c r="BD168" s="40" t="s">
        <v>23</v>
      </c>
      <c r="BE168" s="9" t="s">
        <v>23</v>
      </c>
      <c r="BF168" s="120" t="s">
        <v>23</v>
      </c>
      <c r="BG168" s="51" t="s">
        <v>23</v>
      </c>
      <c r="BH168" s="51" t="s">
        <v>23</v>
      </c>
      <c r="BI168" s="9"/>
      <c r="BJ168" s="111" t="s">
        <v>1287</v>
      </c>
      <c r="BK168" s="112" t="s">
        <v>1287</v>
      </c>
      <c r="BL168" s="112" t="s">
        <v>1287</v>
      </c>
      <c r="BM168" s="112" t="s">
        <v>1287</v>
      </c>
      <c r="BN168" s="112" t="s">
        <v>1287</v>
      </c>
      <c r="BO168" s="112" t="s">
        <v>1287</v>
      </c>
      <c r="BP168" s="112" t="s">
        <v>1287</v>
      </c>
      <c r="BQ168" s="112" t="s">
        <v>1287</v>
      </c>
      <c r="BR168" s="112" t="s">
        <v>1287</v>
      </c>
      <c r="BS168" s="112" t="s">
        <v>1287</v>
      </c>
      <c r="BT168" s="112" t="s">
        <v>1287</v>
      </c>
      <c r="BU168" s="112" t="s">
        <v>1287</v>
      </c>
      <c r="BV168" s="111">
        <f>E168</f>
        <v>29</v>
      </c>
      <c r="BW168" s="113">
        <f>I168</f>
        <v>62</v>
      </c>
      <c r="BX168" s="114">
        <f>M168</f>
        <v>67</v>
      </c>
      <c r="BY168" s="113" t="str">
        <f>Q168</f>
        <v>-</v>
      </c>
      <c r="BZ168" s="114">
        <f>U168</f>
        <v>102</v>
      </c>
      <c r="CA168" s="113">
        <f>Y168</f>
        <v>138</v>
      </c>
      <c r="CB168" s="114">
        <f>AC168</f>
        <v>146</v>
      </c>
      <c r="CC168" s="113" t="str">
        <f>AG168</f>
        <v>-</v>
      </c>
      <c r="CD168" s="114">
        <f>AK168</f>
        <v>187</v>
      </c>
      <c r="CE168" s="113">
        <f>AO168</f>
        <v>231</v>
      </c>
      <c r="CF168" s="114">
        <f>AS168</f>
        <v>274</v>
      </c>
      <c r="CG168" s="113">
        <f>AW168</f>
        <v>303</v>
      </c>
      <c r="CH168" s="111">
        <f>G168</f>
        <v>61</v>
      </c>
      <c r="CI168" s="113">
        <f>K168</f>
        <v>65</v>
      </c>
      <c r="CJ168" s="114">
        <f>O168</f>
        <v>96</v>
      </c>
      <c r="CK168" s="114" t="str">
        <f>S168</f>
        <v>-</v>
      </c>
      <c r="CL168" s="114">
        <f>W168</f>
        <v>137</v>
      </c>
      <c r="CM168" s="114">
        <f>AA168</f>
        <v>145</v>
      </c>
      <c r="CN168" s="114">
        <f>AE168</f>
        <v>171</v>
      </c>
      <c r="CO168" s="114" t="str">
        <f>AI168</f>
        <v>-</v>
      </c>
      <c r="CP168" s="114">
        <f>AM168</f>
        <v>225</v>
      </c>
      <c r="CQ168" s="114">
        <f>AQ168</f>
        <v>271</v>
      </c>
      <c r="CR168" s="114">
        <f>AU168</f>
        <v>302</v>
      </c>
      <c r="CS168" s="114">
        <f>AY168</f>
        <v>319</v>
      </c>
      <c r="CT168" s="109">
        <f>M168-K168</f>
        <v>2</v>
      </c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  <c r="AMO168" s="9"/>
    </row>
    <row r="169" spans="1:1030" s="12" customFormat="1" x14ac:dyDescent="0.2">
      <c r="A169" s="9" t="str">
        <f>CONCATENATE(B169,"_",C169)</f>
        <v>cnr2_human_5ZTY</v>
      </c>
      <c r="B169" s="9" t="s">
        <v>183</v>
      </c>
      <c r="C169" s="9" t="s">
        <v>1557</v>
      </c>
      <c r="D169" s="9" t="str">
        <f>IFERROR(MID(VLOOKUP($B169,Seqs!$A:$B,2,0),E169,1),"")</f>
        <v>S</v>
      </c>
      <c r="E169" s="9">
        <v>29</v>
      </c>
      <c r="F169" s="9" t="str">
        <f>IFERROR(MID(VLOOKUP($B169,Seqs!$A:$B,2,0),G169,1),"")</f>
        <v>S</v>
      </c>
      <c r="G169" s="9">
        <v>61</v>
      </c>
      <c r="H169" s="9" t="str">
        <f>IFERROR(MID(VLOOKUP($B169,Seqs!$A:$B,2,0),I169,1),"")</f>
        <v>H</v>
      </c>
      <c r="I169" s="109">
        <v>62</v>
      </c>
      <c r="J169" s="9" t="str">
        <f>IFERROR(MID(VLOOKUP($B169,Seqs!$A:$B,2,0),K169,1),"")</f>
        <v>R</v>
      </c>
      <c r="K169" s="109">
        <v>65</v>
      </c>
      <c r="L169" s="9" t="str">
        <f>IFERROR(MID(VLOOKUP($B169,Seqs!$A:$B,2,0),M169,1),"")</f>
        <v>K</v>
      </c>
      <c r="M169" s="9">
        <v>67</v>
      </c>
      <c r="N169" s="9" t="str">
        <f>IFERROR(MID(VLOOKUP($B169,Seqs!$A:$B,2,0),O169,1),"")</f>
        <v>V</v>
      </c>
      <c r="O169" s="9">
        <v>96</v>
      </c>
      <c r="P169" s="9" t="str">
        <f>IFERROR(MID(VLOOKUP($B169,Seqs!$A:$B,2,0),Q169,1),"")</f>
        <v/>
      </c>
      <c r="Q169" s="9" t="s">
        <v>23</v>
      </c>
      <c r="R169" s="9" t="str">
        <f>IFERROR(MID(VLOOKUP($B169,Seqs!$A:$B,2,0),S169,1),"")</f>
        <v/>
      </c>
      <c r="S169" s="9" t="s">
        <v>23</v>
      </c>
      <c r="T169" s="9" t="str">
        <f>IFERROR(MID(VLOOKUP($B169,Seqs!$A:$B,2,0),U169,1),"")</f>
        <v>S</v>
      </c>
      <c r="U169" s="9">
        <v>102</v>
      </c>
      <c r="V169" s="9" t="str">
        <f>IFERROR(MID(VLOOKUP($B169,Seqs!$A:$B,2,0),W169,1),"")</f>
        <v>Y</v>
      </c>
      <c r="W169" s="9">
        <v>137</v>
      </c>
      <c r="X169" s="9" t="str">
        <f>IFERROR(MID(VLOOKUP($B169,Seqs!$A:$B,2,0),Y169,1),"")</f>
        <v>P</v>
      </c>
      <c r="Y169" s="9">
        <v>138</v>
      </c>
      <c r="Z169" s="9" t="str">
        <f>IFERROR(MID(VLOOKUP($B169,Seqs!$A:$B,2,0),AA169,1),"")</f>
        <v>L</v>
      </c>
      <c r="AA169" s="9">
        <v>145</v>
      </c>
      <c r="AB169" s="9" t="str">
        <f>IFERROR(MID(VLOOKUP($B169,Seqs!$A:$B,2,0),AC169,1),"")</f>
        <v>T</v>
      </c>
      <c r="AC169" s="9">
        <v>146</v>
      </c>
      <c r="AD169" s="9" t="str">
        <f>IFERROR(MID(VLOOKUP($B169,Seqs!$A:$B,2,0),AE169,1),"")</f>
        <v>G</v>
      </c>
      <c r="AE169" s="9">
        <v>171</v>
      </c>
      <c r="AF169" s="9" t="str">
        <f>IFERROR(MID(VLOOKUP($B169,Seqs!$A:$B,2,0),AG169,1),"")</f>
        <v/>
      </c>
      <c r="AG169" s="9" t="s">
        <v>23</v>
      </c>
      <c r="AH169" s="9" t="str">
        <f>IFERROR(MID(VLOOKUP($B169,Seqs!$A:$B,2,0),AI169,1),"")</f>
        <v/>
      </c>
      <c r="AI169" s="9" t="s">
        <v>23</v>
      </c>
      <c r="AJ169" s="9" t="str">
        <f>IFERROR(MID(VLOOKUP($B169,Seqs!$A:$B,2,0),AK169,1),"")</f>
        <v>P</v>
      </c>
      <c r="AK169" s="9">
        <v>187</v>
      </c>
      <c r="AL169" s="9" t="str">
        <f>IFERROR(MID(VLOOKUP($B169,Seqs!$A:$B,2,0),AM169,1),"")</f>
        <v>V</v>
      </c>
      <c r="AM169" s="9">
        <v>220</v>
      </c>
      <c r="AN169" s="9" t="str">
        <f>IFERROR(MID(VLOOKUP($B169,Seqs!$A:$B,2,0),AO169,1),"")</f>
        <v>M</v>
      </c>
      <c r="AO169" s="9">
        <v>237</v>
      </c>
      <c r="AP169" s="9" t="str">
        <f>IFERROR(MID(VLOOKUP($B169,Seqs!$A:$B,2,0),AQ169,1),"")</f>
        <v>T</v>
      </c>
      <c r="AQ169" s="9">
        <v>271</v>
      </c>
      <c r="AR169" s="9" t="str">
        <f>IFERROR(MID(VLOOKUP($B169,Seqs!$A:$B,2,0),AS169,1),"")</f>
        <v>S</v>
      </c>
      <c r="AS169" s="9">
        <v>274</v>
      </c>
      <c r="AT169" s="9" t="str">
        <f>IFERROR(MID(VLOOKUP($B169,Seqs!$A:$B,2,0),AU169,1),"")</f>
        <v>R</v>
      </c>
      <c r="AU169" s="9">
        <v>302</v>
      </c>
      <c r="AV169" s="9" t="str">
        <f>IFERROR(MID(VLOOKUP($B169,Seqs!$A:$B,2,0),AW169,1),"")</f>
        <v>S</v>
      </c>
      <c r="AW169" s="9">
        <v>303</v>
      </c>
      <c r="AX169" s="9" t="str">
        <f>IFERROR(MID(VLOOKUP($B169,Seqs!$A:$B,2,0),AY169,1),"")</f>
        <v>K</v>
      </c>
      <c r="AY169" s="9">
        <v>319</v>
      </c>
      <c r="AZ169" s="110" t="str">
        <f>VLOOKUP(B169,Classification!A:D,2,0)</f>
        <v>A</v>
      </c>
      <c r="BA169" s="98" t="str">
        <f>VLOOKUP(B169,Classification!A:D,4,0)</f>
        <v>Cannabinoid</v>
      </c>
      <c r="BB169" s="36" t="b">
        <f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109">
        <f>_xlfn.AGGREGATE(9,6,CH169:CS169)-_xlfn.AGGREGATE(9,6,BV169:CG169)+12</f>
        <v>254</v>
      </c>
      <c r="BD169" s="40" t="s">
        <v>1376</v>
      </c>
      <c r="BE169" s="9" t="s">
        <v>1374</v>
      </c>
      <c r="BF169" s="120">
        <v>2.8</v>
      </c>
      <c r="BG169" s="51" t="s">
        <v>1</v>
      </c>
      <c r="BH169" s="51" t="s">
        <v>1</v>
      </c>
      <c r="BI169" s="9"/>
      <c r="BJ169" s="111" t="s">
        <v>1287</v>
      </c>
      <c r="BK169" s="112" t="s">
        <v>1287</v>
      </c>
      <c r="BL169" s="112" t="s">
        <v>1287</v>
      </c>
      <c r="BM169" s="112" t="s">
        <v>1287</v>
      </c>
      <c r="BN169" s="112" t="s">
        <v>1287</v>
      </c>
      <c r="BO169" s="112" t="s">
        <v>1287</v>
      </c>
      <c r="BP169" s="112" t="s">
        <v>1287</v>
      </c>
      <c r="BQ169" s="112" t="s">
        <v>1287</v>
      </c>
      <c r="BR169" s="112" t="s">
        <v>1287</v>
      </c>
      <c r="BS169" s="112" t="s">
        <v>1287</v>
      </c>
      <c r="BT169" s="112" t="s">
        <v>1287</v>
      </c>
      <c r="BU169" s="112" t="s">
        <v>1287</v>
      </c>
      <c r="BV169" s="111">
        <f>E169</f>
        <v>29</v>
      </c>
      <c r="BW169" s="113">
        <f>I169</f>
        <v>62</v>
      </c>
      <c r="BX169" s="114">
        <f>M169</f>
        <v>67</v>
      </c>
      <c r="BY169" s="113" t="str">
        <f>Q169</f>
        <v>-</v>
      </c>
      <c r="BZ169" s="114">
        <f>U169</f>
        <v>102</v>
      </c>
      <c r="CA169" s="113">
        <f>Y169</f>
        <v>138</v>
      </c>
      <c r="CB169" s="114">
        <f>AC169</f>
        <v>146</v>
      </c>
      <c r="CC169" s="113" t="str">
        <f>AG169</f>
        <v>-</v>
      </c>
      <c r="CD169" s="114">
        <f>AK169</f>
        <v>187</v>
      </c>
      <c r="CE169" s="113">
        <f>AO169</f>
        <v>237</v>
      </c>
      <c r="CF169" s="114">
        <f>AS169</f>
        <v>274</v>
      </c>
      <c r="CG169" s="113">
        <f>AW169</f>
        <v>303</v>
      </c>
      <c r="CH169" s="111">
        <f>G169</f>
        <v>61</v>
      </c>
      <c r="CI169" s="113">
        <f>K169</f>
        <v>65</v>
      </c>
      <c r="CJ169" s="114">
        <f>O169</f>
        <v>96</v>
      </c>
      <c r="CK169" s="114" t="str">
        <f>S169</f>
        <v>-</v>
      </c>
      <c r="CL169" s="114">
        <f>W169</f>
        <v>137</v>
      </c>
      <c r="CM169" s="114">
        <f>AA169</f>
        <v>145</v>
      </c>
      <c r="CN169" s="114">
        <f>AE169</f>
        <v>171</v>
      </c>
      <c r="CO169" s="114" t="str">
        <f>AI169</f>
        <v>-</v>
      </c>
      <c r="CP169" s="114">
        <f>AM169</f>
        <v>220</v>
      </c>
      <c r="CQ169" s="114">
        <f>AQ169</f>
        <v>271</v>
      </c>
      <c r="CR169" s="114">
        <f>AU169</f>
        <v>302</v>
      </c>
      <c r="CS169" s="114">
        <f>AY169</f>
        <v>319</v>
      </c>
      <c r="CT169" s="109">
        <f>M169-K169</f>
        <v>2</v>
      </c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9"/>
      <c r="KS169" s="9"/>
      <c r="KT169" s="9"/>
      <c r="KU169" s="9"/>
      <c r="KV169" s="9"/>
      <c r="KW169" s="9"/>
      <c r="KX169" s="9"/>
      <c r="KY169" s="9"/>
      <c r="KZ169" s="9"/>
      <c r="LA169" s="9"/>
      <c r="LB169" s="9"/>
      <c r="LC169" s="9"/>
      <c r="LD169" s="9"/>
      <c r="LE169" s="9"/>
      <c r="LF169" s="9"/>
      <c r="LG169" s="9"/>
      <c r="LH169" s="9"/>
      <c r="LI169" s="9"/>
      <c r="LJ169" s="9"/>
      <c r="LK169" s="9"/>
      <c r="LL169" s="9"/>
      <c r="LM169" s="9"/>
      <c r="LN169" s="9"/>
      <c r="LO169" s="9"/>
      <c r="LP169" s="9"/>
      <c r="LQ169" s="9"/>
      <c r="LR169" s="9"/>
      <c r="LS169" s="9"/>
      <c r="LT169" s="9"/>
      <c r="LU169" s="9"/>
      <c r="LV169" s="9"/>
      <c r="LW169" s="9"/>
      <c r="LX169" s="9"/>
      <c r="LY169" s="9"/>
      <c r="LZ169" s="9"/>
      <c r="MA169" s="9"/>
      <c r="MB169" s="9"/>
      <c r="MC169" s="9"/>
      <c r="MD169" s="9"/>
      <c r="ME169" s="9"/>
      <c r="MF169" s="9"/>
      <c r="MG169" s="9"/>
      <c r="MH169" s="9"/>
      <c r="MI169" s="9"/>
      <c r="MJ169" s="9"/>
      <c r="MK169" s="9"/>
      <c r="ML169" s="9"/>
      <c r="MM169" s="9"/>
      <c r="MN169" s="9"/>
      <c r="MO169" s="9"/>
      <c r="MP169" s="9"/>
      <c r="MQ169" s="9"/>
      <c r="MR169" s="9"/>
      <c r="MS169" s="9"/>
      <c r="MT169" s="9"/>
      <c r="MU169" s="9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  <c r="PG169" s="9"/>
      <c r="PH169" s="9"/>
      <c r="PI169" s="9"/>
      <c r="PJ169" s="9"/>
      <c r="PK169" s="9"/>
      <c r="PL169" s="9"/>
      <c r="PM169" s="9"/>
      <c r="PN169" s="9"/>
      <c r="PO169" s="9"/>
      <c r="PP169" s="9"/>
      <c r="PQ169" s="9"/>
      <c r="PR169" s="9"/>
      <c r="PS169" s="9"/>
      <c r="PT169" s="9"/>
      <c r="PU169" s="9"/>
      <c r="PV169" s="9"/>
      <c r="PW169" s="9"/>
      <c r="PX169" s="9"/>
      <c r="PY169" s="9"/>
      <c r="PZ169" s="9"/>
      <c r="QA169" s="9"/>
      <c r="QB169" s="9"/>
      <c r="QC169" s="9"/>
      <c r="QD169" s="9"/>
      <c r="QE169" s="9"/>
      <c r="QF169" s="9"/>
      <c r="QG169" s="9"/>
      <c r="QH169" s="9"/>
      <c r="QI169" s="9"/>
      <c r="QJ169" s="9"/>
      <c r="QK169" s="9"/>
      <c r="QL169" s="9"/>
      <c r="QM169" s="9"/>
      <c r="QN169" s="9"/>
      <c r="QO169" s="9"/>
      <c r="QP169" s="9"/>
      <c r="QQ169" s="9"/>
      <c r="QR169" s="9"/>
      <c r="QS169" s="9"/>
      <c r="QT169" s="9"/>
      <c r="QU169" s="9"/>
      <c r="QV169" s="9"/>
      <c r="QW169" s="9"/>
      <c r="QX169" s="9"/>
      <c r="QY169" s="9"/>
      <c r="QZ169" s="9"/>
      <c r="RA169" s="9"/>
      <c r="RB169" s="9"/>
      <c r="RC169" s="9"/>
      <c r="RD169" s="9"/>
      <c r="RE169" s="9"/>
      <c r="RF169" s="9"/>
      <c r="RG169" s="9"/>
      <c r="RH169" s="9"/>
      <c r="RI169" s="9"/>
      <c r="RJ169" s="9"/>
      <c r="RK169" s="9"/>
      <c r="RL169" s="9"/>
      <c r="RM169" s="9"/>
      <c r="RN169" s="9"/>
      <c r="RO169" s="9"/>
      <c r="RP169" s="9"/>
      <c r="RQ169" s="9"/>
      <c r="RR169" s="9"/>
      <c r="RS169" s="9"/>
      <c r="RT169" s="9"/>
      <c r="RU169" s="9"/>
      <c r="RV169" s="9"/>
      <c r="RW169" s="9"/>
      <c r="RX169" s="9"/>
      <c r="RY169" s="9"/>
      <c r="RZ169" s="9"/>
      <c r="SA169" s="9"/>
      <c r="SB169" s="9"/>
      <c r="SC169" s="9"/>
      <c r="SD169" s="9"/>
      <c r="SE169" s="9"/>
      <c r="SF169" s="9"/>
      <c r="SG169" s="9"/>
      <c r="SH169" s="9"/>
      <c r="SI169" s="9"/>
      <c r="SJ169" s="9"/>
      <c r="SK169" s="9"/>
      <c r="SL169" s="9"/>
      <c r="SM169" s="9"/>
      <c r="SN169" s="9"/>
      <c r="SO169" s="9"/>
      <c r="SP169" s="9"/>
      <c r="SQ169" s="9"/>
      <c r="SR169" s="9"/>
      <c r="SS169" s="9"/>
      <c r="ST169" s="9"/>
      <c r="SU169" s="9"/>
      <c r="SV169" s="9"/>
      <c r="SW169" s="9"/>
      <c r="SX169" s="9"/>
      <c r="SY169" s="9"/>
      <c r="SZ169" s="9"/>
      <c r="TA169" s="9"/>
      <c r="TB169" s="9"/>
      <c r="TC169" s="9"/>
      <c r="TD169" s="9"/>
      <c r="TE169" s="9"/>
      <c r="TF169" s="9"/>
      <c r="TG169" s="9"/>
      <c r="TH169" s="9"/>
      <c r="TI169" s="9"/>
      <c r="TJ169" s="9"/>
      <c r="TK169" s="9"/>
      <c r="TL169" s="9"/>
      <c r="TM169" s="9"/>
      <c r="TN169" s="9"/>
      <c r="TO169" s="9"/>
      <c r="TP169" s="9"/>
      <c r="TQ169" s="9"/>
      <c r="TR169" s="9"/>
      <c r="TS169" s="9"/>
      <c r="TT169" s="9"/>
      <c r="TU169" s="9"/>
      <c r="TV169" s="9"/>
      <c r="TW169" s="9"/>
      <c r="TX169" s="9"/>
      <c r="TY169" s="9"/>
      <c r="TZ169" s="9"/>
      <c r="UA169" s="9"/>
      <c r="UB169" s="9"/>
      <c r="UC169" s="9"/>
      <c r="UD169" s="9"/>
      <c r="UE169" s="9"/>
      <c r="UF169" s="9"/>
      <c r="UG169" s="9"/>
      <c r="UH169" s="9"/>
      <c r="UI169" s="9"/>
      <c r="UJ169" s="9"/>
      <c r="UK169" s="9"/>
      <c r="UL169" s="9"/>
      <c r="UM169" s="9"/>
      <c r="UN169" s="9"/>
      <c r="UO169" s="9"/>
      <c r="UP169" s="9"/>
      <c r="UQ169" s="9"/>
      <c r="UR169" s="9"/>
      <c r="US169" s="9"/>
      <c r="UT169" s="9"/>
      <c r="UU169" s="9"/>
      <c r="UV169" s="9"/>
      <c r="UW169" s="9"/>
      <c r="UX169" s="9"/>
      <c r="UY169" s="9"/>
      <c r="UZ169" s="9"/>
      <c r="VA169" s="9"/>
      <c r="VB169" s="9"/>
      <c r="VC169" s="9"/>
      <c r="VD169" s="9"/>
      <c r="VE169" s="9"/>
      <c r="VF169" s="9"/>
      <c r="VG169" s="9"/>
      <c r="VH169" s="9"/>
      <c r="VI169" s="9"/>
      <c r="VJ169" s="9"/>
      <c r="VK169" s="9"/>
      <c r="VL169" s="9"/>
      <c r="VM169" s="9"/>
      <c r="VN169" s="9"/>
      <c r="VO169" s="9"/>
      <c r="VP169" s="9"/>
      <c r="VQ169" s="9"/>
      <c r="VR169" s="9"/>
      <c r="VS169" s="9"/>
      <c r="VT169" s="9"/>
      <c r="VU169" s="9"/>
      <c r="VV169" s="9"/>
      <c r="VW169" s="9"/>
      <c r="VX169" s="9"/>
      <c r="VY169" s="9"/>
      <c r="VZ169" s="9"/>
      <c r="WA169" s="9"/>
      <c r="WB169" s="9"/>
      <c r="WC169" s="9"/>
      <c r="WD169" s="9"/>
      <c r="WE169" s="9"/>
      <c r="WF169" s="9"/>
      <c r="WG169" s="9"/>
      <c r="WH169" s="9"/>
      <c r="WI169" s="9"/>
      <c r="WJ169" s="9"/>
      <c r="WK169" s="9"/>
      <c r="WL169" s="9"/>
      <c r="WM169" s="9"/>
      <c r="WN169" s="9"/>
      <c r="WO169" s="9"/>
      <c r="WP169" s="9"/>
      <c r="WQ169" s="9"/>
      <c r="WR169" s="9"/>
      <c r="WS169" s="9"/>
      <c r="WT169" s="9"/>
      <c r="WU169" s="9"/>
      <c r="WV169" s="9"/>
      <c r="WW169" s="9"/>
      <c r="WX169" s="9"/>
      <c r="WY169" s="9"/>
      <c r="WZ169" s="9"/>
      <c r="XA169" s="9"/>
      <c r="XB169" s="9"/>
      <c r="XC169" s="9"/>
      <c r="XD169" s="9"/>
      <c r="XE169" s="9"/>
      <c r="XF169" s="9"/>
      <c r="XG169" s="9"/>
      <c r="XH169" s="9"/>
      <c r="XI169" s="9"/>
      <c r="XJ169" s="9"/>
      <c r="XK169" s="9"/>
      <c r="XL169" s="9"/>
      <c r="XM169" s="9"/>
      <c r="XN169" s="9"/>
      <c r="XO169" s="9"/>
      <c r="XP169" s="9"/>
      <c r="XQ169" s="9"/>
      <c r="XR169" s="9"/>
      <c r="XS169" s="9"/>
      <c r="XT169" s="9"/>
      <c r="XU169" s="9"/>
      <c r="XV169" s="9"/>
      <c r="XW169" s="9"/>
      <c r="XX169" s="9"/>
      <c r="XY169" s="9"/>
      <c r="XZ169" s="9"/>
      <c r="YA169" s="9"/>
      <c r="YB169" s="9"/>
      <c r="YC169" s="9"/>
      <c r="YD169" s="9"/>
      <c r="YE169" s="9"/>
      <c r="YF169" s="9"/>
      <c r="YG169" s="9"/>
      <c r="YH169" s="9"/>
      <c r="YI169" s="9"/>
      <c r="YJ169" s="9"/>
      <c r="YK169" s="9"/>
      <c r="YL169" s="9"/>
      <c r="YM169" s="9"/>
      <c r="YN169" s="9"/>
      <c r="YO169" s="9"/>
      <c r="YP169" s="9"/>
      <c r="YQ169" s="9"/>
      <c r="YR169" s="9"/>
      <c r="YS169" s="9"/>
      <c r="YT169" s="9"/>
      <c r="YU169" s="9"/>
      <c r="YV169" s="9"/>
      <c r="YW169" s="9"/>
      <c r="YX169" s="9"/>
      <c r="YY169" s="9"/>
      <c r="YZ169" s="9"/>
      <c r="ZA169" s="9"/>
      <c r="ZB169" s="9"/>
      <c r="ZC169" s="9"/>
      <c r="ZD169" s="9"/>
      <c r="ZE169" s="9"/>
      <c r="ZF169" s="9"/>
      <c r="ZG169" s="9"/>
      <c r="ZH169" s="9"/>
      <c r="ZI169" s="9"/>
      <c r="ZJ169" s="9"/>
      <c r="ZK169" s="9"/>
      <c r="ZL169" s="9"/>
      <c r="ZM169" s="9"/>
      <c r="ZN169" s="9"/>
      <c r="ZO169" s="9"/>
      <c r="ZP169" s="9"/>
      <c r="ZQ169" s="9"/>
      <c r="ZR169" s="9"/>
      <c r="ZS169" s="9"/>
      <c r="ZT169" s="9"/>
      <c r="ZU169" s="9"/>
      <c r="ZV169" s="9"/>
      <c r="ZW169" s="9"/>
      <c r="ZX169" s="9"/>
      <c r="ZY169" s="9"/>
      <c r="ZZ169" s="9"/>
      <c r="AAA169" s="9"/>
      <c r="AAB169" s="9"/>
      <c r="AAC169" s="9"/>
      <c r="AAD169" s="9"/>
      <c r="AAE169" s="9"/>
      <c r="AAF169" s="9"/>
      <c r="AAG169" s="9"/>
      <c r="AAH169" s="9"/>
      <c r="AAI169" s="9"/>
      <c r="AAJ169" s="9"/>
      <c r="AAK169" s="9"/>
      <c r="AAL169" s="9"/>
      <c r="AAM169" s="9"/>
      <c r="AAN169" s="9"/>
      <c r="AAO169" s="9"/>
      <c r="AAP169" s="9"/>
      <c r="AAQ169" s="9"/>
      <c r="AAR169" s="9"/>
      <c r="AAS169" s="9"/>
      <c r="AAT169" s="9"/>
      <c r="AAU169" s="9"/>
      <c r="AAV169" s="9"/>
      <c r="AAW169" s="9"/>
      <c r="AAX169" s="9"/>
      <c r="AAY169" s="9"/>
      <c r="AAZ169" s="9"/>
      <c r="ABA169" s="9"/>
      <c r="ABB169" s="9"/>
      <c r="ABC169" s="9"/>
      <c r="ABD169" s="9"/>
      <c r="ABE169" s="9"/>
      <c r="ABF169" s="9"/>
      <c r="ABG169" s="9"/>
      <c r="ABH169" s="9"/>
      <c r="ABI169" s="9"/>
      <c r="ABJ169" s="9"/>
      <c r="ABK169" s="9"/>
      <c r="ABL169" s="9"/>
      <c r="ABM169" s="9"/>
      <c r="ABN169" s="9"/>
      <c r="ABO169" s="9"/>
      <c r="ABP169" s="9"/>
      <c r="ABQ169" s="9"/>
      <c r="ABR169" s="9"/>
      <c r="ABS169" s="9"/>
      <c r="ABT169" s="9"/>
      <c r="ABU169" s="9"/>
      <c r="ABV169" s="9"/>
      <c r="ABW169" s="9"/>
      <c r="ABX169" s="9"/>
      <c r="ABY169" s="9"/>
      <c r="ABZ169" s="9"/>
      <c r="ACA169" s="9"/>
      <c r="ACB169" s="9"/>
      <c r="ACC169" s="9"/>
      <c r="ACD169" s="9"/>
      <c r="ACE169" s="9"/>
      <c r="ACF169" s="9"/>
      <c r="ACG169" s="9"/>
      <c r="ACH169" s="9"/>
      <c r="ACI169" s="9"/>
      <c r="ACJ169" s="9"/>
      <c r="ACK169" s="9"/>
      <c r="ACL169" s="9"/>
      <c r="ACM169" s="9"/>
      <c r="ACN169" s="9"/>
      <c r="ACO169" s="9"/>
      <c r="ACP169" s="9"/>
      <c r="ACQ169" s="9"/>
      <c r="ACR169" s="9"/>
      <c r="ACS169" s="9"/>
      <c r="ACT169" s="9"/>
      <c r="ACU169" s="9"/>
      <c r="ACV169" s="9"/>
      <c r="ACW169" s="9"/>
      <c r="ACX169" s="9"/>
      <c r="ACY169" s="9"/>
      <c r="ACZ169" s="9"/>
      <c r="ADA169" s="9"/>
      <c r="ADB169" s="9"/>
      <c r="ADC169" s="9"/>
      <c r="ADD169" s="9"/>
      <c r="ADE169" s="9"/>
      <c r="ADF169" s="9"/>
      <c r="ADG169" s="9"/>
      <c r="ADH169" s="9"/>
      <c r="ADI169" s="9"/>
      <c r="ADJ169" s="9"/>
      <c r="ADK169" s="9"/>
      <c r="ADL169" s="9"/>
      <c r="ADM169" s="9"/>
      <c r="ADN169" s="9"/>
      <c r="ADO169" s="9"/>
      <c r="ADP169" s="9"/>
      <c r="ADQ169" s="9"/>
      <c r="ADR169" s="9"/>
      <c r="ADS169" s="9"/>
      <c r="ADT169" s="9"/>
      <c r="ADU169" s="9"/>
      <c r="ADV169" s="9"/>
      <c r="ADW169" s="9"/>
      <c r="ADX169" s="9"/>
      <c r="ADY169" s="9"/>
      <c r="ADZ169" s="9"/>
      <c r="AEA169" s="9"/>
      <c r="AEB169" s="9"/>
      <c r="AEC169" s="9"/>
      <c r="AED169" s="9"/>
      <c r="AEE169" s="9"/>
      <c r="AEF169" s="9"/>
      <c r="AEG169" s="9"/>
      <c r="AEH169" s="9"/>
      <c r="AEI169" s="9"/>
      <c r="AEJ169" s="9"/>
      <c r="AEK169" s="9"/>
      <c r="AEL169" s="9"/>
      <c r="AEM169" s="9"/>
      <c r="AEN169" s="9"/>
      <c r="AEO169" s="9"/>
      <c r="AEP169" s="9"/>
      <c r="AEQ169" s="9"/>
      <c r="AER169" s="9"/>
      <c r="AES169" s="9"/>
      <c r="AET169" s="9"/>
      <c r="AEU169" s="9"/>
      <c r="AEV169" s="9"/>
      <c r="AEW169" s="9"/>
      <c r="AEX169" s="9"/>
      <c r="AEY169" s="9"/>
      <c r="AEZ169" s="9"/>
      <c r="AFA169" s="9"/>
      <c r="AFB169" s="9"/>
      <c r="AFC169" s="9"/>
      <c r="AFD169" s="9"/>
      <c r="AFE169" s="9"/>
      <c r="AFF169" s="9"/>
      <c r="AFG169" s="9"/>
      <c r="AFH169" s="9"/>
      <c r="AFI169" s="9"/>
      <c r="AFJ169" s="9"/>
      <c r="AFK169" s="9"/>
      <c r="AFL169" s="9"/>
      <c r="AFM169" s="9"/>
      <c r="AFN169" s="9"/>
      <c r="AFO169" s="9"/>
      <c r="AFP169" s="9"/>
      <c r="AFQ169" s="9"/>
      <c r="AFR169" s="9"/>
      <c r="AFS169" s="9"/>
      <c r="AFT169" s="9"/>
      <c r="AFU169" s="9"/>
      <c r="AFV169" s="9"/>
      <c r="AFW169" s="9"/>
      <c r="AFX169" s="9"/>
      <c r="AFY169" s="9"/>
      <c r="AFZ169" s="9"/>
      <c r="AGA169" s="9"/>
      <c r="AGB169" s="9"/>
      <c r="AGC169" s="9"/>
      <c r="AGD169" s="9"/>
      <c r="AGE169" s="9"/>
      <c r="AGF169" s="9"/>
      <c r="AGG169" s="9"/>
      <c r="AGH169" s="9"/>
      <c r="AGI169" s="9"/>
      <c r="AGJ169" s="9"/>
      <c r="AGK169" s="9"/>
      <c r="AGL169" s="9"/>
      <c r="AGM169" s="9"/>
      <c r="AGN169" s="9"/>
      <c r="AGO169" s="9"/>
      <c r="AGP169" s="9"/>
      <c r="AGQ169" s="9"/>
      <c r="AGR169" s="9"/>
      <c r="AGS169" s="9"/>
      <c r="AGT169" s="9"/>
      <c r="AGU169" s="9"/>
      <c r="AGV169" s="9"/>
      <c r="AGW169" s="9"/>
      <c r="AGX169" s="9"/>
      <c r="AGY169" s="9"/>
      <c r="AGZ169" s="9"/>
      <c r="AHA169" s="9"/>
      <c r="AHB169" s="9"/>
      <c r="AHC169" s="9"/>
      <c r="AHD169" s="9"/>
      <c r="AHE169" s="9"/>
      <c r="AHF169" s="9"/>
      <c r="AHG169" s="9"/>
      <c r="AHH169" s="9"/>
      <c r="AHI169" s="9"/>
      <c r="AHJ169" s="9"/>
      <c r="AHK169" s="9"/>
      <c r="AHL169" s="9"/>
      <c r="AHM169" s="9"/>
      <c r="AHN169" s="9"/>
      <c r="AHO169" s="9"/>
      <c r="AHP169" s="9"/>
      <c r="AHQ169" s="9"/>
      <c r="AHR169" s="9"/>
      <c r="AHS169" s="9"/>
      <c r="AHT169" s="9"/>
      <c r="AHU169" s="9"/>
      <c r="AHV169" s="9"/>
      <c r="AHW169" s="9"/>
      <c r="AHX169" s="9"/>
      <c r="AHY169" s="9"/>
      <c r="AHZ169" s="9"/>
      <c r="AIA169" s="9"/>
      <c r="AIB169" s="9"/>
      <c r="AIC169" s="9"/>
      <c r="AID169" s="9"/>
      <c r="AIE169" s="9"/>
      <c r="AIF169" s="9"/>
      <c r="AIG169" s="9"/>
      <c r="AIH169" s="9"/>
      <c r="AII169" s="9"/>
      <c r="AIJ169" s="9"/>
      <c r="AIK169" s="9"/>
      <c r="AIL169" s="9"/>
      <c r="AIM169" s="9"/>
      <c r="AIN169" s="9"/>
      <c r="AIO169" s="9"/>
      <c r="AIP169" s="9"/>
      <c r="AIQ169" s="9"/>
      <c r="AIR169" s="9"/>
      <c r="AIS169" s="9"/>
      <c r="AIT169" s="9"/>
      <c r="AIU169" s="9"/>
      <c r="AIV169" s="9"/>
      <c r="AIW169" s="9"/>
      <c r="AIX169" s="9"/>
      <c r="AIY169" s="9"/>
      <c r="AIZ169" s="9"/>
      <c r="AJA169" s="9"/>
      <c r="AJB169" s="9"/>
      <c r="AJC169" s="9"/>
      <c r="AJD169" s="9"/>
      <c r="AJE169" s="9"/>
      <c r="AJF169" s="9"/>
      <c r="AJG169" s="9"/>
      <c r="AJH169" s="9"/>
      <c r="AJI169" s="9"/>
      <c r="AJJ169" s="9"/>
      <c r="AJK169" s="9"/>
      <c r="AJL169" s="9"/>
      <c r="AJM169" s="9"/>
      <c r="AJN169" s="9"/>
      <c r="AJO169" s="9"/>
      <c r="AJP169" s="9"/>
      <c r="AJQ169" s="9"/>
      <c r="AJR169" s="9"/>
      <c r="AJS169" s="9"/>
      <c r="AJT169" s="9"/>
      <c r="AJU169" s="9"/>
      <c r="AJV169" s="9"/>
      <c r="AJW169" s="9"/>
      <c r="AJX169" s="9"/>
      <c r="AJY169" s="9"/>
      <c r="AJZ169" s="9"/>
      <c r="AKA169" s="9"/>
      <c r="AKB169" s="9"/>
      <c r="AKC169" s="9"/>
      <c r="AKD169" s="9"/>
      <c r="AKE169" s="9"/>
      <c r="AKF169" s="9"/>
      <c r="AKG169" s="9"/>
      <c r="AKH169" s="9"/>
      <c r="AKI169" s="9"/>
      <c r="AKJ169" s="9"/>
      <c r="AKK169" s="9"/>
      <c r="AKL169" s="9"/>
      <c r="AKM169" s="9"/>
      <c r="AKN169" s="9"/>
      <c r="AKO169" s="9"/>
      <c r="AKP169" s="9"/>
      <c r="AKQ169" s="9"/>
      <c r="AKR169" s="9"/>
      <c r="AKS169" s="9"/>
      <c r="AKT169" s="9"/>
      <c r="AKU169" s="9"/>
      <c r="AKV169" s="9"/>
      <c r="AKW169" s="9"/>
      <c r="AKX169" s="9"/>
      <c r="AKY169" s="9"/>
      <c r="AKZ169" s="9"/>
      <c r="ALA169" s="9"/>
      <c r="ALB169" s="9"/>
      <c r="ALC169" s="9"/>
      <c r="ALD169" s="9"/>
      <c r="ALE169" s="9"/>
      <c r="ALF169" s="9"/>
      <c r="ALG169" s="9"/>
      <c r="ALH169" s="9"/>
      <c r="ALI169" s="9"/>
      <c r="ALJ169" s="9"/>
      <c r="ALK169" s="9"/>
      <c r="ALL169" s="9"/>
      <c r="ALM169" s="9"/>
      <c r="ALN169" s="9"/>
      <c r="ALO169" s="9"/>
      <c r="ALP169" s="9"/>
      <c r="ALQ169" s="9"/>
      <c r="ALR169" s="9"/>
      <c r="ALS169" s="9"/>
      <c r="ALT169" s="9"/>
      <c r="ALU169" s="9"/>
      <c r="ALV169" s="9"/>
      <c r="ALW169" s="9"/>
      <c r="ALX169" s="9"/>
      <c r="ALY169" s="9"/>
      <c r="ALZ169" s="9"/>
      <c r="AMA169" s="9"/>
      <c r="AMB169" s="9"/>
      <c r="AMC169" s="9"/>
      <c r="AMD169" s="9"/>
      <c r="AME169" s="9"/>
      <c r="AMF169" s="9"/>
      <c r="AMG169" s="9"/>
      <c r="AMH169" s="9"/>
      <c r="AMI169" s="9"/>
      <c r="AMJ169" s="9"/>
      <c r="AMK169" s="9"/>
      <c r="AML169" s="9"/>
      <c r="AMM169" s="9"/>
      <c r="AMN169" s="9"/>
      <c r="AMO169" s="9"/>
    </row>
    <row r="170" spans="1:1030" x14ac:dyDescent="0.2">
      <c r="A170" s="3" t="str">
        <f t="shared" si="867"/>
        <v>cxcr4_human__wt</v>
      </c>
      <c r="B170" s="3" t="s">
        <v>1171</v>
      </c>
      <c r="C170" s="3" t="s">
        <v>100</v>
      </c>
      <c r="D170" s="3" t="str">
        <f>IFERROR(MID(VLOOKUP($B170,Seqs!$A:$B,2,0),E170,1),"")</f>
        <v>R</v>
      </c>
      <c r="E170" s="3">
        <v>30</v>
      </c>
      <c r="F170" s="3" t="str">
        <f>IFERROR(MID(VLOOKUP($B170,Seqs!$A:$B,2,0),G170,1),"")</f>
        <v>Q</v>
      </c>
      <c r="G170" s="3">
        <v>66</v>
      </c>
      <c r="H170" s="3" t="str">
        <f>IFERROR(MID(VLOOKUP($B170,Seqs!$A:$B,2,0),I170,1),"")</f>
        <v>K</v>
      </c>
      <c r="I170" s="23">
        <v>67</v>
      </c>
      <c r="J170" s="3" t="str">
        <f>IFERROR(MID(VLOOKUP($B170,Seqs!$A:$B,2,0),K170,1),"")</f>
        <v>R</v>
      </c>
      <c r="K170" s="23">
        <v>70</v>
      </c>
      <c r="L170" s="3" t="str">
        <f>IFERROR(MID(VLOOKUP($B170,Seqs!$A:$B,2,0),M170,1),"")</f>
        <v>S</v>
      </c>
      <c r="M170" s="3">
        <v>71</v>
      </c>
      <c r="N170" s="3" t="str">
        <f>IFERROR(MID(VLOOKUP($B170,Seqs!$A:$B,2,0),O170,1),"")</f>
        <v>A</v>
      </c>
      <c r="O170" s="3">
        <v>100</v>
      </c>
      <c r="P170" s="3" t="str">
        <f>IFERROR(MID(VLOOKUP($B170,Seqs!$A:$B,2,0),Q170,1),"")</f>
        <v>N</v>
      </c>
      <c r="Q170" s="3">
        <v>101</v>
      </c>
      <c r="R170" s="3" t="str">
        <f>IFERROR(MID(VLOOKUP($B170,Seqs!$A:$B,2,0),S170,1),"")</f>
        <v>F</v>
      </c>
      <c r="S170" s="3">
        <v>104</v>
      </c>
      <c r="T170" s="3" t="str">
        <f>IFERROR(MID(VLOOKUP($B170,Seqs!$A:$B,2,0),U170,1),"")</f>
        <v>G</v>
      </c>
      <c r="U170" s="3">
        <v>105</v>
      </c>
      <c r="V170" s="3" t="str">
        <f>IFERROR(MID(VLOOKUP($B170,Seqs!$A:$B,2,0),W170,1),"")</f>
        <v>H</v>
      </c>
      <c r="W170" s="3">
        <v>140</v>
      </c>
      <c r="X170" s="3" t="str">
        <f>IFERROR(MID(VLOOKUP($B170,Seqs!$A:$B,2,0),Y170,1),"")</f>
        <v>A</v>
      </c>
      <c r="Y170" s="3">
        <v>141</v>
      </c>
      <c r="Z170" s="3" t="str">
        <f>IFERROR(MID(VLOOKUP($B170,Seqs!$A:$B,2,0),AA170,1),"")</f>
        <v>R</v>
      </c>
      <c r="AA170" s="3">
        <v>148</v>
      </c>
      <c r="AB170" s="3" t="str">
        <f>IFERROR(MID(VLOOKUP($B170,Seqs!$A:$B,2,0),AC170,1),"")</f>
        <v>K</v>
      </c>
      <c r="AC170" s="9">
        <v>149</v>
      </c>
      <c r="AD170" s="3" t="str">
        <f>IFERROR(MID(VLOOKUP($B170,Seqs!$A:$B,2,0),AE170,1),"")</f>
        <v>A</v>
      </c>
      <c r="AE170" s="3">
        <v>175</v>
      </c>
      <c r="AF170" s="3" t="str">
        <f>IFERROR(MID(VLOOKUP($B170,Seqs!$A:$B,2,0),AG170,1),"")</f>
        <v>C</v>
      </c>
      <c r="AG170" s="3">
        <v>186</v>
      </c>
      <c r="AH170" s="3" t="str">
        <f>IFERROR(MID(VLOOKUP($B170,Seqs!$A:$B,2,0),AI170,1),"")</f>
        <v>R</v>
      </c>
      <c r="AI170" s="3">
        <v>188</v>
      </c>
      <c r="AJ170" s="3" t="str">
        <f>IFERROR(MID(VLOOKUP($B170,Seqs!$A:$B,2,0),AK170,1),"")</f>
        <v>D</v>
      </c>
      <c r="AK170" s="3">
        <v>193</v>
      </c>
      <c r="AL170" s="3" t="str">
        <f>IFERROR(MID(VLOOKUP($B170,Seqs!$A:$B,2,0),AM170,1),"")</f>
        <v>S</v>
      </c>
      <c r="AM170" s="3">
        <v>229</v>
      </c>
      <c r="AN170" s="3" t="str">
        <f>IFERROR(MID(VLOOKUP($B170,Seqs!$A:$B,2,0),AO170,1),"")</f>
        <v>K</v>
      </c>
      <c r="AO170" s="3">
        <v>234</v>
      </c>
      <c r="AP170" s="3" t="str">
        <f>IFERROR(MID(VLOOKUP($B170,Seqs!$A:$B,2,0),AQ170,1),"")</f>
        <v>E</v>
      </c>
      <c r="AQ170" s="3">
        <v>268</v>
      </c>
      <c r="AR170" s="3" t="str">
        <f>IFERROR(MID(VLOOKUP($B170,Seqs!$A:$B,2,0),AS170,1),"")</f>
        <v>G</v>
      </c>
      <c r="AS170" s="3">
        <v>273</v>
      </c>
      <c r="AT170" s="3" t="str">
        <f>IFERROR(MID(VLOOKUP($B170,Seqs!$A:$B,2,0),AU170,1),"")</f>
        <v>L</v>
      </c>
      <c r="AU170" s="3">
        <v>305</v>
      </c>
      <c r="AV170" s="3" t="str">
        <f>IFERROR(MID(VLOOKUP($B170,Seqs!$A:$B,2,0),AW170,1),"")</f>
        <v>G</v>
      </c>
      <c r="AW170" s="3">
        <v>306</v>
      </c>
      <c r="AX170" s="3" t="str">
        <f>IFERROR(MID(VLOOKUP($B170,Seqs!$A:$B,2,0),AY170,1),"")</f>
        <v>T</v>
      </c>
      <c r="AY170" s="3">
        <v>318</v>
      </c>
      <c r="AZ170" s="77" t="str">
        <f>VLOOKUP(B170,Classification!A:D,2,0)</f>
        <v>A</v>
      </c>
      <c r="BA170" s="94" t="str">
        <f>VLOOKUP(B170,Classification!A:D,4,0)</f>
        <v>Chemokine</v>
      </c>
      <c r="BB170" s="27" t="b">
        <f t="shared" si="868"/>
        <v>1</v>
      </c>
      <c r="BC170" s="23">
        <f t="shared" ref="BC170:BC177" si="1009">_xlfn.AGGREGATE(9,6,CH170:CS170)-_xlfn.AGGREGATE(9,6,BV170:CG170)+12</f>
        <v>267</v>
      </c>
      <c r="BD170" s="34" t="s">
        <v>23</v>
      </c>
      <c r="BE170" s="3" t="s">
        <v>23</v>
      </c>
      <c r="BF170" s="119" t="s">
        <v>23</v>
      </c>
      <c r="BG170" s="49" t="s">
        <v>1372</v>
      </c>
      <c r="BH170" s="49" t="s">
        <v>1377</v>
      </c>
      <c r="BI170" s="1"/>
      <c r="BJ170" s="70" t="s">
        <v>1287</v>
      </c>
      <c r="BK170" s="57" t="s">
        <v>1287</v>
      </c>
      <c r="BL170" s="57" t="s">
        <v>1287</v>
      </c>
      <c r="BM170" s="57" t="s">
        <v>1287</v>
      </c>
      <c r="BN170" s="57" t="s">
        <v>1287</v>
      </c>
      <c r="BO170" s="57" t="s">
        <v>1287</v>
      </c>
      <c r="BP170" s="57" t="s">
        <v>1287</v>
      </c>
      <c r="BQ170" s="57" t="s">
        <v>1287</v>
      </c>
      <c r="BR170" s="57" t="s">
        <v>1287</v>
      </c>
      <c r="BS170" s="57" t="s">
        <v>1287</v>
      </c>
      <c r="BT170" s="57" t="s">
        <v>1287</v>
      </c>
      <c r="BU170" s="57" t="s">
        <v>1287</v>
      </c>
      <c r="BV170" s="70">
        <f t="shared" ref="BV170:BV177" si="1010">E170</f>
        <v>30</v>
      </c>
      <c r="BW170" s="71">
        <f t="shared" ref="BW170:BW177" si="1011">I170</f>
        <v>67</v>
      </c>
      <c r="BX170" s="72">
        <f t="shared" ref="BX170:BX177" si="1012">M170</f>
        <v>71</v>
      </c>
      <c r="BY170" s="71">
        <f t="shared" ref="BY170:BY177" si="1013">Q170</f>
        <v>101</v>
      </c>
      <c r="BZ170" s="72">
        <f t="shared" ref="BZ170:BZ177" si="1014">U170</f>
        <v>105</v>
      </c>
      <c r="CA170" s="71">
        <f t="shared" ref="CA170:CA177" si="1015">Y170</f>
        <v>141</v>
      </c>
      <c r="CB170" s="72">
        <f t="shared" ref="CB170:CB177" si="1016">AC170</f>
        <v>149</v>
      </c>
      <c r="CC170" s="71">
        <f t="shared" ref="CC170:CC177" si="1017">AG170</f>
        <v>186</v>
      </c>
      <c r="CD170" s="72">
        <f t="shared" ref="CD170:CD177" si="1018">AK170</f>
        <v>193</v>
      </c>
      <c r="CE170" s="71">
        <f t="shared" ref="CE170:CE177" si="1019">AO170</f>
        <v>234</v>
      </c>
      <c r="CF170" s="72">
        <f t="shared" ref="CF170:CF177" si="1020">AS170</f>
        <v>273</v>
      </c>
      <c r="CG170" s="71">
        <f t="shared" ref="CG170:CG177" si="1021">AW170</f>
        <v>306</v>
      </c>
      <c r="CH170" s="70">
        <f t="shared" ref="CH170:CH177" si="1022">G170</f>
        <v>66</v>
      </c>
      <c r="CI170" s="71">
        <f t="shared" ref="CI170:CI177" si="1023">K170</f>
        <v>70</v>
      </c>
      <c r="CJ170" s="72">
        <f t="shared" ref="CJ170:CJ177" si="1024">O170</f>
        <v>100</v>
      </c>
      <c r="CK170" s="72">
        <f t="shared" ref="CK170:CK177" si="1025">S170</f>
        <v>104</v>
      </c>
      <c r="CL170" s="72">
        <f t="shared" ref="CL170:CL177" si="1026">W170</f>
        <v>140</v>
      </c>
      <c r="CM170" s="72">
        <f t="shared" ref="CM170:CM177" si="1027">AA170</f>
        <v>148</v>
      </c>
      <c r="CN170" s="72">
        <f t="shared" ref="CN170:CN177" si="1028">AE170</f>
        <v>175</v>
      </c>
      <c r="CO170" s="72">
        <f t="shared" ref="CO170:CO177" si="1029">AI170</f>
        <v>188</v>
      </c>
      <c r="CP170" s="72">
        <f t="shared" ref="CP170:CP177" si="1030">AM170</f>
        <v>229</v>
      </c>
      <c r="CQ170" s="72">
        <f t="shared" ref="CQ170:CQ177" si="1031">AQ170</f>
        <v>268</v>
      </c>
      <c r="CR170" s="72">
        <f t="shared" ref="CR170:CR177" si="1032">AU170</f>
        <v>305</v>
      </c>
      <c r="CS170" s="72">
        <f t="shared" ref="CS170:CS177" si="1033">AY170</f>
        <v>318</v>
      </c>
      <c r="CT170" s="23">
        <f t="shared" ref="CT170:CT177" si="1034">M170-K170</f>
        <v>1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30" x14ac:dyDescent="0.2">
      <c r="A171" s="3" t="str">
        <f t="shared" si="867"/>
        <v>cxcr4_human_3ODU</v>
      </c>
      <c r="B171" s="3" t="s">
        <v>1171</v>
      </c>
      <c r="C171" s="3" t="s">
        <v>63</v>
      </c>
      <c r="D171" s="3" t="str">
        <f>IFERROR(MID(VLOOKUP($B171,Seqs!$A:$B,2,0),E171,1),"")</f>
        <v>A</v>
      </c>
      <c r="E171" s="3">
        <v>34</v>
      </c>
      <c r="F171" s="3" t="str">
        <f>IFERROR(MID(VLOOKUP($B171,Seqs!$A:$B,2,0),G171,1),"")</f>
        <v>Q</v>
      </c>
      <c r="G171" s="3">
        <v>66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S</v>
      </c>
      <c r="M171" s="3">
        <v>71</v>
      </c>
      <c r="N171" s="3" t="str">
        <f>IFERROR(MID(VLOOKUP($B171,Seqs!$A:$B,2,0),O171,1),"")</f>
        <v>A</v>
      </c>
      <c r="O171" s="3">
        <v>100</v>
      </c>
      <c r="P171" s="3" t="str">
        <f>IFERROR(MID(VLOOKUP($B171,Seqs!$A:$B,2,0),Q171,1),"")</f>
        <v>N</v>
      </c>
      <c r="Q171" s="3">
        <v>101</v>
      </c>
      <c r="R171" s="3" t="str">
        <f>IFERROR(MID(VLOOKUP($B171,Seqs!$A:$B,2,0),S171,1),"")</f>
        <v>F</v>
      </c>
      <c r="S171" s="3">
        <v>104</v>
      </c>
      <c r="T171" s="3" t="str">
        <f>IFERROR(MID(VLOOKUP($B171,Seqs!$A:$B,2,0),U171,1),"")</f>
        <v>G</v>
      </c>
      <c r="U171" s="3">
        <v>105</v>
      </c>
      <c r="V171" s="3" t="str">
        <f>IFERROR(MID(VLOOKUP($B171,Seqs!$A:$B,2,0),W171,1),"")</f>
        <v>H</v>
      </c>
      <c r="W171" s="3">
        <v>140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S</v>
      </c>
      <c r="AC171" s="9">
        <v>144</v>
      </c>
      <c r="AD171" s="3" t="str">
        <f>IFERROR(MID(VLOOKUP($B171,Seqs!$A:$B,2,0),AE171,1),"")</f>
        <v>A</v>
      </c>
      <c r="AE171" s="3">
        <v>175</v>
      </c>
      <c r="AF171" s="3" t="str">
        <f>IFERROR(MID(VLOOKUP($B171,Seqs!$A:$B,2,0),AG171,1),"")</f>
        <v>C</v>
      </c>
      <c r="AG171" s="3">
        <v>186</v>
      </c>
      <c r="AH171" s="3" t="str">
        <f>IFERROR(MID(VLOOKUP($B171,Seqs!$A:$B,2,0),AI171,1),"")</f>
        <v>R</v>
      </c>
      <c r="AI171" s="3">
        <v>188</v>
      </c>
      <c r="AJ171" s="3" t="str">
        <f>IFERROR(MID(VLOOKUP($B171,Seqs!$A:$B,2,0),AK171,1),"")</f>
        <v>D</v>
      </c>
      <c r="AK171" s="3">
        <v>193</v>
      </c>
      <c r="AL171" s="3" t="str">
        <f>IFERROR(MID(VLOOKUP($B171,Seqs!$A:$B,2,0),AM171,1),"")</f>
        <v>K</v>
      </c>
      <c r="AM171" s="3">
        <v>225</v>
      </c>
      <c r="AN171" s="3" t="str">
        <f>IFERROR(MID(VLOOKUP($B171,Seqs!$A:$B,2,0),AO171,1),"")</f>
        <v>G</v>
      </c>
      <c r="AO171" s="3">
        <v>231</v>
      </c>
      <c r="AP171" s="3" t="str">
        <f>IFERROR(MID(VLOOKUP($B171,Seqs!$A:$B,2,0),AQ171,1),"")</f>
        <v>E</v>
      </c>
      <c r="AQ171" s="3">
        <v>268</v>
      </c>
      <c r="AR171" s="3" t="str">
        <f>IFERROR(MID(VLOOKUP($B171,Seqs!$A:$B,2,0),AS171,1),"")</f>
        <v>G</v>
      </c>
      <c r="AS171" s="3">
        <v>273</v>
      </c>
      <c r="AT171" s="3" t="str">
        <f>IFERROR(MID(VLOOKUP($B171,Seqs!$A:$B,2,0),AU171,1),"")</f>
        <v>I</v>
      </c>
      <c r="AU171" s="3">
        <v>300</v>
      </c>
      <c r="AV171" s="3" t="str">
        <f>IFERROR(MID(VLOOKUP($B171,Seqs!$A:$B,2,0),AW171,1),"")</f>
        <v/>
      </c>
      <c r="AW171" s="3" t="s">
        <v>23</v>
      </c>
      <c r="AX171" s="3" t="str">
        <f>IFERROR(MID(VLOOKUP($B171,Seqs!$A:$B,2,0),AY171,1),"")</f>
        <v/>
      </c>
      <c r="AY171" s="3" t="s">
        <v>23</v>
      </c>
      <c r="AZ171" s="77" t="str">
        <f>VLOOKUP(B171,Classification!A:D,2,0)</f>
        <v>A</v>
      </c>
      <c r="BA171" s="94" t="str">
        <f>VLOOKUP(B171,Classification!A:D,4,0)</f>
        <v>Chemokine</v>
      </c>
      <c r="BB171" s="27" t="b">
        <f t="shared" si="868"/>
        <v>1</v>
      </c>
      <c r="BC171" s="23">
        <f t="shared" si="1009"/>
        <v>240</v>
      </c>
      <c r="BD171" s="2" t="s">
        <v>1376</v>
      </c>
      <c r="BE171" s="3" t="s">
        <v>1374</v>
      </c>
      <c r="BF171" s="119">
        <v>2.5</v>
      </c>
      <c r="BG171" s="49" t="s">
        <v>1377</v>
      </c>
      <c r="BH171" s="49" t="s">
        <v>1377</v>
      </c>
      <c r="BI171" s="1"/>
      <c r="BJ171" s="70" t="s">
        <v>1287</v>
      </c>
      <c r="BK171" s="57" t="s">
        <v>1287</v>
      </c>
      <c r="BL171" s="57" t="s">
        <v>1287</v>
      </c>
      <c r="BM171" s="57" t="s">
        <v>1287</v>
      </c>
      <c r="BN171" s="57" t="s">
        <v>1287</v>
      </c>
      <c r="BO171" s="57" t="s">
        <v>1287</v>
      </c>
      <c r="BP171" s="57" t="s">
        <v>1287</v>
      </c>
      <c r="BQ171" s="57" t="s">
        <v>1287</v>
      </c>
      <c r="BR171" s="57" t="s">
        <v>1287</v>
      </c>
      <c r="BS171" s="57" t="s">
        <v>1287</v>
      </c>
      <c r="BT171" s="57" t="s">
        <v>1287</v>
      </c>
      <c r="BU171" s="57" t="s">
        <v>1287</v>
      </c>
      <c r="BV171" s="70">
        <f t="shared" si="1010"/>
        <v>34</v>
      </c>
      <c r="BW171" s="71" t="str">
        <f t="shared" si="1011"/>
        <v>-</v>
      </c>
      <c r="BX171" s="72">
        <f t="shared" si="1012"/>
        <v>71</v>
      </c>
      <c r="BY171" s="71">
        <f t="shared" si="1013"/>
        <v>101</v>
      </c>
      <c r="BZ171" s="72">
        <f t="shared" si="1014"/>
        <v>105</v>
      </c>
      <c r="CA171" s="71" t="str">
        <f t="shared" si="1015"/>
        <v>-</v>
      </c>
      <c r="CB171" s="72">
        <f t="shared" si="1016"/>
        <v>144</v>
      </c>
      <c r="CC171" s="71">
        <f t="shared" si="1017"/>
        <v>186</v>
      </c>
      <c r="CD171" s="72">
        <f t="shared" si="1018"/>
        <v>193</v>
      </c>
      <c r="CE171" s="71">
        <f t="shared" si="1019"/>
        <v>231</v>
      </c>
      <c r="CF171" s="72">
        <f t="shared" si="1020"/>
        <v>273</v>
      </c>
      <c r="CG171" s="71" t="str">
        <f t="shared" si="1021"/>
        <v>-</v>
      </c>
      <c r="CH171" s="70">
        <f t="shared" si="1022"/>
        <v>66</v>
      </c>
      <c r="CI171" s="71" t="str">
        <f t="shared" si="1023"/>
        <v>-</v>
      </c>
      <c r="CJ171" s="72">
        <f t="shared" si="1024"/>
        <v>100</v>
      </c>
      <c r="CK171" s="72">
        <f t="shared" si="1025"/>
        <v>104</v>
      </c>
      <c r="CL171" s="72">
        <f t="shared" si="1026"/>
        <v>140</v>
      </c>
      <c r="CM171" s="72" t="str">
        <f t="shared" si="1027"/>
        <v>-</v>
      </c>
      <c r="CN171" s="72">
        <f t="shared" si="1028"/>
        <v>175</v>
      </c>
      <c r="CO171" s="72">
        <f t="shared" si="1029"/>
        <v>188</v>
      </c>
      <c r="CP171" s="72">
        <f t="shared" si="1030"/>
        <v>225</v>
      </c>
      <c r="CQ171" s="72">
        <f t="shared" si="1031"/>
        <v>268</v>
      </c>
      <c r="CR171" s="72">
        <f t="shared" si="1032"/>
        <v>300</v>
      </c>
      <c r="CS171" s="72" t="str">
        <f t="shared" si="1033"/>
        <v>-</v>
      </c>
      <c r="CT171" s="23" t="e">
        <f t="shared" si="1034"/>
        <v>#VALUE!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x14ac:dyDescent="0.2">
      <c r="A172" s="3" t="str">
        <f t="shared" si="867"/>
        <v>cxcr4_human_3OE0</v>
      </c>
      <c r="B172" s="3" t="s">
        <v>1171</v>
      </c>
      <c r="C172" s="3" t="s">
        <v>1031</v>
      </c>
      <c r="D172" s="3" t="str">
        <f>IFERROR(MID(VLOOKUP($B172,Seqs!$A:$B,2,0),E172,1),"")</f>
        <v>A</v>
      </c>
      <c r="E172" s="3">
        <v>34</v>
      </c>
      <c r="F172" s="3" t="str">
        <f>IFERROR(MID(VLOOKUP($B172,Seqs!$A:$B,2,0),G172,1),"")</f>
        <v>Q</v>
      </c>
      <c r="G172" s="3">
        <v>66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S</v>
      </c>
      <c r="M172" s="3">
        <v>71</v>
      </c>
      <c r="N172" s="3" t="str">
        <f>IFERROR(MID(VLOOKUP($B172,Seqs!$A:$B,2,0),O172,1),"")</f>
        <v>A</v>
      </c>
      <c r="O172" s="3">
        <v>100</v>
      </c>
      <c r="P172" s="3" t="str">
        <f>IFERROR(MID(VLOOKUP($B172,Seqs!$A:$B,2,0),Q172,1),"")</f>
        <v>N</v>
      </c>
      <c r="Q172" s="3">
        <v>101</v>
      </c>
      <c r="R172" s="3" t="str">
        <f>IFERROR(MID(VLOOKUP($B172,Seqs!$A:$B,2,0),S172,1),"")</f>
        <v>F</v>
      </c>
      <c r="S172" s="3">
        <v>104</v>
      </c>
      <c r="T172" s="3" t="str">
        <f>IFERROR(MID(VLOOKUP($B172,Seqs!$A:$B,2,0),U172,1),"")</f>
        <v>G</v>
      </c>
      <c r="U172" s="3">
        <v>105</v>
      </c>
      <c r="V172" s="3" t="str">
        <f>IFERROR(MID(VLOOKUP($B172,Seqs!$A:$B,2,0),W172,1),"")</f>
        <v>H</v>
      </c>
      <c r="W172" s="3">
        <v>140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S</v>
      </c>
      <c r="AC172" s="9">
        <v>144</v>
      </c>
      <c r="AD172" s="3" t="str">
        <f>IFERROR(MID(VLOOKUP($B172,Seqs!$A:$B,2,0),AE172,1),"")</f>
        <v>A</v>
      </c>
      <c r="AE172" s="3">
        <v>175</v>
      </c>
      <c r="AF172" s="3" t="str">
        <f>IFERROR(MID(VLOOKUP($B172,Seqs!$A:$B,2,0),AG172,1),"")</f>
        <v>C</v>
      </c>
      <c r="AG172" s="3">
        <v>186</v>
      </c>
      <c r="AH172" s="3" t="str">
        <f>IFERROR(MID(VLOOKUP($B172,Seqs!$A:$B,2,0),AI172,1),"")</f>
        <v>R</v>
      </c>
      <c r="AI172" s="3">
        <v>188</v>
      </c>
      <c r="AJ172" s="3" t="str">
        <f>IFERROR(MID(VLOOKUP($B172,Seqs!$A:$B,2,0),AK172,1),"")</f>
        <v>D</v>
      </c>
      <c r="AK172" s="3">
        <v>193</v>
      </c>
      <c r="AL172" s="3" t="str">
        <f>IFERROR(MID(VLOOKUP($B172,Seqs!$A:$B,2,0),AM172,1),"")</f>
        <v>H</v>
      </c>
      <c r="AM172" s="3">
        <v>228</v>
      </c>
      <c r="AN172" s="3" t="str">
        <f>IFERROR(MID(VLOOKUP($B172,Seqs!$A:$B,2,0),AO172,1),"")</f>
        <v>K</v>
      </c>
      <c r="AO172" s="3">
        <v>239</v>
      </c>
      <c r="AP172" s="3" t="str">
        <f>IFERROR(MID(VLOOKUP($B172,Seqs!$A:$B,2,0),AQ172,1),"")</f>
        <v>E</v>
      </c>
      <c r="AQ172" s="3">
        <v>268</v>
      </c>
      <c r="AR172" s="3" t="str">
        <f>IFERROR(MID(VLOOKUP($B172,Seqs!$A:$B,2,0),AS172,1),"")</f>
        <v>G</v>
      </c>
      <c r="AS172" s="3">
        <v>273</v>
      </c>
      <c r="AT172" s="3" t="str">
        <f>IFERROR(MID(VLOOKUP($B172,Seqs!$A:$B,2,0),AU172,1),"")</f>
        <v>I</v>
      </c>
      <c r="AU172" s="3">
        <v>300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7" t="str">
        <f>VLOOKUP(B172,Classification!A:D,2,0)</f>
        <v>A</v>
      </c>
      <c r="BA172" s="94" t="str">
        <f>VLOOKUP(B172,Classification!A:D,4,0)</f>
        <v>Chemokine</v>
      </c>
      <c r="BB172" s="27" t="b">
        <f t="shared" si="868"/>
        <v>1</v>
      </c>
      <c r="BC172" s="23">
        <f t="shared" si="1009"/>
        <v>235</v>
      </c>
      <c r="BD172" s="4" t="s">
        <v>23</v>
      </c>
      <c r="BE172" s="3" t="s">
        <v>1374</v>
      </c>
      <c r="BF172" s="119">
        <v>2.9</v>
      </c>
      <c r="BG172" s="49" t="s">
        <v>1377</v>
      </c>
      <c r="BH172" s="49" t="s">
        <v>1377</v>
      </c>
      <c r="BI172" s="1"/>
      <c r="BJ172" s="70" t="s">
        <v>1287</v>
      </c>
      <c r="BK172" s="57" t="s">
        <v>1287</v>
      </c>
      <c r="BL172" s="57" t="s">
        <v>1287</v>
      </c>
      <c r="BM172" s="57" t="s">
        <v>1287</v>
      </c>
      <c r="BN172" s="57" t="s">
        <v>1287</v>
      </c>
      <c r="BO172" s="57" t="s">
        <v>1287</v>
      </c>
      <c r="BP172" s="57" t="s">
        <v>1287</v>
      </c>
      <c r="BQ172" s="57" t="s">
        <v>1287</v>
      </c>
      <c r="BR172" s="57" t="s">
        <v>1287</v>
      </c>
      <c r="BS172" s="57" t="s">
        <v>1287</v>
      </c>
      <c r="BT172" s="57" t="s">
        <v>1287</v>
      </c>
      <c r="BU172" s="57" t="s">
        <v>1287</v>
      </c>
      <c r="BV172" s="70">
        <f t="shared" si="1010"/>
        <v>34</v>
      </c>
      <c r="BW172" s="71" t="str">
        <f t="shared" si="1011"/>
        <v>-</v>
      </c>
      <c r="BX172" s="72">
        <f t="shared" si="1012"/>
        <v>71</v>
      </c>
      <c r="BY172" s="71">
        <f t="shared" si="1013"/>
        <v>101</v>
      </c>
      <c r="BZ172" s="72">
        <f t="shared" si="1014"/>
        <v>105</v>
      </c>
      <c r="CA172" s="71" t="str">
        <f t="shared" si="1015"/>
        <v>-</v>
      </c>
      <c r="CB172" s="72">
        <f t="shared" si="1016"/>
        <v>144</v>
      </c>
      <c r="CC172" s="71">
        <f t="shared" si="1017"/>
        <v>186</v>
      </c>
      <c r="CD172" s="72">
        <f t="shared" si="1018"/>
        <v>193</v>
      </c>
      <c r="CE172" s="71">
        <f t="shared" si="1019"/>
        <v>239</v>
      </c>
      <c r="CF172" s="72">
        <f t="shared" si="1020"/>
        <v>273</v>
      </c>
      <c r="CG172" s="71" t="str">
        <f t="shared" si="1021"/>
        <v>-</v>
      </c>
      <c r="CH172" s="70">
        <f t="shared" si="1022"/>
        <v>66</v>
      </c>
      <c r="CI172" s="71" t="str">
        <f t="shared" si="1023"/>
        <v>-</v>
      </c>
      <c r="CJ172" s="72">
        <f t="shared" si="1024"/>
        <v>100</v>
      </c>
      <c r="CK172" s="72">
        <f t="shared" si="1025"/>
        <v>104</v>
      </c>
      <c r="CL172" s="72">
        <f t="shared" si="1026"/>
        <v>140</v>
      </c>
      <c r="CM172" s="72" t="str">
        <f t="shared" si="1027"/>
        <v>-</v>
      </c>
      <c r="CN172" s="72">
        <f t="shared" si="1028"/>
        <v>175</v>
      </c>
      <c r="CO172" s="72">
        <f t="shared" si="1029"/>
        <v>188</v>
      </c>
      <c r="CP172" s="72">
        <f t="shared" si="1030"/>
        <v>228</v>
      </c>
      <c r="CQ172" s="72">
        <f t="shared" si="1031"/>
        <v>268</v>
      </c>
      <c r="CR172" s="72">
        <f t="shared" si="1032"/>
        <v>300</v>
      </c>
      <c r="CS172" s="72" t="str">
        <f t="shared" si="1033"/>
        <v>-</v>
      </c>
      <c r="CT172" s="23" t="e">
        <f t="shared" si="1034"/>
        <v>#VALUE!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30" x14ac:dyDescent="0.2">
      <c r="A173" s="3" t="str">
        <f t="shared" si="867"/>
        <v>cxcr4_human_4RWS</v>
      </c>
      <c r="B173" s="3" t="s">
        <v>1171</v>
      </c>
      <c r="C173" s="3" t="s">
        <v>1052</v>
      </c>
      <c r="D173" s="3" t="str">
        <f>IFERROR(MID(VLOOKUP($B173,Seqs!$A:$B,2,0),E173,1),"")</f>
        <v>R</v>
      </c>
      <c r="E173" s="3">
        <v>30</v>
      </c>
      <c r="F173" s="3" t="str">
        <f>IFERROR(MID(VLOOKUP($B173,Seqs!$A:$B,2,0),G173,1),"")</f>
        <v>Q</v>
      </c>
      <c r="G173" s="3">
        <v>66</v>
      </c>
      <c r="H173" s="3" t="str">
        <f>IFERROR(MID(VLOOKUP($B173,Seqs!$A:$B,2,0),I173,1),"")</f>
        <v/>
      </c>
      <c r="I173" s="23" t="s">
        <v>23</v>
      </c>
      <c r="J173" s="3" t="str">
        <f>IFERROR(MID(VLOOKUP($B173,Seqs!$A:$B,2,0),K173,1),"")</f>
        <v/>
      </c>
      <c r="K173" s="23" t="s">
        <v>23</v>
      </c>
      <c r="L173" s="3" t="str">
        <f>IFERROR(MID(VLOOKUP($B173,Seqs!$A:$B,2,0),M173,1),"")</f>
        <v>S</v>
      </c>
      <c r="M173" s="3">
        <v>71</v>
      </c>
      <c r="N173" s="3" t="str">
        <f>IFERROR(MID(VLOOKUP($B173,Seqs!$A:$B,2,0),O173,1),"")</f>
        <v>A</v>
      </c>
      <c r="O173" s="3">
        <v>100</v>
      </c>
      <c r="P173" s="3" t="str">
        <f>IFERROR(MID(VLOOKUP($B173,Seqs!$A:$B,2,0),Q173,1),"")</f>
        <v>N</v>
      </c>
      <c r="Q173" s="3">
        <v>101</v>
      </c>
      <c r="R173" s="3" t="str">
        <f>IFERROR(MID(VLOOKUP($B173,Seqs!$A:$B,2,0),S173,1),"")</f>
        <v>F</v>
      </c>
      <c r="S173" s="3">
        <v>104</v>
      </c>
      <c r="T173" s="3" t="str">
        <f>IFERROR(MID(VLOOKUP($B173,Seqs!$A:$B,2,0),U173,1),"")</f>
        <v>G</v>
      </c>
      <c r="U173" s="3">
        <v>105</v>
      </c>
      <c r="V173" s="3" t="str">
        <f>IFERROR(MID(VLOOKUP($B173,Seqs!$A:$B,2,0),W173,1),"")</f>
        <v>H</v>
      </c>
      <c r="W173" s="3">
        <v>140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S</v>
      </c>
      <c r="AC173" s="9">
        <v>144</v>
      </c>
      <c r="AD173" s="3" t="str">
        <f>IFERROR(MID(VLOOKUP($B173,Seqs!$A:$B,2,0),AE173,1),"")</f>
        <v>A</v>
      </c>
      <c r="AE173" s="3">
        <v>175</v>
      </c>
      <c r="AF173" s="3" t="str">
        <f>IFERROR(MID(VLOOKUP($B173,Seqs!$A:$B,2,0),AG173,1),"")</f>
        <v>C</v>
      </c>
      <c r="AG173" s="3">
        <v>186</v>
      </c>
      <c r="AH173" s="3" t="str">
        <f>IFERROR(MID(VLOOKUP($B173,Seqs!$A:$B,2,0),AI173,1),"")</f>
        <v>R</v>
      </c>
      <c r="AI173" s="3">
        <v>188</v>
      </c>
      <c r="AJ173" s="3" t="str">
        <f>IFERROR(MID(VLOOKUP($B173,Seqs!$A:$B,2,0),AK173,1),"")</f>
        <v>D</v>
      </c>
      <c r="AK173" s="3">
        <v>193</v>
      </c>
      <c r="AL173" s="3" t="str">
        <f>IFERROR(MID(VLOOKUP($B173,Seqs!$A:$B,2,0),AM173,1),"")</f>
        <v>S</v>
      </c>
      <c r="AM173" s="3">
        <v>227</v>
      </c>
      <c r="AN173" s="3" t="str">
        <f>IFERROR(MID(VLOOKUP($B173,Seqs!$A:$B,2,0),AO173,1),"")</f>
        <v>K</v>
      </c>
      <c r="AO173" s="3">
        <v>239</v>
      </c>
      <c r="AP173" s="3" t="str">
        <f>IFERROR(MID(VLOOKUP($B173,Seqs!$A:$B,2,0),AQ173,1),"")</f>
        <v>E</v>
      </c>
      <c r="AQ173" s="3">
        <v>268</v>
      </c>
      <c r="AR173" s="3" t="str">
        <f>IFERROR(MID(VLOOKUP($B173,Seqs!$A:$B,2,0),AS173,1),"")</f>
        <v>G</v>
      </c>
      <c r="AS173" s="3">
        <v>273</v>
      </c>
      <c r="AT173" s="3" t="str">
        <f>IFERROR(MID(VLOOKUP($B173,Seqs!$A:$B,2,0),AU173,1),"")</f>
        <v>I</v>
      </c>
      <c r="AU173" s="3">
        <v>300</v>
      </c>
      <c r="AV173" s="3" t="str">
        <f>IFERROR(MID(VLOOKUP($B173,Seqs!$A:$B,2,0),AW173,1),"")</f>
        <v/>
      </c>
      <c r="AW173" s="3" t="s">
        <v>23</v>
      </c>
      <c r="AX173" s="3" t="str">
        <f>IFERROR(MID(VLOOKUP($B173,Seqs!$A:$B,2,0),AY173,1),"")</f>
        <v/>
      </c>
      <c r="AY173" s="3" t="s">
        <v>23</v>
      </c>
      <c r="AZ173" s="77" t="str">
        <f>VLOOKUP(B173,Classification!A:D,2,0)</f>
        <v>A</v>
      </c>
      <c r="BA173" s="94" t="str">
        <f>VLOOKUP(B173,Classification!A:D,4,0)</f>
        <v>Chemokine</v>
      </c>
      <c r="BB173" s="27" t="b">
        <f t="shared" si="868"/>
        <v>1</v>
      </c>
      <c r="BC173" s="23">
        <f t="shared" si="1009"/>
        <v>238</v>
      </c>
      <c r="BD173" s="5" t="s">
        <v>23</v>
      </c>
      <c r="BE173" s="3" t="s">
        <v>1374</v>
      </c>
      <c r="BF173" s="119">
        <v>3.1</v>
      </c>
      <c r="BG173" s="49" t="s">
        <v>1377</v>
      </c>
      <c r="BH173" s="49" t="s">
        <v>1377</v>
      </c>
      <c r="BI173" s="1"/>
      <c r="BJ173" s="70" t="s">
        <v>1287</v>
      </c>
      <c r="BK173" s="57" t="s">
        <v>1287</v>
      </c>
      <c r="BL173" s="57" t="s">
        <v>1287</v>
      </c>
      <c r="BM173" s="57" t="s">
        <v>1287</v>
      </c>
      <c r="BN173" s="57" t="s">
        <v>1287</v>
      </c>
      <c r="BO173" s="57" t="s">
        <v>1287</v>
      </c>
      <c r="BP173" s="57" t="s">
        <v>1287</v>
      </c>
      <c r="BQ173" s="57" t="s">
        <v>1287</v>
      </c>
      <c r="BR173" s="57" t="s">
        <v>1287</v>
      </c>
      <c r="BS173" s="57" t="s">
        <v>1287</v>
      </c>
      <c r="BT173" s="57" t="s">
        <v>1287</v>
      </c>
      <c r="BU173" s="57" t="s">
        <v>1287</v>
      </c>
      <c r="BV173" s="70">
        <f t="shared" si="1010"/>
        <v>30</v>
      </c>
      <c r="BW173" s="71" t="str">
        <f t="shared" si="1011"/>
        <v>-</v>
      </c>
      <c r="BX173" s="72">
        <f t="shared" si="1012"/>
        <v>71</v>
      </c>
      <c r="BY173" s="71">
        <f t="shared" si="1013"/>
        <v>101</v>
      </c>
      <c r="BZ173" s="72">
        <f t="shared" si="1014"/>
        <v>105</v>
      </c>
      <c r="CA173" s="71" t="str">
        <f t="shared" si="1015"/>
        <v>-</v>
      </c>
      <c r="CB173" s="72">
        <f t="shared" si="1016"/>
        <v>144</v>
      </c>
      <c r="CC173" s="71">
        <f t="shared" si="1017"/>
        <v>186</v>
      </c>
      <c r="CD173" s="72">
        <f t="shared" si="1018"/>
        <v>193</v>
      </c>
      <c r="CE173" s="71">
        <f t="shared" si="1019"/>
        <v>239</v>
      </c>
      <c r="CF173" s="72">
        <f t="shared" si="1020"/>
        <v>273</v>
      </c>
      <c r="CG173" s="71" t="str">
        <f t="shared" si="1021"/>
        <v>-</v>
      </c>
      <c r="CH173" s="70">
        <f t="shared" si="1022"/>
        <v>66</v>
      </c>
      <c r="CI173" s="71" t="str">
        <f t="shared" si="1023"/>
        <v>-</v>
      </c>
      <c r="CJ173" s="72">
        <f t="shared" si="1024"/>
        <v>100</v>
      </c>
      <c r="CK173" s="72">
        <f t="shared" si="1025"/>
        <v>104</v>
      </c>
      <c r="CL173" s="72">
        <f t="shared" si="1026"/>
        <v>140</v>
      </c>
      <c r="CM173" s="72" t="str">
        <f t="shared" si="1027"/>
        <v>-</v>
      </c>
      <c r="CN173" s="72">
        <f t="shared" si="1028"/>
        <v>175</v>
      </c>
      <c r="CO173" s="72">
        <f t="shared" si="1029"/>
        <v>188</v>
      </c>
      <c r="CP173" s="72">
        <f t="shared" si="1030"/>
        <v>227</v>
      </c>
      <c r="CQ173" s="72">
        <f t="shared" si="1031"/>
        <v>268</v>
      </c>
      <c r="CR173" s="72">
        <f t="shared" si="1032"/>
        <v>300</v>
      </c>
      <c r="CS173" s="72" t="str">
        <f t="shared" si="1033"/>
        <v>-</v>
      </c>
      <c r="CT173" s="23" t="e">
        <f t="shared" si="1034"/>
        <v>#VALUE!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>CONCATENATE(B174,"_",C174)</f>
        <v>drd2_human__wt</v>
      </c>
      <c r="B174" s="3" t="s">
        <v>191</v>
      </c>
      <c r="C174" s="3" t="s">
        <v>100</v>
      </c>
      <c r="D174" s="3" t="str">
        <f>IFERROR(MID(VLOOKUP($B174,Seqs!$A:$B,2,0),E174,1),"")</f>
        <v>R</v>
      </c>
      <c r="E174" s="3">
        <v>31</v>
      </c>
      <c r="F174" s="3" t="str">
        <f>IFERROR(MID(VLOOKUP($B174,Seqs!$A:$B,2,0),G174,1),"")</f>
        <v>E</v>
      </c>
      <c r="G174" s="3">
        <v>62</v>
      </c>
      <c r="H174" s="3" t="str">
        <f>IFERROR(MID(VLOOKUP($B174,Seqs!$A:$B,2,0),I174,1),"")</f>
        <v>K</v>
      </c>
      <c r="I174" s="23">
        <v>63</v>
      </c>
      <c r="J174" s="3" t="str">
        <f>IFERROR(MID(VLOOKUP($B174,Seqs!$A:$B,2,0),K174,1),"")</f>
        <v>Q</v>
      </c>
      <c r="K174" s="23">
        <v>66</v>
      </c>
      <c r="L174" s="3" t="str">
        <f>IFERROR(MID(VLOOKUP($B174,Seqs!$A:$B,2,0),M174,1),"")</f>
        <v>T</v>
      </c>
      <c r="M174" s="3">
        <v>67</v>
      </c>
      <c r="N174" s="3" t="str">
        <f>IFERROR(MID(VLOOKUP($B174,Seqs!$A:$B,2,0),O174,1),"")</f>
        <v>G</v>
      </c>
      <c r="O174" s="3">
        <v>98</v>
      </c>
      <c r="P174" s="3" t="str">
        <f>IFERROR(MID(VLOOKUP($B174,Seqs!$A:$B,2,0),Q174,1),"")</f>
        <v>E</v>
      </c>
      <c r="Q174" s="3">
        <v>99</v>
      </c>
      <c r="R174" s="3" t="str">
        <f>IFERROR(MID(VLOOKUP($B174,Seqs!$A:$B,2,0),S174,1),"")</f>
        <v>F</v>
      </c>
      <c r="S174" s="3">
        <v>102</v>
      </c>
      <c r="T174" s="3" t="str">
        <f>IFERROR(MID(VLOOKUP($B174,Seqs!$A:$B,2,0),U174,1),"")</f>
        <v>S</v>
      </c>
      <c r="U174" s="3">
        <v>103</v>
      </c>
      <c r="V174" s="3" t="str">
        <f>IFERROR(MID(VLOOKUP($B174,Seqs!$A:$B,2,0),W174,1),"")</f>
        <v>M</v>
      </c>
      <c r="W174" s="3">
        <v>138</v>
      </c>
      <c r="X174" s="3" t="str">
        <f>IFERROR(MID(VLOOKUP($B174,Seqs!$A:$B,2,0),Y174,1),"")</f>
        <v>P</v>
      </c>
      <c r="Y174" s="3">
        <v>139</v>
      </c>
      <c r="Z174" s="3" t="str">
        <f>IFERROR(MID(VLOOKUP($B174,Seqs!$A:$B,2,0),AA174,1),"")</f>
        <v>S</v>
      </c>
      <c r="AA174" s="3">
        <v>147</v>
      </c>
      <c r="AB174" s="3" t="str">
        <f>IFERROR(MID(VLOOKUP($B174,Seqs!$A:$B,2,0),AC174,1),"")</f>
        <v>S</v>
      </c>
      <c r="AC174" s="3">
        <v>148</v>
      </c>
      <c r="AD174" s="3" t="str">
        <f>IFERROR(MID(VLOOKUP($B174,Seqs!$A:$B,2,0),AE174,1),"")</f>
        <v>F</v>
      </c>
      <c r="AE174" s="3">
        <v>172</v>
      </c>
      <c r="AF174" s="3" t="str">
        <f>IFERROR(MID(VLOOKUP($B174,Seqs!$A:$B,2,0),AG174,1),"")</f>
        <v>C</v>
      </c>
      <c r="AG174" s="3">
        <v>182</v>
      </c>
      <c r="AH174" s="3" t="str">
        <f>IFERROR(MID(VLOOKUP($B174,Seqs!$A:$B,2,0),AI174,1),"")</f>
        <v>I</v>
      </c>
      <c r="AI174" s="3">
        <v>184</v>
      </c>
      <c r="AJ174" s="3" t="str">
        <f>IFERROR(MID(VLOOKUP($B174,Seqs!$A:$B,2,0),AK174,1),"")</f>
        <v>N</v>
      </c>
      <c r="AK174" s="3">
        <v>186</v>
      </c>
      <c r="AL174" s="3" t="str">
        <f>IFERROR(MID(VLOOKUP($B174,Seqs!$A:$B,2,0),AM174,1),"")</f>
        <v>K</v>
      </c>
      <c r="AM174" s="3">
        <v>226</v>
      </c>
      <c r="AN174" s="3" t="str">
        <f>IFERROR(MID(VLOOKUP($B174,Seqs!$A:$B,2,0),AO174,1),"")</f>
        <v>K</v>
      </c>
      <c r="AO174" s="3">
        <v>362</v>
      </c>
      <c r="AP174" s="3" t="str">
        <f>IFERROR(MID(VLOOKUP($B174,Seqs!$A:$B,2,0),AQ174,1),"")</f>
        <v>C</v>
      </c>
      <c r="AQ174" s="3">
        <v>399</v>
      </c>
      <c r="AR174" s="3" t="str">
        <f>IFERROR(MID(VLOOKUP($B174,Seqs!$A:$B,2,0),AS174,1),"")</f>
        <v>P</v>
      </c>
      <c r="AS174" s="3">
        <v>404</v>
      </c>
      <c r="AT174" s="3" t="str">
        <f>IFERROR(MID(VLOOKUP($B174,Seqs!$A:$B,2,0),AU174,1),"")</f>
        <v>F</v>
      </c>
      <c r="AU174" s="3">
        <v>429</v>
      </c>
      <c r="AV174" s="3" t="str">
        <f>IFERROR(MID(VLOOKUP($B174,Seqs!$A:$B,2,0),AW174,1),"")</f>
        <v>N</v>
      </c>
      <c r="AW174" s="3">
        <v>430</v>
      </c>
      <c r="AX174" s="3" t="str">
        <f>IFERROR(MID(VLOOKUP($B174,Seqs!$A:$B,2,0),AY174,1),"")</f>
        <v>H</v>
      </c>
      <c r="AY174" s="3">
        <v>442</v>
      </c>
      <c r="AZ174" s="77" t="str">
        <f>VLOOKUP(B174,Classification!A:D,2,0)</f>
        <v>A</v>
      </c>
      <c r="BA174" s="94" t="str">
        <f>VLOOKUP(B174,Classification!A:D,4,0)</f>
        <v>Dopamine</v>
      </c>
      <c r="BB174" s="27" t="b">
        <f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23">
        <f>_xlfn.AGGREGATE(9,6,CH174:CS174)-_xlfn.AGGREGATE(9,6,BV174:CG174)+12</f>
        <v>263</v>
      </c>
      <c r="BD174" s="56" t="s">
        <v>23</v>
      </c>
      <c r="BE174" s="3" t="s">
        <v>23</v>
      </c>
      <c r="BF174" s="119" t="s">
        <v>23</v>
      </c>
      <c r="BG174" s="49" t="s">
        <v>1372</v>
      </c>
      <c r="BH174" s="49" t="s">
        <v>1377</v>
      </c>
      <c r="BI174" s="1"/>
      <c r="BJ174" s="70" t="s">
        <v>1287</v>
      </c>
      <c r="BK174" s="57" t="s">
        <v>1287</v>
      </c>
      <c r="BL174" s="57" t="s">
        <v>1287</v>
      </c>
      <c r="BM174" s="57" t="s">
        <v>1287</v>
      </c>
      <c r="BN174" s="57" t="s">
        <v>1287</v>
      </c>
      <c r="BO174" s="57" t="s">
        <v>1287</v>
      </c>
      <c r="BP174" s="57" t="s">
        <v>1287</v>
      </c>
      <c r="BQ174" s="57" t="s">
        <v>1287</v>
      </c>
      <c r="BR174" s="57" t="s">
        <v>1287</v>
      </c>
      <c r="BS174" s="57" t="s">
        <v>1287</v>
      </c>
      <c r="BT174" s="57" t="s">
        <v>1287</v>
      </c>
      <c r="BU174" s="57" t="s">
        <v>1287</v>
      </c>
      <c r="BV174" s="70">
        <f>E174</f>
        <v>31</v>
      </c>
      <c r="BW174" s="71">
        <f>I174</f>
        <v>63</v>
      </c>
      <c r="BX174" s="72">
        <f>M174</f>
        <v>67</v>
      </c>
      <c r="BY174" s="71">
        <f>Q174</f>
        <v>99</v>
      </c>
      <c r="BZ174" s="72">
        <f>U174</f>
        <v>103</v>
      </c>
      <c r="CA174" s="71">
        <f>Y174</f>
        <v>139</v>
      </c>
      <c r="CB174" s="72">
        <f>AC174</f>
        <v>148</v>
      </c>
      <c r="CC174" s="71">
        <f>AG174</f>
        <v>182</v>
      </c>
      <c r="CD174" s="72">
        <f>AK174</f>
        <v>186</v>
      </c>
      <c r="CE174" s="71">
        <f>AO174</f>
        <v>362</v>
      </c>
      <c r="CF174" s="72">
        <f>AS174</f>
        <v>404</v>
      </c>
      <c r="CG174" s="71">
        <f>AW174</f>
        <v>430</v>
      </c>
      <c r="CH174" s="70">
        <f>G174</f>
        <v>62</v>
      </c>
      <c r="CI174" s="71">
        <f>K174</f>
        <v>66</v>
      </c>
      <c r="CJ174" s="72">
        <f>O174</f>
        <v>98</v>
      </c>
      <c r="CK174" s="72">
        <f>S174</f>
        <v>102</v>
      </c>
      <c r="CL174" s="72">
        <f>W174</f>
        <v>138</v>
      </c>
      <c r="CM174" s="72">
        <f>AA174</f>
        <v>147</v>
      </c>
      <c r="CN174" s="72">
        <f>AE174</f>
        <v>172</v>
      </c>
      <c r="CO174" s="72">
        <f>AI174</f>
        <v>184</v>
      </c>
      <c r="CP174" s="72">
        <f>AM174</f>
        <v>226</v>
      </c>
      <c r="CQ174" s="72">
        <f>AQ174</f>
        <v>399</v>
      </c>
      <c r="CR174" s="72">
        <f>AU174</f>
        <v>429</v>
      </c>
      <c r="CS174" s="72">
        <f>AY174</f>
        <v>442</v>
      </c>
      <c r="CT174" s="23">
        <f>M174-K174</f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>CONCATENATE(B175,"_",C175)</f>
        <v>drd2_human_6CM4</v>
      </c>
      <c r="B175" s="3" t="s">
        <v>191</v>
      </c>
      <c r="C175" s="3" t="s">
        <v>1476</v>
      </c>
      <c r="D175" s="3" t="str">
        <f>IFERROR(MID(VLOOKUP($B175,Seqs!$A:$B,2,0),E175,1),"")</f>
        <v>N</v>
      </c>
      <c r="E175" s="3">
        <v>35</v>
      </c>
      <c r="F175" s="3" t="str">
        <f>IFERROR(MID(VLOOKUP($B175,Seqs!$A:$B,2,0),G175,1),"")</f>
        <v>E</v>
      </c>
      <c r="G175" s="3">
        <v>62</v>
      </c>
      <c r="H175" s="3" t="str">
        <f>IFERROR(MID(VLOOKUP($B175,Seqs!$A:$B,2,0),I175,1),"")</f>
        <v>K</v>
      </c>
      <c r="I175" s="23">
        <v>63</v>
      </c>
      <c r="J175" s="3" t="str">
        <f>IFERROR(MID(VLOOKUP($B175,Seqs!$A:$B,2,0),K175,1),"")</f>
        <v>Q</v>
      </c>
      <c r="K175" s="23">
        <v>66</v>
      </c>
      <c r="L175" s="3" t="str">
        <f>IFERROR(MID(VLOOKUP($B175,Seqs!$A:$B,2,0),M175,1),"")</f>
        <v>T</v>
      </c>
      <c r="M175" s="3">
        <v>67</v>
      </c>
      <c r="N175" s="3" t="str">
        <f>IFERROR(MID(VLOOKUP($B175,Seqs!$A:$B,2,0),O175,1),"")</f>
        <v>G</v>
      </c>
      <c r="O175" s="3">
        <v>98</v>
      </c>
      <c r="P175" s="3" t="str">
        <f>IFERROR(MID(VLOOKUP($B175,Seqs!$A:$B,2,0),Q175,1),"")</f>
        <v>E</v>
      </c>
      <c r="Q175" s="3">
        <v>99</v>
      </c>
      <c r="R175" s="3" t="str">
        <f>IFERROR(MID(VLOOKUP($B175,Seqs!$A:$B,2,0),S175,1),"")</f>
        <v>F</v>
      </c>
      <c r="S175" s="3">
        <v>102</v>
      </c>
      <c r="T175" s="3" t="str">
        <f>IFERROR(MID(VLOOKUP($B175,Seqs!$A:$B,2,0),U175,1),"")</f>
        <v>S</v>
      </c>
      <c r="U175" s="3">
        <v>103</v>
      </c>
      <c r="V175" s="3" t="str">
        <f>IFERROR(MID(VLOOKUP($B175,Seqs!$A:$B,2,0),W175,1),"")</f>
        <v>M</v>
      </c>
      <c r="W175" s="3">
        <v>138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Y</v>
      </c>
      <c r="AC175" s="3">
        <v>146</v>
      </c>
      <c r="AD175" s="3" t="str">
        <f>IFERROR(MID(VLOOKUP($B175,Seqs!$A:$B,2,0),AE175,1),"")</f>
        <v>F</v>
      </c>
      <c r="AE175" s="3">
        <v>172</v>
      </c>
      <c r="AF175" s="3" t="str">
        <f>IFERROR(MID(VLOOKUP($B175,Seqs!$A:$B,2,0),AG175,1),"")</f>
        <v>C</v>
      </c>
      <c r="AG175" s="3">
        <v>182</v>
      </c>
      <c r="AH175" s="3" t="str">
        <f>IFERROR(MID(VLOOKUP($B175,Seqs!$A:$B,2,0),AI175,1),"")</f>
        <v>I</v>
      </c>
      <c r="AI175" s="3">
        <v>184</v>
      </c>
      <c r="AJ175" s="3" t="str">
        <f>IFERROR(MID(VLOOKUP($B175,Seqs!$A:$B,2,0),AK175,1),"")</f>
        <v>A</v>
      </c>
      <c r="AK175" s="3">
        <v>188</v>
      </c>
      <c r="AL175" s="3" t="str">
        <f>IFERROR(MID(VLOOKUP($B175,Seqs!$A:$B,2,0),AM175,1),"")</f>
        <v>R</v>
      </c>
      <c r="AM175" s="3">
        <v>222</v>
      </c>
      <c r="AN175" s="3" t="str">
        <f>IFERROR(MID(VLOOKUP($B175,Seqs!$A:$B,2,0),AO175,1),"")</f>
        <v>E</v>
      </c>
      <c r="AO175" s="3">
        <v>368</v>
      </c>
      <c r="AP175" s="3" t="str">
        <f>IFERROR(MID(VLOOKUP($B175,Seqs!$A:$B,2,0),AQ175,1),"")</f>
        <v>C</v>
      </c>
      <c r="AQ175" s="3">
        <v>399</v>
      </c>
      <c r="AR175" s="3" t="str">
        <f>IFERROR(MID(VLOOKUP($B175,Seqs!$A:$B,2,0),AS175,1),"")</f>
        <v>P</v>
      </c>
      <c r="AS175" s="3">
        <v>404</v>
      </c>
      <c r="AT175" s="3" t="str">
        <f>IFERROR(MID(VLOOKUP($B175,Seqs!$A:$B,2,0),AU175,1),"")</f>
        <v>F</v>
      </c>
      <c r="AU175" s="3">
        <v>429</v>
      </c>
      <c r="AV175" s="3" t="str">
        <f>IFERROR(MID(VLOOKUP($B175,Seqs!$A:$B,2,0),AW175,1),"")</f>
        <v>N</v>
      </c>
      <c r="AW175" s="3">
        <v>430</v>
      </c>
      <c r="AX175" s="3" t="str">
        <f>IFERROR(MID(VLOOKUP($B175,Seqs!$A:$B,2,0),AY175,1),"")</f>
        <v>H</v>
      </c>
      <c r="AY175" s="3">
        <v>442</v>
      </c>
      <c r="AZ175" s="77" t="str">
        <f>VLOOKUP(B175,Classification!A:D,2,0)</f>
        <v>A</v>
      </c>
      <c r="BA175" s="94" t="str">
        <f>VLOOKUP(B175,Classification!A:D,4,0)</f>
        <v>Dopamine</v>
      </c>
      <c r="BB175" s="27" t="b">
        <f>AND(E175&lt;G175,OR(G175&lt;I175,I175="-"),OR(I175&lt;K175,I175="-"),OR(K175&lt;M175,K175="-"),M175&lt;O175,OR(O175&lt;Q175,Q175="-"),OR(Q175&lt;S175,Q175="-"),OR(S175&lt;U175,S175="-"),U175&lt;W175,OR(W175&lt;Y175,Y175="-"),OR(Y175&lt;AA175,Y175="-"),OR(AA175&lt;AC175,AA175="-"),AC175&lt;AE175,OR(AE175&lt;AG175,AG175="-"),OR(AG175&lt;AI175,AG175="-"),OR(AI175&lt;AK175,AI175="-"),AK175&lt;AM175,AM175&lt;AO175,AO175&lt;AQ175,AQ175&lt;AS175,AS175&lt;AU175,OR(AU175&lt;AW175,AW175="-"),OR(AW175&lt;AY175,AW175="-"))</f>
        <v>1</v>
      </c>
      <c r="BC175" s="23">
        <f>_xlfn.AGGREGATE(9,6,CH175:CS175)-_xlfn.AGGREGATE(9,6,BV175:CG175)+12</f>
        <v>241</v>
      </c>
      <c r="BD175" s="56" t="s">
        <v>1376</v>
      </c>
      <c r="BE175" s="3" t="s">
        <v>1374</v>
      </c>
      <c r="BF175" s="119">
        <v>2.87</v>
      </c>
      <c r="BG175" s="49" t="s">
        <v>1</v>
      </c>
      <c r="BH175" s="49" t="s">
        <v>1</v>
      </c>
      <c r="BI175" s="1"/>
      <c r="BJ175" s="70" t="s">
        <v>1287</v>
      </c>
      <c r="BK175" s="57" t="s">
        <v>1287</v>
      </c>
      <c r="BL175" s="57" t="s">
        <v>1287</v>
      </c>
      <c r="BM175" s="57" t="s">
        <v>1287</v>
      </c>
      <c r="BN175" s="57" t="s">
        <v>1287</v>
      </c>
      <c r="BO175" s="57" t="s">
        <v>1287</v>
      </c>
      <c r="BP175" s="57" t="s">
        <v>1287</v>
      </c>
      <c r="BQ175" s="57" t="s">
        <v>1287</v>
      </c>
      <c r="BR175" s="57" t="s">
        <v>1287</v>
      </c>
      <c r="BS175" s="57" t="s">
        <v>1287</v>
      </c>
      <c r="BT175" s="57" t="s">
        <v>1287</v>
      </c>
      <c r="BU175" s="57" t="s">
        <v>1287</v>
      </c>
      <c r="BV175" s="70">
        <f>E175</f>
        <v>35</v>
      </c>
      <c r="BW175" s="71">
        <f>I175</f>
        <v>63</v>
      </c>
      <c r="BX175" s="72">
        <f>M175</f>
        <v>67</v>
      </c>
      <c r="BY175" s="71">
        <f>Q175</f>
        <v>99</v>
      </c>
      <c r="BZ175" s="72">
        <f>U175</f>
        <v>103</v>
      </c>
      <c r="CA175" s="71" t="str">
        <f>Y175</f>
        <v>-</v>
      </c>
      <c r="CB175" s="72">
        <f>AC175</f>
        <v>146</v>
      </c>
      <c r="CC175" s="71">
        <f>AG175</f>
        <v>182</v>
      </c>
      <c r="CD175" s="72">
        <f>AK175</f>
        <v>188</v>
      </c>
      <c r="CE175" s="71">
        <f>AO175</f>
        <v>368</v>
      </c>
      <c r="CF175" s="72">
        <f>AS175</f>
        <v>404</v>
      </c>
      <c r="CG175" s="71">
        <f>AW175</f>
        <v>430</v>
      </c>
      <c r="CH175" s="70">
        <f>G175</f>
        <v>62</v>
      </c>
      <c r="CI175" s="71">
        <f>K175</f>
        <v>66</v>
      </c>
      <c r="CJ175" s="72">
        <f>O175</f>
        <v>98</v>
      </c>
      <c r="CK175" s="72">
        <f>S175</f>
        <v>102</v>
      </c>
      <c r="CL175" s="72">
        <f>W175</f>
        <v>138</v>
      </c>
      <c r="CM175" s="72" t="str">
        <f>AA175</f>
        <v>-</v>
      </c>
      <c r="CN175" s="72">
        <f>AE175</f>
        <v>172</v>
      </c>
      <c r="CO175" s="72">
        <f>AI175</f>
        <v>184</v>
      </c>
      <c r="CP175" s="72">
        <f>AM175</f>
        <v>222</v>
      </c>
      <c r="CQ175" s="72">
        <f>AQ175</f>
        <v>399</v>
      </c>
      <c r="CR175" s="72">
        <f>AU175</f>
        <v>429</v>
      </c>
      <c r="CS175" s="72">
        <f>AY175</f>
        <v>442</v>
      </c>
      <c r="CT175" s="23">
        <f>M175-K175</f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 t="shared" si="867"/>
        <v>drd3_human__wt</v>
      </c>
      <c r="B176" s="3" t="s">
        <v>192</v>
      </c>
      <c r="C176" s="3" t="s">
        <v>100</v>
      </c>
      <c r="D176" s="3" t="str">
        <f>IFERROR(MID(VLOOKUP($B176,Seqs!$A:$B,2,0),E176,1),"")</f>
        <v>A</v>
      </c>
      <c r="E176" s="3">
        <v>26</v>
      </c>
      <c r="F176" s="3" t="str">
        <f>IFERROR(MID(VLOOKUP($B176,Seqs!$A:$B,2,0),G176,1),"")</f>
        <v>E</v>
      </c>
      <c r="G176" s="3">
        <v>57</v>
      </c>
      <c r="H176" s="3" t="str">
        <f>IFERROR(MID(VLOOKUP($B176,Seqs!$A:$B,2,0),I176,1),"")</f>
        <v>R</v>
      </c>
      <c r="I176" s="23">
        <v>58</v>
      </c>
      <c r="J176" s="3" t="str">
        <f>IFERROR(MID(VLOOKUP($B176,Seqs!$A:$B,2,0),K176,1),"")</f>
        <v>Q</v>
      </c>
      <c r="K176" s="23">
        <v>61</v>
      </c>
      <c r="L176" s="3" t="str">
        <f>IFERROR(MID(VLOOKUP($B176,Seqs!$A:$B,2,0),M176,1),"")</f>
        <v>T</v>
      </c>
      <c r="M176" s="3">
        <v>62</v>
      </c>
      <c r="N176" s="3" t="str">
        <f>IFERROR(MID(VLOOKUP($B176,Seqs!$A:$B,2,0),O176,1),"")</f>
        <v>T</v>
      </c>
      <c r="O176" s="3">
        <v>92</v>
      </c>
      <c r="P176" s="3" t="str">
        <f>IFERROR(MID(VLOOKUP($B176,Seqs!$A:$B,2,0),Q176,1),"")</f>
        <v>V</v>
      </c>
      <c r="Q176" s="3">
        <v>95</v>
      </c>
      <c r="R176" s="3" t="str">
        <f>IFERROR(MID(VLOOKUP($B176,Seqs!$A:$B,2,0),S176,1),"")</f>
        <v>F</v>
      </c>
      <c r="S176" s="3">
        <v>98</v>
      </c>
      <c r="T176" s="3" t="str">
        <f>IFERROR(MID(VLOOKUP($B176,Seqs!$A:$B,2,0),U176,1),"")</f>
        <v>S</v>
      </c>
      <c r="U176" s="3">
        <v>99</v>
      </c>
      <c r="V176" s="3" t="str">
        <f>IFERROR(MID(VLOOKUP($B176,Seqs!$A:$B,2,0),W176,1),"")</f>
        <v>M</v>
      </c>
      <c r="W176" s="3">
        <v>134</v>
      </c>
      <c r="X176" s="3" t="str">
        <f>IFERROR(MID(VLOOKUP($B176,Seqs!$A:$B,2,0),Y176,1),"")</f>
        <v>P</v>
      </c>
      <c r="Y176" s="3">
        <v>135</v>
      </c>
      <c r="Z176" s="3" t="str">
        <f>IFERROR(MID(VLOOKUP($B176,Seqs!$A:$B,2,0),AA176,1),"")</f>
        <v>G</v>
      </c>
      <c r="AA176" s="3">
        <v>143</v>
      </c>
      <c r="AB176" s="3" t="str">
        <f>IFERROR(MID(VLOOKUP($B176,Seqs!$A:$B,2,0),AC176,1),"")</f>
        <v>S</v>
      </c>
      <c r="AC176" s="3">
        <v>146</v>
      </c>
      <c r="AD176" s="3" t="str">
        <f>IFERROR(MID(VLOOKUP($B176,Seqs!$A:$B,2,0),AE176,1),"")</f>
        <v>G</v>
      </c>
      <c r="AE176" s="3">
        <v>171</v>
      </c>
      <c r="AF176" s="3" t="str">
        <f>IFERROR(MID(VLOOKUP($B176,Seqs!$A:$B,2,0),AG176,1),"")</f>
        <v>C</v>
      </c>
      <c r="AG176" s="3">
        <v>181</v>
      </c>
      <c r="AH176" s="3" t="str">
        <f>IFERROR(MID(VLOOKUP($B176,Seqs!$A:$B,2,0),AI176,1),"")</f>
        <v>I</v>
      </c>
      <c r="AI176" s="3">
        <v>183</v>
      </c>
      <c r="AJ176" s="3" t="str">
        <f>IFERROR(MID(VLOOKUP($B176,Seqs!$A:$B,2,0),AK176,1),"")</f>
        <v>N</v>
      </c>
      <c r="AK176" s="3">
        <v>185</v>
      </c>
      <c r="AL176" s="3" t="str">
        <f>IFERROR(MID(VLOOKUP($B176,Seqs!$A:$B,2,0),AM176,1),"")</f>
        <v>R</v>
      </c>
      <c r="AM176" s="3">
        <v>226</v>
      </c>
      <c r="AN176" s="3" t="str">
        <f>IFERROR(MID(VLOOKUP($B176,Seqs!$A:$B,2,0),AO176,1),"")</f>
        <v>R</v>
      </c>
      <c r="AO176" s="3">
        <v>318</v>
      </c>
      <c r="AP176" s="3" t="str">
        <f>IFERROR(MID(VLOOKUP($B176,Seqs!$A:$B,2,0),AQ176,1),"")</f>
        <v>H</v>
      </c>
      <c r="AQ176" s="3">
        <v>354</v>
      </c>
      <c r="AR176" s="3" t="str">
        <f>IFERROR(MID(VLOOKUP($B176,Seqs!$A:$B,2,0),AS176,1),"")</f>
        <v>S</v>
      </c>
      <c r="AS176" s="3">
        <v>361</v>
      </c>
      <c r="AT176" s="3" t="str">
        <f>IFERROR(MID(VLOOKUP($B176,Seqs!$A:$B,2,0),AU176,1),"")</f>
        <v>F</v>
      </c>
      <c r="AU176" s="3">
        <v>386</v>
      </c>
      <c r="AV176" s="3" t="str">
        <f>IFERROR(MID(VLOOKUP($B176,Seqs!$A:$B,2,0),AW176,1),"")</f>
        <v>N</v>
      </c>
      <c r="AW176" s="3">
        <v>387</v>
      </c>
      <c r="AX176" s="3" t="str">
        <f>IFERROR(MID(VLOOKUP($B176,Seqs!$A:$B,2,0),AY176,1),"")</f>
        <v>S</v>
      </c>
      <c r="AY176" s="3">
        <v>399</v>
      </c>
      <c r="AZ176" s="77" t="str">
        <f>VLOOKUP(B176,Classification!A:D,2,0)</f>
        <v>A</v>
      </c>
      <c r="BA176" s="94" t="str">
        <f>VLOOKUP(B176,Classification!A:D,4,0)</f>
        <v>Dopamine</v>
      </c>
      <c r="BB176" s="27" t="b">
        <f t="shared" si="868"/>
        <v>1</v>
      </c>
      <c r="BC176" s="23">
        <f t="shared" si="1009"/>
        <v>263</v>
      </c>
      <c r="BD176" s="56" t="s">
        <v>23</v>
      </c>
      <c r="BE176" s="3" t="s">
        <v>23</v>
      </c>
      <c r="BF176" s="119" t="s">
        <v>23</v>
      </c>
      <c r="BG176" s="49" t="s">
        <v>1372</v>
      </c>
      <c r="BH176" s="49" t="s">
        <v>1377</v>
      </c>
      <c r="BI176" s="1"/>
      <c r="BJ176" s="70" t="s">
        <v>1287</v>
      </c>
      <c r="BK176" s="57" t="s">
        <v>1287</v>
      </c>
      <c r="BL176" s="57" t="s">
        <v>1287</v>
      </c>
      <c r="BM176" s="57" t="s">
        <v>1287</v>
      </c>
      <c r="BN176" s="57" t="s">
        <v>1287</v>
      </c>
      <c r="BO176" s="57" t="s">
        <v>1287</v>
      </c>
      <c r="BP176" s="57" t="s">
        <v>1287</v>
      </c>
      <c r="BQ176" s="57" t="s">
        <v>1287</v>
      </c>
      <c r="BR176" s="57" t="s">
        <v>1287</v>
      </c>
      <c r="BS176" s="57" t="s">
        <v>1287</v>
      </c>
      <c r="BT176" s="57" t="s">
        <v>1287</v>
      </c>
      <c r="BU176" s="57" t="s">
        <v>1287</v>
      </c>
      <c r="BV176" s="70">
        <f t="shared" si="1010"/>
        <v>26</v>
      </c>
      <c r="BW176" s="71">
        <f t="shared" si="1011"/>
        <v>58</v>
      </c>
      <c r="BX176" s="72">
        <f t="shared" si="1012"/>
        <v>62</v>
      </c>
      <c r="BY176" s="71">
        <f t="shared" si="1013"/>
        <v>95</v>
      </c>
      <c r="BZ176" s="72">
        <f t="shared" si="1014"/>
        <v>99</v>
      </c>
      <c r="CA176" s="71">
        <f t="shared" si="1015"/>
        <v>135</v>
      </c>
      <c r="CB176" s="72">
        <f t="shared" si="1016"/>
        <v>146</v>
      </c>
      <c r="CC176" s="71">
        <f t="shared" si="1017"/>
        <v>181</v>
      </c>
      <c r="CD176" s="72">
        <f t="shared" si="1018"/>
        <v>185</v>
      </c>
      <c r="CE176" s="71">
        <f t="shared" si="1019"/>
        <v>318</v>
      </c>
      <c r="CF176" s="72">
        <f t="shared" si="1020"/>
        <v>361</v>
      </c>
      <c r="CG176" s="71">
        <f t="shared" si="1021"/>
        <v>387</v>
      </c>
      <c r="CH176" s="70">
        <f t="shared" si="1022"/>
        <v>57</v>
      </c>
      <c r="CI176" s="71">
        <f t="shared" si="1023"/>
        <v>61</v>
      </c>
      <c r="CJ176" s="72">
        <f t="shared" si="1024"/>
        <v>92</v>
      </c>
      <c r="CK176" s="72">
        <f t="shared" si="1025"/>
        <v>98</v>
      </c>
      <c r="CL176" s="72">
        <f t="shared" si="1026"/>
        <v>134</v>
      </c>
      <c r="CM176" s="72">
        <f t="shared" si="1027"/>
        <v>143</v>
      </c>
      <c r="CN176" s="72">
        <f t="shared" si="1028"/>
        <v>171</v>
      </c>
      <c r="CO176" s="72">
        <f t="shared" si="1029"/>
        <v>183</v>
      </c>
      <c r="CP176" s="72">
        <f t="shared" si="1030"/>
        <v>226</v>
      </c>
      <c r="CQ176" s="72">
        <f t="shared" si="1031"/>
        <v>354</v>
      </c>
      <c r="CR176" s="72">
        <f t="shared" si="1032"/>
        <v>386</v>
      </c>
      <c r="CS176" s="72">
        <f t="shared" si="1033"/>
        <v>399</v>
      </c>
      <c r="CT176" s="23">
        <f t="shared" si="1034"/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29" x14ac:dyDescent="0.2">
      <c r="A177" s="3" t="str">
        <f t="shared" si="867"/>
        <v>drd3_human_3PBL</v>
      </c>
      <c r="B177" s="3" t="s">
        <v>192</v>
      </c>
      <c r="C177" s="3" t="s">
        <v>72</v>
      </c>
      <c r="D177" s="3" t="str">
        <f>IFERROR(MID(VLOOKUP($B177,Seqs!$A:$B,2,0),E177,1),"")</f>
        <v>Y</v>
      </c>
      <c r="E177" s="3">
        <v>32</v>
      </c>
      <c r="F177" s="3" t="str">
        <f>IFERROR(MID(VLOOKUP($B177,Seqs!$A:$B,2,0),G177,1),"")</f>
        <v>E</v>
      </c>
      <c r="G177" s="3">
        <v>57</v>
      </c>
      <c r="H177" s="3" t="str">
        <f>IFERROR(MID(VLOOKUP($B177,Seqs!$A:$B,2,0),I177,1),"")</f>
        <v>R</v>
      </c>
      <c r="I177" s="23">
        <v>58</v>
      </c>
      <c r="J177" s="3" t="str">
        <f>IFERROR(MID(VLOOKUP($B177,Seqs!$A:$B,2,0),K177,1),"")</f>
        <v>Q</v>
      </c>
      <c r="K177" s="23">
        <v>61</v>
      </c>
      <c r="L177" s="3" t="str">
        <f>IFERROR(MID(VLOOKUP($B177,Seqs!$A:$B,2,0),M177,1),"")</f>
        <v>T</v>
      </c>
      <c r="M177" s="3">
        <v>62</v>
      </c>
      <c r="N177" s="3" t="str">
        <f>IFERROR(MID(VLOOKUP($B177,Seqs!$A:$B,2,0),O177,1),"")</f>
        <v>T</v>
      </c>
      <c r="O177" s="3">
        <v>92</v>
      </c>
      <c r="P177" s="3" t="str">
        <f>IFERROR(MID(VLOOKUP($B177,Seqs!$A:$B,2,0),Q177,1),"")</f>
        <v>V</v>
      </c>
      <c r="Q177" s="3">
        <v>95</v>
      </c>
      <c r="R177" s="3" t="str">
        <f>IFERROR(MID(VLOOKUP($B177,Seqs!$A:$B,2,0),S177,1),"")</f>
        <v>F</v>
      </c>
      <c r="S177" s="3">
        <v>98</v>
      </c>
      <c r="T177" s="3" t="str">
        <f>IFERROR(MID(VLOOKUP($B177,Seqs!$A:$B,2,0),U177,1),"")</f>
        <v>S</v>
      </c>
      <c r="U177" s="3">
        <v>99</v>
      </c>
      <c r="V177" s="3" t="str">
        <f>IFERROR(MID(VLOOKUP($B177,Seqs!$A:$B,2,0),W177,1),"")</f>
        <v>M</v>
      </c>
      <c r="W177" s="3">
        <v>134</v>
      </c>
      <c r="X177" s="3" t="str">
        <f>IFERROR(MID(VLOOKUP($B177,Seqs!$A:$B,2,0),Y177,1),"")</f>
        <v>P</v>
      </c>
      <c r="Y177" s="3">
        <v>135</v>
      </c>
      <c r="Z177" s="3" t="str">
        <f>IFERROR(MID(VLOOKUP($B177,Seqs!$A:$B,2,0),AA177,1),"")</f>
        <v>G</v>
      </c>
      <c r="AA177" s="3">
        <v>143</v>
      </c>
      <c r="AB177" s="3" t="str">
        <f>IFERROR(MID(VLOOKUP($B177,Seqs!$A:$B,2,0),AC177,1),"")</f>
        <v>S</v>
      </c>
      <c r="AC177" s="3">
        <v>146</v>
      </c>
      <c r="AD177" s="3" t="str">
        <f>IFERROR(MID(VLOOKUP($B177,Seqs!$A:$B,2,0),AE177,1),"")</f>
        <v>G</v>
      </c>
      <c r="AE177" s="3">
        <v>171</v>
      </c>
      <c r="AF177" s="3" t="str">
        <f>IFERROR(MID(VLOOKUP($B177,Seqs!$A:$B,2,0),AG177,1),"")</f>
        <v>C</v>
      </c>
      <c r="AG177" s="3">
        <v>181</v>
      </c>
      <c r="AH177" s="3" t="str">
        <f>IFERROR(MID(VLOOKUP($B177,Seqs!$A:$B,2,0),AI177,1),"")</f>
        <v>I</v>
      </c>
      <c r="AI177" s="3">
        <v>183</v>
      </c>
      <c r="AJ177" s="3" t="str">
        <f>IFERROR(MID(VLOOKUP($B177,Seqs!$A:$B,2,0),AK177,1),"")</f>
        <v>N</v>
      </c>
      <c r="AK177" s="3">
        <v>185</v>
      </c>
      <c r="AL177" s="3" t="str">
        <f>IFERROR(MID(VLOOKUP($B177,Seqs!$A:$B,2,0),AM177,1),"")</f>
        <v>K</v>
      </c>
      <c r="AM177" s="3">
        <v>216</v>
      </c>
      <c r="AN177" s="3" t="str">
        <f>IFERROR(MID(VLOOKUP($B177,Seqs!$A:$B,2,0),AO177,1),"")</f>
        <v>R</v>
      </c>
      <c r="AO177" s="3">
        <v>323</v>
      </c>
      <c r="AP177" s="3" t="str">
        <f>IFERROR(MID(VLOOKUP($B177,Seqs!$A:$B,2,0),AQ177,1),"")</f>
        <v>H</v>
      </c>
      <c r="AQ177" s="3">
        <v>354</v>
      </c>
      <c r="AR177" s="3" t="str">
        <f>IFERROR(MID(VLOOKUP($B177,Seqs!$A:$B,2,0),AS177,1),"")</f>
        <v>S</v>
      </c>
      <c r="AS177" s="3">
        <v>361</v>
      </c>
      <c r="AT177" s="3" t="str">
        <f>IFERROR(MID(VLOOKUP($B177,Seqs!$A:$B,2,0),AU177,1),"")</f>
        <v>F</v>
      </c>
      <c r="AU177" s="3">
        <v>386</v>
      </c>
      <c r="AV177" s="3" t="str">
        <f>IFERROR(MID(VLOOKUP($B177,Seqs!$A:$B,2,0),AW177,1),"")</f>
        <v>N</v>
      </c>
      <c r="AW177" s="3">
        <v>387</v>
      </c>
      <c r="AX177" s="3" t="str">
        <f>IFERROR(MID(VLOOKUP($B177,Seqs!$A:$B,2,0),AY177,1),"")</f>
        <v>S</v>
      </c>
      <c r="AY177" s="3">
        <v>399</v>
      </c>
      <c r="AZ177" s="77" t="str">
        <f>VLOOKUP(B177,Classification!A:D,2,0)</f>
        <v>A</v>
      </c>
      <c r="BA177" s="94" t="str">
        <f>VLOOKUP(B177,Classification!A:D,4,0)</f>
        <v>Dopamine</v>
      </c>
      <c r="BB177" s="27" t="b">
        <f t="shared" si="868"/>
        <v>1</v>
      </c>
      <c r="BC177" s="23">
        <f t="shared" si="1009"/>
        <v>242</v>
      </c>
      <c r="BD177" s="2" t="s">
        <v>1376</v>
      </c>
      <c r="BE177" s="3" t="s">
        <v>1374</v>
      </c>
      <c r="BF177" s="119">
        <v>2.89</v>
      </c>
      <c r="BG177" s="49" t="s">
        <v>1377</v>
      </c>
      <c r="BH177" s="49" t="s">
        <v>1377</v>
      </c>
      <c r="BI177" s="1"/>
      <c r="BJ177" s="70" t="s">
        <v>1287</v>
      </c>
      <c r="BK177" s="57" t="s">
        <v>1287</v>
      </c>
      <c r="BL177" s="57" t="s">
        <v>1287</v>
      </c>
      <c r="BM177" s="57" t="s">
        <v>1287</v>
      </c>
      <c r="BN177" s="57" t="s">
        <v>1287</v>
      </c>
      <c r="BO177" s="57" t="s">
        <v>1287</v>
      </c>
      <c r="BP177" s="57" t="s">
        <v>1287</v>
      </c>
      <c r="BQ177" s="57" t="s">
        <v>1287</v>
      </c>
      <c r="BR177" s="57" t="s">
        <v>1287</v>
      </c>
      <c r="BS177" s="57" t="s">
        <v>1287</v>
      </c>
      <c r="BT177" s="57" t="s">
        <v>1287</v>
      </c>
      <c r="BU177" s="57" t="s">
        <v>1287</v>
      </c>
      <c r="BV177" s="70">
        <f t="shared" si="1010"/>
        <v>32</v>
      </c>
      <c r="BW177" s="71">
        <f t="shared" si="1011"/>
        <v>58</v>
      </c>
      <c r="BX177" s="72">
        <f t="shared" si="1012"/>
        <v>62</v>
      </c>
      <c r="BY177" s="71">
        <f t="shared" si="1013"/>
        <v>95</v>
      </c>
      <c r="BZ177" s="72">
        <f t="shared" si="1014"/>
        <v>99</v>
      </c>
      <c r="CA177" s="71">
        <f t="shared" si="1015"/>
        <v>135</v>
      </c>
      <c r="CB177" s="72">
        <f t="shared" si="1016"/>
        <v>146</v>
      </c>
      <c r="CC177" s="71">
        <f t="shared" si="1017"/>
        <v>181</v>
      </c>
      <c r="CD177" s="72">
        <f t="shared" si="1018"/>
        <v>185</v>
      </c>
      <c r="CE177" s="71">
        <f t="shared" si="1019"/>
        <v>323</v>
      </c>
      <c r="CF177" s="72">
        <f t="shared" si="1020"/>
        <v>361</v>
      </c>
      <c r="CG177" s="71">
        <f t="shared" si="1021"/>
        <v>387</v>
      </c>
      <c r="CH177" s="70">
        <f t="shared" si="1022"/>
        <v>57</v>
      </c>
      <c r="CI177" s="71">
        <f t="shared" si="1023"/>
        <v>61</v>
      </c>
      <c r="CJ177" s="72">
        <f t="shared" si="1024"/>
        <v>92</v>
      </c>
      <c r="CK177" s="72">
        <f t="shared" si="1025"/>
        <v>98</v>
      </c>
      <c r="CL177" s="72">
        <f t="shared" si="1026"/>
        <v>134</v>
      </c>
      <c r="CM177" s="72">
        <f t="shared" si="1027"/>
        <v>143</v>
      </c>
      <c r="CN177" s="72">
        <f t="shared" si="1028"/>
        <v>171</v>
      </c>
      <c r="CO177" s="72">
        <f t="shared" si="1029"/>
        <v>183</v>
      </c>
      <c r="CP177" s="72">
        <f t="shared" si="1030"/>
        <v>216</v>
      </c>
      <c r="CQ177" s="72">
        <f t="shared" si="1031"/>
        <v>354</v>
      </c>
      <c r="CR177" s="72">
        <f t="shared" si="1032"/>
        <v>386</v>
      </c>
      <c r="CS177" s="72">
        <f t="shared" si="1033"/>
        <v>399</v>
      </c>
      <c r="CT177" s="23">
        <f t="shared" si="1034"/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29" x14ac:dyDescent="0.2">
      <c r="A178" s="3" t="str">
        <f>CONCATENATE(B178,"_",C178)</f>
        <v>drd4_human__wt</v>
      </c>
      <c r="B178" s="3" t="s">
        <v>193</v>
      </c>
      <c r="C178" s="3" t="s">
        <v>100</v>
      </c>
      <c r="D178" s="3" t="str">
        <f>IFERROR(MID(VLOOKUP($B178,Seqs!$A:$B,2,0),E178,1),"")</f>
        <v>A</v>
      </c>
      <c r="E178" s="3">
        <v>31</v>
      </c>
      <c r="F178" s="3" t="str">
        <f>IFERROR(MID(VLOOKUP($B178,Seqs!$A:$B,2,0),G178,1),"")</f>
        <v>E</v>
      </c>
      <c r="G178" s="3">
        <v>62</v>
      </c>
      <c r="H178" s="3" t="str">
        <f>IFERROR(MID(VLOOKUP($B178,Seqs!$A:$B,2,0),I178,1),"")</f>
        <v>R</v>
      </c>
      <c r="I178" s="23">
        <v>63</v>
      </c>
      <c r="J178" s="3" t="str">
        <f>IFERROR(MID(VLOOKUP($B178,Seqs!$A:$B,2,0),K178,1),"")</f>
        <v>Q</v>
      </c>
      <c r="K178" s="23">
        <v>66</v>
      </c>
      <c r="L178" s="3" t="str">
        <f>IFERROR(MID(VLOOKUP($B178,Seqs!$A:$B,2,0),M178,1),"")</f>
        <v>T</v>
      </c>
      <c r="M178" s="3">
        <v>67</v>
      </c>
      <c r="N178" s="3" t="str">
        <f>IFERROR(MID(VLOOKUP($B178,Seqs!$A:$B,2,0),O178,1),"")</f>
        <v>Q</v>
      </c>
      <c r="O178" s="3">
        <v>97</v>
      </c>
      <c r="P178" s="3" t="str">
        <f>IFERROR(MID(VLOOKUP($B178,Seqs!$A:$B,2,0),Q178,1),"")</f>
        <v>A</v>
      </c>
      <c r="Q178" s="3">
        <v>100</v>
      </c>
      <c r="R178" s="3" t="str">
        <f>IFERROR(MID(VLOOKUP($B178,Seqs!$A:$B,2,0),S178,1),"")</f>
        <v>L</v>
      </c>
      <c r="S178" s="3">
        <v>103</v>
      </c>
      <c r="T178" s="3" t="str">
        <f>IFERROR(MID(VLOOKUP($B178,Seqs!$A:$B,2,0),U178,1),"")</f>
        <v>S</v>
      </c>
      <c r="U178" s="3">
        <v>104</v>
      </c>
      <c r="V178" s="3" t="str">
        <f>IFERROR(MID(VLOOKUP($B178,Seqs!$A:$B,2,0),W178,1),"")</f>
        <v>V</v>
      </c>
      <c r="W178" s="3">
        <v>139</v>
      </c>
      <c r="X178" s="3" t="str">
        <f>IFERROR(MID(VLOOKUP($B178,Seqs!$A:$B,2,0),Y178,1),"")</f>
        <v>P</v>
      </c>
      <c r="Y178" s="3">
        <v>140</v>
      </c>
      <c r="Z178" s="3" t="str">
        <f>IFERROR(MID(VLOOKUP($B178,Seqs!$A:$B,2,0),AA178,1),"")</f>
        <v>G</v>
      </c>
      <c r="AA178" s="3">
        <v>147</v>
      </c>
      <c r="AB178" s="3" t="str">
        <f>IFERROR(MID(VLOOKUP($B178,Seqs!$A:$B,2,0),AC178,1),"")</f>
        <v>G</v>
      </c>
      <c r="AC178" s="3">
        <v>148</v>
      </c>
      <c r="AD178" s="3" t="str">
        <f>IFERROR(MID(VLOOKUP($B178,Seqs!$A:$B,2,0),AE178,1),"")</f>
        <v>G</v>
      </c>
      <c r="AE178" s="3">
        <v>173</v>
      </c>
      <c r="AF178" s="3" t="str">
        <f>IFERROR(MID(VLOOKUP($B178,Seqs!$A:$B,2,0),AG178,1),"")</f>
        <v>C</v>
      </c>
      <c r="AG178" s="3">
        <v>185</v>
      </c>
      <c r="AH178" s="3" t="str">
        <f>IFERROR(MID(VLOOKUP($B178,Seqs!$A:$B,2,0),AI178,1),"")</f>
        <v>L</v>
      </c>
      <c r="AI178" s="3">
        <v>187</v>
      </c>
      <c r="AJ178" s="3" t="str">
        <f>IFERROR(MID(VLOOKUP($B178,Seqs!$A:$B,2,0),AK178,1),"")</f>
        <v>D</v>
      </c>
      <c r="AK178" s="3">
        <v>189</v>
      </c>
      <c r="AL178" s="3" t="str">
        <f>IFERROR(MID(VLOOKUP($B178,Seqs!$A:$B,2,0),AM178,1),"")</f>
        <v>K</v>
      </c>
      <c r="AM178" s="3">
        <v>229</v>
      </c>
      <c r="AN178" s="3" t="str">
        <f>IFERROR(MID(VLOOKUP($B178,Seqs!$A:$B,2,0),AO178,1),"")</f>
        <v>A</v>
      </c>
      <c r="AO178" s="3">
        <v>383</v>
      </c>
      <c r="AP178" s="3" t="str">
        <f>IFERROR(MID(VLOOKUP($B178,Seqs!$A:$B,2,0),AQ178,1),"")</f>
        <v>C</v>
      </c>
      <c r="AQ178" s="3">
        <v>420</v>
      </c>
      <c r="AR178" s="3" t="str">
        <f>IFERROR(MID(VLOOKUP($B178,Seqs!$A:$B,2,0),AS178,1),"")</f>
        <v>P</v>
      </c>
      <c r="AS178" s="3">
        <v>426</v>
      </c>
      <c r="AT178" s="3" t="str">
        <f>IFERROR(MID(VLOOKUP($B178,Seqs!$A:$B,2,0),AU178,1),"")</f>
        <v>F</v>
      </c>
      <c r="AU178" s="3">
        <v>451</v>
      </c>
      <c r="AV178" s="3" t="str">
        <f>IFERROR(MID(VLOOKUP($B178,Seqs!$A:$B,2,0),AW178,1),"")</f>
        <v>N</v>
      </c>
      <c r="AW178" s="3">
        <v>452</v>
      </c>
      <c r="AX178" s="3" t="str">
        <f>IFERROR(MID(VLOOKUP($B178,Seqs!$A:$B,2,0),AY178,1),"")</f>
        <v>R</v>
      </c>
      <c r="AY178" s="3">
        <v>464</v>
      </c>
      <c r="AZ178" s="77" t="str">
        <f>VLOOKUP(B178,Classification!A:D,2,0)</f>
        <v>A</v>
      </c>
      <c r="BA178" s="94" t="str">
        <f>VLOOKUP(B178,Classification!A:D,4,0)</f>
        <v>Dopamine</v>
      </c>
      <c r="BB178" s="27" t="b">
        <f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>_xlfn.AGGREGATE(9,6,CH178:CS178)-_xlfn.AGGREGATE(9,6,BV178:CG178)+12</f>
        <v>262</v>
      </c>
      <c r="BD178" s="2" t="s">
        <v>23</v>
      </c>
      <c r="BE178" s="3" t="s">
        <v>1374</v>
      </c>
      <c r="BF178" s="119" t="s">
        <v>23</v>
      </c>
      <c r="BG178" s="49" t="s">
        <v>1377</v>
      </c>
      <c r="BH178" s="49" t="s">
        <v>1377</v>
      </c>
      <c r="BI178" s="1"/>
      <c r="BJ178" s="70" t="s">
        <v>1287</v>
      </c>
      <c r="BK178" s="57" t="s">
        <v>1287</v>
      </c>
      <c r="BL178" s="57" t="s">
        <v>1287</v>
      </c>
      <c r="BM178" s="57" t="s">
        <v>1287</v>
      </c>
      <c r="BN178" s="57" t="s">
        <v>1287</v>
      </c>
      <c r="BO178" s="57" t="s">
        <v>1287</v>
      </c>
      <c r="BP178" s="57" t="s">
        <v>1287</v>
      </c>
      <c r="BQ178" s="57" t="s">
        <v>1287</v>
      </c>
      <c r="BR178" s="57" t="s">
        <v>1287</v>
      </c>
      <c r="BS178" s="57" t="s">
        <v>1287</v>
      </c>
      <c r="BT178" s="57" t="s">
        <v>1287</v>
      </c>
      <c r="BU178" s="57" t="s">
        <v>1287</v>
      </c>
      <c r="BV178" s="70">
        <f>E178</f>
        <v>31</v>
      </c>
      <c r="BW178" s="71">
        <f>I178</f>
        <v>63</v>
      </c>
      <c r="BX178" s="72">
        <f>M178</f>
        <v>67</v>
      </c>
      <c r="BY178" s="71">
        <f>Q178</f>
        <v>100</v>
      </c>
      <c r="BZ178" s="72">
        <f>U178</f>
        <v>104</v>
      </c>
      <c r="CA178" s="71">
        <f>Y178</f>
        <v>140</v>
      </c>
      <c r="CB178" s="72">
        <f>AC178</f>
        <v>148</v>
      </c>
      <c r="CC178" s="71">
        <f>AG178</f>
        <v>185</v>
      </c>
      <c r="CD178" s="72">
        <f>AK178</f>
        <v>189</v>
      </c>
      <c r="CE178" s="71">
        <f>AO178</f>
        <v>383</v>
      </c>
      <c r="CF178" s="72">
        <f>AS178</f>
        <v>426</v>
      </c>
      <c r="CG178" s="71">
        <f>AW178</f>
        <v>452</v>
      </c>
      <c r="CH178" s="70">
        <f>G178</f>
        <v>62</v>
      </c>
      <c r="CI178" s="71">
        <f>K178</f>
        <v>66</v>
      </c>
      <c r="CJ178" s="72">
        <f>O178</f>
        <v>97</v>
      </c>
      <c r="CK178" s="72">
        <f>S178</f>
        <v>103</v>
      </c>
      <c r="CL178" s="72">
        <f>W178</f>
        <v>139</v>
      </c>
      <c r="CM178" s="72">
        <f>AA178</f>
        <v>147</v>
      </c>
      <c r="CN178" s="72">
        <f>AE178</f>
        <v>173</v>
      </c>
      <c r="CO178" s="72">
        <f>AI178</f>
        <v>187</v>
      </c>
      <c r="CP178" s="72">
        <f>AM178</f>
        <v>229</v>
      </c>
      <c r="CQ178" s="72">
        <f>AQ178</f>
        <v>420</v>
      </c>
      <c r="CR178" s="72">
        <f>AU178</f>
        <v>451</v>
      </c>
      <c r="CS178" s="72">
        <f>AY178</f>
        <v>464</v>
      </c>
      <c r="CT178" s="23">
        <f>M178-K178</f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29" x14ac:dyDescent="0.2">
      <c r="A179" s="3" t="str">
        <f>CONCATENATE(B179,"_",C179)</f>
        <v>drd4_human_5WIU</v>
      </c>
      <c r="B179" s="3" t="s">
        <v>193</v>
      </c>
      <c r="C179" s="3" t="s">
        <v>1444</v>
      </c>
      <c r="D179" s="3" t="str">
        <f>IFERROR(MID(VLOOKUP($B179,Seqs!$A:$B,2,0),E179,1),"")</f>
        <v>G</v>
      </c>
      <c r="E179" s="3">
        <v>34</v>
      </c>
      <c r="F179" s="3" t="str">
        <f>IFERROR(MID(VLOOKUP($B179,Seqs!$A:$B,2,0),G179,1),"")</f>
        <v>E</v>
      </c>
      <c r="G179" s="3">
        <v>62</v>
      </c>
      <c r="H179" s="3" t="str">
        <f>IFERROR(MID(VLOOKUP($B179,Seqs!$A:$B,2,0),I179,1),"")</f>
        <v>R</v>
      </c>
      <c r="I179" s="23">
        <v>63</v>
      </c>
      <c r="J179" s="3" t="str">
        <f>IFERROR(MID(VLOOKUP($B179,Seqs!$A:$B,2,0),K179,1),"")</f>
        <v>Q</v>
      </c>
      <c r="K179" s="23">
        <v>66</v>
      </c>
      <c r="L179" s="3" t="str">
        <f>IFERROR(MID(VLOOKUP($B179,Seqs!$A:$B,2,0),M179,1),"")</f>
        <v>T</v>
      </c>
      <c r="M179" s="3">
        <v>67</v>
      </c>
      <c r="N179" s="3" t="str">
        <f>IFERROR(MID(VLOOKUP($B179,Seqs!$A:$B,2,0),O179,1),"")</f>
        <v>Q</v>
      </c>
      <c r="O179" s="3">
        <v>97</v>
      </c>
      <c r="P179" s="3" t="str">
        <f>IFERROR(MID(VLOOKUP($B179,Seqs!$A:$B,2,0),Q179,1),"")</f>
        <v>A</v>
      </c>
      <c r="Q179" s="3">
        <v>100</v>
      </c>
      <c r="R179" s="3" t="str">
        <f>IFERROR(MID(VLOOKUP($B179,Seqs!$A:$B,2,0),S179,1),"")</f>
        <v>L</v>
      </c>
      <c r="S179" s="3">
        <v>103</v>
      </c>
      <c r="T179" s="3" t="str">
        <f>IFERROR(MID(VLOOKUP($B179,Seqs!$A:$B,2,0),U179,1),"")</f>
        <v>S</v>
      </c>
      <c r="U179" s="3">
        <v>104</v>
      </c>
      <c r="V179" s="3" t="str">
        <f>IFERROR(MID(VLOOKUP($B179,Seqs!$A:$B,2,0),W179,1),"")</f>
        <v>V</v>
      </c>
      <c r="W179" s="3">
        <v>139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R</v>
      </c>
      <c r="AC179" s="3">
        <v>150</v>
      </c>
      <c r="AD179" s="3" t="str">
        <f>IFERROR(MID(VLOOKUP($B179,Seqs!$A:$B,2,0),AE179,1),"")</f>
        <v>G</v>
      </c>
      <c r="AE179" s="3">
        <v>173</v>
      </c>
      <c r="AF179" s="3" t="str">
        <f>IFERROR(MID(VLOOKUP($B179,Seqs!$A:$B,2,0),AG179,1),"")</f>
        <v>C</v>
      </c>
      <c r="AG179" s="3">
        <v>185</v>
      </c>
      <c r="AH179" s="3" t="str">
        <f>IFERROR(MID(VLOOKUP($B179,Seqs!$A:$B,2,0),AI179,1),"")</f>
        <v>L</v>
      </c>
      <c r="AI179" s="3">
        <v>187</v>
      </c>
      <c r="AJ179" s="3" t="str">
        <f>IFERROR(MID(VLOOKUP($B179,Seqs!$A:$B,2,0),AK179,1),"")</f>
        <v>D</v>
      </c>
      <c r="AK179" s="3">
        <v>189</v>
      </c>
      <c r="AL179" s="3" t="str">
        <f>IFERROR(MID(VLOOKUP($B179,Seqs!$A:$B,2,0),AM179,1),"")</f>
        <v>W</v>
      </c>
      <c r="AM179" s="3">
        <v>222</v>
      </c>
      <c r="AN179" s="3" t="str">
        <f>IFERROR(MID(VLOOKUP($B179,Seqs!$A:$B,2,0),AO179,1),"")</f>
        <v>V</v>
      </c>
      <c r="AO179" s="3">
        <v>395</v>
      </c>
      <c r="AP179" s="3" t="str">
        <f>IFERROR(MID(VLOOKUP($B179,Seqs!$A:$B,2,0),AQ179,1),"")</f>
        <v>C</v>
      </c>
      <c r="AQ179" s="3">
        <v>420</v>
      </c>
      <c r="AR179" s="3" t="str">
        <f>IFERROR(MID(VLOOKUP($B179,Seqs!$A:$B,2,0),AS179,1),"")</f>
        <v>P</v>
      </c>
      <c r="AS179" s="3">
        <v>426</v>
      </c>
      <c r="AT179" s="3" t="str">
        <f>IFERROR(MID(VLOOKUP($B179,Seqs!$A:$B,2,0),AU179,1),"")</f>
        <v>F</v>
      </c>
      <c r="AU179" s="3">
        <v>451</v>
      </c>
      <c r="AV179" s="3" t="str">
        <f>IFERROR(MID(VLOOKUP($B179,Seqs!$A:$B,2,0),AW179,1),"")</f>
        <v>N</v>
      </c>
      <c r="AW179" s="3">
        <v>452</v>
      </c>
      <c r="AX179" s="3" t="str">
        <f>IFERROR(MID(VLOOKUP($B179,Seqs!$A:$B,2,0),AY179,1),"")</f>
        <v>R</v>
      </c>
      <c r="AY179" s="3">
        <v>460</v>
      </c>
      <c r="AZ179" s="77" t="str">
        <f>VLOOKUP(B179,Classification!A:D,2,0)</f>
        <v>A</v>
      </c>
      <c r="BA179" s="94" t="str">
        <f>VLOOKUP(B179,Classification!A:D,4,0)</f>
        <v>Dopamine</v>
      </c>
      <c r="BB179" s="27" t="b">
        <f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23">
        <f>_xlfn.AGGREGATE(9,6,CH179:CS179)-_xlfn.AGGREGATE(9,6,BV179:CG179)+12</f>
        <v>227</v>
      </c>
      <c r="BD179" s="2" t="s">
        <v>23</v>
      </c>
      <c r="BE179" s="3" t="s">
        <v>1374</v>
      </c>
      <c r="BF179" s="119">
        <v>1.96</v>
      </c>
      <c r="BG179" s="49" t="s">
        <v>1</v>
      </c>
      <c r="BH179" s="49" t="s">
        <v>1377</v>
      </c>
      <c r="BI179" s="1"/>
      <c r="BJ179" s="70" t="s">
        <v>1287</v>
      </c>
      <c r="BK179" s="57" t="s">
        <v>1287</v>
      </c>
      <c r="BL179" s="57" t="s">
        <v>1287</v>
      </c>
      <c r="BM179" s="57" t="s">
        <v>1287</v>
      </c>
      <c r="BN179" s="57" t="s">
        <v>1287</v>
      </c>
      <c r="BO179" s="57" t="s">
        <v>1287</v>
      </c>
      <c r="BP179" s="57" t="s">
        <v>1287</v>
      </c>
      <c r="BQ179" s="57" t="s">
        <v>1287</v>
      </c>
      <c r="BR179" s="57" t="s">
        <v>1287</v>
      </c>
      <c r="BS179" s="57" t="s">
        <v>1287</v>
      </c>
      <c r="BT179" s="57" t="s">
        <v>1287</v>
      </c>
      <c r="BU179" s="57" t="s">
        <v>1287</v>
      </c>
      <c r="BV179" s="70">
        <f>E179</f>
        <v>34</v>
      </c>
      <c r="BW179" s="71">
        <f>I179</f>
        <v>63</v>
      </c>
      <c r="BX179" s="72">
        <f>M179</f>
        <v>67</v>
      </c>
      <c r="BY179" s="71">
        <f>Q179</f>
        <v>100</v>
      </c>
      <c r="BZ179" s="72">
        <f>U179</f>
        <v>104</v>
      </c>
      <c r="CA179" s="71" t="str">
        <f>Y179</f>
        <v>-</v>
      </c>
      <c r="CB179" s="72">
        <f>AC179</f>
        <v>150</v>
      </c>
      <c r="CC179" s="71">
        <f>AG179</f>
        <v>185</v>
      </c>
      <c r="CD179" s="72">
        <f>AK179</f>
        <v>189</v>
      </c>
      <c r="CE179" s="71">
        <f>AO179</f>
        <v>395</v>
      </c>
      <c r="CF179" s="72">
        <f>AS179</f>
        <v>426</v>
      </c>
      <c r="CG179" s="71">
        <f>AW179</f>
        <v>452</v>
      </c>
      <c r="CH179" s="70">
        <f>G179</f>
        <v>62</v>
      </c>
      <c r="CI179" s="71">
        <f>K179</f>
        <v>66</v>
      </c>
      <c r="CJ179" s="72">
        <f>O179</f>
        <v>97</v>
      </c>
      <c r="CK179" s="72">
        <f>S179</f>
        <v>103</v>
      </c>
      <c r="CL179" s="72">
        <f>W179</f>
        <v>139</v>
      </c>
      <c r="CM179" s="72" t="str">
        <f>AA179</f>
        <v>-</v>
      </c>
      <c r="CN179" s="72">
        <f>AE179</f>
        <v>173</v>
      </c>
      <c r="CO179" s="72">
        <f>AI179</f>
        <v>187</v>
      </c>
      <c r="CP179" s="72">
        <f>AM179</f>
        <v>222</v>
      </c>
      <c r="CQ179" s="72">
        <f>AQ179</f>
        <v>420</v>
      </c>
      <c r="CR179" s="72">
        <f>AU179</f>
        <v>451</v>
      </c>
      <c r="CS179" s="72">
        <f>AY179</f>
        <v>460</v>
      </c>
      <c r="CT179" s="23">
        <f>M179-K179</f>
        <v>1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29" x14ac:dyDescent="0.2">
      <c r="A180" s="3" t="str">
        <f>CONCATENATE(B180,"_",C180)</f>
        <v>drd4_human_5WIV</v>
      </c>
      <c r="B180" s="3" t="s">
        <v>193</v>
      </c>
      <c r="C180" s="3" t="s">
        <v>1446</v>
      </c>
      <c r="D180" s="3" t="str">
        <f>IFERROR(MID(VLOOKUP($B180,Seqs!$A:$B,2,0),E180,1),"")</f>
        <v>G</v>
      </c>
      <c r="E180" s="3">
        <v>32</v>
      </c>
      <c r="F180" s="3" t="str">
        <f>IFERROR(MID(VLOOKUP($B180,Seqs!$A:$B,2,0),G180,1),"")</f>
        <v>E</v>
      </c>
      <c r="G180" s="3">
        <v>62</v>
      </c>
      <c r="H180" s="3" t="str">
        <f>IFERROR(MID(VLOOKUP($B180,Seqs!$A:$B,2,0),I180,1),"")</f>
        <v>R</v>
      </c>
      <c r="I180" s="23">
        <v>63</v>
      </c>
      <c r="J180" s="3" t="str">
        <f>IFERROR(MID(VLOOKUP($B180,Seqs!$A:$B,2,0),K180,1),"")</f>
        <v>Q</v>
      </c>
      <c r="K180" s="23">
        <v>66</v>
      </c>
      <c r="L180" s="3" t="str">
        <f>IFERROR(MID(VLOOKUP($B180,Seqs!$A:$B,2,0),M180,1),"")</f>
        <v>T</v>
      </c>
      <c r="M180" s="3">
        <v>67</v>
      </c>
      <c r="N180" s="3" t="str">
        <f>IFERROR(MID(VLOOKUP($B180,Seqs!$A:$B,2,0),O180,1),"")</f>
        <v>Q</v>
      </c>
      <c r="O180" s="3">
        <v>97</v>
      </c>
      <c r="P180" s="3" t="str">
        <f>IFERROR(MID(VLOOKUP($B180,Seqs!$A:$B,2,0),Q180,1),"")</f>
        <v>A</v>
      </c>
      <c r="Q180" s="3">
        <v>100</v>
      </c>
      <c r="R180" s="3" t="str">
        <f>IFERROR(MID(VLOOKUP($B180,Seqs!$A:$B,2,0),S180,1),"")</f>
        <v>L</v>
      </c>
      <c r="S180" s="3">
        <v>103</v>
      </c>
      <c r="T180" s="3" t="str">
        <f>IFERROR(MID(VLOOKUP($B180,Seqs!$A:$B,2,0),U180,1),"")</f>
        <v>S</v>
      </c>
      <c r="U180" s="3">
        <v>104</v>
      </c>
      <c r="V180" s="3" t="str">
        <f>IFERROR(MID(VLOOKUP($B180,Seqs!$A:$B,2,0),W180,1),"")</f>
        <v>V</v>
      </c>
      <c r="W180" s="3">
        <v>139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R</v>
      </c>
      <c r="AC180" s="3">
        <v>150</v>
      </c>
      <c r="AD180" s="3" t="str">
        <f>IFERROR(MID(VLOOKUP($B180,Seqs!$A:$B,2,0),AE180,1),"")</f>
        <v>G</v>
      </c>
      <c r="AE180" s="3">
        <v>173</v>
      </c>
      <c r="AF180" s="3" t="str">
        <f>IFERROR(MID(VLOOKUP($B180,Seqs!$A:$B,2,0),AG180,1),"")</f>
        <v>C</v>
      </c>
      <c r="AG180" s="3">
        <v>185</v>
      </c>
      <c r="AH180" s="3" t="str">
        <f>IFERROR(MID(VLOOKUP($B180,Seqs!$A:$B,2,0),AI180,1),"")</f>
        <v>L</v>
      </c>
      <c r="AI180" s="3">
        <v>187</v>
      </c>
      <c r="AJ180" s="3" t="str">
        <f>IFERROR(MID(VLOOKUP($B180,Seqs!$A:$B,2,0),AK180,1),"")</f>
        <v>D</v>
      </c>
      <c r="AK180" s="3">
        <v>189</v>
      </c>
      <c r="AL180" s="3" t="str">
        <f>IFERROR(MID(VLOOKUP($B180,Seqs!$A:$B,2,0),AM180,1),"")</f>
        <v>W</v>
      </c>
      <c r="AM180" s="3">
        <v>222</v>
      </c>
      <c r="AN180" s="3" t="str">
        <f>IFERROR(MID(VLOOKUP($B180,Seqs!$A:$B,2,0),AO180,1),"")</f>
        <v>V</v>
      </c>
      <c r="AO180" s="3">
        <v>395</v>
      </c>
      <c r="AP180" s="3" t="str">
        <f>IFERROR(MID(VLOOKUP($B180,Seqs!$A:$B,2,0),AQ180,1),"")</f>
        <v>C</v>
      </c>
      <c r="AQ180" s="3">
        <v>420</v>
      </c>
      <c r="AR180" s="3" t="str">
        <f>IFERROR(MID(VLOOKUP($B180,Seqs!$A:$B,2,0),AS180,1),"")</f>
        <v>P</v>
      </c>
      <c r="AS180" s="3">
        <v>426</v>
      </c>
      <c r="AT180" s="3" t="str">
        <f>IFERROR(MID(VLOOKUP($B180,Seqs!$A:$B,2,0),AU180,1),"")</f>
        <v>F</v>
      </c>
      <c r="AU180" s="3">
        <v>451</v>
      </c>
      <c r="AV180" s="3" t="str">
        <f>IFERROR(MID(VLOOKUP($B180,Seqs!$A:$B,2,0),AW180,1),"")</f>
        <v>N</v>
      </c>
      <c r="AW180" s="3">
        <v>452</v>
      </c>
      <c r="AX180" s="3" t="str">
        <f>IFERROR(MID(VLOOKUP($B180,Seqs!$A:$B,2,0),AY180,1),"")</f>
        <v>A</v>
      </c>
      <c r="AY180" s="3">
        <v>462</v>
      </c>
      <c r="AZ180" s="77" t="str">
        <f>VLOOKUP(B180,Classification!A:D,2,0)</f>
        <v>A</v>
      </c>
      <c r="BA180" s="94" t="str">
        <f>VLOOKUP(B180,Classification!A:D,4,0)</f>
        <v>Dopamine</v>
      </c>
      <c r="BB180" s="27" t="b">
        <f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23">
        <f>_xlfn.AGGREGATE(9,6,CH180:CS180)-_xlfn.AGGREGATE(9,6,BV180:CG180)+12</f>
        <v>231</v>
      </c>
      <c r="BD180" s="2" t="s">
        <v>1376</v>
      </c>
      <c r="BE180" s="3" t="s">
        <v>1374</v>
      </c>
      <c r="BF180" s="119">
        <v>2.14</v>
      </c>
      <c r="BG180" s="49" t="s">
        <v>1</v>
      </c>
      <c r="BH180" s="49" t="s">
        <v>1377</v>
      </c>
      <c r="BI180" s="1"/>
      <c r="BJ180" s="70" t="s">
        <v>1287</v>
      </c>
      <c r="BK180" s="57" t="s">
        <v>1287</v>
      </c>
      <c r="BL180" s="57" t="s">
        <v>1287</v>
      </c>
      <c r="BM180" s="57" t="s">
        <v>1287</v>
      </c>
      <c r="BN180" s="57" t="s">
        <v>1287</v>
      </c>
      <c r="BO180" s="57" t="s">
        <v>1287</v>
      </c>
      <c r="BP180" s="57" t="s">
        <v>1287</v>
      </c>
      <c r="BQ180" s="57" t="s">
        <v>1287</v>
      </c>
      <c r="BR180" s="57" t="s">
        <v>1287</v>
      </c>
      <c r="BS180" s="57" t="s">
        <v>1287</v>
      </c>
      <c r="BT180" s="57" t="s">
        <v>1287</v>
      </c>
      <c r="BU180" s="57" t="s">
        <v>1287</v>
      </c>
      <c r="BV180" s="70">
        <f>E180</f>
        <v>32</v>
      </c>
      <c r="BW180" s="71">
        <f>I180</f>
        <v>63</v>
      </c>
      <c r="BX180" s="72">
        <f>M180</f>
        <v>67</v>
      </c>
      <c r="BY180" s="71">
        <f>Q180</f>
        <v>100</v>
      </c>
      <c r="BZ180" s="72">
        <f>U180</f>
        <v>104</v>
      </c>
      <c r="CA180" s="71" t="str">
        <f>Y180</f>
        <v>-</v>
      </c>
      <c r="CB180" s="72">
        <f>AC180</f>
        <v>150</v>
      </c>
      <c r="CC180" s="71">
        <f>AG180</f>
        <v>185</v>
      </c>
      <c r="CD180" s="72">
        <f>AK180</f>
        <v>189</v>
      </c>
      <c r="CE180" s="71">
        <f>AO180</f>
        <v>395</v>
      </c>
      <c r="CF180" s="72">
        <f>AS180</f>
        <v>426</v>
      </c>
      <c r="CG180" s="71">
        <f>AW180</f>
        <v>452</v>
      </c>
      <c r="CH180" s="70">
        <f>G180</f>
        <v>62</v>
      </c>
      <c r="CI180" s="71">
        <f>K180</f>
        <v>66</v>
      </c>
      <c r="CJ180" s="72">
        <f>O180</f>
        <v>97</v>
      </c>
      <c r="CK180" s="72">
        <f>S180</f>
        <v>103</v>
      </c>
      <c r="CL180" s="72">
        <f>W180</f>
        <v>139</v>
      </c>
      <c r="CM180" s="72" t="str">
        <f>AA180</f>
        <v>-</v>
      </c>
      <c r="CN180" s="72">
        <f>AE180</f>
        <v>173</v>
      </c>
      <c r="CO180" s="72">
        <f>AI180</f>
        <v>187</v>
      </c>
      <c r="CP180" s="72">
        <f>AM180</f>
        <v>222</v>
      </c>
      <c r="CQ180" s="72">
        <f>AQ180</f>
        <v>420</v>
      </c>
      <c r="CR180" s="72">
        <f>AU180</f>
        <v>451</v>
      </c>
      <c r="CS180" s="72">
        <f>AY180</f>
        <v>462</v>
      </c>
      <c r="CT180" s="23">
        <f>M180-K180</f>
        <v>1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29" x14ac:dyDescent="0.2">
      <c r="A181" s="3" t="str">
        <f t="shared" si="867"/>
        <v>ednrb_human__wt</v>
      </c>
      <c r="B181" s="2" t="s">
        <v>196</v>
      </c>
      <c r="C181" s="2" t="s">
        <v>100</v>
      </c>
      <c r="D181" s="3" t="str">
        <f>IFERROR(MID(VLOOKUP($B181,Seqs!$A:$B,2,0),E181,1),"")</f>
        <v>Q</v>
      </c>
      <c r="E181" s="2">
        <v>91</v>
      </c>
      <c r="F181" s="3" t="str">
        <f>IFERROR(MID(VLOOKUP($B181,Seqs!$A:$B,2,0),G181,1),"")</f>
        <v>N</v>
      </c>
      <c r="G181" s="2">
        <v>129</v>
      </c>
      <c r="H181" s="3" t="str">
        <f>IFERROR(MID(VLOOKUP($B181,Seqs!$A:$B,2,0),I181,1),"")</f>
        <v>K</v>
      </c>
      <c r="I181" s="56">
        <v>130</v>
      </c>
      <c r="J181" s="3" t="str">
        <f>IFERROR(MID(VLOOKUP($B181,Seqs!$A:$B,2,0),K181,1),"")</f>
        <v>N</v>
      </c>
      <c r="K181" s="56">
        <v>134</v>
      </c>
      <c r="L181" s="3" t="str">
        <f>IFERROR(MID(VLOOKUP($B181,Seqs!$A:$B,2,0),M181,1),"")</f>
        <v>G</v>
      </c>
      <c r="M181" s="2">
        <v>135</v>
      </c>
      <c r="N181" s="3" t="str">
        <f>IFERROR(MID(VLOOKUP($B181,Seqs!$A:$B,2,0),O181,1),"")</f>
        <v>A</v>
      </c>
      <c r="O181" s="2">
        <v>164</v>
      </c>
      <c r="P181" s="3" t="str">
        <f>IFERROR(MID(VLOOKUP($B181,Seqs!$A:$B,2,0),Q181,1),"")</f>
        <v>D</v>
      </c>
      <c r="Q181" s="2">
        <v>166</v>
      </c>
      <c r="R181" s="3" t="str">
        <f>IFERROR(MID(VLOOKUP($B181,Seqs!$A:$B,2,0),S181,1),"")</f>
        <v>F</v>
      </c>
      <c r="S181" s="2">
        <v>169</v>
      </c>
      <c r="T181" s="3" t="str">
        <f>IFERROR(MID(VLOOKUP($B181,Seqs!$A:$B,2,0),U181,1),"")</f>
        <v>G</v>
      </c>
      <c r="U181" s="4">
        <v>170</v>
      </c>
      <c r="V181" s="3" t="str">
        <f>IFERROR(MID(VLOOKUP($B181,Seqs!$A:$B,2,0),W181,1),"")</f>
        <v>S</v>
      </c>
      <c r="W181" s="2">
        <v>205</v>
      </c>
      <c r="X181" s="3" t="str">
        <f>IFERROR(MID(VLOOKUP($B181,Seqs!$A:$B,2,0),Y181,1),"")</f>
        <v>W</v>
      </c>
      <c r="Y181" s="2">
        <v>206</v>
      </c>
      <c r="Z181" s="3" t="str">
        <f>IFERROR(MID(VLOOKUP($B181,Seqs!$A:$B,2,0),AA181,1),"")</f>
        <v>G</v>
      </c>
      <c r="AA181" s="2">
        <v>213</v>
      </c>
      <c r="AB181" s="3" t="str">
        <f>IFERROR(MID(VLOOKUP($B181,Seqs!$A:$B,2,0),AC181,1),"")</f>
        <v>V</v>
      </c>
      <c r="AC181" s="40">
        <v>214</v>
      </c>
      <c r="AD181" s="3" t="str">
        <f>IFERROR(MID(VLOOKUP($B181,Seqs!$A:$B,2,0),AE181,1),"")</f>
        <v>F</v>
      </c>
      <c r="AE181" s="2">
        <v>240</v>
      </c>
      <c r="AF181" s="3" t="str">
        <f>IFERROR(MID(VLOOKUP($B181,Seqs!$A:$B,2,0),AG181,1),"")</f>
        <v>C</v>
      </c>
      <c r="AG181" s="2">
        <v>255</v>
      </c>
      <c r="AH181" s="3" t="str">
        <f>IFERROR(MID(VLOOKUP($B181,Seqs!$A:$B,2,0),AI181,1),"")</f>
        <v>L</v>
      </c>
      <c r="AI181" s="2">
        <v>257</v>
      </c>
      <c r="AJ181" s="3" t="str">
        <f>IFERROR(MID(VLOOKUP($B181,Seqs!$A:$B,2,0),AK181,1),"")</f>
        <v>T</v>
      </c>
      <c r="AK181" s="2">
        <v>263</v>
      </c>
      <c r="AL181" s="3" t="str">
        <f>IFERROR(MID(VLOOKUP($B181,Seqs!$A:$B,2,0),AM181,1),"")</f>
        <v>M</v>
      </c>
      <c r="AM181" s="2">
        <v>307</v>
      </c>
      <c r="AN181" s="3" t="str">
        <f>IFERROR(MID(VLOOKUP($B181,Seqs!$A:$B,2,0),AO181,1),"")</f>
        <v>N</v>
      </c>
      <c r="AO181" s="2">
        <v>312</v>
      </c>
      <c r="AP181" s="3" t="str">
        <f>IFERROR(MID(VLOOKUP($B181,Seqs!$A:$B,2,0),AQ181,1),"")</f>
        <v>Y</v>
      </c>
      <c r="AQ181" s="2">
        <v>350</v>
      </c>
      <c r="AR181" s="3" t="str">
        <f>IFERROR(MID(VLOOKUP($B181,Seqs!$A:$B,2,0),AS181,1),"")</f>
        <v>R</v>
      </c>
      <c r="AS181" s="2">
        <v>357</v>
      </c>
      <c r="AT181" s="3" t="str">
        <f>IFERROR(MID(VLOOKUP($B181,Seqs!$A:$B,2,0),AU181,1),"")</f>
        <v>V</v>
      </c>
      <c r="AU181" s="2">
        <v>389</v>
      </c>
      <c r="AV181" s="3" t="str">
        <f>IFERROR(MID(VLOOKUP($B181,Seqs!$A:$B,2,0),AW181,1),"")</f>
        <v>S</v>
      </c>
      <c r="AW181" s="2">
        <v>390</v>
      </c>
      <c r="AX181" s="3" t="str">
        <f>IFERROR(MID(VLOOKUP($B181,Seqs!$A:$B,2,0),AY181,1),"")</f>
        <v>C</v>
      </c>
      <c r="AY181" s="2">
        <v>403</v>
      </c>
      <c r="AZ181" s="77" t="str">
        <f>VLOOKUP(B181,Classification!A:D,2,0)</f>
        <v>A</v>
      </c>
      <c r="BA181" s="94" t="str">
        <f>VLOOKUP(B181,Classification!A:D,4,0)</f>
        <v>Endothelin</v>
      </c>
      <c r="BB181" s="27" t="b">
        <f t="shared" si="868"/>
        <v>1</v>
      </c>
      <c r="BC181" s="2"/>
      <c r="BD181" s="34" t="s">
        <v>23</v>
      </c>
      <c r="BE181" s="3" t="s">
        <v>23</v>
      </c>
      <c r="BF181" s="119" t="s">
        <v>23</v>
      </c>
      <c r="BG181" s="49" t="s">
        <v>1372</v>
      </c>
      <c r="BH181" s="49" t="s">
        <v>1377</v>
      </c>
      <c r="BI181" s="2"/>
      <c r="BJ181" s="70"/>
      <c r="BU181" s="57"/>
      <c r="BV181" s="70"/>
      <c r="BW181" s="57"/>
      <c r="BX181" s="57"/>
      <c r="BY181" s="57"/>
      <c r="BZ181" s="57"/>
      <c r="CA181" s="57"/>
      <c r="CB181" s="57"/>
      <c r="CC181" s="57"/>
      <c r="CD181" s="57"/>
      <c r="CE181" s="57"/>
      <c r="CF181" s="57"/>
      <c r="CG181" s="57"/>
      <c r="CH181" s="70"/>
      <c r="CI181" s="57"/>
      <c r="CJ181" s="57"/>
      <c r="CK181" s="57"/>
      <c r="CL181" s="57"/>
      <c r="CM181" s="57"/>
      <c r="CN181" s="57"/>
      <c r="CO181" s="57"/>
      <c r="CP181" s="57"/>
      <c r="CQ181" s="57"/>
      <c r="CR181" s="57"/>
      <c r="CS181" s="57"/>
      <c r="CT181" s="2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29" x14ac:dyDescent="0.2">
      <c r="A182" s="3" t="str">
        <f t="shared" si="867"/>
        <v>ednrb_human_5GLH</v>
      </c>
      <c r="B182" s="2" t="s">
        <v>196</v>
      </c>
      <c r="C182" s="2" t="s">
        <v>1328</v>
      </c>
      <c r="D182" s="3" t="str">
        <f>IFERROR(MID(VLOOKUP($B182,Seqs!$A:$B,2,0),E182,1),"")</f>
        <v>K</v>
      </c>
      <c r="E182" s="2">
        <v>97</v>
      </c>
      <c r="F182" s="3" t="str">
        <f>IFERROR(MID(VLOOKUP($B182,Seqs!$A:$B,2,0),G182,1),"")</f>
        <v>N</v>
      </c>
      <c r="G182" s="2">
        <v>129</v>
      </c>
      <c r="H182" s="3" t="str">
        <f>IFERROR(MID(VLOOKUP($B182,Seqs!$A:$B,2,0),I182,1),"")</f>
        <v/>
      </c>
      <c r="I182" s="56" t="s">
        <v>23</v>
      </c>
      <c r="J182" s="3" t="str">
        <f>IFERROR(MID(VLOOKUP($B182,Seqs!$A:$B,2,0),K182,1),"")</f>
        <v/>
      </c>
      <c r="K182" s="56" t="s">
        <v>23</v>
      </c>
      <c r="L182" s="3" t="str">
        <f>IFERROR(MID(VLOOKUP($B182,Seqs!$A:$B,2,0),M182,1),"")</f>
        <v>P</v>
      </c>
      <c r="M182" s="2">
        <v>136</v>
      </c>
      <c r="N182" s="3" t="str">
        <f>IFERROR(MID(VLOOKUP($B182,Seqs!$A:$B,2,0),O182,1),"")</f>
        <v>A</v>
      </c>
      <c r="O182" s="2">
        <v>164</v>
      </c>
      <c r="P182" s="3" t="str">
        <f>IFERROR(MID(VLOOKUP($B182,Seqs!$A:$B,2,0),Q182,1),"")</f>
        <v>D</v>
      </c>
      <c r="Q182" s="2">
        <v>166</v>
      </c>
      <c r="R182" s="3" t="str">
        <f>IFERROR(MID(VLOOKUP($B182,Seqs!$A:$B,2,0),S182,1),"")</f>
        <v>F</v>
      </c>
      <c r="S182" s="2">
        <v>169</v>
      </c>
      <c r="T182" s="3" t="str">
        <f>IFERROR(MID(VLOOKUP($B182,Seqs!$A:$B,2,0),U182,1),"")</f>
        <v>G</v>
      </c>
      <c r="U182" s="4">
        <v>170</v>
      </c>
      <c r="V182" s="3" t="str">
        <f>IFERROR(MID(VLOOKUP($B182,Seqs!$A:$B,2,0),W182,1),"")</f>
        <v>S</v>
      </c>
      <c r="W182" s="2">
        <v>205</v>
      </c>
      <c r="X182" s="3" t="str">
        <f>IFERROR(MID(VLOOKUP($B182,Seqs!$A:$B,2,0),Y182,1),"")</f>
        <v/>
      </c>
      <c r="Y182" s="2" t="s">
        <v>23</v>
      </c>
      <c r="Z182" s="3" t="str">
        <f>IFERROR(MID(VLOOKUP($B182,Seqs!$A:$B,2,0),AA182,1),"")</f>
        <v/>
      </c>
      <c r="AA182" s="2" t="s">
        <v>23</v>
      </c>
      <c r="AB182" s="3" t="str">
        <f>IFERROR(MID(VLOOKUP($B182,Seqs!$A:$B,2,0),AC182,1),"")</f>
        <v>T</v>
      </c>
      <c r="AC182" s="40">
        <v>218</v>
      </c>
      <c r="AD182" s="3" t="str">
        <f>IFERROR(MID(VLOOKUP($B182,Seqs!$A:$B,2,0),AE182,1),"")</f>
        <v>F</v>
      </c>
      <c r="AE182" s="2">
        <v>240</v>
      </c>
      <c r="AF182" s="3" t="str">
        <f>IFERROR(MID(VLOOKUP($B182,Seqs!$A:$B,2,0),AG182,1),"")</f>
        <v>C</v>
      </c>
      <c r="AG182" s="2">
        <v>255</v>
      </c>
      <c r="AH182" s="3" t="str">
        <f>IFERROR(MID(VLOOKUP($B182,Seqs!$A:$B,2,0),AI182,1),"")</f>
        <v>L</v>
      </c>
      <c r="AI182" s="2">
        <v>257</v>
      </c>
      <c r="AJ182" s="3" t="str">
        <f>IFERROR(MID(VLOOKUP($B182,Seqs!$A:$B,2,0),AK182,1),"")</f>
        <v>T</v>
      </c>
      <c r="AK182" s="2">
        <v>263</v>
      </c>
      <c r="AL182" s="3" t="str">
        <f>IFERROR(MID(VLOOKUP($B182,Seqs!$A:$B,2,0),AM182,1),"")</f>
        <v>K</v>
      </c>
      <c r="AM182" s="2">
        <v>303</v>
      </c>
      <c r="AN182" s="3" t="str">
        <f>IFERROR(MID(VLOOKUP($B182,Seqs!$A:$B,2,0),AO182,1),"")</f>
        <v>N</v>
      </c>
      <c r="AO182" s="2">
        <v>312</v>
      </c>
      <c r="AP182" s="3" t="str">
        <f>IFERROR(MID(VLOOKUP($B182,Seqs!$A:$B,2,0),AQ182,1),"")</f>
        <v>Y</v>
      </c>
      <c r="AQ182" s="2">
        <v>350</v>
      </c>
      <c r="AR182" s="3" t="str">
        <f>IFERROR(MID(VLOOKUP($B182,Seqs!$A:$B,2,0),AS182,1),"")</f>
        <v>R</v>
      </c>
      <c r="AS182" s="2">
        <v>357</v>
      </c>
      <c r="AT182" s="3" t="str">
        <f>IFERROR(MID(VLOOKUP($B182,Seqs!$A:$B,2,0),AU182,1),"")</f>
        <v>V</v>
      </c>
      <c r="AU182" s="2">
        <v>389</v>
      </c>
      <c r="AV182" s="3" t="str">
        <f>IFERROR(MID(VLOOKUP($B182,Seqs!$A:$B,2,0),AW182,1),"")</f>
        <v>S</v>
      </c>
      <c r="AW182" s="2">
        <v>390</v>
      </c>
      <c r="AX182" s="3" t="str">
        <f>IFERROR(MID(VLOOKUP($B182,Seqs!$A:$B,2,0),AY182,1),"")</f>
        <v>L</v>
      </c>
      <c r="AY182" s="2">
        <v>401</v>
      </c>
      <c r="AZ182" s="77" t="str">
        <f>VLOOKUP(B182,Classification!A:D,2,0)</f>
        <v>A</v>
      </c>
      <c r="BA182" s="94" t="str">
        <f>VLOOKUP(B182,Classification!A:D,4,0)</f>
        <v>Endothelin</v>
      </c>
      <c r="BB182" s="27" t="b">
        <f t="shared" si="868"/>
        <v>1</v>
      </c>
      <c r="BC182" s="23">
        <f t="shared" ref="BC182:BC248" si="1035">_xlfn.AGGREGATE(9,6,CH182:CS182)-_xlfn.AGGREGATE(9,6,BV182:CG182)+12</f>
        <v>255</v>
      </c>
      <c r="BD182" s="2" t="s">
        <v>23</v>
      </c>
      <c r="BE182" s="3" t="s">
        <v>1374</v>
      </c>
      <c r="BF182" s="119">
        <v>2.8</v>
      </c>
      <c r="BG182" s="49" t="s">
        <v>1377</v>
      </c>
      <c r="BH182" s="49" t="s">
        <v>1377</v>
      </c>
      <c r="BI182" s="2"/>
      <c r="BJ182" s="70" t="s">
        <v>1287</v>
      </c>
      <c r="BK182" s="57" t="s">
        <v>1287</v>
      </c>
      <c r="BL182" s="57" t="s">
        <v>1287</v>
      </c>
      <c r="BM182" s="57" t="s">
        <v>1287</v>
      </c>
      <c r="BN182" s="57" t="s">
        <v>1287</v>
      </c>
      <c r="BO182" s="57" t="s">
        <v>1287</v>
      </c>
      <c r="BP182" s="57" t="s">
        <v>1287</v>
      </c>
      <c r="BQ182" s="57" t="s">
        <v>1287</v>
      </c>
      <c r="BR182" s="57" t="s">
        <v>1287</v>
      </c>
      <c r="BS182" s="57" t="s">
        <v>1287</v>
      </c>
      <c r="BT182" s="57" t="s">
        <v>1287</v>
      </c>
      <c r="BU182" s="57" t="s">
        <v>1287</v>
      </c>
      <c r="BV182" s="70">
        <f t="shared" ref="BV182:BV248" si="1036">E182</f>
        <v>97</v>
      </c>
      <c r="BW182" s="71" t="str">
        <f t="shared" ref="BW182:BW248" si="1037">I182</f>
        <v>-</v>
      </c>
      <c r="BX182" s="72">
        <f t="shared" ref="BX182:BX248" si="1038">M182</f>
        <v>136</v>
      </c>
      <c r="BY182" s="71">
        <f t="shared" ref="BY182:BY248" si="1039">Q182</f>
        <v>166</v>
      </c>
      <c r="BZ182" s="72">
        <f t="shared" ref="BZ182:BZ248" si="1040">U182</f>
        <v>170</v>
      </c>
      <c r="CA182" s="71" t="str">
        <f t="shared" ref="CA182:CA248" si="1041">Y182</f>
        <v>-</v>
      </c>
      <c r="CB182" s="72">
        <f t="shared" ref="CB182:CB248" si="1042">AC182</f>
        <v>218</v>
      </c>
      <c r="CC182" s="71">
        <f t="shared" ref="CC182:CC248" si="1043">AG182</f>
        <v>255</v>
      </c>
      <c r="CD182" s="72">
        <f t="shared" ref="CD182:CD248" si="1044">AK182</f>
        <v>263</v>
      </c>
      <c r="CE182" s="71">
        <f t="shared" ref="CE182:CE248" si="1045">AO182</f>
        <v>312</v>
      </c>
      <c r="CF182" s="72">
        <f t="shared" ref="CF182:CF248" si="1046">AS182</f>
        <v>357</v>
      </c>
      <c r="CG182" s="71">
        <f t="shared" ref="CG182:CG248" si="1047">AW182</f>
        <v>390</v>
      </c>
      <c r="CH182" s="70">
        <f t="shared" ref="CH182:CH248" si="1048">G182</f>
        <v>129</v>
      </c>
      <c r="CI182" s="71" t="str">
        <f t="shared" ref="CI182:CI248" si="1049">K182</f>
        <v>-</v>
      </c>
      <c r="CJ182" s="72">
        <f t="shared" ref="CJ182:CJ248" si="1050">O182</f>
        <v>164</v>
      </c>
      <c r="CK182" s="72">
        <f t="shared" ref="CK182:CK248" si="1051">S182</f>
        <v>169</v>
      </c>
      <c r="CL182" s="72">
        <f t="shared" ref="CL182:CL248" si="1052">W182</f>
        <v>205</v>
      </c>
      <c r="CM182" s="72" t="str">
        <f t="shared" ref="CM182:CM248" si="1053">AA182</f>
        <v>-</v>
      </c>
      <c r="CN182" s="72">
        <f t="shared" ref="CN182:CN248" si="1054">AE182</f>
        <v>240</v>
      </c>
      <c r="CO182" s="72">
        <f t="shared" ref="CO182:CO248" si="1055">AI182</f>
        <v>257</v>
      </c>
      <c r="CP182" s="72">
        <f t="shared" ref="CP182:CP248" si="1056">AM182</f>
        <v>303</v>
      </c>
      <c r="CQ182" s="72">
        <f t="shared" ref="CQ182:CQ248" si="1057">AQ182</f>
        <v>350</v>
      </c>
      <c r="CR182" s="72">
        <f t="shared" ref="CR182:CR248" si="1058">AU182</f>
        <v>389</v>
      </c>
      <c r="CS182" s="72">
        <f t="shared" ref="CS182:CS248" si="1059">AY182</f>
        <v>401</v>
      </c>
      <c r="CT182" s="23" t="e">
        <f t="shared" ref="CT182:CT248" si="1060">M182-K182</f>
        <v>#VALUE!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29" x14ac:dyDescent="0.2">
      <c r="A183" s="3" t="str">
        <f t="shared" si="867"/>
        <v>ednrb_human_5GLI</v>
      </c>
      <c r="B183" s="2" t="s">
        <v>196</v>
      </c>
      <c r="C183" s="2" t="s">
        <v>1327</v>
      </c>
      <c r="D183" s="3" t="str">
        <f>IFERROR(MID(VLOOKUP($B183,Seqs!$A:$B,2,0),E183,1),"")</f>
        <v>Q</v>
      </c>
      <c r="E183" s="2">
        <v>91</v>
      </c>
      <c r="F183" s="3" t="str">
        <f>IFERROR(MID(VLOOKUP($B183,Seqs!$A:$B,2,0),G183,1),"")</f>
        <v>N</v>
      </c>
      <c r="G183" s="2">
        <v>129</v>
      </c>
      <c r="H183" s="3" t="str">
        <f>IFERROR(MID(VLOOKUP($B183,Seqs!$A:$B,2,0),I183,1),"")</f>
        <v>K</v>
      </c>
      <c r="I183" s="56">
        <v>130</v>
      </c>
      <c r="J183" s="3" t="str">
        <f>IFERROR(MID(VLOOKUP($B183,Seqs!$A:$B,2,0),K183,1),"")</f>
        <v>N</v>
      </c>
      <c r="K183" s="56">
        <v>134</v>
      </c>
      <c r="L183" s="3" t="str">
        <f>IFERROR(MID(VLOOKUP($B183,Seqs!$A:$B,2,0),M183,1),"")</f>
        <v>G</v>
      </c>
      <c r="M183" s="2">
        <v>135</v>
      </c>
      <c r="N183" s="3" t="str">
        <f>IFERROR(MID(VLOOKUP($B183,Seqs!$A:$B,2,0),O183,1),"")</f>
        <v>A</v>
      </c>
      <c r="O183" s="2">
        <v>164</v>
      </c>
      <c r="P183" s="3" t="str">
        <f>IFERROR(MID(VLOOKUP($B183,Seqs!$A:$B,2,0),Q183,1),"")</f>
        <v>D</v>
      </c>
      <c r="Q183" s="2">
        <v>166</v>
      </c>
      <c r="R183" s="3" t="str">
        <f>IFERROR(MID(VLOOKUP($B183,Seqs!$A:$B,2,0),S183,1),"")</f>
        <v>F</v>
      </c>
      <c r="S183" s="2">
        <v>169</v>
      </c>
      <c r="T183" s="3" t="str">
        <f>IFERROR(MID(VLOOKUP($B183,Seqs!$A:$B,2,0),U183,1),"")</f>
        <v>G</v>
      </c>
      <c r="U183" s="4">
        <v>170</v>
      </c>
      <c r="V183" s="3" t="str">
        <f>IFERROR(MID(VLOOKUP($B183,Seqs!$A:$B,2,0),W183,1),"")</f>
        <v>S</v>
      </c>
      <c r="W183" s="2">
        <v>205</v>
      </c>
      <c r="X183" s="3" t="str">
        <f>IFERROR(MID(VLOOKUP($B183,Seqs!$A:$B,2,0),Y183,1),"")</f>
        <v/>
      </c>
      <c r="Y183" s="2" t="s">
        <v>23</v>
      </c>
      <c r="Z183" s="3" t="str">
        <f>IFERROR(MID(VLOOKUP($B183,Seqs!$A:$B,2,0),AA183,1),"")</f>
        <v/>
      </c>
      <c r="AA183" s="2" t="s">
        <v>23</v>
      </c>
      <c r="AB183" s="3" t="str">
        <f>IFERROR(MID(VLOOKUP($B183,Seqs!$A:$B,2,0),AC183,1),"")</f>
        <v>K</v>
      </c>
      <c r="AC183" s="40">
        <v>216</v>
      </c>
      <c r="AD183" s="3" t="str">
        <f>IFERROR(MID(VLOOKUP($B183,Seqs!$A:$B,2,0),AE183,1),"")</f>
        <v>F</v>
      </c>
      <c r="AE183" s="2">
        <v>240</v>
      </c>
      <c r="AF183" s="3" t="str">
        <f>IFERROR(MID(VLOOKUP($B183,Seqs!$A:$B,2,0),AG183,1),"")</f>
        <v>C</v>
      </c>
      <c r="AG183" s="2">
        <v>255</v>
      </c>
      <c r="AH183" s="3" t="str">
        <f>IFERROR(MID(VLOOKUP($B183,Seqs!$A:$B,2,0),AI183,1),"")</f>
        <v>L</v>
      </c>
      <c r="AI183" s="2">
        <v>257</v>
      </c>
      <c r="AJ183" s="3" t="str">
        <f>IFERROR(MID(VLOOKUP($B183,Seqs!$A:$B,2,0),AK183,1),"")</f>
        <v>T</v>
      </c>
      <c r="AK183" s="2">
        <v>263</v>
      </c>
      <c r="AL183" s="3" t="str">
        <f>IFERROR(MID(VLOOKUP($B183,Seqs!$A:$B,2,0),AM183,1),"")</f>
        <v>K</v>
      </c>
      <c r="AM183" s="2">
        <v>303</v>
      </c>
      <c r="AN183" s="3" t="str">
        <f>IFERROR(MID(VLOOKUP($B183,Seqs!$A:$B,2,0),AO183,1),"")</f>
        <v>N</v>
      </c>
      <c r="AO183" s="2">
        <v>312</v>
      </c>
      <c r="AP183" s="3" t="str">
        <f>IFERROR(MID(VLOOKUP($B183,Seqs!$A:$B,2,0),AQ183,1),"")</f>
        <v>Y</v>
      </c>
      <c r="AQ183" s="2">
        <v>350</v>
      </c>
      <c r="AR183" s="3" t="str">
        <f>IFERROR(MID(VLOOKUP($B183,Seqs!$A:$B,2,0),AS183,1),"")</f>
        <v>R</v>
      </c>
      <c r="AS183" s="2">
        <v>357</v>
      </c>
      <c r="AT183" s="3" t="str">
        <f>IFERROR(MID(VLOOKUP($B183,Seqs!$A:$B,2,0),AU183,1),"")</f>
        <v>V</v>
      </c>
      <c r="AU183" s="2">
        <v>389</v>
      </c>
      <c r="AV183" s="3" t="str">
        <f>IFERROR(MID(VLOOKUP($B183,Seqs!$A:$B,2,0),AW183,1),"")</f>
        <v>S</v>
      </c>
      <c r="AW183" s="2">
        <v>390</v>
      </c>
      <c r="AX183" s="3" t="str">
        <f>IFERROR(MID(VLOOKUP($B183,Seqs!$A:$B,2,0),AY183,1),"")</f>
        <v>C</v>
      </c>
      <c r="AY183" s="2">
        <v>403</v>
      </c>
      <c r="AZ183" s="77" t="str">
        <f>VLOOKUP(B183,Classification!A:D,2,0)</f>
        <v>A</v>
      </c>
      <c r="BA183" s="94" t="str">
        <f>VLOOKUP(B183,Classification!A:D,4,0)</f>
        <v>Endothelin</v>
      </c>
      <c r="BB183" s="27" t="b">
        <f t="shared" si="868"/>
        <v>1</v>
      </c>
      <c r="BC183" s="23">
        <f t="shared" si="1035"/>
        <v>270</v>
      </c>
      <c r="BD183" s="2" t="s">
        <v>23</v>
      </c>
      <c r="BE183" s="3" t="s">
        <v>1374</v>
      </c>
      <c r="BF183" s="119">
        <v>2.5</v>
      </c>
      <c r="BG183" s="49" t="s">
        <v>1377</v>
      </c>
      <c r="BH183" s="49" t="s">
        <v>1377</v>
      </c>
      <c r="BI183" s="2"/>
      <c r="BJ183" s="70" t="s">
        <v>1287</v>
      </c>
      <c r="BK183" s="57" t="s">
        <v>1287</v>
      </c>
      <c r="BL183" s="57" t="s">
        <v>1287</v>
      </c>
      <c r="BM183" s="57" t="s">
        <v>1287</v>
      </c>
      <c r="BN183" s="57" t="s">
        <v>1287</v>
      </c>
      <c r="BO183" s="57" t="s">
        <v>1287</v>
      </c>
      <c r="BP183" s="57" t="s">
        <v>1287</v>
      </c>
      <c r="BQ183" s="57" t="s">
        <v>1287</v>
      </c>
      <c r="BR183" s="57" t="s">
        <v>1287</v>
      </c>
      <c r="BS183" s="57" t="s">
        <v>1287</v>
      </c>
      <c r="BT183" s="57" t="s">
        <v>1287</v>
      </c>
      <c r="BU183" s="57" t="s">
        <v>1287</v>
      </c>
      <c r="BV183" s="70">
        <f t="shared" si="1036"/>
        <v>91</v>
      </c>
      <c r="BW183" s="71">
        <f t="shared" si="1037"/>
        <v>130</v>
      </c>
      <c r="BX183" s="72">
        <f t="shared" si="1038"/>
        <v>135</v>
      </c>
      <c r="BY183" s="71">
        <f t="shared" si="1039"/>
        <v>166</v>
      </c>
      <c r="BZ183" s="72">
        <f t="shared" si="1040"/>
        <v>170</v>
      </c>
      <c r="CA183" s="71" t="str">
        <f t="shared" si="1041"/>
        <v>-</v>
      </c>
      <c r="CB183" s="72">
        <f t="shared" si="1042"/>
        <v>216</v>
      </c>
      <c r="CC183" s="71">
        <f t="shared" si="1043"/>
        <v>255</v>
      </c>
      <c r="CD183" s="72">
        <f t="shared" si="1044"/>
        <v>263</v>
      </c>
      <c r="CE183" s="71">
        <f t="shared" si="1045"/>
        <v>312</v>
      </c>
      <c r="CF183" s="72">
        <f t="shared" si="1046"/>
        <v>357</v>
      </c>
      <c r="CG183" s="71">
        <f t="shared" si="1047"/>
        <v>390</v>
      </c>
      <c r="CH183" s="70">
        <f t="shared" si="1048"/>
        <v>129</v>
      </c>
      <c r="CI183" s="71">
        <f t="shared" si="1049"/>
        <v>134</v>
      </c>
      <c r="CJ183" s="72">
        <f t="shared" si="1050"/>
        <v>164</v>
      </c>
      <c r="CK183" s="72">
        <f t="shared" si="1051"/>
        <v>169</v>
      </c>
      <c r="CL183" s="72">
        <f t="shared" si="1052"/>
        <v>205</v>
      </c>
      <c r="CM183" s="72" t="str">
        <f t="shared" si="1053"/>
        <v>-</v>
      </c>
      <c r="CN183" s="72">
        <f t="shared" si="1054"/>
        <v>240</v>
      </c>
      <c r="CO183" s="72">
        <f t="shared" si="1055"/>
        <v>257</v>
      </c>
      <c r="CP183" s="72">
        <f t="shared" si="1056"/>
        <v>303</v>
      </c>
      <c r="CQ183" s="72">
        <f t="shared" si="1057"/>
        <v>350</v>
      </c>
      <c r="CR183" s="72">
        <f t="shared" si="1058"/>
        <v>389</v>
      </c>
      <c r="CS183" s="72">
        <f t="shared" si="1059"/>
        <v>403</v>
      </c>
      <c r="CT183" s="23">
        <f t="shared" si="1060"/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29" x14ac:dyDescent="0.2">
      <c r="A184" s="3" t="str">
        <f>CONCATENATE(B184,"_",C184)</f>
        <v>ednrb_human_5X93</v>
      </c>
      <c r="B184" s="2" t="s">
        <v>196</v>
      </c>
      <c r="C184" s="2" t="s">
        <v>1438</v>
      </c>
      <c r="D184" s="3" t="str">
        <f>IFERROR(MID(VLOOKUP($B184,Seqs!$A:$B,2,0),E184,1),"")</f>
        <v>Q</v>
      </c>
      <c r="E184" s="2">
        <v>91</v>
      </c>
      <c r="F184" s="3" t="str">
        <f>IFERROR(MID(VLOOKUP($B184,Seqs!$A:$B,2,0),G184,1),"")</f>
        <v>N</v>
      </c>
      <c r="G184" s="2">
        <v>129</v>
      </c>
      <c r="H184" s="3" t="str">
        <f>IFERROR(MID(VLOOKUP($B184,Seqs!$A:$B,2,0),I184,1),"")</f>
        <v>K</v>
      </c>
      <c r="I184" s="56">
        <v>130</v>
      </c>
      <c r="J184" s="3" t="str">
        <f>IFERROR(MID(VLOOKUP($B184,Seqs!$A:$B,2,0),K184,1),"")</f>
        <v>N</v>
      </c>
      <c r="K184" s="56">
        <v>134</v>
      </c>
      <c r="L184" s="3" t="str">
        <f>IFERROR(MID(VLOOKUP($B184,Seqs!$A:$B,2,0),M184,1),"")</f>
        <v>G</v>
      </c>
      <c r="M184" s="2">
        <v>135</v>
      </c>
      <c r="N184" s="3" t="str">
        <f>IFERROR(MID(VLOOKUP($B184,Seqs!$A:$B,2,0),O184,1),"")</f>
        <v>A</v>
      </c>
      <c r="O184" s="2">
        <v>164</v>
      </c>
      <c r="P184" s="3" t="str">
        <f>IFERROR(MID(VLOOKUP($B184,Seqs!$A:$B,2,0),Q184,1),"")</f>
        <v>D</v>
      </c>
      <c r="Q184" s="2">
        <v>166</v>
      </c>
      <c r="R184" s="3" t="str">
        <f>IFERROR(MID(VLOOKUP($B184,Seqs!$A:$B,2,0),S184,1),"")</f>
        <v>F</v>
      </c>
      <c r="S184" s="2">
        <v>169</v>
      </c>
      <c r="T184" s="3" t="str">
        <f>IFERROR(MID(VLOOKUP($B184,Seqs!$A:$B,2,0),U184,1),"")</f>
        <v>G</v>
      </c>
      <c r="U184" s="4">
        <v>170</v>
      </c>
      <c r="V184" s="3" t="str">
        <f>IFERROR(MID(VLOOKUP($B184,Seqs!$A:$B,2,0),W184,1),"")</f>
        <v>S</v>
      </c>
      <c r="W184" s="2">
        <v>205</v>
      </c>
      <c r="X184" s="3" t="str">
        <f>IFERROR(MID(VLOOKUP($B184,Seqs!$A:$B,2,0),Y184,1),"")</f>
        <v/>
      </c>
      <c r="Y184" s="2" t="s">
        <v>23</v>
      </c>
      <c r="Z184" s="3" t="str">
        <f>IFERROR(MID(VLOOKUP($B184,Seqs!$A:$B,2,0),AA184,1),"")</f>
        <v/>
      </c>
      <c r="AA184" s="2" t="s">
        <v>23</v>
      </c>
      <c r="AB184" s="3" t="str">
        <f>IFERROR(MID(VLOOKUP($B184,Seqs!$A:$B,2,0),AC184,1),"")</f>
        <v>K</v>
      </c>
      <c r="AC184" s="2">
        <v>216</v>
      </c>
      <c r="AD184" s="3" t="str">
        <f>IFERROR(MID(VLOOKUP($B184,Seqs!$A:$B,2,0),AE184,1),"")</f>
        <v>F</v>
      </c>
      <c r="AE184" s="2">
        <v>240</v>
      </c>
      <c r="AF184" s="3" t="str">
        <f>IFERROR(MID(VLOOKUP($B184,Seqs!$A:$B,2,0),AG184,1),"")</f>
        <v>C</v>
      </c>
      <c r="AG184" s="2">
        <v>255</v>
      </c>
      <c r="AH184" s="3" t="str">
        <f>IFERROR(MID(VLOOKUP($B184,Seqs!$A:$B,2,0),AI184,1),"")</f>
        <v>L</v>
      </c>
      <c r="AI184" s="2">
        <v>257</v>
      </c>
      <c r="AJ184" s="3" t="str">
        <f>IFERROR(MID(VLOOKUP($B184,Seqs!$A:$B,2,0),AK184,1),"")</f>
        <v>T</v>
      </c>
      <c r="AK184" s="2">
        <v>263</v>
      </c>
      <c r="AL184" s="3" t="str">
        <f>IFERROR(MID(VLOOKUP($B184,Seqs!$A:$B,2,0),AM184,1),"")</f>
        <v>K</v>
      </c>
      <c r="AM184" s="2">
        <v>303</v>
      </c>
      <c r="AN184" s="3" t="str">
        <f>IFERROR(MID(VLOOKUP($B184,Seqs!$A:$B,2,0),AO184,1),"")</f>
        <v>N</v>
      </c>
      <c r="AO184" s="2">
        <v>312</v>
      </c>
      <c r="AP184" s="3" t="str">
        <f>IFERROR(MID(VLOOKUP($B184,Seqs!$A:$B,2,0),AQ184,1),"")</f>
        <v>Y</v>
      </c>
      <c r="AQ184" s="2">
        <v>350</v>
      </c>
      <c r="AR184" s="3" t="str">
        <f>IFERROR(MID(VLOOKUP($B184,Seqs!$A:$B,2,0),AS184,1),"")</f>
        <v>R</v>
      </c>
      <c r="AS184" s="2">
        <v>357</v>
      </c>
      <c r="AT184" s="3" t="str">
        <f>IFERROR(MID(VLOOKUP($B184,Seqs!$A:$B,2,0),AU184,1),"")</f>
        <v>V</v>
      </c>
      <c r="AU184" s="2">
        <v>389</v>
      </c>
      <c r="AV184" s="3" t="str">
        <f>IFERROR(MID(VLOOKUP($B184,Seqs!$A:$B,2,0),AW184,1),"")</f>
        <v>S</v>
      </c>
      <c r="AW184" s="2">
        <v>390</v>
      </c>
      <c r="AX184" s="3" t="str">
        <f>IFERROR(MID(VLOOKUP($B184,Seqs!$A:$B,2,0),AY184,1),"")</f>
        <v>C</v>
      </c>
      <c r="AY184" s="2">
        <v>403</v>
      </c>
      <c r="AZ184" s="77" t="str">
        <f>VLOOKUP(B184,Classification!A:D,2,0)</f>
        <v>A</v>
      </c>
      <c r="BA184" s="94" t="str">
        <f>VLOOKUP(B184,Classification!A:D,4,0)</f>
        <v>Endothelin</v>
      </c>
      <c r="BB184" s="27" t="b">
        <f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23">
        <f>_xlfn.AGGREGATE(9,6,CH184:CS184)-_xlfn.AGGREGATE(9,6,BV184:CG184)+12</f>
        <v>270</v>
      </c>
      <c r="BD184" s="2" t="s">
        <v>1376</v>
      </c>
      <c r="BE184" s="3" t="s">
        <v>1374</v>
      </c>
      <c r="BF184" s="119">
        <v>2.2000000000000002</v>
      </c>
      <c r="BG184" s="49" t="s">
        <v>1</v>
      </c>
      <c r="BH184" s="49" t="s">
        <v>1</v>
      </c>
      <c r="BI184" s="2"/>
      <c r="BJ184" s="70" t="s">
        <v>1287</v>
      </c>
      <c r="BK184" s="57" t="s">
        <v>1287</v>
      </c>
      <c r="BL184" s="57" t="s">
        <v>1287</v>
      </c>
      <c r="BM184" s="57" t="s">
        <v>1287</v>
      </c>
      <c r="BN184" s="57" t="s">
        <v>1287</v>
      </c>
      <c r="BO184" s="57" t="s">
        <v>1287</v>
      </c>
      <c r="BP184" s="57" t="s">
        <v>1287</v>
      </c>
      <c r="BQ184" s="57" t="s">
        <v>1287</v>
      </c>
      <c r="BR184" s="57" t="s">
        <v>1287</v>
      </c>
      <c r="BS184" s="57" t="s">
        <v>1287</v>
      </c>
      <c r="BT184" s="57" t="s">
        <v>1287</v>
      </c>
      <c r="BU184" s="57" t="s">
        <v>1287</v>
      </c>
      <c r="BV184" s="70">
        <f>E184</f>
        <v>91</v>
      </c>
      <c r="BW184" s="71">
        <f>I184</f>
        <v>130</v>
      </c>
      <c r="BX184" s="72">
        <f>M184</f>
        <v>135</v>
      </c>
      <c r="BY184" s="71">
        <f>Q184</f>
        <v>166</v>
      </c>
      <c r="BZ184" s="72">
        <f>U184</f>
        <v>170</v>
      </c>
      <c r="CA184" s="71" t="str">
        <f>Y184</f>
        <v>-</v>
      </c>
      <c r="CB184" s="72">
        <f>AC184</f>
        <v>216</v>
      </c>
      <c r="CC184" s="71">
        <f>AG184</f>
        <v>255</v>
      </c>
      <c r="CD184" s="72">
        <f>AK184</f>
        <v>263</v>
      </c>
      <c r="CE184" s="71">
        <f>AO184</f>
        <v>312</v>
      </c>
      <c r="CF184" s="72">
        <f>AS184</f>
        <v>357</v>
      </c>
      <c r="CG184" s="71">
        <f>AW184</f>
        <v>390</v>
      </c>
      <c r="CH184" s="70">
        <f>G184</f>
        <v>129</v>
      </c>
      <c r="CI184" s="71">
        <f>K184</f>
        <v>134</v>
      </c>
      <c r="CJ184" s="72">
        <f>O184</f>
        <v>164</v>
      </c>
      <c r="CK184" s="72">
        <f>S184</f>
        <v>169</v>
      </c>
      <c r="CL184" s="72">
        <f>W184</f>
        <v>205</v>
      </c>
      <c r="CM184" s="72" t="str">
        <f>AA184</f>
        <v>-</v>
      </c>
      <c r="CN184" s="72">
        <f>AE184</f>
        <v>240</v>
      </c>
      <c r="CO184" s="72">
        <f>AI184</f>
        <v>257</v>
      </c>
      <c r="CP184" s="72">
        <f>AM184</f>
        <v>303</v>
      </c>
      <c r="CQ184" s="72">
        <f>AQ184</f>
        <v>350</v>
      </c>
      <c r="CR184" s="72">
        <f>AU184</f>
        <v>389</v>
      </c>
      <c r="CS184" s="72">
        <f>AY184</f>
        <v>403</v>
      </c>
      <c r="CT184" s="23">
        <f>M184-K184</f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29" x14ac:dyDescent="0.2">
      <c r="A185" s="3" t="str">
        <f>CONCATENATE(B185,"_",C185)</f>
        <v>ednrb_human_5XPR</v>
      </c>
      <c r="B185" s="2" t="s">
        <v>196</v>
      </c>
      <c r="C185" s="2" t="s">
        <v>1439</v>
      </c>
      <c r="D185" s="3" t="str">
        <f>IFERROR(MID(VLOOKUP($B185,Seqs!$A:$B,2,0),E185,1),"")</f>
        <v>G</v>
      </c>
      <c r="E185" s="2">
        <v>92</v>
      </c>
      <c r="F185" s="3" t="str">
        <f>IFERROR(MID(VLOOKUP($B185,Seqs!$A:$B,2,0),G185,1),"")</f>
        <v>N</v>
      </c>
      <c r="G185" s="2">
        <v>129</v>
      </c>
      <c r="H185" s="3" t="str">
        <f>IFERROR(MID(VLOOKUP($B185,Seqs!$A:$B,2,0),I185,1),"")</f>
        <v>K</v>
      </c>
      <c r="I185" s="56">
        <v>130</v>
      </c>
      <c r="J185" s="3" t="str">
        <f>IFERROR(MID(VLOOKUP($B185,Seqs!$A:$B,2,0),K185,1),"")</f>
        <v>N</v>
      </c>
      <c r="K185" s="56">
        <v>134</v>
      </c>
      <c r="L185" s="3" t="str">
        <f>IFERROR(MID(VLOOKUP($B185,Seqs!$A:$B,2,0),M185,1),"")</f>
        <v>G</v>
      </c>
      <c r="M185" s="2">
        <v>135</v>
      </c>
      <c r="N185" s="3" t="str">
        <f>IFERROR(MID(VLOOKUP($B185,Seqs!$A:$B,2,0),O185,1),"")</f>
        <v>A</v>
      </c>
      <c r="O185" s="2">
        <v>164</v>
      </c>
      <c r="P185" s="3" t="str">
        <f>IFERROR(MID(VLOOKUP($B185,Seqs!$A:$B,2,0),Q185,1),"")</f>
        <v>D</v>
      </c>
      <c r="Q185" s="2">
        <v>166</v>
      </c>
      <c r="R185" s="3" t="str">
        <f>IFERROR(MID(VLOOKUP($B185,Seqs!$A:$B,2,0),S185,1),"")</f>
        <v>F</v>
      </c>
      <c r="S185" s="2">
        <v>169</v>
      </c>
      <c r="T185" s="3" t="str">
        <f>IFERROR(MID(VLOOKUP($B185,Seqs!$A:$B,2,0),U185,1),"")</f>
        <v>A</v>
      </c>
      <c r="U185" s="4">
        <v>171</v>
      </c>
      <c r="V185" s="3" t="str">
        <f>IFERROR(MID(VLOOKUP($B185,Seqs!$A:$B,2,0),W185,1),"")</f>
        <v>A</v>
      </c>
      <c r="W185" s="2">
        <v>202</v>
      </c>
      <c r="X185" s="3" t="str">
        <f>IFERROR(MID(VLOOKUP($B185,Seqs!$A:$B,2,0),Y185,1),"")</f>
        <v/>
      </c>
      <c r="Y185" s="2" t="s">
        <v>23</v>
      </c>
      <c r="Z185" s="3" t="str">
        <f>IFERROR(MID(VLOOKUP($B185,Seqs!$A:$B,2,0),AA185,1),"")</f>
        <v/>
      </c>
      <c r="AA185" s="2" t="s">
        <v>23</v>
      </c>
      <c r="AB185" s="3" t="str">
        <f>IFERROR(MID(VLOOKUP($B185,Seqs!$A:$B,2,0),AC185,1),"")</f>
        <v>K</v>
      </c>
      <c r="AC185" s="2">
        <v>216</v>
      </c>
      <c r="AD185" s="3" t="str">
        <f>IFERROR(MID(VLOOKUP($B185,Seqs!$A:$B,2,0),AE185,1),"")</f>
        <v>F</v>
      </c>
      <c r="AE185" s="2">
        <v>240</v>
      </c>
      <c r="AF185" s="3" t="str">
        <f>IFERROR(MID(VLOOKUP($B185,Seqs!$A:$B,2,0),AG185,1),"")</f>
        <v>C</v>
      </c>
      <c r="AG185" s="2">
        <v>255</v>
      </c>
      <c r="AH185" s="3" t="str">
        <f>IFERROR(MID(VLOOKUP($B185,Seqs!$A:$B,2,0),AI185,1),"")</f>
        <v>L</v>
      </c>
      <c r="AI185" s="2">
        <v>257</v>
      </c>
      <c r="AJ185" s="3" t="str">
        <f>IFERROR(MID(VLOOKUP($B185,Seqs!$A:$B,2,0),AK185,1),"")</f>
        <v>T</v>
      </c>
      <c r="AK185" s="2">
        <v>263</v>
      </c>
      <c r="AL185" s="3" t="str">
        <f>IFERROR(MID(VLOOKUP($B185,Seqs!$A:$B,2,0),AM185,1),"")</f>
        <v>K</v>
      </c>
      <c r="AM185" s="2">
        <v>303</v>
      </c>
      <c r="AN185" s="3" t="str">
        <f>IFERROR(MID(VLOOKUP($B185,Seqs!$A:$B,2,0),AO185,1),"")</f>
        <v>N</v>
      </c>
      <c r="AO185" s="2">
        <v>312</v>
      </c>
      <c r="AP185" s="3" t="str">
        <f>IFERROR(MID(VLOOKUP($B185,Seqs!$A:$B,2,0),AQ185,1),"")</f>
        <v>L</v>
      </c>
      <c r="AQ185" s="2">
        <v>349</v>
      </c>
      <c r="AR185" s="3" t="str">
        <f>IFERROR(MID(VLOOKUP($B185,Seqs!$A:$B,2,0),AS185,1),"")</f>
        <v>N</v>
      </c>
      <c r="AS185" s="2">
        <v>356</v>
      </c>
      <c r="AT185" s="3" t="str">
        <f>IFERROR(MID(VLOOKUP($B185,Seqs!$A:$B,2,0),AU185,1),"")</f>
        <v>V</v>
      </c>
      <c r="AU185" s="2">
        <v>389</v>
      </c>
      <c r="AV185" s="3" t="str">
        <f>IFERROR(MID(VLOOKUP($B185,Seqs!$A:$B,2,0),AW185,1),"")</f>
        <v>S</v>
      </c>
      <c r="AW185" s="2">
        <v>390</v>
      </c>
      <c r="AX185" s="3" t="str">
        <f>IFERROR(MID(VLOOKUP($B185,Seqs!$A:$B,2,0),AY185,1),"")</f>
        <v>C</v>
      </c>
      <c r="AY185" s="2">
        <v>402</v>
      </c>
      <c r="AZ185" s="77" t="str">
        <f>VLOOKUP(B185,Classification!A:D,2,0)</f>
        <v>A</v>
      </c>
      <c r="BA185" s="94" t="str">
        <f>VLOOKUP(B185,Classification!A:D,4,0)</f>
        <v>Endothelin</v>
      </c>
      <c r="BB185" s="27" t="b">
        <f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23">
        <f>_xlfn.AGGREGATE(9,6,CH185:CS185)-_xlfn.AGGREGATE(9,6,BV185:CG185)+12</f>
        <v>264</v>
      </c>
      <c r="BD185" s="2" t="s">
        <v>23</v>
      </c>
      <c r="BE185" s="3" t="s">
        <v>1374</v>
      </c>
      <c r="BF185" s="119">
        <v>3.6</v>
      </c>
      <c r="BG185" s="49" t="s">
        <v>1</v>
      </c>
      <c r="BH185" s="49" t="s">
        <v>1</v>
      </c>
      <c r="BI185" s="2"/>
      <c r="BJ185" s="70" t="s">
        <v>1287</v>
      </c>
      <c r="BK185" s="57" t="s">
        <v>1287</v>
      </c>
      <c r="BL185" s="57" t="s">
        <v>1287</v>
      </c>
      <c r="BM185" s="57" t="s">
        <v>1287</v>
      </c>
      <c r="BN185" s="57" t="s">
        <v>1287</v>
      </c>
      <c r="BO185" s="57" t="s">
        <v>1287</v>
      </c>
      <c r="BP185" s="57" t="s">
        <v>1287</v>
      </c>
      <c r="BQ185" s="57" t="s">
        <v>1287</v>
      </c>
      <c r="BR185" s="57" t="s">
        <v>1287</v>
      </c>
      <c r="BS185" s="57" t="s">
        <v>1287</v>
      </c>
      <c r="BT185" s="57" t="s">
        <v>1287</v>
      </c>
      <c r="BU185" s="57" t="s">
        <v>1287</v>
      </c>
      <c r="BV185" s="70">
        <f>E185</f>
        <v>92</v>
      </c>
      <c r="BW185" s="71">
        <f>I185</f>
        <v>130</v>
      </c>
      <c r="BX185" s="72">
        <f>M185</f>
        <v>135</v>
      </c>
      <c r="BY185" s="71">
        <f>Q185</f>
        <v>166</v>
      </c>
      <c r="BZ185" s="72">
        <f>U185</f>
        <v>171</v>
      </c>
      <c r="CA185" s="71" t="str">
        <f>Y185</f>
        <v>-</v>
      </c>
      <c r="CB185" s="72">
        <f>AC185</f>
        <v>216</v>
      </c>
      <c r="CC185" s="71">
        <f>AG185</f>
        <v>255</v>
      </c>
      <c r="CD185" s="72">
        <f>AK185</f>
        <v>263</v>
      </c>
      <c r="CE185" s="71">
        <f>AO185</f>
        <v>312</v>
      </c>
      <c r="CF185" s="72">
        <f>AS185</f>
        <v>356</v>
      </c>
      <c r="CG185" s="71">
        <f>AW185</f>
        <v>390</v>
      </c>
      <c r="CH185" s="70">
        <f>G185</f>
        <v>129</v>
      </c>
      <c r="CI185" s="71">
        <f>K185</f>
        <v>134</v>
      </c>
      <c r="CJ185" s="72">
        <f>O185</f>
        <v>164</v>
      </c>
      <c r="CK185" s="72">
        <f>S185</f>
        <v>169</v>
      </c>
      <c r="CL185" s="72">
        <f>W185</f>
        <v>202</v>
      </c>
      <c r="CM185" s="72" t="str">
        <f>AA185</f>
        <v>-</v>
      </c>
      <c r="CN185" s="72">
        <f>AE185</f>
        <v>240</v>
      </c>
      <c r="CO185" s="72">
        <f>AI185</f>
        <v>257</v>
      </c>
      <c r="CP185" s="72">
        <f>AM185</f>
        <v>303</v>
      </c>
      <c r="CQ185" s="72">
        <f>AQ185</f>
        <v>349</v>
      </c>
      <c r="CR185" s="72">
        <f>AU185</f>
        <v>389</v>
      </c>
      <c r="CS185" s="72">
        <f>AY185</f>
        <v>402</v>
      </c>
      <c r="CT185" s="23">
        <f>M185-K185</f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29" s="12" customFormat="1" x14ac:dyDescent="0.2">
      <c r="A186" s="9" t="str">
        <f>CONCATENATE(B186,"_",C186)</f>
        <v>ednrb_human_6IGL</v>
      </c>
      <c r="B186" s="40" t="s">
        <v>196</v>
      </c>
      <c r="C186" s="40" t="s">
        <v>1528</v>
      </c>
      <c r="D186" s="9" t="str">
        <f>IFERROR(MID(VLOOKUP($B186,Seqs!$A:$B,2,0),E186,1),"")</f>
        <v>K</v>
      </c>
      <c r="E186" s="40">
        <v>97</v>
      </c>
      <c r="F186" s="9" t="str">
        <f>IFERROR(MID(VLOOKUP($B186,Seqs!$A:$B,2,0),G186,1),"")</f>
        <v>N</v>
      </c>
      <c r="G186" s="40">
        <v>129</v>
      </c>
      <c r="H186" s="9" t="str">
        <f>IFERROR(MID(VLOOKUP($B186,Seqs!$A:$B,2,0),I186,1),"")</f>
        <v/>
      </c>
      <c r="I186" s="130" t="s">
        <v>23</v>
      </c>
      <c r="J186" s="9" t="str">
        <f>IFERROR(MID(VLOOKUP($B186,Seqs!$A:$B,2,0),K186,1),"")</f>
        <v/>
      </c>
      <c r="K186" s="130" t="s">
        <v>23</v>
      </c>
      <c r="L186" s="9" t="str">
        <f>IFERROR(MID(VLOOKUP($B186,Seqs!$A:$B,2,0),M186,1),"")</f>
        <v>N</v>
      </c>
      <c r="M186" s="40">
        <v>134</v>
      </c>
      <c r="N186" s="9" t="str">
        <f>IFERROR(MID(VLOOKUP($B186,Seqs!$A:$B,2,0),O186,1),"")</f>
        <v>E</v>
      </c>
      <c r="O186" s="40">
        <v>165</v>
      </c>
      <c r="P186" s="9" t="str">
        <f>IFERROR(MID(VLOOKUP($B186,Seqs!$A:$B,2,0),Q186,1),"")</f>
        <v>D</v>
      </c>
      <c r="Q186" s="40">
        <v>166</v>
      </c>
      <c r="R186" s="9" t="str">
        <f>IFERROR(MID(VLOOKUP($B186,Seqs!$A:$B,2,0),S186,1),"")</f>
        <v>F</v>
      </c>
      <c r="S186" s="40">
        <v>169</v>
      </c>
      <c r="T186" s="9" t="str">
        <f>IFERROR(MID(VLOOKUP($B186,Seqs!$A:$B,2,0),U186,1),"")</f>
        <v>G</v>
      </c>
      <c r="U186" s="11">
        <v>170</v>
      </c>
      <c r="V186" s="9" t="str">
        <f>IFERROR(MID(VLOOKUP($B186,Seqs!$A:$B,2,0),W186,1),"")</f>
        <v>V</v>
      </c>
      <c r="W186" s="40">
        <v>203</v>
      </c>
      <c r="X186" s="9" t="str">
        <f>IFERROR(MID(VLOOKUP($B186,Seqs!$A:$B,2,0),Y186,1),"")</f>
        <v/>
      </c>
      <c r="Y186" s="40" t="s">
        <v>23</v>
      </c>
      <c r="Z186" s="9" t="str">
        <f>IFERROR(MID(VLOOKUP($B186,Seqs!$A:$B,2,0),AA186,1),"")</f>
        <v/>
      </c>
      <c r="AA186" s="40" t="s">
        <v>23</v>
      </c>
      <c r="AB186" s="9" t="str">
        <f>IFERROR(MID(VLOOKUP($B186,Seqs!$A:$B,2,0),AC186,1),"")</f>
        <v>W</v>
      </c>
      <c r="AC186" s="40">
        <v>217</v>
      </c>
      <c r="AD186" s="9" t="str">
        <f>IFERROR(MID(VLOOKUP($B186,Seqs!$A:$B,2,0),AE186,1),"")</f>
        <v>F</v>
      </c>
      <c r="AE186" s="40">
        <v>240</v>
      </c>
      <c r="AF186" s="9" t="str">
        <f>IFERROR(MID(VLOOKUP($B186,Seqs!$A:$B,2,0),AG186,1),"")</f>
        <v>C</v>
      </c>
      <c r="AG186" s="40">
        <v>255</v>
      </c>
      <c r="AH186" s="9" t="str">
        <f>IFERROR(MID(VLOOKUP($B186,Seqs!$A:$B,2,0),AI186,1),"")</f>
        <v>L</v>
      </c>
      <c r="AI186" s="40">
        <v>257</v>
      </c>
      <c r="AJ186" s="9" t="str">
        <f>IFERROR(MID(VLOOKUP($B186,Seqs!$A:$B,2,0),AK186,1),"")</f>
        <v>T</v>
      </c>
      <c r="AK186" s="40">
        <v>263</v>
      </c>
      <c r="AL186" s="9" t="str">
        <f>IFERROR(MID(VLOOKUP($B186,Seqs!$A:$B,2,0),AM186,1),"")</f>
        <v>K</v>
      </c>
      <c r="AM186" s="40">
        <v>303</v>
      </c>
      <c r="AN186" s="9" t="str">
        <f>IFERROR(MID(VLOOKUP($B186,Seqs!$A:$B,2,0),AO186,1),"")</f>
        <v>N</v>
      </c>
      <c r="AO186" s="40">
        <v>312</v>
      </c>
      <c r="AP186" s="9" t="str">
        <f>IFERROR(MID(VLOOKUP($B186,Seqs!$A:$B,2,0),AQ186,1),"")</f>
        <v>Y</v>
      </c>
      <c r="AQ186" s="40">
        <v>350</v>
      </c>
      <c r="AR186" s="9" t="str">
        <f>IFERROR(MID(VLOOKUP($B186,Seqs!$A:$B,2,0),AS186,1),"")</f>
        <v>R</v>
      </c>
      <c r="AS186" s="40">
        <v>357</v>
      </c>
      <c r="AT186" s="9" t="str">
        <f>IFERROR(MID(VLOOKUP($B186,Seqs!$A:$B,2,0),AU186,1),"")</f>
        <v>V</v>
      </c>
      <c r="AU186" s="40">
        <v>389</v>
      </c>
      <c r="AV186" s="9" t="str">
        <f>IFERROR(MID(VLOOKUP($B186,Seqs!$A:$B,2,0),AW186,1),"")</f>
        <v>S</v>
      </c>
      <c r="AW186" s="40">
        <v>390</v>
      </c>
      <c r="AX186" s="9" t="str">
        <f>IFERROR(MID(VLOOKUP($B186,Seqs!$A:$B,2,0),AY186,1),"")</f>
        <v>L</v>
      </c>
      <c r="AY186" s="40">
        <v>401</v>
      </c>
      <c r="AZ186" s="110" t="str">
        <f>VLOOKUP(B186,Classification!A:D,2,0)</f>
        <v>A</v>
      </c>
      <c r="BA186" s="98" t="str">
        <f>VLOOKUP(B186,Classification!A:D,4,0)</f>
        <v>Endothelin</v>
      </c>
      <c r="BB186" s="36" t="b">
        <f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109">
        <f>_xlfn.AGGREGATE(9,6,CH186:CS186)-_xlfn.AGGREGATE(9,6,BV186:CG186)+12</f>
        <v>257</v>
      </c>
      <c r="BD186" s="40" t="s">
        <v>23</v>
      </c>
      <c r="BE186" s="9" t="s">
        <v>1374</v>
      </c>
      <c r="BF186" s="120">
        <v>2.7</v>
      </c>
      <c r="BG186" s="51" t="s">
        <v>1</v>
      </c>
      <c r="BH186" s="51" t="s">
        <v>1</v>
      </c>
      <c r="BI186" s="40"/>
      <c r="BJ186" s="111" t="s">
        <v>1287</v>
      </c>
      <c r="BK186" s="112" t="s">
        <v>1287</v>
      </c>
      <c r="BL186" s="112" t="s">
        <v>1287</v>
      </c>
      <c r="BM186" s="112" t="s">
        <v>1287</v>
      </c>
      <c r="BN186" s="112" t="s">
        <v>1287</v>
      </c>
      <c r="BO186" s="112" t="s">
        <v>1287</v>
      </c>
      <c r="BP186" s="112" t="s">
        <v>1287</v>
      </c>
      <c r="BQ186" s="112" t="s">
        <v>1287</v>
      </c>
      <c r="BR186" s="112" t="s">
        <v>1287</v>
      </c>
      <c r="BS186" s="112" t="s">
        <v>1287</v>
      </c>
      <c r="BT186" s="112" t="s">
        <v>1287</v>
      </c>
      <c r="BU186" s="112" t="s">
        <v>1287</v>
      </c>
      <c r="BV186" s="111">
        <f>E186</f>
        <v>97</v>
      </c>
      <c r="BW186" s="113" t="str">
        <f>I186</f>
        <v>-</v>
      </c>
      <c r="BX186" s="114">
        <f>M186</f>
        <v>134</v>
      </c>
      <c r="BY186" s="113">
        <f>Q186</f>
        <v>166</v>
      </c>
      <c r="BZ186" s="114">
        <f>U186</f>
        <v>170</v>
      </c>
      <c r="CA186" s="113" t="str">
        <f>Y186</f>
        <v>-</v>
      </c>
      <c r="CB186" s="114">
        <f>AC186</f>
        <v>217</v>
      </c>
      <c r="CC186" s="113">
        <f>AG186</f>
        <v>255</v>
      </c>
      <c r="CD186" s="114">
        <f>AK186</f>
        <v>263</v>
      </c>
      <c r="CE186" s="113">
        <f>AO186</f>
        <v>312</v>
      </c>
      <c r="CF186" s="114">
        <f>AS186</f>
        <v>357</v>
      </c>
      <c r="CG186" s="113">
        <f>AW186</f>
        <v>390</v>
      </c>
      <c r="CH186" s="111">
        <f>G186</f>
        <v>129</v>
      </c>
      <c r="CI186" s="113" t="str">
        <f>K186</f>
        <v>-</v>
      </c>
      <c r="CJ186" s="114">
        <f>O186</f>
        <v>165</v>
      </c>
      <c r="CK186" s="114">
        <f>S186</f>
        <v>169</v>
      </c>
      <c r="CL186" s="114">
        <f>W186</f>
        <v>203</v>
      </c>
      <c r="CM186" s="114" t="str">
        <f>AA186</f>
        <v>-</v>
      </c>
      <c r="CN186" s="114">
        <f>AE186</f>
        <v>240</v>
      </c>
      <c r="CO186" s="114">
        <f>AI186</f>
        <v>257</v>
      </c>
      <c r="CP186" s="114">
        <f>AM186</f>
        <v>303</v>
      </c>
      <c r="CQ186" s="114">
        <f>AQ186</f>
        <v>350</v>
      </c>
      <c r="CR186" s="114">
        <f>AU186</f>
        <v>389</v>
      </c>
      <c r="CS186" s="114">
        <f>AY186</f>
        <v>401</v>
      </c>
      <c r="CT186" s="109" t="e">
        <f>M186-K186</f>
        <v>#VALUE!</v>
      </c>
    </row>
    <row r="187" spans="1:1029" s="12" customFormat="1" x14ac:dyDescent="0.2">
      <c r="A187" s="9" t="str">
        <f>CONCATENATE(B187,"_",C187)</f>
        <v>ednrb_human_6IGK</v>
      </c>
      <c r="B187" s="40" t="s">
        <v>196</v>
      </c>
      <c r="C187" s="40" t="s">
        <v>1529</v>
      </c>
      <c r="D187" s="9" t="str">
        <f>IFERROR(MID(VLOOKUP($B187,Seqs!$A:$B,2,0),E187,1),"")</f>
        <v>K</v>
      </c>
      <c r="E187" s="40">
        <v>97</v>
      </c>
      <c r="F187" s="9" t="str">
        <f>IFERROR(MID(VLOOKUP($B187,Seqs!$A:$B,2,0),G187,1),"")</f>
        <v>N</v>
      </c>
      <c r="G187" s="40">
        <v>129</v>
      </c>
      <c r="H187" s="9" t="str">
        <f>IFERROR(MID(VLOOKUP($B187,Seqs!$A:$B,2,0),I187,1),"")</f>
        <v/>
      </c>
      <c r="I187" s="130" t="s">
        <v>23</v>
      </c>
      <c r="J187" s="9" t="str">
        <f>IFERROR(MID(VLOOKUP($B187,Seqs!$A:$B,2,0),K187,1),"")</f>
        <v/>
      </c>
      <c r="K187" s="130" t="s">
        <v>23</v>
      </c>
      <c r="L187" s="9" t="str">
        <f>IFERROR(MID(VLOOKUP($B187,Seqs!$A:$B,2,0),M187,1),"")</f>
        <v>N</v>
      </c>
      <c r="M187" s="40">
        <v>134</v>
      </c>
      <c r="N187" s="9" t="str">
        <f>IFERROR(MID(VLOOKUP($B187,Seqs!$A:$B,2,0),O187,1),"")</f>
        <v>E</v>
      </c>
      <c r="O187" s="40">
        <v>165</v>
      </c>
      <c r="P187" s="9" t="str">
        <f>IFERROR(MID(VLOOKUP($B187,Seqs!$A:$B,2,0),Q187,1),"")</f>
        <v>D</v>
      </c>
      <c r="Q187" s="40">
        <v>166</v>
      </c>
      <c r="R187" s="9" t="str">
        <f>IFERROR(MID(VLOOKUP($B187,Seqs!$A:$B,2,0),S187,1),"")</f>
        <v>F</v>
      </c>
      <c r="S187" s="40">
        <v>169</v>
      </c>
      <c r="T187" s="9" t="str">
        <f>IFERROR(MID(VLOOKUP($B187,Seqs!$A:$B,2,0),U187,1),"")</f>
        <v>G</v>
      </c>
      <c r="U187" s="11">
        <v>170</v>
      </c>
      <c r="V187" s="9" t="str">
        <f>IFERROR(MID(VLOOKUP($B187,Seqs!$A:$B,2,0),W187,1),"")</f>
        <v>S</v>
      </c>
      <c r="W187" s="40">
        <v>205</v>
      </c>
      <c r="X187" s="9" t="str">
        <f>IFERROR(MID(VLOOKUP($B187,Seqs!$A:$B,2,0),Y187,1),"")</f>
        <v/>
      </c>
      <c r="Y187" s="40" t="s">
        <v>23</v>
      </c>
      <c r="Z187" s="9" t="str">
        <f>IFERROR(MID(VLOOKUP($B187,Seqs!$A:$B,2,0),AA187,1),"")</f>
        <v/>
      </c>
      <c r="AA187" s="40" t="s">
        <v>23</v>
      </c>
      <c r="AB187" s="9" t="str">
        <f>IFERROR(MID(VLOOKUP($B187,Seqs!$A:$B,2,0),AC187,1),"")</f>
        <v>P</v>
      </c>
      <c r="AC187" s="40">
        <v>215</v>
      </c>
      <c r="AD187" s="9" t="str">
        <f>IFERROR(MID(VLOOKUP($B187,Seqs!$A:$B,2,0),AE187,1),"")</f>
        <v>F</v>
      </c>
      <c r="AE187" s="40">
        <v>240</v>
      </c>
      <c r="AF187" s="9" t="str">
        <f>IFERROR(MID(VLOOKUP($B187,Seqs!$A:$B,2,0),AG187,1),"")</f>
        <v>C</v>
      </c>
      <c r="AG187" s="40">
        <v>255</v>
      </c>
      <c r="AH187" s="9" t="str">
        <f>IFERROR(MID(VLOOKUP($B187,Seqs!$A:$B,2,0),AI187,1),"")</f>
        <v>L</v>
      </c>
      <c r="AI187" s="40">
        <v>257</v>
      </c>
      <c r="AJ187" s="9" t="str">
        <f>IFERROR(MID(VLOOKUP($B187,Seqs!$A:$B,2,0),AK187,1),"")</f>
        <v>T</v>
      </c>
      <c r="AK187" s="40">
        <v>263</v>
      </c>
      <c r="AL187" s="9" t="str">
        <f>IFERROR(MID(VLOOKUP($B187,Seqs!$A:$B,2,0),AM187,1),"")</f>
        <v>K</v>
      </c>
      <c r="AM187" s="40">
        <v>303</v>
      </c>
      <c r="AN187" s="9" t="str">
        <f>IFERROR(MID(VLOOKUP($B187,Seqs!$A:$B,2,0),AO187,1),"")</f>
        <v>N</v>
      </c>
      <c r="AO187" s="40">
        <v>312</v>
      </c>
      <c r="AP187" s="9" t="str">
        <f>IFERROR(MID(VLOOKUP($B187,Seqs!$A:$B,2,0),AQ187,1),"")</f>
        <v>Y</v>
      </c>
      <c r="AQ187" s="40">
        <v>350</v>
      </c>
      <c r="AR187" s="9" t="str">
        <f>IFERROR(MID(VLOOKUP($B187,Seqs!$A:$B,2,0),AS187,1),"")</f>
        <v>N</v>
      </c>
      <c r="AS187" s="40">
        <v>356</v>
      </c>
      <c r="AT187" s="9" t="str">
        <f>IFERROR(MID(VLOOKUP($B187,Seqs!$A:$B,2,0),AU187,1),"")</f>
        <v>V</v>
      </c>
      <c r="AU187" s="40">
        <v>389</v>
      </c>
      <c r="AV187" s="9" t="str">
        <f>IFERROR(MID(VLOOKUP($B187,Seqs!$A:$B,2,0),AW187,1),"")</f>
        <v>S</v>
      </c>
      <c r="AW187" s="40">
        <v>390</v>
      </c>
      <c r="AX187" s="9" t="str">
        <f>IFERROR(MID(VLOOKUP($B187,Seqs!$A:$B,2,0),AY187,1),"")</f>
        <v>C</v>
      </c>
      <c r="AY187" s="40">
        <v>402</v>
      </c>
      <c r="AZ187" s="110" t="str">
        <f>VLOOKUP(B187,Classification!A:D,2,0)</f>
        <v>A</v>
      </c>
      <c r="BA187" s="98" t="str">
        <f>VLOOKUP(B187,Classification!A:D,4,0)</f>
        <v>Endothelin</v>
      </c>
      <c r="BB187" s="36" t="b">
        <f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109">
        <f>_xlfn.AGGREGATE(9,6,CH187:CS187)-_xlfn.AGGREGATE(9,6,BV187:CG187)+12</f>
        <v>263</v>
      </c>
      <c r="BD187" s="40" t="s">
        <v>23</v>
      </c>
      <c r="BE187" s="9" t="s">
        <v>1374</v>
      </c>
      <c r="BF187" s="120">
        <v>2</v>
      </c>
      <c r="BG187" s="51" t="s">
        <v>1</v>
      </c>
      <c r="BH187" s="51" t="s">
        <v>1</v>
      </c>
      <c r="BI187" s="40"/>
      <c r="BJ187" s="111" t="s">
        <v>1287</v>
      </c>
      <c r="BK187" s="112" t="s">
        <v>1287</v>
      </c>
      <c r="BL187" s="112" t="s">
        <v>1287</v>
      </c>
      <c r="BM187" s="112" t="s">
        <v>1287</v>
      </c>
      <c r="BN187" s="112" t="s">
        <v>1287</v>
      </c>
      <c r="BO187" s="112" t="s">
        <v>1287</v>
      </c>
      <c r="BP187" s="112" t="s">
        <v>1287</v>
      </c>
      <c r="BQ187" s="112" t="s">
        <v>1287</v>
      </c>
      <c r="BR187" s="112" t="s">
        <v>1287</v>
      </c>
      <c r="BS187" s="112" t="s">
        <v>1287</v>
      </c>
      <c r="BT187" s="112" t="s">
        <v>1287</v>
      </c>
      <c r="BU187" s="112" t="s">
        <v>1287</v>
      </c>
      <c r="BV187" s="111">
        <f>E187</f>
        <v>97</v>
      </c>
      <c r="BW187" s="113" t="str">
        <f>I187</f>
        <v>-</v>
      </c>
      <c r="BX187" s="114">
        <f>M187</f>
        <v>134</v>
      </c>
      <c r="BY187" s="113">
        <f>Q187</f>
        <v>166</v>
      </c>
      <c r="BZ187" s="114">
        <f>U187</f>
        <v>170</v>
      </c>
      <c r="CA187" s="113" t="str">
        <f>Y187</f>
        <v>-</v>
      </c>
      <c r="CB187" s="114">
        <f>AC187</f>
        <v>215</v>
      </c>
      <c r="CC187" s="113">
        <f>AG187</f>
        <v>255</v>
      </c>
      <c r="CD187" s="114">
        <f>AK187</f>
        <v>263</v>
      </c>
      <c r="CE187" s="113">
        <f>AO187</f>
        <v>312</v>
      </c>
      <c r="CF187" s="114">
        <f>AS187</f>
        <v>356</v>
      </c>
      <c r="CG187" s="113">
        <f>AW187</f>
        <v>390</v>
      </c>
      <c r="CH187" s="111">
        <f>G187</f>
        <v>129</v>
      </c>
      <c r="CI187" s="113" t="str">
        <f>K187</f>
        <v>-</v>
      </c>
      <c r="CJ187" s="114">
        <f>O187</f>
        <v>165</v>
      </c>
      <c r="CK187" s="114">
        <f>S187</f>
        <v>169</v>
      </c>
      <c r="CL187" s="114">
        <f>W187</f>
        <v>205</v>
      </c>
      <c r="CM187" s="114" t="str">
        <f>AA187</f>
        <v>-</v>
      </c>
      <c r="CN187" s="114">
        <f>AE187</f>
        <v>240</v>
      </c>
      <c r="CO187" s="114">
        <f>AI187</f>
        <v>257</v>
      </c>
      <c r="CP187" s="114">
        <f>AM187</f>
        <v>303</v>
      </c>
      <c r="CQ187" s="114">
        <f>AQ187</f>
        <v>350</v>
      </c>
      <c r="CR187" s="114">
        <f>AU187</f>
        <v>389</v>
      </c>
      <c r="CS187" s="114">
        <f>AY187</f>
        <v>402</v>
      </c>
      <c r="CT187" s="109" t="e">
        <f>M187-K187</f>
        <v>#VALUE!</v>
      </c>
    </row>
    <row r="188" spans="1:1029" s="12" customFormat="1" x14ac:dyDescent="0.2">
      <c r="A188" s="9" t="str">
        <f>CONCATENATE(B188,"_",C188)</f>
        <v>ednrb_human_6K1Q</v>
      </c>
      <c r="B188" s="40" t="s">
        <v>196</v>
      </c>
      <c r="C188" s="40" t="s">
        <v>1587</v>
      </c>
      <c r="D188" s="9" t="str">
        <f>IFERROR(MID(VLOOKUP($B188,Seqs!$A:$B,2,0),E188,1),"")</f>
        <v>Q</v>
      </c>
      <c r="E188" s="40">
        <v>91</v>
      </c>
      <c r="F188" s="9" t="str">
        <f>IFERROR(MID(VLOOKUP($B188,Seqs!$A:$B,2,0),G188,1),"")</f>
        <v>N</v>
      </c>
      <c r="G188" s="40">
        <v>129</v>
      </c>
      <c r="H188" s="9" t="str">
        <f>IFERROR(MID(VLOOKUP($B188,Seqs!$A:$B,2,0),I188,1),"")</f>
        <v/>
      </c>
      <c r="I188" s="130" t="s">
        <v>23</v>
      </c>
      <c r="J188" s="9" t="str">
        <f>IFERROR(MID(VLOOKUP($B188,Seqs!$A:$B,2,0),K188,1),"")</f>
        <v/>
      </c>
      <c r="K188" s="130" t="s">
        <v>23</v>
      </c>
      <c r="L188" s="9" t="str">
        <f>IFERROR(MID(VLOOKUP($B188,Seqs!$A:$B,2,0),M188,1),"")</f>
        <v>N</v>
      </c>
      <c r="M188" s="40">
        <v>134</v>
      </c>
      <c r="N188" s="9" t="str">
        <f>IFERROR(MID(VLOOKUP($B188,Seqs!$A:$B,2,0),O188,1),"")</f>
        <v>A</v>
      </c>
      <c r="O188" s="40">
        <v>164</v>
      </c>
      <c r="P188" s="9" t="str">
        <f>IFERROR(MID(VLOOKUP($B188,Seqs!$A:$B,2,0),Q188,1),"")</f>
        <v>D</v>
      </c>
      <c r="Q188" s="40">
        <v>166</v>
      </c>
      <c r="R188" s="9" t="str">
        <f>IFERROR(MID(VLOOKUP($B188,Seqs!$A:$B,2,0),S188,1),"")</f>
        <v>F</v>
      </c>
      <c r="S188" s="40">
        <v>169</v>
      </c>
      <c r="T188" s="9" t="str">
        <f>IFERROR(MID(VLOOKUP($B188,Seqs!$A:$B,2,0),U188,1),"")</f>
        <v>G</v>
      </c>
      <c r="U188" s="11">
        <v>170</v>
      </c>
      <c r="V188" s="9" t="str">
        <f>IFERROR(MID(VLOOKUP($B188,Seqs!$A:$B,2,0),W188,1),"")</f>
        <v>V</v>
      </c>
      <c r="W188" s="40">
        <v>203</v>
      </c>
      <c r="X188" s="9" t="str">
        <f>IFERROR(MID(VLOOKUP($B188,Seqs!$A:$B,2,0),Y188,1),"")</f>
        <v/>
      </c>
      <c r="Y188" s="40" t="s">
        <v>23</v>
      </c>
      <c r="Z188" s="9" t="str">
        <f>IFERROR(MID(VLOOKUP($B188,Seqs!$A:$B,2,0),AA188,1),"")</f>
        <v/>
      </c>
      <c r="AA188" s="40" t="s">
        <v>23</v>
      </c>
      <c r="AB188" s="9" t="str">
        <f>IFERROR(MID(VLOOKUP($B188,Seqs!$A:$B,2,0),AC188,1),"")</f>
        <v>K</v>
      </c>
      <c r="AC188" s="40">
        <v>216</v>
      </c>
      <c r="AD188" s="9" t="str">
        <f>IFERROR(MID(VLOOKUP($B188,Seqs!$A:$B,2,0),AE188,1),"")</f>
        <v>F</v>
      </c>
      <c r="AE188" s="40">
        <v>240</v>
      </c>
      <c r="AF188" s="9" t="str">
        <f>IFERROR(MID(VLOOKUP($B188,Seqs!$A:$B,2,0),AG188,1),"")</f>
        <v>C</v>
      </c>
      <c r="AG188" s="40">
        <v>255</v>
      </c>
      <c r="AH188" s="9" t="str">
        <f>IFERROR(MID(VLOOKUP($B188,Seqs!$A:$B,2,0),AI188,1),"")</f>
        <v>L</v>
      </c>
      <c r="AI188" s="40">
        <v>257</v>
      </c>
      <c r="AJ188" s="9" t="str">
        <f>IFERROR(MID(VLOOKUP($B188,Seqs!$A:$B,2,0),AK188,1),"")</f>
        <v>T</v>
      </c>
      <c r="AK188" s="40">
        <v>263</v>
      </c>
      <c r="AL188" s="9" t="str">
        <f>IFERROR(MID(VLOOKUP($B188,Seqs!$A:$B,2,0),AM188,1),"")</f>
        <v>K</v>
      </c>
      <c r="AM188" s="40">
        <v>303</v>
      </c>
      <c r="AN188" s="9" t="str">
        <f>IFERROR(MID(VLOOKUP($B188,Seqs!$A:$B,2,0),AO188,1),"")</f>
        <v>N</v>
      </c>
      <c r="AO188" s="40">
        <v>312</v>
      </c>
      <c r="AP188" s="9" t="str">
        <f>IFERROR(MID(VLOOKUP($B188,Seqs!$A:$B,2,0),AQ188,1),"")</f>
        <v>L</v>
      </c>
      <c r="AQ188" s="40">
        <v>349</v>
      </c>
      <c r="AR188" s="9" t="str">
        <f>IFERROR(MID(VLOOKUP($B188,Seqs!$A:$B,2,0),AS188,1),"")</f>
        <v>N</v>
      </c>
      <c r="AS188" s="40">
        <v>356</v>
      </c>
      <c r="AT188" s="9" t="str">
        <f>IFERROR(MID(VLOOKUP($B188,Seqs!$A:$B,2,0),AU188,1),"")</f>
        <v>V</v>
      </c>
      <c r="AU188" s="40">
        <v>389</v>
      </c>
      <c r="AV188" s="9" t="str">
        <f>IFERROR(MID(VLOOKUP($B188,Seqs!$A:$B,2,0),AW188,1),"")</f>
        <v>S</v>
      </c>
      <c r="AW188" s="40">
        <v>390</v>
      </c>
      <c r="AX188" s="9" t="str">
        <f>IFERROR(MID(VLOOKUP($B188,Seqs!$A:$B,2,0),AY188,1),"")</f>
        <v>C</v>
      </c>
      <c r="AY188" s="40">
        <v>403</v>
      </c>
      <c r="AZ188" s="110" t="str">
        <f>VLOOKUP(B188,Classification!A:D,2,0)</f>
        <v>A</v>
      </c>
      <c r="BA188" s="98" t="str">
        <f>VLOOKUP(B188,Classification!A:D,4,0)</f>
        <v>Endothelin</v>
      </c>
      <c r="BB188" s="36" t="b">
        <f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109">
        <f>_xlfn.AGGREGATE(9,6,CH188:CS188)-_xlfn.AGGREGATE(9,6,BV188:CG188)+12</f>
        <v>265</v>
      </c>
      <c r="BD188" s="40" t="s">
        <v>23</v>
      </c>
      <c r="BE188" s="9" t="s">
        <v>1374</v>
      </c>
      <c r="BF188" s="120">
        <v>2.7</v>
      </c>
      <c r="BG188" s="51" t="s">
        <v>1</v>
      </c>
      <c r="BH188" s="51" t="s">
        <v>1</v>
      </c>
      <c r="BI188" s="40"/>
      <c r="BJ188" s="111" t="s">
        <v>1287</v>
      </c>
      <c r="BK188" s="112" t="s">
        <v>1287</v>
      </c>
      <c r="BL188" s="112" t="s">
        <v>1287</v>
      </c>
      <c r="BM188" s="112" t="s">
        <v>1287</v>
      </c>
      <c r="BN188" s="112" t="s">
        <v>1287</v>
      </c>
      <c r="BO188" s="112" t="s">
        <v>1287</v>
      </c>
      <c r="BP188" s="112" t="s">
        <v>1287</v>
      </c>
      <c r="BQ188" s="112" t="s">
        <v>1287</v>
      </c>
      <c r="BR188" s="112" t="s">
        <v>1287</v>
      </c>
      <c r="BS188" s="112" t="s">
        <v>1287</v>
      </c>
      <c r="BT188" s="112" t="s">
        <v>1287</v>
      </c>
      <c r="BU188" s="112" t="s">
        <v>1287</v>
      </c>
      <c r="BV188" s="111">
        <f>E188</f>
        <v>91</v>
      </c>
      <c r="BW188" s="113" t="str">
        <f>I188</f>
        <v>-</v>
      </c>
      <c r="BX188" s="114">
        <f>M188</f>
        <v>134</v>
      </c>
      <c r="BY188" s="113">
        <f>Q188</f>
        <v>166</v>
      </c>
      <c r="BZ188" s="114">
        <f>U188</f>
        <v>170</v>
      </c>
      <c r="CA188" s="113" t="str">
        <f>Y188</f>
        <v>-</v>
      </c>
      <c r="CB188" s="114">
        <f>AC188</f>
        <v>216</v>
      </c>
      <c r="CC188" s="113">
        <f>AG188</f>
        <v>255</v>
      </c>
      <c r="CD188" s="114">
        <f>AK188</f>
        <v>263</v>
      </c>
      <c r="CE188" s="113">
        <f>AO188</f>
        <v>312</v>
      </c>
      <c r="CF188" s="114">
        <f>AS188</f>
        <v>356</v>
      </c>
      <c r="CG188" s="113">
        <f>AW188</f>
        <v>390</v>
      </c>
      <c r="CH188" s="111">
        <f>G188</f>
        <v>129</v>
      </c>
      <c r="CI188" s="113" t="str">
        <f>K188</f>
        <v>-</v>
      </c>
      <c r="CJ188" s="114">
        <f>O188</f>
        <v>164</v>
      </c>
      <c r="CK188" s="114">
        <f>S188</f>
        <v>169</v>
      </c>
      <c r="CL188" s="114">
        <f>W188</f>
        <v>203</v>
      </c>
      <c r="CM188" s="114" t="str">
        <f>AA188</f>
        <v>-</v>
      </c>
      <c r="CN188" s="114">
        <f>AE188</f>
        <v>240</v>
      </c>
      <c r="CO188" s="114">
        <f>AI188</f>
        <v>257</v>
      </c>
      <c r="CP188" s="114">
        <f>AM188</f>
        <v>303</v>
      </c>
      <c r="CQ188" s="114">
        <f>AQ188</f>
        <v>349</v>
      </c>
      <c r="CR188" s="114">
        <f>AU188</f>
        <v>389</v>
      </c>
      <c r="CS188" s="114">
        <f>AY188</f>
        <v>403</v>
      </c>
      <c r="CT188" s="109" t="e">
        <f>M188-K188</f>
        <v>#VALUE!</v>
      </c>
    </row>
    <row r="189" spans="1:1029" x14ac:dyDescent="0.2">
      <c r="A189" s="3" t="str">
        <f t="shared" si="867"/>
        <v>ffar1_human__wt</v>
      </c>
      <c r="B189" s="3" t="s">
        <v>1172</v>
      </c>
      <c r="C189" s="3" t="s">
        <v>100</v>
      </c>
      <c r="D189" s="3" t="str">
        <f>IFERROR(MID(VLOOKUP($B189,Seqs!$A:$B,2,0),E189,1),"")</f>
        <v>P</v>
      </c>
      <c r="E189" s="3">
        <v>4</v>
      </c>
      <c r="F189" s="3" t="str">
        <f>IFERROR(MID(VLOOKUP($B189,Seqs!$A:$B,2,0),G189,1),"")</f>
        <v>R</v>
      </c>
      <c r="G189" s="3">
        <v>37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T</v>
      </c>
      <c r="M189" s="3">
        <v>39</v>
      </c>
      <c r="N189" s="3" t="str">
        <f>IFERROR(MID(VLOOKUP($B189,Seqs!$A:$B,2,0),O189,1),"")</f>
        <v>S</v>
      </c>
      <c r="O189" s="3">
        <v>69</v>
      </c>
      <c r="P189" s="3" t="str">
        <f>IFERROR(MID(VLOOKUP($B189,Seqs!$A:$B,2,0),Q189,1),"")</f>
        <v>A</v>
      </c>
      <c r="Q189" s="3">
        <v>71</v>
      </c>
      <c r="R189" s="3" t="str">
        <f>IFERROR(MID(VLOOKUP($B189,Seqs!$A:$B,2,0),S189,1),"")</f>
        <v>L</v>
      </c>
      <c r="S189" s="3">
        <v>74</v>
      </c>
      <c r="T189" s="3" t="str">
        <f>IFERROR(MID(VLOOKUP($B189,Seqs!$A:$B,2,0),U189,1),"")</f>
        <v>P</v>
      </c>
      <c r="U189" s="3">
        <v>75</v>
      </c>
      <c r="V189" s="3" t="str">
        <f>IFERROR(MID(VLOOKUP($B189,Seqs!$A:$B,2,0),W189,1),"")</f>
        <v>F</v>
      </c>
      <c r="W189" s="3">
        <v>110</v>
      </c>
      <c r="X189" s="3" t="str">
        <f>IFERROR(MID(VLOOKUP($B189,Seqs!$A:$B,2,0),Y189,1),"")</f>
        <v>P</v>
      </c>
      <c r="Y189" s="3">
        <v>111</v>
      </c>
      <c r="Z189" s="3" t="str">
        <f>IFERROR(MID(VLOOKUP($B189,Seqs!$A:$B,2,0),AA189,1),"")</f>
        <v>R</v>
      </c>
      <c r="AA189" s="3">
        <v>118</v>
      </c>
      <c r="AB189" s="3" t="str">
        <f>IFERROR(MID(VLOOKUP($B189,Seqs!$A:$B,2,0),AC189,1),"")</f>
        <v>R</v>
      </c>
      <c r="AC189" s="9">
        <v>119</v>
      </c>
      <c r="AD189" s="3" t="str">
        <f>IFERROR(MID(VLOOKUP($B189,Seqs!$A:$B,2,0),AE189,1),"")</f>
        <v>A</v>
      </c>
      <c r="AE189" s="3">
        <v>146</v>
      </c>
      <c r="AF189" s="3" t="str">
        <f>IFERROR(MID(VLOOKUP($B189,Seqs!$A:$B,2,0),AG189,1),"")</f>
        <v>C</v>
      </c>
      <c r="AG189" s="3">
        <v>170</v>
      </c>
      <c r="AH189" s="3" t="str">
        <f>IFERROR(MID(VLOOKUP($B189,Seqs!$A:$B,2,0),AI189,1),"")</f>
        <v>E</v>
      </c>
      <c r="AI189" s="3">
        <v>172</v>
      </c>
      <c r="AJ189" s="3" t="str">
        <f>IFERROR(MID(VLOOKUP($B189,Seqs!$A:$B,2,0),AK189,1),"")</f>
        <v>D</v>
      </c>
      <c r="AK189" s="3">
        <v>175</v>
      </c>
      <c r="AL189" s="3" t="str">
        <f>IFERROR(MID(VLOOKUP($B189,Seqs!$A:$B,2,0),AM189,1),"")</f>
        <v>R</v>
      </c>
      <c r="AM189" s="3">
        <v>211</v>
      </c>
      <c r="AN189" s="3" t="str">
        <f>IFERROR(MID(VLOOKUP($B189,Seqs!$A:$B,2,0),AO189,1),"")</f>
        <v>R</v>
      </c>
      <c r="AO189" s="3">
        <v>217</v>
      </c>
      <c r="AP189" s="3" t="str">
        <f>IFERROR(MID(VLOOKUP($B189,Seqs!$A:$B,2,0),AQ189,1),"")</f>
        <v>Y</v>
      </c>
      <c r="AQ189" s="3">
        <v>250</v>
      </c>
      <c r="AR189" s="3" t="str">
        <f>IFERROR(MID(VLOOKUP($B189,Seqs!$A:$B,2,0),AS189,1),"")</f>
        <v>G</v>
      </c>
      <c r="AS189" s="3">
        <v>255</v>
      </c>
      <c r="AT189" s="3" t="str">
        <f>IFERROR(MID(VLOOKUP($B189,Seqs!$A:$B,2,0),AU189,1),"")</f>
        <v>L</v>
      </c>
      <c r="AU189" s="3">
        <v>279</v>
      </c>
      <c r="AV189" s="3" t="str">
        <f>IFERROR(MID(VLOOKUP($B189,Seqs!$A:$B,2,0),AW189,1),"")</f>
        <v>G</v>
      </c>
      <c r="AW189" s="3">
        <v>280</v>
      </c>
      <c r="AX189" s="3" t="str">
        <f>IFERROR(MID(VLOOKUP($B189,Seqs!$A:$B,2,0),AY189,1),"")</f>
        <v>Q</v>
      </c>
      <c r="AY189" s="3">
        <v>294</v>
      </c>
      <c r="AZ189" s="77" t="str">
        <f>VLOOKUP(B189,Classification!A:D,2,0)</f>
        <v>A</v>
      </c>
      <c r="BA189" s="94" t="str">
        <f>VLOOKUP(B189,Classification!A:D,4,0)</f>
        <v>Freefattyacid</v>
      </c>
      <c r="BB189" s="27" t="b">
        <f t="shared" si="868"/>
        <v>1</v>
      </c>
      <c r="BC189" s="23">
        <f t="shared" si="1035"/>
        <v>256</v>
      </c>
      <c r="BD189" s="34" t="s">
        <v>23</v>
      </c>
      <c r="BE189" s="3" t="s">
        <v>23</v>
      </c>
      <c r="BF189" s="119" t="s">
        <v>23</v>
      </c>
      <c r="BG189" s="49" t="s">
        <v>1372</v>
      </c>
      <c r="BH189" s="49" t="s">
        <v>1377</v>
      </c>
      <c r="BI189" s="1"/>
      <c r="BJ189" s="70" t="s">
        <v>1287</v>
      </c>
      <c r="BK189" s="57" t="s">
        <v>1287</v>
      </c>
      <c r="BL189" s="57" t="s">
        <v>1287</v>
      </c>
      <c r="BM189" s="57" t="s">
        <v>1287</v>
      </c>
      <c r="BN189" s="57" t="s">
        <v>1287</v>
      </c>
      <c r="BO189" s="57" t="s">
        <v>1287</v>
      </c>
      <c r="BP189" s="57" t="s">
        <v>1287</v>
      </c>
      <c r="BQ189" s="57" t="s">
        <v>1287</v>
      </c>
      <c r="BR189" s="57" t="s">
        <v>1287</v>
      </c>
      <c r="BS189" s="57" t="s">
        <v>1287</v>
      </c>
      <c r="BT189" s="57" t="s">
        <v>1287</v>
      </c>
      <c r="BU189" s="57" t="s">
        <v>1287</v>
      </c>
      <c r="BV189" s="70">
        <f t="shared" si="1036"/>
        <v>4</v>
      </c>
      <c r="BW189" s="71" t="str">
        <f t="shared" si="1037"/>
        <v>-</v>
      </c>
      <c r="BX189" s="72">
        <f t="shared" si="1038"/>
        <v>39</v>
      </c>
      <c r="BY189" s="71">
        <f t="shared" si="1039"/>
        <v>71</v>
      </c>
      <c r="BZ189" s="72">
        <f t="shared" si="1040"/>
        <v>75</v>
      </c>
      <c r="CA189" s="71">
        <f t="shared" si="1041"/>
        <v>111</v>
      </c>
      <c r="CB189" s="72">
        <f t="shared" si="1042"/>
        <v>119</v>
      </c>
      <c r="CC189" s="71">
        <f t="shared" si="1043"/>
        <v>170</v>
      </c>
      <c r="CD189" s="72">
        <f t="shared" si="1044"/>
        <v>175</v>
      </c>
      <c r="CE189" s="71">
        <f t="shared" si="1045"/>
        <v>217</v>
      </c>
      <c r="CF189" s="72">
        <f t="shared" si="1046"/>
        <v>255</v>
      </c>
      <c r="CG189" s="71">
        <f t="shared" si="1047"/>
        <v>280</v>
      </c>
      <c r="CH189" s="70">
        <f t="shared" si="1048"/>
        <v>37</v>
      </c>
      <c r="CI189" s="71" t="str">
        <f t="shared" si="1049"/>
        <v>-</v>
      </c>
      <c r="CJ189" s="72">
        <f t="shared" si="1050"/>
        <v>69</v>
      </c>
      <c r="CK189" s="72">
        <f t="shared" si="1051"/>
        <v>74</v>
      </c>
      <c r="CL189" s="72">
        <f t="shared" si="1052"/>
        <v>110</v>
      </c>
      <c r="CM189" s="72">
        <f t="shared" si="1053"/>
        <v>118</v>
      </c>
      <c r="CN189" s="72">
        <f t="shared" si="1054"/>
        <v>146</v>
      </c>
      <c r="CO189" s="72">
        <f t="shared" si="1055"/>
        <v>172</v>
      </c>
      <c r="CP189" s="72">
        <f t="shared" si="1056"/>
        <v>211</v>
      </c>
      <c r="CQ189" s="72">
        <f t="shared" si="1057"/>
        <v>250</v>
      </c>
      <c r="CR189" s="72">
        <f t="shared" si="1058"/>
        <v>279</v>
      </c>
      <c r="CS189" s="72">
        <f t="shared" si="1059"/>
        <v>294</v>
      </c>
      <c r="CT189" s="23" t="e">
        <f t="shared" si="1060"/>
        <v>#VALUE!</v>
      </c>
    </row>
    <row r="190" spans="1:1029" x14ac:dyDescent="0.2">
      <c r="A190" s="3" t="str">
        <f t="shared" si="867"/>
        <v>ffar1_human_4PHU</v>
      </c>
      <c r="B190" s="3" t="s">
        <v>1172</v>
      </c>
      <c r="C190" s="3" t="s">
        <v>52</v>
      </c>
      <c r="D190" s="3" t="str">
        <f>IFERROR(MID(VLOOKUP($B190,Seqs!$A:$B,2,0),E190,1),"")</f>
        <v>P</v>
      </c>
      <c r="E190" s="3">
        <v>4</v>
      </c>
      <c r="F190" s="3" t="str">
        <f>IFERROR(MID(VLOOKUP($B190,Seqs!$A:$B,2,0),G190,1),"")</f>
        <v>R</v>
      </c>
      <c r="G190" s="3">
        <v>37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T</v>
      </c>
      <c r="M190" s="3">
        <v>39</v>
      </c>
      <c r="N190" s="3" t="str">
        <f>IFERROR(MID(VLOOKUP($B190,Seqs!$A:$B,2,0),O190,1),"")</f>
        <v>S</v>
      </c>
      <c r="O190" s="3">
        <v>69</v>
      </c>
      <c r="P190" s="3" t="str">
        <f>IFERROR(MID(VLOOKUP($B190,Seqs!$A:$B,2,0),Q190,1),"")</f>
        <v>A</v>
      </c>
      <c r="Q190" s="3">
        <v>71</v>
      </c>
      <c r="R190" s="3" t="str">
        <f>IFERROR(MID(VLOOKUP($B190,Seqs!$A:$B,2,0),S190,1),"")</f>
        <v>L</v>
      </c>
      <c r="S190" s="3">
        <v>74</v>
      </c>
      <c r="T190" s="3" t="str">
        <f>IFERROR(MID(VLOOKUP($B190,Seqs!$A:$B,2,0),U190,1),"")</f>
        <v>P</v>
      </c>
      <c r="U190" s="3">
        <v>75</v>
      </c>
      <c r="V190" s="3" t="str">
        <f>IFERROR(MID(VLOOKUP($B190,Seqs!$A:$B,2,0),W190,1),"")</f>
        <v>F</v>
      </c>
      <c r="W190" s="3">
        <v>110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C</v>
      </c>
      <c r="AC190" s="9">
        <v>121</v>
      </c>
      <c r="AD190" s="3" t="str">
        <f>IFERROR(MID(VLOOKUP($B190,Seqs!$A:$B,2,0),AE190,1),"")</f>
        <v>A</v>
      </c>
      <c r="AE190" s="3">
        <v>146</v>
      </c>
      <c r="AF190" s="3" t="str">
        <f>IFERROR(MID(VLOOKUP($B190,Seqs!$A:$B,2,0),AG190,1),"")</f>
        <v>C</v>
      </c>
      <c r="AG190" s="3">
        <v>170</v>
      </c>
      <c r="AH190" s="3" t="str">
        <f>IFERROR(MID(VLOOKUP($B190,Seqs!$A:$B,2,0),AI190,1),"")</f>
        <v>E</v>
      </c>
      <c r="AI190" s="3">
        <v>172</v>
      </c>
      <c r="AJ190" s="3" t="str">
        <f>IFERROR(MID(VLOOKUP($B190,Seqs!$A:$B,2,0),AK190,1),"")</f>
        <v>D</v>
      </c>
      <c r="AK190" s="3">
        <v>175</v>
      </c>
      <c r="AL190" s="3" t="str">
        <f>IFERROR(MID(VLOOKUP($B190,Seqs!$A:$B,2,0),AM190,1),"")</f>
        <v>R</v>
      </c>
      <c r="AM190" s="3">
        <v>211</v>
      </c>
      <c r="AN190" s="3" t="str">
        <f>IFERROR(MID(VLOOKUP($B190,Seqs!$A:$B,2,0),AO190,1),"")</f>
        <v/>
      </c>
      <c r="AO190" s="3">
        <v>2214</v>
      </c>
      <c r="AP190" s="3" t="str">
        <f>IFERROR(MID(VLOOKUP($B190,Seqs!$A:$B,2,0),AQ190,1),"")</f>
        <v/>
      </c>
      <c r="AQ190" s="3">
        <v>2250</v>
      </c>
      <c r="AR190" s="3" t="str">
        <f>IFERROR(MID(VLOOKUP($B190,Seqs!$A:$B,2,0),AS190,1),"")</f>
        <v/>
      </c>
      <c r="AS190" s="3">
        <v>2255</v>
      </c>
      <c r="AT190" s="3" t="str">
        <f>IFERROR(MID(VLOOKUP($B190,Seqs!$A:$B,2,0),AU190,1),"")</f>
        <v/>
      </c>
      <c r="AU190" s="3">
        <v>2276</v>
      </c>
      <c r="AV190" s="3" t="str">
        <f>IFERROR(MID(VLOOKUP($B190,Seqs!$A:$B,2,0),AW190,1),"")</f>
        <v/>
      </c>
      <c r="AW190" s="3" t="s">
        <v>23</v>
      </c>
      <c r="AX190" s="3" t="str">
        <f>IFERROR(MID(VLOOKUP($B190,Seqs!$A:$B,2,0),AY190,1),"")</f>
        <v/>
      </c>
      <c r="AY190" s="3" t="s">
        <v>23</v>
      </c>
      <c r="AZ190" s="77" t="str">
        <f>VLOOKUP(B190,Classification!A:D,2,0)</f>
        <v>A</v>
      </c>
      <c r="BA190" s="94" t="str">
        <f>VLOOKUP(B190,Classification!A:D,4,0)</f>
        <v>Freefattyacid</v>
      </c>
      <c r="BB190" s="27" t="b">
        <f t="shared" si="868"/>
        <v>1</v>
      </c>
      <c r="BC190" s="23">
        <f t="shared" si="1035"/>
        <v>233</v>
      </c>
      <c r="BD190" s="16" t="s">
        <v>23</v>
      </c>
      <c r="BE190" s="3" t="s">
        <v>1428</v>
      </c>
      <c r="BF190" s="119">
        <v>2.33</v>
      </c>
      <c r="BG190" s="49" t="s">
        <v>1377</v>
      </c>
      <c r="BH190" s="49" t="s">
        <v>1377</v>
      </c>
      <c r="BI190" s="1"/>
      <c r="BJ190" s="70" t="s">
        <v>1287</v>
      </c>
      <c r="BK190" s="57" t="s">
        <v>1287</v>
      </c>
      <c r="BL190" s="57" t="s">
        <v>1287</v>
      </c>
      <c r="BM190" s="57" t="s">
        <v>1287</v>
      </c>
      <c r="BN190" s="57" t="s">
        <v>1287</v>
      </c>
      <c r="BO190" s="57" t="s">
        <v>1287</v>
      </c>
      <c r="BP190" s="57" t="s">
        <v>1287</v>
      </c>
      <c r="BQ190" s="57" t="s">
        <v>1287</v>
      </c>
      <c r="BR190" s="57" t="s">
        <v>1287</v>
      </c>
      <c r="BS190" s="57" t="s">
        <v>1287</v>
      </c>
      <c r="BT190" s="57" t="s">
        <v>1287</v>
      </c>
      <c r="BU190" s="57" t="s">
        <v>1287</v>
      </c>
      <c r="BV190" s="70">
        <f t="shared" si="1036"/>
        <v>4</v>
      </c>
      <c r="BW190" s="71" t="str">
        <f t="shared" si="1037"/>
        <v>-</v>
      </c>
      <c r="BX190" s="72">
        <f t="shared" si="1038"/>
        <v>39</v>
      </c>
      <c r="BY190" s="71">
        <f t="shared" si="1039"/>
        <v>71</v>
      </c>
      <c r="BZ190" s="72">
        <f t="shared" si="1040"/>
        <v>75</v>
      </c>
      <c r="CA190" s="71" t="str">
        <f t="shared" si="1041"/>
        <v>-</v>
      </c>
      <c r="CB190" s="72">
        <f t="shared" si="1042"/>
        <v>121</v>
      </c>
      <c r="CC190" s="71">
        <f t="shared" si="1043"/>
        <v>170</v>
      </c>
      <c r="CD190" s="72">
        <f t="shared" si="1044"/>
        <v>175</v>
      </c>
      <c r="CE190" s="71">
        <f t="shared" si="1045"/>
        <v>2214</v>
      </c>
      <c r="CF190" s="72">
        <f t="shared" si="1046"/>
        <v>2255</v>
      </c>
      <c r="CG190" s="71" t="str">
        <f t="shared" si="1047"/>
        <v>-</v>
      </c>
      <c r="CH190" s="70">
        <f t="shared" si="1048"/>
        <v>37</v>
      </c>
      <c r="CI190" s="71" t="str">
        <f t="shared" si="1049"/>
        <v>-</v>
      </c>
      <c r="CJ190" s="72">
        <f t="shared" si="1050"/>
        <v>69</v>
      </c>
      <c r="CK190" s="72">
        <f t="shared" si="1051"/>
        <v>74</v>
      </c>
      <c r="CL190" s="72">
        <f t="shared" si="1052"/>
        <v>110</v>
      </c>
      <c r="CM190" s="72" t="str">
        <f t="shared" si="1053"/>
        <v>-</v>
      </c>
      <c r="CN190" s="72">
        <f t="shared" si="1054"/>
        <v>146</v>
      </c>
      <c r="CO190" s="72">
        <f t="shared" si="1055"/>
        <v>172</v>
      </c>
      <c r="CP190" s="72">
        <f t="shared" si="1056"/>
        <v>211</v>
      </c>
      <c r="CQ190" s="72">
        <f t="shared" si="1057"/>
        <v>2250</v>
      </c>
      <c r="CR190" s="72">
        <f t="shared" si="1058"/>
        <v>2276</v>
      </c>
      <c r="CS190" s="72" t="str">
        <f t="shared" si="1059"/>
        <v>-</v>
      </c>
      <c r="CT190" s="23" t="e">
        <f t="shared" si="1060"/>
        <v>#VALUE!</v>
      </c>
    </row>
    <row r="191" spans="1:1029" x14ac:dyDescent="0.2">
      <c r="A191" s="3" t="str">
        <f>CONCATENATE(B191,"_",C191)</f>
        <v>ffar1_human_5KW2</v>
      </c>
      <c r="B191" s="3" t="s">
        <v>1172</v>
      </c>
      <c r="C191" s="3" t="s">
        <v>1491</v>
      </c>
      <c r="D191" s="3" t="str">
        <f>IFERROR(MID(VLOOKUP($B191,Seqs!$A:$B,2,0),E191,1),"")</f>
        <v>P</v>
      </c>
      <c r="E191" s="3">
        <v>4</v>
      </c>
      <c r="F191" s="3" t="str">
        <f>IFERROR(MID(VLOOKUP($B191,Seqs!$A:$B,2,0),G191,1),"")</f>
        <v>A</v>
      </c>
      <c r="G191" s="3">
        <v>32</v>
      </c>
      <c r="H191" s="3" t="str">
        <f>IFERROR(MID(VLOOKUP($B191,Seqs!$A:$B,2,0),I191,1),"")</f>
        <v/>
      </c>
      <c r="I191" s="23" t="s">
        <v>23</v>
      </c>
      <c r="J191" s="3" t="str">
        <f>IFERROR(MID(VLOOKUP($B191,Seqs!$A:$B,2,0),K191,1),"")</f>
        <v/>
      </c>
      <c r="K191" s="23" t="s">
        <v>23</v>
      </c>
      <c r="L191" s="3" t="str">
        <f>IFERROR(MID(VLOOKUP($B191,Seqs!$A:$B,2,0),M191,1),"")</f>
        <v>T</v>
      </c>
      <c r="M191" s="3">
        <v>39</v>
      </c>
      <c r="N191" s="3" t="str">
        <f>IFERROR(MID(VLOOKUP($B191,Seqs!$A:$B,2,0),O191,1),"")</f>
        <v>S</v>
      </c>
      <c r="O191" s="3">
        <v>69</v>
      </c>
      <c r="P191" s="3" t="str">
        <f>IFERROR(MID(VLOOKUP($B191,Seqs!$A:$B,2,0),Q191,1),"")</f>
        <v>A</v>
      </c>
      <c r="Q191" s="3">
        <v>71</v>
      </c>
      <c r="R191" s="3" t="str">
        <f>IFERROR(MID(VLOOKUP($B191,Seqs!$A:$B,2,0),S191,1),"")</f>
        <v>L</v>
      </c>
      <c r="S191" s="3">
        <v>74</v>
      </c>
      <c r="T191" s="3" t="str">
        <f>IFERROR(MID(VLOOKUP($B191,Seqs!$A:$B,2,0),U191,1),"")</f>
        <v>P</v>
      </c>
      <c r="U191" s="3">
        <v>75</v>
      </c>
      <c r="V191" s="3" t="str">
        <f>IFERROR(MID(VLOOKUP($B191,Seqs!$A:$B,2,0),W191,1),"")</f>
        <v>F</v>
      </c>
      <c r="W191" s="3">
        <v>110</v>
      </c>
      <c r="X191" s="3" t="str">
        <f>IFERROR(MID(VLOOKUP($B191,Seqs!$A:$B,2,0),Y191,1),"")</f>
        <v>P</v>
      </c>
      <c r="Y191" s="3">
        <v>111</v>
      </c>
      <c r="Z191" s="3" t="str">
        <f>IFERROR(MID(VLOOKUP($B191,Seqs!$A:$B,2,0),AA191,1),"")</f>
        <v>R</v>
      </c>
      <c r="AA191" s="3">
        <v>118</v>
      </c>
      <c r="AB191" s="3" t="str">
        <f>IFERROR(MID(VLOOKUP($B191,Seqs!$A:$B,2,0),AC191,1),"")</f>
        <v>R</v>
      </c>
      <c r="AC191" s="3">
        <v>119</v>
      </c>
      <c r="AD191" s="3" t="str">
        <f>IFERROR(MID(VLOOKUP($B191,Seqs!$A:$B,2,0),AE191,1),"")</f>
        <v>E</v>
      </c>
      <c r="AE191" s="3">
        <v>145</v>
      </c>
      <c r="AF191" s="3" t="str">
        <f>IFERROR(MID(VLOOKUP($B191,Seqs!$A:$B,2,0),AG191,1),"")</f>
        <v>C</v>
      </c>
      <c r="AG191" s="3">
        <v>170</v>
      </c>
      <c r="AH191" s="3" t="str">
        <f>IFERROR(MID(VLOOKUP($B191,Seqs!$A:$B,2,0),AI191,1),"")</f>
        <v>E</v>
      </c>
      <c r="AI191" s="3">
        <v>172</v>
      </c>
      <c r="AJ191" s="3" t="str">
        <f>IFERROR(MID(VLOOKUP($B191,Seqs!$A:$B,2,0),AK191,1),"")</f>
        <v>G</v>
      </c>
      <c r="AK191" s="3">
        <v>180</v>
      </c>
      <c r="AL191" s="3" t="str">
        <f>IFERROR(MID(VLOOKUP($B191,Seqs!$A:$B,2,0),AM191,1),"")</f>
        <v>R</v>
      </c>
      <c r="AM191" s="3">
        <v>211</v>
      </c>
      <c r="AN191" s="3" t="str">
        <f>IFERROR(MID(VLOOKUP($B191,Seqs!$A:$B,2,0),AO191,1),"")</f>
        <v/>
      </c>
      <c r="AO191" s="3">
        <v>2215</v>
      </c>
      <c r="AP191" s="3" t="str">
        <f>IFERROR(MID(VLOOKUP($B191,Seqs!$A:$B,2,0),AQ191,1),"")</f>
        <v/>
      </c>
      <c r="AQ191" s="3">
        <v>2249</v>
      </c>
      <c r="AR191" s="3" t="str">
        <f>IFERROR(MID(VLOOKUP($B191,Seqs!$A:$B,2,0),AS191,1),"")</f>
        <v/>
      </c>
      <c r="AS191" s="3">
        <v>2254</v>
      </c>
      <c r="AT191" s="3" t="str">
        <f>IFERROR(MID(VLOOKUP($B191,Seqs!$A:$B,2,0),AU191,1),"")</f>
        <v/>
      </c>
      <c r="AU191" s="3">
        <v>2275</v>
      </c>
      <c r="AV191" s="3" t="str">
        <f>IFERROR(MID(VLOOKUP($B191,Seqs!$A:$B,2,0),AW191,1),"")</f>
        <v/>
      </c>
      <c r="AW191" s="3" t="s">
        <v>23</v>
      </c>
      <c r="AX191" s="3" t="str">
        <f>IFERROR(MID(VLOOKUP($B191,Seqs!$A:$B,2,0),AY191,1),"")</f>
        <v/>
      </c>
      <c r="AY191" s="3" t="s">
        <v>23</v>
      </c>
      <c r="AZ191" s="77" t="str">
        <f>VLOOKUP(B191,Classification!A:D,2,0)</f>
        <v>A</v>
      </c>
      <c r="BA191" s="94" t="str">
        <f>VLOOKUP(B191,Classification!A:D,4,0)</f>
        <v>Freefattyacid</v>
      </c>
      <c r="BB191" s="27" t="b">
        <f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23">
        <f>_xlfn.AGGREGATE(9,6,CH191:CS191)-_xlfn.AGGREGATE(9,6,BV191:CG191)+12</f>
        <v>229</v>
      </c>
      <c r="BD191" s="16" t="s">
        <v>23</v>
      </c>
      <c r="BE191" s="3" t="s">
        <v>1428</v>
      </c>
      <c r="BF191" s="119">
        <v>2.76</v>
      </c>
      <c r="BG191" s="49" t="s">
        <v>1</v>
      </c>
      <c r="BH191" s="49" t="s">
        <v>1</v>
      </c>
      <c r="BI191" s="1"/>
      <c r="BJ191" s="70" t="s">
        <v>1287</v>
      </c>
      <c r="BK191" s="57" t="s">
        <v>1287</v>
      </c>
      <c r="BL191" s="57" t="s">
        <v>1287</v>
      </c>
      <c r="BM191" s="57" t="s">
        <v>1287</v>
      </c>
      <c r="BN191" s="57" t="s">
        <v>1287</v>
      </c>
      <c r="BO191" s="57" t="s">
        <v>1287</v>
      </c>
      <c r="BP191" s="57" t="s">
        <v>1287</v>
      </c>
      <c r="BQ191" s="57" t="s">
        <v>1287</v>
      </c>
      <c r="BR191" s="57" t="s">
        <v>1287</v>
      </c>
      <c r="BS191" s="57" t="s">
        <v>1287</v>
      </c>
      <c r="BT191" s="57" t="s">
        <v>1287</v>
      </c>
      <c r="BU191" s="57" t="s">
        <v>1287</v>
      </c>
      <c r="BV191" s="70">
        <f>E191</f>
        <v>4</v>
      </c>
      <c r="BW191" s="71" t="str">
        <f>I191</f>
        <v>-</v>
      </c>
      <c r="BX191" s="72">
        <f>M191</f>
        <v>39</v>
      </c>
      <c r="BY191" s="71">
        <f>Q191</f>
        <v>71</v>
      </c>
      <c r="BZ191" s="72">
        <f>U191</f>
        <v>75</v>
      </c>
      <c r="CA191" s="71">
        <f>Y191</f>
        <v>111</v>
      </c>
      <c r="CB191" s="72">
        <f>AC191</f>
        <v>119</v>
      </c>
      <c r="CC191" s="71">
        <f>AG191</f>
        <v>170</v>
      </c>
      <c r="CD191" s="72">
        <f>AK191</f>
        <v>180</v>
      </c>
      <c r="CE191" s="71">
        <f>AO191</f>
        <v>2215</v>
      </c>
      <c r="CF191" s="72">
        <f>AS191</f>
        <v>2254</v>
      </c>
      <c r="CG191" s="71" t="str">
        <f>AW191</f>
        <v>-</v>
      </c>
      <c r="CH191" s="70">
        <f>G191</f>
        <v>32</v>
      </c>
      <c r="CI191" s="71" t="str">
        <f>K191</f>
        <v>-</v>
      </c>
      <c r="CJ191" s="72">
        <f>O191</f>
        <v>69</v>
      </c>
      <c r="CK191" s="72">
        <f>S191</f>
        <v>74</v>
      </c>
      <c r="CL191" s="72">
        <f>W191</f>
        <v>110</v>
      </c>
      <c r="CM191" s="72">
        <f>AA191</f>
        <v>118</v>
      </c>
      <c r="CN191" s="72">
        <f>AE191</f>
        <v>145</v>
      </c>
      <c r="CO191" s="72">
        <f>AI191</f>
        <v>172</v>
      </c>
      <c r="CP191" s="72">
        <f>AM191</f>
        <v>211</v>
      </c>
      <c r="CQ191" s="72">
        <f>AQ191</f>
        <v>2249</v>
      </c>
      <c r="CR191" s="72">
        <f>AU191</f>
        <v>2275</v>
      </c>
      <c r="CS191" s="72" t="str">
        <f>AY191</f>
        <v>-</v>
      </c>
      <c r="CT191" s="23" t="e">
        <f>M191-K191</f>
        <v>#VALUE!</v>
      </c>
    </row>
    <row r="192" spans="1:1029" x14ac:dyDescent="0.2">
      <c r="A192" s="3" t="str">
        <f>CONCATENATE(B192,"_",C192)</f>
        <v>ffar1_human_5TZR</v>
      </c>
      <c r="B192" s="3" t="s">
        <v>1172</v>
      </c>
      <c r="C192" s="3" t="s">
        <v>1416</v>
      </c>
      <c r="D192" s="3" t="str">
        <f>IFERROR(MID(VLOOKUP($B192,Seqs!$A:$B,2,0),E192,1),"")</f>
        <v>P</v>
      </c>
      <c r="E192" s="3">
        <v>4</v>
      </c>
      <c r="F192" s="3" t="str">
        <f>IFERROR(MID(VLOOKUP($B192,Seqs!$A:$B,2,0),G192,1),"")</f>
        <v>R</v>
      </c>
      <c r="G192" s="3">
        <v>37</v>
      </c>
      <c r="H192" s="3" t="str">
        <f>IFERROR(MID(VLOOKUP($B192,Seqs!$A:$B,2,0),I192,1),"")</f>
        <v/>
      </c>
      <c r="I192" s="23" t="s">
        <v>23</v>
      </c>
      <c r="J192" s="3" t="str">
        <f>IFERROR(MID(VLOOKUP($B192,Seqs!$A:$B,2,0),K192,1),"")</f>
        <v/>
      </c>
      <c r="K192" s="23" t="s">
        <v>23</v>
      </c>
      <c r="L192" s="3" t="str">
        <f>IFERROR(MID(VLOOKUP($B192,Seqs!$A:$B,2,0),M192,1),"")</f>
        <v>T</v>
      </c>
      <c r="M192" s="3">
        <v>39</v>
      </c>
      <c r="N192" s="3" t="str">
        <f>IFERROR(MID(VLOOKUP($B192,Seqs!$A:$B,2,0),O192,1),"")</f>
        <v>S</v>
      </c>
      <c r="O192" s="3">
        <v>69</v>
      </c>
      <c r="P192" s="3" t="str">
        <f>IFERROR(MID(VLOOKUP($B192,Seqs!$A:$B,2,0),Q192,1),"")</f>
        <v>A</v>
      </c>
      <c r="Q192" s="3">
        <v>71</v>
      </c>
      <c r="R192" s="3" t="str">
        <f>IFERROR(MID(VLOOKUP($B192,Seqs!$A:$B,2,0),S192,1),"")</f>
        <v>L</v>
      </c>
      <c r="S192" s="3">
        <v>74</v>
      </c>
      <c r="T192" s="3" t="str">
        <f>IFERROR(MID(VLOOKUP($B192,Seqs!$A:$B,2,0),U192,1),"")</f>
        <v>P</v>
      </c>
      <c r="U192" s="3">
        <v>75</v>
      </c>
      <c r="V192" s="3" t="str">
        <f>IFERROR(MID(VLOOKUP($B192,Seqs!$A:$B,2,0),W192,1),"")</f>
        <v>F</v>
      </c>
      <c r="W192" s="3">
        <v>110</v>
      </c>
      <c r="X192" s="3" t="str">
        <f>IFERROR(MID(VLOOKUP($B192,Seqs!$A:$B,2,0),Y192,1),"")</f>
        <v/>
      </c>
      <c r="Y192" s="3" t="s">
        <v>23</v>
      </c>
      <c r="Z192" s="3" t="str">
        <f>IFERROR(MID(VLOOKUP($B192,Seqs!$A:$B,2,0),AA192,1),"")</f>
        <v/>
      </c>
      <c r="AA192" s="3" t="s">
        <v>23</v>
      </c>
      <c r="AB192" s="3" t="str">
        <f>IFERROR(MID(VLOOKUP($B192,Seqs!$A:$B,2,0),AC192,1),"")</f>
        <v>C</v>
      </c>
      <c r="AC192" s="3">
        <v>121</v>
      </c>
      <c r="AD192" s="3" t="str">
        <f>IFERROR(MID(VLOOKUP($B192,Seqs!$A:$B,2,0),AE192,1),"")</f>
        <v>A</v>
      </c>
      <c r="AE192" s="3">
        <v>146</v>
      </c>
      <c r="AF192" s="3" t="str">
        <f>IFERROR(MID(VLOOKUP($B192,Seqs!$A:$B,2,0),AG192,1),"")</f>
        <v>C</v>
      </c>
      <c r="AG192" s="3">
        <v>170</v>
      </c>
      <c r="AH192" s="3" t="str">
        <f>IFERROR(MID(VLOOKUP($B192,Seqs!$A:$B,2,0),AI192,1),"")</f>
        <v>E</v>
      </c>
      <c r="AI192" s="3">
        <v>172</v>
      </c>
      <c r="AJ192" s="3" t="str">
        <f>IFERROR(MID(VLOOKUP($B192,Seqs!$A:$B,2,0),AK192,1),"")</f>
        <v>D</v>
      </c>
      <c r="AK192" s="3">
        <v>175</v>
      </c>
      <c r="AL192" s="3" t="str">
        <f>IFERROR(MID(VLOOKUP($B192,Seqs!$A:$B,2,0),AM192,1),"")</f>
        <v>R</v>
      </c>
      <c r="AM192" s="3">
        <v>211</v>
      </c>
      <c r="AN192" s="3" t="str">
        <f>IFERROR(MID(VLOOKUP($B192,Seqs!$A:$B,2,0),AO192,1),"")</f>
        <v/>
      </c>
      <c r="AO192" s="3">
        <v>2214</v>
      </c>
      <c r="AP192" s="3" t="str">
        <f>IFERROR(MID(VLOOKUP($B192,Seqs!$A:$B,2,0),AQ192,1),"")</f>
        <v/>
      </c>
      <c r="AQ192" s="3">
        <v>2250</v>
      </c>
      <c r="AR192" s="3" t="str">
        <f>IFERROR(MID(VLOOKUP($B192,Seqs!$A:$B,2,0),AS192,1),"")</f>
        <v/>
      </c>
      <c r="AS192" s="3">
        <v>2255</v>
      </c>
      <c r="AT192" s="3" t="str">
        <f>IFERROR(MID(VLOOKUP($B192,Seqs!$A:$B,2,0),AU192,1),"")</f>
        <v/>
      </c>
      <c r="AU192" s="3">
        <v>2276</v>
      </c>
      <c r="AV192" s="3" t="str">
        <f>IFERROR(MID(VLOOKUP($B192,Seqs!$A:$B,2,0),AW192,1),"")</f>
        <v/>
      </c>
      <c r="AW192" s="3" t="s">
        <v>23</v>
      </c>
      <c r="AX192" s="3" t="str">
        <f>IFERROR(MID(VLOOKUP($B192,Seqs!$A:$B,2,0),AY192,1),"")</f>
        <v/>
      </c>
      <c r="AY192" s="3" t="s">
        <v>23</v>
      </c>
      <c r="AZ192" s="77" t="str">
        <f>VLOOKUP(B192,Classification!A:D,2,0)</f>
        <v>A</v>
      </c>
      <c r="BA192" s="94" t="str">
        <f>VLOOKUP(B192,Classification!A:D,4,0)</f>
        <v>Freefattyacid</v>
      </c>
      <c r="BB192" s="27" t="b">
        <f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23">
        <f>_xlfn.AGGREGATE(9,6,CH192:CS192)-_xlfn.AGGREGATE(9,6,BV192:CG192)+12</f>
        <v>233</v>
      </c>
      <c r="BD192" s="16" t="s">
        <v>23</v>
      </c>
      <c r="BE192" s="3" t="s">
        <v>1428</v>
      </c>
      <c r="BF192" s="119">
        <v>2.2000000000000002</v>
      </c>
      <c r="BG192" s="49" t="s">
        <v>1</v>
      </c>
      <c r="BH192" s="49" t="s">
        <v>1</v>
      </c>
      <c r="BI192" s="1"/>
      <c r="BJ192" s="70" t="s">
        <v>1287</v>
      </c>
      <c r="BK192" s="57" t="s">
        <v>1287</v>
      </c>
      <c r="BL192" s="57" t="s">
        <v>1287</v>
      </c>
      <c r="BM192" s="57" t="s">
        <v>1287</v>
      </c>
      <c r="BN192" s="57" t="s">
        <v>1287</v>
      </c>
      <c r="BO192" s="57" t="s">
        <v>1287</v>
      </c>
      <c r="BP192" s="57" t="s">
        <v>1287</v>
      </c>
      <c r="BQ192" s="57" t="s">
        <v>1287</v>
      </c>
      <c r="BR192" s="57" t="s">
        <v>1287</v>
      </c>
      <c r="BS192" s="57" t="s">
        <v>1287</v>
      </c>
      <c r="BT192" s="57" t="s">
        <v>1287</v>
      </c>
      <c r="BU192" s="57" t="s">
        <v>1287</v>
      </c>
      <c r="BV192" s="70">
        <f>E192</f>
        <v>4</v>
      </c>
      <c r="BW192" s="71" t="str">
        <f>I192</f>
        <v>-</v>
      </c>
      <c r="BX192" s="72">
        <f>M192</f>
        <v>39</v>
      </c>
      <c r="BY192" s="71">
        <f>Q192</f>
        <v>71</v>
      </c>
      <c r="BZ192" s="72">
        <f>U192</f>
        <v>75</v>
      </c>
      <c r="CA192" s="71" t="str">
        <f>Y192</f>
        <v>-</v>
      </c>
      <c r="CB192" s="72">
        <f>AC192</f>
        <v>121</v>
      </c>
      <c r="CC192" s="71">
        <f>AG192</f>
        <v>170</v>
      </c>
      <c r="CD192" s="72">
        <f>AK192</f>
        <v>175</v>
      </c>
      <c r="CE192" s="71">
        <f>AO192</f>
        <v>2214</v>
      </c>
      <c r="CF192" s="72">
        <f>AS192</f>
        <v>2255</v>
      </c>
      <c r="CG192" s="71" t="str">
        <f>AW192</f>
        <v>-</v>
      </c>
      <c r="CH192" s="70">
        <f>G192</f>
        <v>37</v>
      </c>
      <c r="CI192" s="71" t="str">
        <f>K192</f>
        <v>-</v>
      </c>
      <c r="CJ192" s="72">
        <f>O192</f>
        <v>69</v>
      </c>
      <c r="CK192" s="72">
        <f>S192</f>
        <v>74</v>
      </c>
      <c r="CL192" s="72">
        <f>W192</f>
        <v>110</v>
      </c>
      <c r="CM192" s="72" t="str">
        <f>AA192</f>
        <v>-</v>
      </c>
      <c r="CN192" s="72">
        <f>AE192</f>
        <v>146</v>
      </c>
      <c r="CO192" s="72">
        <f>AI192</f>
        <v>172</v>
      </c>
      <c r="CP192" s="72">
        <f>AM192</f>
        <v>211</v>
      </c>
      <c r="CQ192" s="72">
        <f>AQ192</f>
        <v>2250</v>
      </c>
      <c r="CR192" s="72">
        <f>AU192</f>
        <v>2276</v>
      </c>
      <c r="CS192" s="72" t="str">
        <f>AY192</f>
        <v>-</v>
      </c>
      <c r="CT192" s="23" t="e">
        <f>M192-K192</f>
        <v>#VALUE!</v>
      </c>
    </row>
    <row r="193" spans="1:1029" x14ac:dyDescent="0.2">
      <c r="A193" s="3" t="str">
        <f>CONCATENATE(B193,"_",C193)</f>
        <v>ffar1_human_5TZY</v>
      </c>
      <c r="B193" s="3" t="s">
        <v>1172</v>
      </c>
      <c r="C193" s="3" t="s">
        <v>1417</v>
      </c>
      <c r="D193" s="3" t="str">
        <f>IFERROR(MID(VLOOKUP($B193,Seqs!$A:$B,2,0),E193,1),"")</f>
        <v>P</v>
      </c>
      <c r="E193" s="3">
        <v>4</v>
      </c>
      <c r="F193" s="3" t="str">
        <f>IFERROR(MID(VLOOKUP($B193,Seqs!$A:$B,2,0),G193,1),"")</f>
        <v>R</v>
      </c>
      <c r="G193" s="3">
        <v>37</v>
      </c>
      <c r="H193" s="3" t="str">
        <f>IFERROR(MID(VLOOKUP($B193,Seqs!$A:$B,2,0),I193,1),"")</f>
        <v/>
      </c>
      <c r="I193" s="23" t="s">
        <v>23</v>
      </c>
      <c r="J193" s="3" t="str">
        <f>IFERROR(MID(VLOOKUP($B193,Seqs!$A:$B,2,0),K193,1),"")</f>
        <v/>
      </c>
      <c r="K193" s="23" t="s">
        <v>23</v>
      </c>
      <c r="L193" s="3" t="str">
        <f>IFERROR(MID(VLOOKUP($B193,Seqs!$A:$B,2,0),M193,1),"")</f>
        <v>T</v>
      </c>
      <c r="M193" s="3">
        <v>39</v>
      </c>
      <c r="N193" s="3" t="str">
        <f>IFERROR(MID(VLOOKUP($B193,Seqs!$A:$B,2,0),O193,1),"")</f>
        <v>A</v>
      </c>
      <c r="O193" s="3">
        <v>68</v>
      </c>
      <c r="P193" s="3" t="str">
        <f>IFERROR(MID(VLOOKUP($B193,Seqs!$A:$B,2,0),Q193,1),"")</f>
        <v>A</v>
      </c>
      <c r="Q193" s="3">
        <v>71</v>
      </c>
      <c r="R193" s="3" t="str">
        <f>IFERROR(MID(VLOOKUP($B193,Seqs!$A:$B,2,0),S193,1),"")</f>
        <v>L</v>
      </c>
      <c r="S193" s="3">
        <v>74</v>
      </c>
      <c r="T193" s="3" t="str">
        <f>IFERROR(MID(VLOOKUP($B193,Seqs!$A:$B,2,0),U193,1),"")</f>
        <v>P</v>
      </c>
      <c r="U193" s="3">
        <v>75</v>
      </c>
      <c r="V193" s="3" t="str">
        <f>IFERROR(MID(VLOOKUP($B193,Seqs!$A:$B,2,0),W193,1),"")</f>
        <v>F</v>
      </c>
      <c r="W193" s="3">
        <v>110</v>
      </c>
      <c r="X193" s="3" t="str">
        <f>IFERROR(MID(VLOOKUP($B193,Seqs!$A:$B,2,0),Y193,1),"")</f>
        <v>P</v>
      </c>
      <c r="Y193" s="3">
        <v>111</v>
      </c>
      <c r="Z193" s="3" t="str">
        <f>IFERROR(MID(VLOOKUP($B193,Seqs!$A:$B,2,0),AA193,1),"")</f>
        <v>R</v>
      </c>
      <c r="AA193" s="3">
        <v>118</v>
      </c>
      <c r="AB193" s="3" t="str">
        <f>IFERROR(MID(VLOOKUP($B193,Seqs!$A:$B,2,0),AC193,1),"")</f>
        <v>R</v>
      </c>
      <c r="AC193" s="3">
        <v>119</v>
      </c>
      <c r="AD193" s="3" t="str">
        <f>IFERROR(MID(VLOOKUP($B193,Seqs!$A:$B,2,0),AE193,1),"")</f>
        <v>A</v>
      </c>
      <c r="AE193" s="3">
        <v>146</v>
      </c>
      <c r="AF193" s="3" t="str">
        <f>IFERROR(MID(VLOOKUP($B193,Seqs!$A:$B,2,0),AG193,1),"")</f>
        <v>C</v>
      </c>
      <c r="AG193" s="3">
        <v>170</v>
      </c>
      <c r="AH193" s="3" t="str">
        <f>IFERROR(MID(VLOOKUP($B193,Seqs!$A:$B,2,0),AI193,1),"")</f>
        <v>E</v>
      </c>
      <c r="AI193" s="3">
        <v>172</v>
      </c>
      <c r="AJ193" s="3" t="str">
        <f>IFERROR(MID(VLOOKUP($B193,Seqs!$A:$B,2,0),AK193,1),"")</f>
        <v>D</v>
      </c>
      <c r="AK193" s="3">
        <v>175</v>
      </c>
      <c r="AL193" s="3" t="str">
        <f>IFERROR(MID(VLOOKUP($B193,Seqs!$A:$B,2,0),AM193,1),"")</f>
        <v>R</v>
      </c>
      <c r="AM193" s="3">
        <v>211</v>
      </c>
      <c r="AN193" s="3" t="str">
        <f>IFERROR(MID(VLOOKUP($B193,Seqs!$A:$B,2,0),AO193,1),"")</f>
        <v/>
      </c>
      <c r="AO193" s="3">
        <v>2215</v>
      </c>
      <c r="AP193" s="3" t="str">
        <f>IFERROR(MID(VLOOKUP($B193,Seqs!$A:$B,2,0),AQ193,1),"")</f>
        <v/>
      </c>
      <c r="AQ193" s="3">
        <v>2250</v>
      </c>
      <c r="AR193" s="3" t="str">
        <f>IFERROR(MID(VLOOKUP($B193,Seqs!$A:$B,2,0),AS193,1),"")</f>
        <v/>
      </c>
      <c r="AS193" s="3">
        <v>2254</v>
      </c>
      <c r="AT193" s="3" t="str">
        <f>IFERROR(MID(VLOOKUP($B193,Seqs!$A:$B,2,0),AU193,1),"")</f>
        <v/>
      </c>
      <c r="AU193" s="3">
        <v>2277</v>
      </c>
      <c r="AV193" s="3" t="str">
        <f>IFERROR(MID(VLOOKUP($B193,Seqs!$A:$B,2,0),AW193,1),"")</f>
        <v/>
      </c>
      <c r="AW193" s="3" t="s">
        <v>23</v>
      </c>
      <c r="AX193" s="3" t="str">
        <f>IFERROR(MID(VLOOKUP($B193,Seqs!$A:$B,2,0),AY193,1),"")</f>
        <v/>
      </c>
      <c r="AY193" s="3" t="s">
        <v>23</v>
      </c>
      <c r="AZ193" s="77" t="str">
        <f>VLOOKUP(B193,Classification!A:D,2,0)</f>
        <v>A</v>
      </c>
      <c r="BA193" s="94" t="str">
        <f>VLOOKUP(B193,Classification!A:D,4,0)</f>
        <v>Freefattyacid</v>
      </c>
      <c r="BB193" s="27" t="b">
        <f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23">
        <f>_xlfn.AGGREGATE(9,6,CH193:CS193)-_xlfn.AGGREGATE(9,6,BV193:CG193)+12</f>
        <v>242</v>
      </c>
      <c r="BD193" s="16" t="s">
        <v>1429</v>
      </c>
      <c r="BE193" s="3" t="s">
        <v>1428</v>
      </c>
      <c r="BF193" s="119">
        <v>3.22</v>
      </c>
      <c r="BG193" s="49" t="s">
        <v>1</v>
      </c>
      <c r="BH193" s="49" t="s">
        <v>1</v>
      </c>
      <c r="BI193" s="1"/>
      <c r="BJ193" s="70" t="s">
        <v>1287</v>
      </c>
      <c r="BK193" s="57" t="s">
        <v>1287</v>
      </c>
      <c r="BL193" s="57" t="s">
        <v>1287</v>
      </c>
      <c r="BM193" s="57" t="s">
        <v>1287</v>
      </c>
      <c r="BN193" s="57" t="s">
        <v>1287</v>
      </c>
      <c r="BO193" s="57" t="s">
        <v>1287</v>
      </c>
      <c r="BP193" s="57" t="s">
        <v>1287</v>
      </c>
      <c r="BQ193" s="57" t="s">
        <v>1287</v>
      </c>
      <c r="BR193" s="57" t="s">
        <v>1287</v>
      </c>
      <c r="BS193" s="57" t="s">
        <v>1287</v>
      </c>
      <c r="BT193" s="57" t="s">
        <v>1287</v>
      </c>
      <c r="BU193" s="57" t="s">
        <v>1287</v>
      </c>
      <c r="BV193" s="70">
        <f>E193</f>
        <v>4</v>
      </c>
      <c r="BW193" s="71" t="str">
        <f>I193</f>
        <v>-</v>
      </c>
      <c r="BX193" s="72">
        <f>M193</f>
        <v>39</v>
      </c>
      <c r="BY193" s="71">
        <f>Q193</f>
        <v>71</v>
      </c>
      <c r="BZ193" s="72">
        <f>U193</f>
        <v>75</v>
      </c>
      <c r="CA193" s="71">
        <f>Y193</f>
        <v>111</v>
      </c>
      <c r="CB193" s="72">
        <f>AC193</f>
        <v>119</v>
      </c>
      <c r="CC193" s="71">
        <f>AG193</f>
        <v>170</v>
      </c>
      <c r="CD193" s="72">
        <f>AK193</f>
        <v>175</v>
      </c>
      <c r="CE193" s="71">
        <f>AO193</f>
        <v>2215</v>
      </c>
      <c r="CF193" s="72">
        <f>AS193</f>
        <v>2254</v>
      </c>
      <c r="CG193" s="71" t="str">
        <f>AW193</f>
        <v>-</v>
      </c>
      <c r="CH193" s="70">
        <f>G193</f>
        <v>37</v>
      </c>
      <c r="CI193" s="71" t="str">
        <f>K193</f>
        <v>-</v>
      </c>
      <c r="CJ193" s="72">
        <f>O193</f>
        <v>68</v>
      </c>
      <c r="CK193" s="72">
        <f>S193</f>
        <v>74</v>
      </c>
      <c r="CL193" s="72">
        <f>W193</f>
        <v>110</v>
      </c>
      <c r="CM193" s="72">
        <f>AA193</f>
        <v>118</v>
      </c>
      <c r="CN193" s="72">
        <f>AE193</f>
        <v>146</v>
      </c>
      <c r="CO193" s="72">
        <f>AI193</f>
        <v>172</v>
      </c>
      <c r="CP193" s="72">
        <f>AM193</f>
        <v>211</v>
      </c>
      <c r="CQ193" s="72">
        <f>AQ193</f>
        <v>2250</v>
      </c>
      <c r="CR193" s="72">
        <f>AU193</f>
        <v>2277</v>
      </c>
      <c r="CS193" s="72" t="str">
        <f>AY193</f>
        <v>-</v>
      </c>
      <c r="CT193" s="23" t="e">
        <f>M193-K193</f>
        <v>#VALUE!</v>
      </c>
    </row>
    <row r="194" spans="1:1029" x14ac:dyDescent="0.2">
      <c r="A194" s="3" t="str">
        <f t="shared" si="867"/>
        <v>hrh1_human__wt</v>
      </c>
      <c r="B194" s="3" t="s">
        <v>278</v>
      </c>
      <c r="C194" s="3" t="s">
        <v>100</v>
      </c>
      <c r="D194" s="3" t="str">
        <f>IFERROR(MID(VLOOKUP($B194,Seqs!$A:$B,2,0),E194,1),"")</f>
        <v>P</v>
      </c>
      <c r="E194" s="3">
        <v>29</v>
      </c>
      <c r="F194" s="3" t="str">
        <f>IFERROR(MID(VLOOKUP($B194,Seqs!$A:$B,2,0),G194,1),"")</f>
        <v>E</v>
      </c>
      <c r="G194" s="3">
        <v>55</v>
      </c>
      <c r="H194" s="3" t="str">
        <f>IFERROR(MID(VLOOKUP($B194,Seqs!$A:$B,2,0),I194,1),"")</f>
        <v>R</v>
      </c>
      <c r="I194" s="23">
        <v>56</v>
      </c>
      <c r="J194" s="3" t="str">
        <f>IFERROR(MID(VLOOKUP($B194,Seqs!$A:$B,2,0),K194,1),"")</f>
        <v>H</v>
      </c>
      <c r="K194" s="23">
        <v>59</v>
      </c>
      <c r="L194" s="3" t="str">
        <f>IFERROR(MID(VLOOKUP($B194,Seqs!$A:$B,2,0),M194,1),"")</f>
        <v>T</v>
      </c>
      <c r="M194" s="3">
        <v>60</v>
      </c>
      <c r="N194" s="3" t="str">
        <f>IFERROR(MID(VLOOKUP($B194,Seqs!$A:$B,2,0),O194,1),"")</f>
        <v>M</v>
      </c>
      <c r="O194" s="3">
        <v>90</v>
      </c>
      <c r="P194" s="3" t="str">
        <f>IFERROR(MID(VLOOKUP($B194,Seqs!$A:$B,2,0),Q194,1),"")</f>
        <v>K</v>
      </c>
      <c r="Q194" s="3">
        <v>92</v>
      </c>
      <c r="R194" s="3" t="str">
        <f>IFERROR(MID(VLOOKUP($B194,Seqs!$A:$B,2,0),S194,1),"")</f>
        <v>L</v>
      </c>
      <c r="S194" s="3">
        <v>95</v>
      </c>
      <c r="T194" s="3" t="str">
        <f>IFERROR(MID(VLOOKUP($B194,Seqs!$A:$B,2,0),U194,1),"")</f>
        <v>G</v>
      </c>
      <c r="U194" s="3">
        <v>96</v>
      </c>
      <c r="V194" s="3" t="str">
        <f>IFERROR(MID(VLOOKUP($B194,Seqs!$A:$B,2,0),W194,1),"")</f>
        <v>Q</v>
      </c>
      <c r="W194" s="3">
        <v>131</v>
      </c>
      <c r="X194" s="3" t="str">
        <f>IFERROR(MID(VLOOKUP($B194,Seqs!$A:$B,2,0),Y194,1),"")</f>
        <v>P</v>
      </c>
      <c r="Y194" s="3">
        <v>132</v>
      </c>
      <c r="Z194" s="3" t="str">
        <f>IFERROR(MID(VLOOKUP($B194,Seqs!$A:$B,2,0),AA194,1),"")</f>
        <v>R</v>
      </c>
      <c r="AA194" s="3">
        <v>139</v>
      </c>
      <c r="AB194" s="3" t="str">
        <f>IFERROR(MID(VLOOKUP($B194,Seqs!$A:$B,2,0),AC194,1),"")</f>
        <v>T</v>
      </c>
      <c r="AC194" s="9">
        <v>140</v>
      </c>
      <c r="AD194" s="3" t="str">
        <f>IFERROR(MID(VLOOKUP($B194,Seqs!$A:$B,2,0),AE194,1),"")</f>
        <v>G</v>
      </c>
      <c r="AE194" s="3">
        <v>164</v>
      </c>
      <c r="AF194" s="3" t="str">
        <f>IFERROR(MID(VLOOKUP($B194,Seqs!$A:$B,2,0),AG194,1),"")</f>
        <v>C</v>
      </c>
      <c r="AG194" s="3">
        <v>180</v>
      </c>
      <c r="AH194" s="3" t="str">
        <f>IFERROR(MID(VLOOKUP($B194,Seqs!$A:$B,2,0),AI194,1),"")</f>
        <v>T</v>
      </c>
      <c r="AI194" s="3">
        <v>182</v>
      </c>
      <c r="AJ194" s="3" t="str">
        <f>IFERROR(MID(VLOOKUP($B194,Seqs!$A:$B,2,0),AK194,1),"")</f>
        <v>V</v>
      </c>
      <c r="AK194" s="3">
        <v>187</v>
      </c>
      <c r="AL194" s="3" t="str">
        <f>IFERROR(MID(VLOOKUP($B194,Seqs!$A:$B,2,0),AM194,1),"")</f>
        <v>N</v>
      </c>
      <c r="AM194" s="3">
        <v>228</v>
      </c>
      <c r="AN194" s="3" t="str">
        <f>IFERROR(MID(VLOOKUP($B194,Seqs!$A:$B,2,0),AO194,1),"")</f>
        <v>G</v>
      </c>
      <c r="AO194" s="3">
        <v>404</v>
      </c>
      <c r="AP194" s="3" t="str">
        <f>IFERROR(MID(VLOOKUP($B194,Seqs!$A:$B,2,0),AQ194,1),"")</f>
        <v>C</v>
      </c>
      <c r="AQ194" s="3">
        <v>441</v>
      </c>
      <c r="AR194" s="3" t="str">
        <f>IFERROR(MID(VLOOKUP($B194,Seqs!$A:$B,2,0),AS194,1),"")</f>
        <v>N</v>
      </c>
      <c r="AS194" s="3">
        <v>446</v>
      </c>
      <c r="AT194" s="3" t="str">
        <f>IFERROR(MID(VLOOKUP($B194,Seqs!$A:$B,2,0),AU194,1),"")</f>
        <v>C</v>
      </c>
      <c r="AU194" s="3">
        <v>471</v>
      </c>
      <c r="AV194" s="3" t="str">
        <f>IFERROR(MID(VLOOKUP($B194,Seqs!$A:$B,2,0),AW194,1),"")</f>
        <v>N</v>
      </c>
      <c r="AW194" s="3">
        <v>472</v>
      </c>
      <c r="AX194" s="3" t="str">
        <f>IFERROR(MID(VLOOKUP($B194,Seqs!$A:$B,2,0),AY194,1),"")</f>
        <v>H</v>
      </c>
      <c r="AY194" s="3">
        <v>484</v>
      </c>
      <c r="AZ194" s="77" t="str">
        <f>VLOOKUP(B194,Classification!A:D,2,0)</f>
        <v>A</v>
      </c>
      <c r="BA194" s="94" t="str">
        <f>VLOOKUP(B194,Classification!A:D,4,0)</f>
        <v>Histamine</v>
      </c>
      <c r="BB194" s="27" t="b">
        <f t="shared" si="868"/>
        <v>1</v>
      </c>
      <c r="BC194" s="23">
        <f t="shared" si="1035"/>
        <v>257</v>
      </c>
      <c r="BD194" s="34" t="s">
        <v>23</v>
      </c>
      <c r="BE194" s="3" t="s">
        <v>23</v>
      </c>
      <c r="BF194" s="119" t="s">
        <v>23</v>
      </c>
      <c r="BG194" s="49" t="s">
        <v>1372</v>
      </c>
      <c r="BH194" s="49" t="s">
        <v>1377</v>
      </c>
      <c r="BI194" s="1"/>
      <c r="BJ194" s="70" t="s">
        <v>1287</v>
      </c>
      <c r="BK194" s="57" t="s">
        <v>1287</v>
      </c>
      <c r="BL194" s="57" t="s">
        <v>1287</v>
      </c>
      <c r="BM194" s="57" t="s">
        <v>1287</v>
      </c>
      <c r="BN194" s="57" t="s">
        <v>1287</v>
      </c>
      <c r="BO194" s="57" t="s">
        <v>1287</v>
      </c>
      <c r="BP194" s="57" t="s">
        <v>1287</v>
      </c>
      <c r="BQ194" s="57" t="s">
        <v>1287</v>
      </c>
      <c r="BR194" s="57" t="s">
        <v>1287</v>
      </c>
      <c r="BS194" s="57" t="s">
        <v>1287</v>
      </c>
      <c r="BT194" s="57" t="s">
        <v>1287</v>
      </c>
      <c r="BU194" s="57" t="s">
        <v>1287</v>
      </c>
      <c r="BV194" s="70">
        <f t="shared" si="1036"/>
        <v>29</v>
      </c>
      <c r="BW194" s="71">
        <f t="shared" si="1037"/>
        <v>56</v>
      </c>
      <c r="BX194" s="72">
        <f t="shared" si="1038"/>
        <v>60</v>
      </c>
      <c r="BY194" s="71">
        <f t="shared" si="1039"/>
        <v>92</v>
      </c>
      <c r="BZ194" s="72">
        <f t="shared" si="1040"/>
        <v>96</v>
      </c>
      <c r="CA194" s="71">
        <f t="shared" si="1041"/>
        <v>132</v>
      </c>
      <c r="CB194" s="72">
        <f t="shared" si="1042"/>
        <v>140</v>
      </c>
      <c r="CC194" s="71">
        <f t="shared" si="1043"/>
        <v>180</v>
      </c>
      <c r="CD194" s="72">
        <f t="shared" si="1044"/>
        <v>187</v>
      </c>
      <c r="CE194" s="71">
        <f t="shared" si="1045"/>
        <v>404</v>
      </c>
      <c r="CF194" s="72">
        <f t="shared" si="1046"/>
        <v>446</v>
      </c>
      <c r="CG194" s="71">
        <f t="shared" si="1047"/>
        <v>472</v>
      </c>
      <c r="CH194" s="70">
        <f t="shared" si="1048"/>
        <v>55</v>
      </c>
      <c r="CI194" s="71">
        <f t="shared" si="1049"/>
        <v>59</v>
      </c>
      <c r="CJ194" s="72">
        <f t="shared" si="1050"/>
        <v>90</v>
      </c>
      <c r="CK194" s="72">
        <f t="shared" si="1051"/>
        <v>95</v>
      </c>
      <c r="CL194" s="72">
        <f t="shared" si="1052"/>
        <v>131</v>
      </c>
      <c r="CM194" s="72">
        <f t="shared" si="1053"/>
        <v>139</v>
      </c>
      <c r="CN194" s="72">
        <f t="shared" si="1054"/>
        <v>164</v>
      </c>
      <c r="CO194" s="72">
        <f t="shared" si="1055"/>
        <v>182</v>
      </c>
      <c r="CP194" s="72">
        <f t="shared" si="1056"/>
        <v>228</v>
      </c>
      <c r="CQ194" s="72">
        <f t="shared" si="1057"/>
        <v>441</v>
      </c>
      <c r="CR194" s="72">
        <f t="shared" si="1058"/>
        <v>471</v>
      </c>
      <c r="CS194" s="72">
        <f t="shared" si="1059"/>
        <v>484</v>
      </c>
      <c r="CT194" s="23">
        <f t="shared" si="1060"/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x14ac:dyDescent="0.2">
      <c r="A195" s="3" t="str">
        <f t="shared" si="867"/>
        <v>hrh1_human_3RZE</v>
      </c>
      <c r="B195" s="3" t="s">
        <v>278</v>
      </c>
      <c r="C195" s="3" t="s">
        <v>73</v>
      </c>
      <c r="D195" s="3" t="str">
        <f>IFERROR(MID(VLOOKUP($B195,Seqs!$A:$B,2,0),E195,1),"")</f>
        <v>V</v>
      </c>
      <c r="E195" s="3">
        <v>33</v>
      </c>
      <c r="F195" s="3" t="str">
        <f>IFERROR(MID(VLOOKUP($B195,Seqs!$A:$B,2,0),G195,1),"")</f>
        <v>E</v>
      </c>
      <c r="G195" s="3">
        <v>55</v>
      </c>
      <c r="H195" s="3" t="str">
        <f>IFERROR(MID(VLOOKUP($B195,Seqs!$A:$B,2,0),I195,1),"")</f>
        <v>R</v>
      </c>
      <c r="I195" s="23">
        <v>56</v>
      </c>
      <c r="J195" s="3" t="str">
        <f>IFERROR(MID(VLOOKUP($B195,Seqs!$A:$B,2,0),K195,1),"")</f>
        <v>H</v>
      </c>
      <c r="K195" s="23">
        <v>59</v>
      </c>
      <c r="L195" s="3" t="str">
        <f>IFERROR(MID(VLOOKUP($B195,Seqs!$A:$B,2,0),M195,1),"")</f>
        <v>T</v>
      </c>
      <c r="M195" s="3">
        <v>60</v>
      </c>
      <c r="N195" s="3" t="str">
        <f>IFERROR(MID(VLOOKUP($B195,Seqs!$A:$B,2,0),O195,1),"")</f>
        <v>M</v>
      </c>
      <c r="O195" s="3">
        <v>90</v>
      </c>
      <c r="P195" s="3" t="str">
        <f>IFERROR(MID(VLOOKUP($B195,Seqs!$A:$B,2,0),Q195,1),"")</f>
        <v>K</v>
      </c>
      <c r="Q195" s="3">
        <v>92</v>
      </c>
      <c r="R195" s="3" t="str">
        <f>IFERROR(MID(VLOOKUP($B195,Seqs!$A:$B,2,0),S195,1),"")</f>
        <v>L</v>
      </c>
      <c r="S195" s="3">
        <v>95</v>
      </c>
      <c r="T195" s="3" t="str">
        <f>IFERROR(MID(VLOOKUP($B195,Seqs!$A:$B,2,0),U195,1),"")</f>
        <v>G</v>
      </c>
      <c r="U195" s="3">
        <v>96</v>
      </c>
      <c r="V195" s="3" t="str">
        <f>IFERROR(MID(VLOOKUP($B195,Seqs!$A:$B,2,0),W195,1),"")</f>
        <v>Q</v>
      </c>
      <c r="W195" s="3">
        <v>131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T</v>
      </c>
      <c r="AC195" s="9">
        <v>140</v>
      </c>
      <c r="AD195" s="3" t="str">
        <f>IFERROR(MID(VLOOKUP($B195,Seqs!$A:$B,2,0),AE195,1),"")</f>
        <v>G</v>
      </c>
      <c r="AE195" s="3">
        <v>164</v>
      </c>
      <c r="AF195" s="3" t="str">
        <f>IFERROR(MID(VLOOKUP($B195,Seqs!$A:$B,2,0),AG195,1),"")</f>
        <v>C</v>
      </c>
      <c r="AG195" s="3">
        <v>180</v>
      </c>
      <c r="AH195" s="3" t="str">
        <f>IFERROR(MID(VLOOKUP($B195,Seqs!$A:$B,2,0),AI195,1),"")</f>
        <v>T</v>
      </c>
      <c r="AI195" s="3">
        <v>182</v>
      </c>
      <c r="AJ195" s="3" t="str">
        <f>IFERROR(MID(VLOOKUP($B195,Seqs!$A:$B,2,0),AK195,1),"")</f>
        <v>V</v>
      </c>
      <c r="AK195" s="3">
        <v>187</v>
      </c>
      <c r="AL195" s="3" t="str">
        <f>IFERROR(MID(VLOOKUP($B195,Seqs!$A:$B,2,0),AM195,1),"")</f>
        <v>V</v>
      </c>
      <c r="AM195" s="3">
        <v>217</v>
      </c>
      <c r="AN195" s="3" t="str">
        <f>IFERROR(MID(VLOOKUP($B195,Seqs!$A:$B,2,0),AO195,1),"")</f>
        <v>N</v>
      </c>
      <c r="AO195" s="3">
        <v>408</v>
      </c>
      <c r="AP195" s="3" t="str">
        <f>IFERROR(MID(VLOOKUP($B195,Seqs!$A:$B,2,0),AQ195,1),"")</f>
        <v>C</v>
      </c>
      <c r="AQ195" s="3">
        <v>441</v>
      </c>
      <c r="AR195" s="3" t="str">
        <f>IFERROR(MID(VLOOKUP($B195,Seqs!$A:$B,2,0),AS195,1),"")</f>
        <v>N</v>
      </c>
      <c r="AS195" s="3">
        <v>446</v>
      </c>
      <c r="AT195" s="3" t="str">
        <f>IFERROR(MID(VLOOKUP($B195,Seqs!$A:$B,2,0),AU195,1),"")</f>
        <v>C</v>
      </c>
      <c r="AU195" s="3">
        <v>471</v>
      </c>
      <c r="AV195" s="3" t="str">
        <f>IFERROR(MID(VLOOKUP($B195,Seqs!$A:$B,2,0),AW195,1),"")</f>
        <v>N</v>
      </c>
      <c r="AW195" s="3">
        <v>472</v>
      </c>
      <c r="AX195" s="3" t="str">
        <f>IFERROR(MID(VLOOKUP($B195,Seqs!$A:$B,2,0),AY195,1),"")</f>
        <v>H</v>
      </c>
      <c r="AY195" s="3">
        <v>484</v>
      </c>
      <c r="AZ195" s="77" t="str">
        <f>VLOOKUP(B195,Classification!A:D,2,0)</f>
        <v>A</v>
      </c>
      <c r="BA195" s="94" t="str">
        <f>VLOOKUP(B195,Classification!A:D,4,0)</f>
        <v>Histamine</v>
      </c>
      <c r="BB195" s="27" t="b">
        <f t="shared" si="868"/>
        <v>1</v>
      </c>
      <c r="BC195" s="23">
        <f t="shared" si="1035"/>
        <v>231</v>
      </c>
      <c r="BD195" s="16" t="s">
        <v>1376</v>
      </c>
      <c r="BE195" s="3" t="s">
        <v>1374</v>
      </c>
      <c r="BF195" s="119">
        <v>3.1</v>
      </c>
      <c r="BG195" s="49" t="s">
        <v>1377</v>
      </c>
      <c r="BH195" s="49" t="s">
        <v>1377</v>
      </c>
      <c r="BI195" s="1"/>
      <c r="BJ195" s="70" t="s">
        <v>1287</v>
      </c>
      <c r="BK195" s="57" t="s">
        <v>1287</v>
      </c>
      <c r="BL195" s="57" t="s">
        <v>1287</v>
      </c>
      <c r="BM195" s="57" t="s">
        <v>1287</v>
      </c>
      <c r="BN195" s="57" t="s">
        <v>1287</v>
      </c>
      <c r="BO195" s="57" t="s">
        <v>1287</v>
      </c>
      <c r="BP195" s="57" t="s">
        <v>1287</v>
      </c>
      <c r="BQ195" s="57" t="s">
        <v>1287</v>
      </c>
      <c r="BR195" s="57" t="s">
        <v>1287</v>
      </c>
      <c r="BS195" s="57" t="s">
        <v>1287</v>
      </c>
      <c r="BT195" s="57" t="s">
        <v>1287</v>
      </c>
      <c r="BU195" s="57" t="s">
        <v>1287</v>
      </c>
      <c r="BV195" s="70">
        <f t="shared" si="1036"/>
        <v>33</v>
      </c>
      <c r="BW195" s="71">
        <f t="shared" si="1037"/>
        <v>56</v>
      </c>
      <c r="BX195" s="72">
        <f t="shared" si="1038"/>
        <v>60</v>
      </c>
      <c r="BY195" s="71">
        <f t="shared" si="1039"/>
        <v>92</v>
      </c>
      <c r="BZ195" s="72">
        <f t="shared" si="1040"/>
        <v>96</v>
      </c>
      <c r="CA195" s="71" t="str">
        <f t="shared" si="1041"/>
        <v>-</v>
      </c>
      <c r="CB195" s="72">
        <f t="shared" si="1042"/>
        <v>140</v>
      </c>
      <c r="CC195" s="71">
        <f t="shared" si="1043"/>
        <v>180</v>
      </c>
      <c r="CD195" s="72">
        <f t="shared" si="1044"/>
        <v>187</v>
      </c>
      <c r="CE195" s="71">
        <f t="shared" si="1045"/>
        <v>408</v>
      </c>
      <c r="CF195" s="72">
        <f t="shared" si="1046"/>
        <v>446</v>
      </c>
      <c r="CG195" s="71">
        <f t="shared" si="1047"/>
        <v>472</v>
      </c>
      <c r="CH195" s="70">
        <f t="shared" si="1048"/>
        <v>55</v>
      </c>
      <c r="CI195" s="71">
        <f t="shared" si="1049"/>
        <v>59</v>
      </c>
      <c r="CJ195" s="72">
        <f t="shared" si="1050"/>
        <v>90</v>
      </c>
      <c r="CK195" s="72">
        <f t="shared" si="1051"/>
        <v>95</v>
      </c>
      <c r="CL195" s="72">
        <f t="shared" si="1052"/>
        <v>131</v>
      </c>
      <c r="CM195" s="72" t="str">
        <f t="shared" si="1053"/>
        <v>-</v>
      </c>
      <c r="CN195" s="72">
        <f t="shared" si="1054"/>
        <v>164</v>
      </c>
      <c r="CO195" s="72">
        <f t="shared" si="1055"/>
        <v>182</v>
      </c>
      <c r="CP195" s="72">
        <f t="shared" si="1056"/>
        <v>217</v>
      </c>
      <c r="CQ195" s="72">
        <f t="shared" si="1057"/>
        <v>441</v>
      </c>
      <c r="CR195" s="72">
        <f t="shared" si="1058"/>
        <v>471</v>
      </c>
      <c r="CS195" s="72">
        <f t="shared" si="1059"/>
        <v>484</v>
      </c>
      <c r="CT195" s="23">
        <f t="shared" si="1060"/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 t="shared" ref="A196:A254" si="1061">CONCATENATE(B196,"_",C196)</f>
        <v>lpar1_human__wt</v>
      </c>
      <c r="B196" s="3" t="s">
        <v>103</v>
      </c>
      <c r="C196" s="3" t="s">
        <v>100</v>
      </c>
      <c r="D196" s="3" t="str">
        <f>IFERROR(MID(VLOOKUP($B196,Seqs!$A:$B,2,0),E196,1),"")</f>
        <v>T</v>
      </c>
      <c r="E196" s="3">
        <v>47</v>
      </c>
      <c r="F196" s="3" t="str">
        <f>IFERROR(MID(VLOOKUP($B196,Seqs!$A:$B,2,0),G196,1),"")</f>
        <v>N</v>
      </c>
      <c r="G196" s="3">
        <v>77</v>
      </c>
      <c r="H196" s="3" t="str">
        <f>IFERROR(MID(VLOOKUP($B196,Seqs!$A:$B,2,0),I196,1),"")</f>
        <v>R</v>
      </c>
      <c r="I196" s="23">
        <v>78</v>
      </c>
      <c r="J196" s="3" t="str">
        <f>IFERROR(MID(VLOOKUP($B196,Seqs!$A:$B,2,0),K196,1),"")</f>
        <v>H</v>
      </c>
      <c r="K196" s="23">
        <v>81</v>
      </c>
      <c r="L196" s="3" t="str">
        <f>IFERROR(MID(VLOOKUP($B196,Seqs!$A:$B,2,0),M196,1),"")</f>
        <v>F</v>
      </c>
      <c r="M196" s="3">
        <v>82</v>
      </c>
      <c r="N196" s="3" t="str">
        <f>IFERROR(MID(VLOOKUP($B196,Seqs!$A:$B,2,0),O196,1),"")</f>
        <v>N</v>
      </c>
      <c r="O196" s="3">
        <v>108</v>
      </c>
      <c r="P196" s="3" t="str">
        <f>IFERROR(MID(VLOOKUP($B196,Seqs!$A:$B,2,0),Q196,1),"")</f>
        <v>G</v>
      </c>
      <c r="Q196" s="3">
        <v>110</v>
      </c>
      <c r="R196" s="3" t="str">
        <f>IFERROR(MID(VLOOKUP($B196,Seqs!$A:$B,2,0),S196,1),"")</f>
        <v>L</v>
      </c>
      <c r="S196" s="3">
        <v>116</v>
      </c>
      <c r="T196" s="3" t="str">
        <f>IFERROR(MID(VLOOKUP($B196,Seqs!$A:$B,2,0),U196,1),"")</f>
        <v>T</v>
      </c>
      <c r="U196" s="3">
        <v>117</v>
      </c>
      <c r="V196" s="3" t="str">
        <f>IFERROR(MID(VLOOKUP($B196,Seqs!$A:$B,2,0),W196,1),"")</f>
        <v>R</v>
      </c>
      <c r="W196" s="3">
        <v>152</v>
      </c>
      <c r="X196" s="3" t="str">
        <f>IFERROR(MID(VLOOKUP($B196,Seqs!$A:$B,2,0),Y196,1),"")</f>
        <v>M</v>
      </c>
      <c r="Y196" s="105">
        <v>153</v>
      </c>
      <c r="Z196" s="3" t="str">
        <f>IFERROR(MID(VLOOKUP($B196,Seqs!$A:$B,2,0),AA196,1),"")</f>
        <v>M</v>
      </c>
      <c r="AA196" s="105">
        <v>159</v>
      </c>
      <c r="AB196" s="3" t="str">
        <f>IFERROR(MID(VLOOKUP($B196,Seqs!$A:$B,2,0),AC196,1),"")</f>
        <v>S</v>
      </c>
      <c r="AC196" s="105">
        <v>160</v>
      </c>
      <c r="AD196" s="3" t="str">
        <f>IFERROR(MID(VLOOKUP($B196,Seqs!$A:$B,2,0),AE196,1),"")</f>
        <v>G</v>
      </c>
      <c r="AE196" s="3">
        <v>185</v>
      </c>
      <c r="AF196" s="3" t="str">
        <f>IFERROR(MID(VLOOKUP($B196,Seqs!$A:$B,2,0),AG196,1),"")</f>
        <v/>
      </c>
      <c r="AG196" s="3" t="s">
        <v>23</v>
      </c>
      <c r="AH196" s="3" t="str">
        <f>IFERROR(MID(VLOOKUP($B196,Seqs!$A:$B,2,0),AI196,1),"")</f>
        <v/>
      </c>
      <c r="AI196" s="3" t="s">
        <v>23</v>
      </c>
      <c r="AJ196" s="3" t="str">
        <f>IFERROR(MID(VLOOKUP($B196,Seqs!$A:$B,2,0),AK196,1),"")</f>
        <v>S</v>
      </c>
      <c r="AK196" s="3">
        <v>203</v>
      </c>
      <c r="AL196" s="3" t="str">
        <f>IFERROR(MID(VLOOKUP($B196,Seqs!$A:$B,2,0),AM196,1),"")</f>
        <v>S</v>
      </c>
      <c r="AM196" s="3">
        <v>240</v>
      </c>
      <c r="AN196" s="3" t="str">
        <f>IFERROR(MID(VLOOKUP($B196,Seqs!$A:$B,2,0),AO196,1),"")</f>
        <v>G</v>
      </c>
      <c r="AO196" s="3">
        <v>245</v>
      </c>
      <c r="AP196" s="3" t="str">
        <f>IFERROR(MID(VLOOKUP($B196,Seqs!$A:$B,2,0),AQ196,1),"")</f>
        <v>C</v>
      </c>
      <c r="AQ196" s="3">
        <v>284</v>
      </c>
      <c r="AR196" s="3" t="str">
        <f>IFERROR(MID(VLOOKUP($B196,Seqs!$A:$B,2,0),AS196,1),"")</f>
        <v>D</v>
      </c>
      <c r="AS196" s="3">
        <v>288</v>
      </c>
      <c r="AT196" s="3" t="str">
        <f>IFERROR(MID(VLOOKUP($B196,Seqs!$A:$B,2,0),AU196,1),"")</f>
        <v>R</v>
      </c>
      <c r="AU196" s="3">
        <v>314</v>
      </c>
      <c r="AV196" s="3" t="str">
        <f>IFERROR(MID(VLOOKUP($B196,Seqs!$A:$B,2,0),AW196,1),"")</f>
        <v>D</v>
      </c>
      <c r="AW196" s="3">
        <v>315</v>
      </c>
      <c r="AX196" s="3" t="str">
        <f>IFERROR(MID(VLOOKUP($B196,Seqs!$A:$B,2,0),AY196,1),"")</f>
        <v>C</v>
      </c>
      <c r="AY196" s="3">
        <v>327</v>
      </c>
      <c r="AZ196" s="77" t="str">
        <f>VLOOKUP(B196,Classification!A:D,2,0)</f>
        <v>A</v>
      </c>
      <c r="BA196" s="94" t="str">
        <f>VLOOKUP(B196,Classification!A:D,4,0)</f>
        <v>Lysophospholipid(LPA)</v>
      </c>
      <c r="BB196" s="27" t="b">
        <f t="shared" ref="BB196:BB254" si="1062"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23">
        <f t="shared" si="1035"/>
        <v>257</v>
      </c>
      <c r="BD196" s="56" t="s">
        <v>23</v>
      </c>
      <c r="BE196" s="3" t="s">
        <v>23</v>
      </c>
      <c r="BF196" s="119" t="s">
        <v>23</v>
      </c>
      <c r="BG196" s="49" t="s">
        <v>1372</v>
      </c>
      <c r="BH196" s="49" t="s">
        <v>1377</v>
      </c>
      <c r="BI196" s="1"/>
      <c r="BJ196" s="70" t="s">
        <v>1287</v>
      </c>
      <c r="BK196" s="57" t="s">
        <v>1287</v>
      </c>
      <c r="BL196" s="57" t="s">
        <v>1287</v>
      </c>
      <c r="BM196" s="57" t="s">
        <v>1287</v>
      </c>
      <c r="BN196" s="57" t="s">
        <v>1287</v>
      </c>
      <c r="BO196" s="57" t="s">
        <v>1287</v>
      </c>
      <c r="BP196" s="57" t="s">
        <v>1287</v>
      </c>
      <c r="BQ196" s="57" t="s">
        <v>1287</v>
      </c>
      <c r="BR196" s="57" t="s">
        <v>1287</v>
      </c>
      <c r="BS196" s="57" t="s">
        <v>1287</v>
      </c>
      <c r="BT196" s="57" t="s">
        <v>1287</v>
      </c>
      <c r="BU196" s="57" t="s">
        <v>1287</v>
      </c>
      <c r="BV196" s="70">
        <f t="shared" si="1036"/>
        <v>47</v>
      </c>
      <c r="BW196" s="71">
        <f t="shared" si="1037"/>
        <v>78</v>
      </c>
      <c r="BX196" s="72">
        <f t="shared" si="1038"/>
        <v>82</v>
      </c>
      <c r="BY196" s="71">
        <f t="shared" si="1039"/>
        <v>110</v>
      </c>
      <c r="BZ196" s="72">
        <f t="shared" si="1040"/>
        <v>117</v>
      </c>
      <c r="CA196" s="71">
        <f t="shared" si="1041"/>
        <v>153</v>
      </c>
      <c r="CB196" s="72">
        <f t="shared" si="1042"/>
        <v>160</v>
      </c>
      <c r="CC196" s="71" t="str">
        <f t="shared" si="1043"/>
        <v>-</v>
      </c>
      <c r="CD196" s="72">
        <f t="shared" si="1044"/>
        <v>203</v>
      </c>
      <c r="CE196" s="71">
        <f t="shared" si="1045"/>
        <v>245</v>
      </c>
      <c r="CF196" s="72">
        <f t="shared" si="1046"/>
        <v>288</v>
      </c>
      <c r="CG196" s="71">
        <f t="shared" si="1047"/>
        <v>315</v>
      </c>
      <c r="CH196" s="70">
        <f t="shared" si="1048"/>
        <v>77</v>
      </c>
      <c r="CI196" s="71">
        <f t="shared" si="1049"/>
        <v>81</v>
      </c>
      <c r="CJ196" s="72">
        <f t="shared" si="1050"/>
        <v>108</v>
      </c>
      <c r="CK196" s="72">
        <f t="shared" si="1051"/>
        <v>116</v>
      </c>
      <c r="CL196" s="72">
        <f t="shared" si="1052"/>
        <v>152</v>
      </c>
      <c r="CM196" s="72">
        <f t="shared" si="1053"/>
        <v>159</v>
      </c>
      <c r="CN196" s="72">
        <f t="shared" si="1054"/>
        <v>185</v>
      </c>
      <c r="CO196" s="72" t="str">
        <f t="shared" si="1055"/>
        <v>-</v>
      </c>
      <c r="CP196" s="72">
        <f t="shared" si="1056"/>
        <v>240</v>
      </c>
      <c r="CQ196" s="72">
        <f t="shared" si="1057"/>
        <v>284</v>
      </c>
      <c r="CR196" s="72">
        <f t="shared" si="1058"/>
        <v>314</v>
      </c>
      <c r="CS196" s="72">
        <f t="shared" si="1059"/>
        <v>327</v>
      </c>
      <c r="CT196" s="23">
        <f t="shared" si="1060"/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1061"/>
        <v>lpar1_human_4Z34</v>
      </c>
      <c r="B197" s="3" t="s">
        <v>103</v>
      </c>
      <c r="C197" s="3" t="s">
        <v>1056</v>
      </c>
      <c r="D197" s="3" t="str">
        <f>IFERROR(MID(VLOOKUP($B197,Seqs!$A:$B,2,0),E197,1),"")</f>
        <v>T</v>
      </c>
      <c r="E197" s="3">
        <v>47</v>
      </c>
      <c r="F197" s="3" t="str">
        <f>IFERROR(MID(VLOOKUP($B197,Seqs!$A:$B,2,0),G197,1),"")</f>
        <v>N</v>
      </c>
      <c r="G197" s="3">
        <v>77</v>
      </c>
      <c r="H197" s="3" t="str">
        <f>IFERROR(MID(VLOOKUP($B197,Seqs!$A:$B,2,0),I197,1),"")</f>
        <v>R</v>
      </c>
      <c r="I197" s="23">
        <v>78</v>
      </c>
      <c r="J197" s="3" t="str">
        <f>IFERROR(MID(VLOOKUP($B197,Seqs!$A:$B,2,0),K197,1),"")</f>
        <v>H</v>
      </c>
      <c r="K197" s="23">
        <v>81</v>
      </c>
      <c r="L197" s="3" t="str">
        <f>IFERROR(MID(VLOOKUP($B197,Seqs!$A:$B,2,0),M197,1),"")</f>
        <v>F</v>
      </c>
      <c r="M197" s="3">
        <v>82</v>
      </c>
      <c r="N197" s="3" t="str">
        <f>IFERROR(MID(VLOOKUP($B197,Seqs!$A:$B,2,0),O197,1),"")</f>
        <v>N</v>
      </c>
      <c r="O197" s="3">
        <v>108</v>
      </c>
      <c r="P197" s="3" t="str">
        <f>IFERROR(MID(VLOOKUP($B197,Seqs!$A:$B,2,0),Q197,1),"")</f>
        <v>G</v>
      </c>
      <c r="Q197" s="3">
        <v>110</v>
      </c>
      <c r="R197" s="3" t="str">
        <f>IFERROR(MID(VLOOKUP($B197,Seqs!$A:$B,2,0),S197,1),"")</f>
        <v>L</v>
      </c>
      <c r="S197" s="3">
        <v>116</v>
      </c>
      <c r="T197" s="3" t="str">
        <f>IFERROR(MID(VLOOKUP($B197,Seqs!$A:$B,2,0),U197,1),"")</f>
        <v>T</v>
      </c>
      <c r="U197" s="3">
        <v>117</v>
      </c>
      <c r="V197" s="3" t="str">
        <f>IFERROR(MID(VLOOKUP($B197,Seqs!$A:$B,2,0),W197,1),"")</f>
        <v>R</v>
      </c>
      <c r="W197" s="3">
        <v>152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T</v>
      </c>
      <c r="AC197" s="9">
        <v>157</v>
      </c>
      <c r="AD197" s="3" t="str">
        <f>IFERROR(MID(VLOOKUP($B197,Seqs!$A:$B,2,0),AE197,1),"")</f>
        <v>G</v>
      </c>
      <c r="AE197" s="3">
        <v>185</v>
      </c>
      <c r="AF197" s="3" t="str">
        <f>IFERROR(MID(VLOOKUP($B197,Seqs!$A:$B,2,0),AG197,1),"")</f>
        <v/>
      </c>
      <c r="AG197" s="3" t="s">
        <v>23</v>
      </c>
      <c r="AH197" s="3" t="str">
        <f>IFERROR(MID(VLOOKUP($B197,Seqs!$A:$B,2,0),AI197,1),"")</f>
        <v/>
      </c>
      <c r="AI197" s="3" t="s">
        <v>23</v>
      </c>
      <c r="AJ197" s="3" t="str">
        <f>IFERROR(MID(VLOOKUP($B197,Seqs!$A:$B,2,0),AK197,1),"")</f>
        <v>S</v>
      </c>
      <c r="AK197" s="3">
        <v>203</v>
      </c>
      <c r="AL197" s="3" t="str">
        <f>IFERROR(MID(VLOOKUP($B197,Seqs!$A:$B,2,0),AM197,1),"")</f>
        <v>R</v>
      </c>
      <c r="AM197" s="3">
        <v>235</v>
      </c>
      <c r="AN197" s="3" t="str">
        <f>IFERROR(MID(VLOOKUP($B197,Seqs!$A:$B,2,0),AO197,1),"")</f>
        <v>G</v>
      </c>
      <c r="AO197" s="3">
        <v>245</v>
      </c>
      <c r="AP197" s="3" t="str">
        <f>IFERROR(MID(VLOOKUP($B197,Seqs!$A:$B,2,0),AQ197,1),"")</f>
        <v>C</v>
      </c>
      <c r="AQ197" s="3">
        <v>284</v>
      </c>
      <c r="AR197" s="3" t="str">
        <f>IFERROR(MID(VLOOKUP($B197,Seqs!$A:$B,2,0),AS197,1),"")</f>
        <v>E</v>
      </c>
      <c r="AS197" s="3">
        <v>293</v>
      </c>
      <c r="AT197" s="3" t="str">
        <f>IFERROR(MID(VLOOKUP($B197,Seqs!$A:$B,2,0),AU197,1),"")</f>
        <v>R</v>
      </c>
      <c r="AU197" s="3">
        <v>314</v>
      </c>
      <c r="AV197" s="3" t="str">
        <f>IFERROR(MID(VLOOKUP($B197,Seqs!$A:$B,2,0),AW197,1),"")</f>
        <v>D</v>
      </c>
      <c r="AW197" s="3">
        <v>315</v>
      </c>
      <c r="AX197" s="3" t="str">
        <f>IFERROR(MID(VLOOKUP($B197,Seqs!$A:$B,2,0),AY197,1),"")</f>
        <v>C</v>
      </c>
      <c r="AY197" s="3">
        <v>327</v>
      </c>
      <c r="AZ197" s="77" t="str">
        <f>VLOOKUP(B197,Classification!A:D,2,0)</f>
        <v>A</v>
      </c>
      <c r="BA197" s="94" t="str">
        <f>VLOOKUP(B197,Classification!A:D,4,0)</f>
        <v>Lysophospholipid(LPA)</v>
      </c>
      <c r="BB197" s="27" t="b">
        <f t="shared" si="1062"/>
        <v>1</v>
      </c>
      <c r="BC197" s="23">
        <f t="shared" si="1035"/>
        <v>244</v>
      </c>
      <c r="BD197" s="16" t="s">
        <v>23</v>
      </c>
      <c r="BE197" s="3" t="s">
        <v>1374</v>
      </c>
      <c r="BF197" s="119">
        <v>3</v>
      </c>
      <c r="BG197" s="49" t="s">
        <v>1377</v>
      </c>
      <c r="BH197" s="49" t="s">
        <v>1377</v>
      </c>
      <c r="BI197" s="1"/>
      <c r="BJ197" s="70" t="s">
        <v>1287</v>
      </c>
      <c r="BK197" s="57" t="s">
        <v>1287</v>
      </c>
      <c r="BL197" s="57" t="s">
        <v>1287</v>
      </c>
      <c r="BM197" s="57" t="s">
        <v>1287</v>
      </c>
      <c r="BN197" s="57" t="s">
        <v>1287</v>
      </c>
      <c r="BO197" s="57" t="s">
        <v>1287</v>
      </c>
      <c r="BP197" s="57" t="s">
        <v>1287</v>
      </c>
      <c r="BQ197" s="57" t="s">
        <v>1287</v>
      </c>
      <c r="BR197" s="57" t="s">
        <v>1287</v>
      </c>
      <c r="BS197" s="57" t="s">
        <v>1287</v>
      </c>
      <c r="BT197" s="57" t="s">
        <v>1287</v>
      </c>
      <c r="BU197" s="57" t="s">
        <v>1287</v>
      </c>
      <c r="BV197" s="70">
        <f t="shared" si="1036"/>
        <v>47</v>
      </c>
      <c r="BW197" s="71">
        <f t="shared" si="1037"/>
        <v>78</v>
      </c>
      <c r="BX197" s="72">
        <f t="shared" si="1038"/>
        <v>82</v>
      </c>
      <c r="BY197" s="71">
        <f t="shared" si="1039"/>
        <v>110</v>
      </c>
      <c r="BZ197" s="72">
        <f t="shared" si="1040"/>
        <v>117</v>
      </c>
      <c r="CA197" s="71" t="str">
        <f t="shared" si="1041"/>
        <v>-</v>
      </c>
      <c r="CB197" s="72">
        <f t="shared" si="1042"/>
        <v>157</v>
      </c>
      <c r="CC197" s="71" t="str">
        <f t="shared" si="1043"/>
        <v>-</v>
      </c>
      <c r="CD197" s="72">
        <f t="shared" si="1044"/>
        <v>203</v>
      </c>
      <c r="CE197" s="71">
        <f t="shared" si="1045"/>
        <v>245</v>
      </c>
      <c r="CF197" s="72">
        <f t="shared" si="1046"/>
        <v>293</v>
      </c>
      <c r="CG197" s="71">
        <f t="shared" si="1047"/>
        <v>315</v>
      </c>
      <c r="CH197" s="70">
        <f t="shared" si="1048"/>
        <v>77</v>
      </c>
      <c r="CI197" s="71">
        <f t="shared" si="1049"/>
        <v>81</v>
      </c>
      <c r="CJ197" s="72">
        <f t="shared" si="1050"/>
        <v>108</v>
      </c>
      <c r="CK197" s="72">
        <f t="shared" si="1051"/>
        <v>116</v>
      </c>
      <c r="CL197" s="72">
        <f t="shared" si="1052"/>
        <v>152</v>
      </c>
      <c r="CM197" s="72" t="str">
        <f t="shared" si="1053"/>
        <v>-</v>
      </c>
      <c r="CN197" s="72">
        <f t="shared" si="1054"/>
        <v>185</v>
      </c>
      <c r="CO197" s="72" t="str">
        <f t="shared" si="1055"/>
        <v>-</v>
      </c>
      <c r="CP197" s="72">
        <f t="shared" si="1056"/>
        <v>235</v>
      </c>
      <c r="CQ197" s="72">
        <f t="shared" si="1057"/>
        <v>284</v>
      </c>
      <c r="CR197" s="72">
        <f t="shared" si="1058"/>
        <v>314</v>
      </c>
      <c r="CS197" s="72">
        <f t="shared" si="1059"/>
        <v>327</v>
      </c>
      <c r="CT197" s="23">
        <f t="shared" si="1060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si="1061"/>
        <v>lpar1_human_4Z35</v>
      </c>
      <c r="B198" s="3" t="s">
        <v>103</v>
      </c>
      <c r="C198" s="3" t="s">
        <v>89</v>
      </c>
      <c r="D198" s="3" t="str">
        <f>IFERROR(MID(VLOOKUP($B198,Seqs!$A:$B,2,0),E198,1),"")</f>
        <v>T</v>
      </c>
      <c r="E198" s="3">
        <v>47</v>
      </c>
      <c r="F198" s="3" t="str">
        <f>IFERROR(MID(VLOOKUP($B198,Seqs!$A:$B,2,0),G198,1),"")</f>
        <v>N</v>
      </c>
      <c r="G198" s="3">
        <v>77</v>
      </c>
      <c r="H198" s="3" t="str">
        <f>IFERROR(MID(VLOOKUP($B198,Seqs!$A:$B,2,0),I198,1),"")</f>
        <v>R</v>
      </c>
      <c r="I198" s="23">
        <v>78</v>
      </c>
      <c r="J198" s="3" t="str">
        <f>IFERROR(MID(VLOOKUP($B198,Seqs!$A:$B,2,0),K198,1),"")</f>
        <v>H</v>
      </c>
      <c r="K198" s="23">
        <v>81</v>
      </c>
      <c r="L198" s="3" t="str">
        <f>IFERROR(MID(VLOOKUP($B198,Seqs!$A:$B,2,0),M198,1),"")</f>
        <v>F</v>
      </c>
      <c r="M198" s="3">
        <v>82</v>
      </c>
      <c r="N198" s="3" t="str">
        <f>IFERROR(MID(VLOOKUP($B198,Seqs!$A:$B,2,0),O198,1),"")</f>
        <v>N</v>
      </c>
      <c r="O198" s="3">
        <v>108</v>
      </c>
      <c r="P198" s="3" t="str">
        <f>IFERROR(MID(VLOOKUP($B198,Seqs!$A:$B,2,0),Q198,1),"")</f>
        <v>G</v>
      </c>
      <c r="Q198" s="3">
        <v>110</v>
      </c>
      <c r="R198" s="3" t="str">
        <f>IFERROR(MID(VLOOKUP($B198,Seqs!$A:$B,2,0),S198,1),"")</f>
        <v>L</v>
      </c>
      <c r="S198" s="3">
        <v>116</v>
      </c>
      <c r="T198" s="3" t="str">
        <f>IFERROR(MID(VLOOKUP($B198,Seqs!$A:$B,2,0),U198,1),"")</f>
        <v>T</v>
      </c>
      <c r="U198" s="3">
        <v>117</v>
      </c>
      <c r="V198" s="3" t="str">
        <f>IFERROR(MID(VLOOKUP($B198,Seqs!$A:$B,2,0),W198,1),"")</f>
        <v>R</v>
      </c>
      <c r="W198" s="3">
        <v>152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T</v>
      </c>
      <c r="AC198" s="9">
        <v>157</v>
      </c>
      <c r="AD198" s="3" t="str">
        <f>IFERROR(MID(VLOOKUP($B198,Seqs!$A:$B,2,0),AE198,1),"")</f>
        <v>G</v>
      </c>
      <c r="AE198" s="3">
        <v>185</v>
      </c>
      <c r="AF198" s="3" t="str">
        <f>IFERROR(MID(VLOOKUP($B198,Seqs!$A:$B,2,0),AG198,1),"")</f>
        <v/>
      </c>
      <c r="AG198" s="3" t="s">
        <v>23</v>
      </c>
      <c r="AH198" s="3" t="str">
        <f>IFERROR(MID(VLOOKUP($B198,Seqs!$A:$B,2,0),AI198,1),"")</f>
        <v/>
      </c>
      <c r="AI198" s="3" t="s">
        <v>23</v>
      </c>
      <c r="AJ198" s="3" t="str">
        <f>IFERROR(MID(VLOOKUP($B198,Seqs!$A:$B,2,0),AK198,1),"")</f>
        <v>S</v>
      </c>
      <c r="AK198" s="3">
        <v>203</v>
      </c>
      <c r="AL198" s="3" t="str">
        <f>IFERROR(MID(VLOOKUP($B198,Seqs!$A:$B,2,0),AM198,1),"")</f>
        <v>R</v>
      </c>
      <c r="AM198" s="3">
        <v>235</v>
      </c>
      <c r="AN198" s="3" t="str">
        <f>IFERROR(MID(VLOOKUP($B198,Seqs!$A:$B,2,0),AO198,1),"")</f>
        <v>G</v>
      </c>
      <c r="AO198" s="3">
        <v>245</v>
      </c>
      <c r="AP198" s="3" t="str">
        <f>IFERROR(MID(VLOOKUP($B198,Seqs!$A:$B,2,0),AQ198,1),"")</f>
        <v>C</v>
      </c>
      <c r="AQ198" s="3">
        <v>284</v>
      </c>
      <c r="AR198" s="3" t="str">
        <f>IFERROR(MID(VLOOKUP($B198,Seqs!$A:$B,2,0),AS198,1),"")</f>
        <v>E</v>
      </c>
      <c r="AS198" s="3">
        <v>293</v>
      </c>
      <c r="AT198" s="3" t="str">
        <f>IFERROR(MID(VLOOKUP($B198,Seqs!$A:$B,2,0),AU198,1),"")</f>
        <v>R</v>
      </c>
      <c r="AU198" s="3">
        <v>314</v>
      </c>
      <c r="AV198" s="3" t="str">
        <f>IFERROR(MID(VLOOKUP($B198,Seqs!$A:$B,2,0),AW198,1),"")</f>
        <v>D</v>
      </c>
      <c r="AW198" s="3">
        <v>315</v>
      </c>
      <c r="AX198" s="3" t="str">
        <f>IFERROR(MID(VLOOKUP($B198,Seqs!$A:$B,2,0),AY198,1),"")</f>
        <v>C</v>
      </c>
      <c r="AY198" s="3">
        <v>327</v>
      </c>
      <c r="AZ198" s="77" t="str">
        <f>VLOOKUP(B198,Classification!A:D,2,0)</f>
        <v>A</v>
      </c>
      <c r="BA198" s="94" t="str">
        <f>VLOOKUP(B198,Classification!A:D,4,0)</f>
        <v>Lysophospholipid(LPA)</v>
      </c>
      <c r="BB198" s="27" t="b">
        <f t="shared" si="1062"/>
        <v>1</v>
      </c>
      <c r="BC198" s="23">
        <f t="shared" si="1035"/>
        <v>244</v>
      </c>
      <c r="BD198" s="5" t="s">
        <v>1376</v>
      </c>
      <c r="BE198" s="3" t="s">
        <v>1374</v>
      </c>
      <c r="BF198" s="119">
        <v>2.9</v>
      </c>
      <c r="BG198" s="49" t="s">
        <v>1377</v>
      </c>
      <c r="BH198" s="49" t="s">
        <v>1377</v>
      </c>
      <c r="BI198" s="1"/>
      <c r="BJ198" s="70" t="s">
        <v>1287</v>
      </c>
      <c r="BK198" s="57" t="s">
        <v>1287</v>
      </c>
      <c r="BL198" s="57" t="s">
        <v>1287</v>
      </c>
      <c r="BM198" s="57" t="s">
        <v>1287</v>
      </c>
      <c r="BN198" s="57" t="s">
        <v>1287</v>
      </c>
      <c r="BO198" s="57" t="s">
        <v>1287</v>
      </c>
      <c r="BP198" s="57" t="s">
        <v>1287</v>
      </c>
      <c r="BQ198" s="57" t="s">
        <v>1287</v>
      </c>
      <c r="BR198" s="57" t="s">
        <v>1287</v>
      </c>
      <c r="BS198" s="57" t="s">
        <v>1287</v>
      </c>
      <c r="BT198" s="57" t="s">
        <v>1287</v>
      </c>
      <c r="BU198" s="57" t="s">
        <v>1287</v>
      </c>
      <c r="BV198" s="70">
        <f t="shared" si="1036"/>
        <v>47</v>
      </c>
      <c r="BW198" s="71">
        <f t="shared" si="1037"/>
        <v>78</v>
      </c>
      <c r="BX198" s="72">
        <f t="shared" si="1038"/>
        <v>82</v>
      </c>
      <c r="BY198" s="71">
        <f t="shared" si="1039"/>
        <v>110</v>
      </c>
      <c r="BZ198" s="72">
        <f t="shared" si="1040"/>
        <v>117</v>
      </c>
      <c r="CA198" s="71" t="str">
        <f t="shared" si="1041"/>
        <v>-</v>
      </c>
      <c r="CB198" s="72">
        <f t="shared" si="1042"/>
        <v>157</v>
      </c>
      <c r="CC198" s="71" t="str">
        <f t="shared" si="1043"/>
        <v>-</v>
      </c>
      <c r="CD198" s="72">
        <f t="shared" si="1044"/>
        <v>203</v>
      </c>
      <c r="CE198" s="71">
        <f t="shared" si="1045"/>
        <v>245</v>
      </c>
      <c r="CF198" s="72">
        <f t="shared" si="1046"/>
        <v>293</v>
      </c>
      <c r="CG198" s="71">
        <f t="shared" si="1047"/>
        <v>315</v>
      </c>
      <c r="CH198" s="70">
        <f t="shared" si="1048"/>
        <v>77</v>
      </c>
      <c r="CI198" s="71">
        <f t="shared" si="1049"/>
        <v>81</v>
      </c>
      <c r="CJ198" s="72">
        <f t="shared" si="1050"/>
        <v>108</v>
      </c>
      <c r="CK198" s="72">
        <f t="shared" si="1051"/>
        <v>116</v>
      </c>
      <c r="CL198" s="72">
        <f t="shared" si="1052"/>
        <v>152</v>
      </c>
      <c r="CM198" s="72" t="str">
        <f t="shared" si="1053"/>
        <v>-</v>
      </c>
      <c r="CN198" s="72">
        <f t="shared" si="1054"/>
        <v>185</v>
      </c>
      <c r="CO198" s="72" t="str">
        <f t="shared" si="1055"/>
        <v>-</v>
      </c>
      <c r="CP198" s="72">
        <f t="shared" si="1056"/>
        <v>235</v>
      </c>
      <c r="CQ198" s="72">
        <f t="shared" si="1057"/>
        <v>284</v>
      </c>
      <c r="CR198" s="72">
        <f t="shared" si="1058"/>
        <v>314</v>
      </c>
      <c r="CS198" s="72">
        <f t="shared" si="1059"/>
        <v>327</v>
      </c>
      <c r="CT198" s="23">
        <f t="shared" si="1060"/>
        <v>1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 t="shared" si="1061"/>
        <v>lpar1_human_4Z36</v>
      </c>
      <c r="B199" s="3" t="s">
        <v>103</v>
      </c>
      <c r="C199" s="3" t="s">
        <v>1057</v>
      </c>
      <c r="D199" s="3" t="str">
        <f>IFERROR(MID(VLOOKUP($B199,Seqs!$A:$B,2,0),E199,1),"")</f>
        <v>T</v>
      </c>
      <c r="E199" s="3">
        <v>47</v>
      </c>
      <c r="F199" s="3" t="str">
        <f>IFERROR(MID(VLOOKUP($B199,Seqs!$A:$B,2,0),G199,1),"")</f>
        <v>N</v>
      </c>
      <c r="G199" s="3">
        <v>77</v>
      </c>
      <c r="H199" s="3" t="str">
        <f>IFERROR(MID(VLOOKUP($B199,Seqs!$A:$B,2,0),I199,1),"")</f>
        <v>R</v>
      </c>
      <c r="I199" s="23">
        <v>78</v>
      </c>
      <c r="J199" s="3" t="str">
        <f>IFERROR(MID(VLOOKUP($B199,Seqs!$A:$B,2,0),K199,1),"")</f>
        <v>H</v>
      </c>
      <c r="K199" s="23">
        <v>81</v>
      </c>
      <c r="L199" s="3" t="str">
        <f>IFERROR(MID(VLOOKUP($B199,Seqs!$A:$B,2,0),M199,1),"")</f>
        <v>F</v>
      </c>
      <c r="M199" s="3">
        <v>82</v>
      </c>
      <c r="N199" s="3" t="str">
        <f>IFERROR(MID(VLOOKUP($B199,Seqs!$A:$B,2,0),O199,1),"")</f>
        <v>N</v>
      </c>
      <c r="O199" s="3">
        <v>108</v>
      </c>
      <c r="P199" s="3" t="str">
        <f>IFERROR(MID(VLOOKUP($B199,Seqs!$A:$B,2,0),Q199,1),"")</f>
        <v>G</v>
      </c>
      <c r="Q199" s="3">
        <v>110</v>
      </c>
      <c r="R199" s="3" t="str">
        <f>IFERROR(MID(VLOOKUP($B199,Seqs!$A:$B,2,0),S199,1),"")</f>
        <v>L</v>
      </c>
      <c r="S199" s="3">
        <v>116</v>
      </c>
      <c r="T199" s="3" t="str">
        <f>IFERROR(MID(VLOOKUP($B199,Seqs!$A:$B,2,0),U199,1),"")</f>
        <v>T</v>
      </c>
      <c r="U199" s="3">
        <v>117</v>
      </c>
      <c r="V199" s="3" t="str">
        <f>IFERROR(MID(VLOOKUP($B199,Seqs!$A:$B,2,0),W199,1),"")</f>
        <v>R</v>
      </c>
      <c r="W199" s="3">
        <v>152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T</v>
      </c>
      <c r="AC199" s="9">
        <v>157</v>
      </c>
      <c r="AD199" s="3" t="str">
        <f>IFERROR(MID(VLOOKUP($B199,Seqs!$A:$B,2,0),AE199,1),"")</f>
        <v>G</v>
      </c>
      <c r="AE199" s="3">
        <v>185</v>
      </c>
      <c r="AF199" s="3" t="str">
        <f>IFERROR(MID(VLOOKUP($B199,Seqs!$A:$B,2,0),AG199,1),"")</f>
        <v/>
      </c>
      <c r="AG199" s="3" t="s">
        <v>23</v>
      </c>
      <c r="AH199" s="3" t="str">
        <f>IFERROR(MID(VLOOKUP($B199,Seqs!$A:$B,2,0),AI199,1),"")</f>
        <v/>
      </c>
      <c r="AI199" s="3" t="s">
        <v>23</v>
      </c>
      <c r="AJ199" s="3" t="str">
        <f>IFERROR(MID(VLOOKUP($B199,Seqs!$A:$B,2,0),AK199,1),"")</f>
        <v>S</v>
      </c>
      <c r="AK199" s="3">
        <v>203</v>
      </c>
      <c r="AL199" s="3" t="str">
        <f>IFERROR(MID(VLOOKUP($B199,Seqs!$A:$B,2,0),AM199,1),"")</f>
        <v>R</v>
      </c>
      <c r="AM199" s="3">
        <v>235</v>
      </c>
      <c r="AN199" s="3" t="str">
        <f>IFERROR(MID(VLOOKUP($B199,Seqs!$A:$B,2,0),AO199,1),"")</f>
        <v>G</v>
      </c>
      <c r="AO199" s="3">
        <v>245</v>
      </c>
      <c r="AP199" s="3" t="str">
        <f>IFERROR(MID(VLOOKUP($B199,Seqs!$A:$B,2,0),AQ199,1),"")</f>
        <v>C</v>
      </c>
      <c r="AQ199" s="3">
        <v>284</v>
      </c>
      <c r="AR199" s="3" t="str">
        <f>IFERROR(MID(VLOOKUP($B199,Seqs!$A:$B,2,0),AS199,1),"")</f>
        <v>E</v>
      </c>
      <c r="AS199" s="3">
        <v>293</v>
      </c>
      <c r="AT199" s="3" t="str">
        <f>IFERROR(MID(VLOOKUP($B199,Seqs!$A:$B,2,0),AU199,1),"")</f>
        <v>R</v>
      </c>
      <c r="AU199" s="3">
        <v>314</v>
      </c>
      <c r="AV199" s="3" t="str">
        <f>IFERROR(MID(VLOOKUP($B199,Seqs!$A:$B,2,0),AW199,1),"")</f>
        <v>D</v>
      </c>
      <c r="AW199" s="3">
        <v>315</v>
      </c>
      <c r="AX199" s="3" t="str">
        <f>IFERROR(MID(VLOOKUP($B199,Seqs!$A:$B,2,0),AY199,1),"")</f>
        <v>C</v>
      </c>
      <c r="AY199" s="3">
        <v>327</v>
      </c>
      <c r="AZ199" s="77" t="str">
        <f>VLOOKUP(B199,Classification!A:D,2,0)</f>
        <v>A</v>
      </c>
      <c r="BA199" s="94" t="str">
        <f>VLOOKUP(B199,Classification!A:D,4,0)</f>
        <v>Lysophospholipid(LPA)</v>
      </c>
      <c r="BB199" s="27" t="b">
        <f t="shared" si="1062"/>
        <v>1</v>
      </c>
      <c r="BC199" s="23">
        <f t="shared" si="1035"/>
        <v>244</v>
      </c>
      <c r="BD199" s="5" t="s">
        <v>23</v>
      </c>
      <c r="BE199" s="3" t="s">
        <v>1374</v>
      </c>
      <c r="BF199" s="119">
        <v>2.9</v>
      </c>
      <c r="BG199" s="49" t="s">
        <v>1377</v>
      </c>
      <c r="BH199" s="49" t="s">
        <v>1377</v>
      </c>
      <c r="BI199" s="1"/>
      <c r="BJ199" s="70" t="s">
        <v>1287</v>
      </c>
      <c r="BK199" s="57" t="s">
        <v>1287</v>
      </c>
      <c r="BL199" s="57" t="s">
        <v>1287</v>
      </c>
      <c r="BM199" s="57" t="s">
        <v>1287</v>
      </c>
      <c r="BN199" s="57" t="s">
        <v>1287</v>
      </c>
      <c r="BO199" s="57" t="s">
        <v>1287</v>
      </c>
      <c r="BP199" s="57" t="s">
        <v>1287</v>
      </c>
      <c r="BQ199" s="57" t="s">
        <v>1287</v>
      </c>
      <c r="BR199" s="57" t="s">
        <v>1287</v>
      </c>
      <c r="BS199" s="57" t="s">
        <v>1287</v>
      </c>
      <c r="BT199" s="57" t="s">
        <v>1287</v>
      </c>
      <c r="BU199" s="57" t="s">
        <v>1287</v>
      </c>
      <c r="BV199" s="70">
        <f t="shared" si="1036"/>
        <v>47</v>
      </c>
      <c r="BW199" s="71">
        <f t="shared" si="1037"/>
        <v>78</v>
      </c>
      <c r="BX199" s="72">
        <f t="shared" si="1038"/>
        <v>82</v>
      </c>
      <c r="BY199" s="71">
        <f t="shared" si="1039"/>
        <v>110</v>
      </c>
      <c r="BZ199" s="72">
        <f t="shared" si="1040"/>
        <v>117</v>
      </c>
      <c r="CA199" s="71" t="str">
        <f t="shared" si="1041"/>
        <v>-</v>
      </c>
      <c r="CB199" s="72">
        <f t="shared" si="1042"/>
        <v>157</v>
      </c>
      <c r="CC199" s="71" t="str">
        <f t="shared" si="1043"/>
        <v>-</v>
      </c>
      <c r="CD199" s="72">
        <f t="shared" si="1044"/>
        <v>203</v>
      </c>
      <c r="CE199" s="71">
        <f t="shared" si="1045"/>
        <v>245</v>
      </c>
      <c r="CF199" s="72">
        <f t="shared" si="1046"/>
        <v>293</v>
      </c>
      <c r="CG199" s="71">
        <f t="shared" si="1047"/>
        <v>315</v>
      </c>
      <c r="CH199" s="70">
        <f t="shared" si="1048"/>
        <v>77</v>
      </c>
      <c r="CI199" s="71">
        <f t="shared" si="1049"/>
        <v>81</v>
      </c>
      <c r="CJ199" s="72">
        <f t="shared" si="1050"/>
        <v>108</v>
      </c>
      <c r="CK199" s="72">
        <f t="shared" si="1051"/>
        <v>116</v>
      </c>
      <c r="CL199" s="72">
        <f t="shared" si="1052"/>
        <v>152</v>
      </c>
      <c r="CM199" s="72" t="str">
        <f t="shared" si="1053"/>
        <v>-</v>
      </c>
      <c r="CN199" s="72">
        <f t="shared" si="1054"/>
        <v>185</v>
      </c>
      <c r="CO199" s="72" t="str">
        <f t="shared" si="1055"/>
        <v>-</v>
      </c>
      <c r="CP199" s="72">
        <f t="shared" si="1056"/>
        <v>235</v>
      </c>
      <c r="CQ199" s="72">
        <f t="shared" si="1057"/>
        <v>284</v>
      </c>
      <c r="CR199" s="72">
        <f t="shared" si="1058"/>
        <v>314</v>
      </c>
      <c r="CS199" s="72">
        <f t="shared" si="1059"/>
        <v>327</v>
      </c>
      <c r="CT199" s="23">
        <f t="shared" si="1060"/>
        <v>1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s="12" customFormat="1" x14ac:dyDescent="0.2">
      <c r="A200" s="9" t="str">
        <f t="shared" ref="A200:A201" si="1063">CONCATENATE(B200,"_",C200)</f>
        <v>mtr1a_human__wt</v>
      </c>
      <c r="B200" s="9" t="s">
        <v>311</v>
      </c>
      <c r="C200" s="9" t="s">
        <v>100</v>
      </c>
      <c r="D200" s="9" t="str">
        <f>IFERROR(MID(VLOOKUP($B200,Seqs!$A:$B,2,0),E200,1),"")</f>
        <v>P</v>
      </c>
      <c r="E200" s="9">
        <v>23</v>
      </c>
      <c r="F200" s="9" t="str">
        <f>IFERROR(MID(VLOOKUP($B200,Seqs!$A:$B,2,0),G200,1),"")</f>
        <v>N</v>
      </c>
      <c r="G200" s="9">
        <v>55</v>
      </c>
      <c r="H200" s="9" t="str">
        <f>IFERROR(MID(VLOOKUP($B200,Seqs!$A:$B,2,0),I200,1),"")</f>
        <v>K</v>
      </c>
      <c r="I200" s="109">
        <v>56</v>
      </c>
      <c r="J200" s="9" t="str">
        <f>IFERROR(MID(VLOOKUP($B200,Seqs!$A:$B,2,0),K200,1),"")</f>
        <v>R</v>
      </c>
      <c r="K200" s="109">
        <v>59</v>
      </c>
      <c r="L200" s="9" t="str">
        <f>IFERROR(MID(VLOOKUP($B200,Seqs!$A:$B,2,0),M200,1),"")</f>
        <v>N</v>
      </c>
      <c r="M200" s="9">
        <v>60</v>
      </c>
      <c r="N200" s="9" t="str">
        <f>IFERROR(MID(VLOOKUP($B200,Seqs!$A:$B,2,0),O200,1),"")</f>
        <v>N</v>
      </c>
      <c r="O200" s="9">
        <v>91</v>
      </c>
      <c r="P200" s="9" t="str">
        <f>IFERROR(MID(VLOOKUP($B200,Seqs!$A:$B,2,0),Q200,1),"")</f>
        <v>G</v>
      </c>
      <c r="Q200" s="9">
        <v>92</v>
      </c>
      <c r="R200" s="9" t="str">
        <f>IFERROR(MID(VLOOKUP($B200,Seqs!$A:$B,2,0),S200,1),"")</f>
        <v>L</v>
      </c>
      <c r="S200" s="9">
        <v>95</v>
      </c>
      <c r="T200" s="9" t="str">
        <f>IFERROR(MID(VLOOKUP($B200,Seqs!$A:$B,2,0),U200,1),"")</f>
        <v>G</v>
      </c>
      <c r="U200" s="9">
        <v>96</v>
      </c>
      <c r="V200" s="9" t="str">
        <f>IFERROR(MID(VLOOKUP($B200,Seqs!$A:$B,2,0),W200,1),"")</f>
        <v>H</v>
      </c>
      <c r="W200" s="9">
        <v>131</v>
      </c>
      <c r="X200" s="9" t="str">
        <f>IFERROR(MID(VLOOKUP($B200,Seqs!$A:$B,2,0),Y200,1),"")</f>
        <v>S</v>
      </c>
      <c r="Y200" s="9">
        <v>132</v>
      </c>
      <c r="Z200" s="9" t="str">
        <f>IFERROR(MID(VLOOKUP($B200,Seqs!$A:$B,2,0),AA200,1),"")</f>
        <v>Y</v>
      </c>
      <c r="AA200" s="9">
        <v>139</v>
      </c>
      <c r="AB200" s="9" t="str">
        <f>IFERROR(MID(VLOOKUP($B200,Seqs!$A:$B,2,0),AC200,1),"")</f>
        <v>S</v>
      </c>
      <c r="AC200" s="9">
        <v>140</v>
      </c>
      <c r="AD200" s="9" t="str">
        <f>IFERROR(MID(VLOOKUP($B200,Seqs!$A:$B,2,0),AE200,1),"")</f>
        <v>G</v>
      </c>
      <c r="AE200" s="9">
        <v>166</v>
      </c>
      <c r="AF200" s="9" t="str">
        <f>IFERROR(MID(VLOOKUP($B200,Seqs!$A:$B,2,0),AG200,1),"")</f>
        <v>C</v>
      </c>
      <c r="AG200" s="9">
        <v>177</v>
      </c>
      <c r="AH200" s="3" t="str">
        <f>IFERROR(MID(VLOOKUP($B200,Seqs!$A:$B,2,0),AI200,1),"")</f>
        <v>F</v>
      </c>
      <c r="AI200" s="9">
        <v>179</v>
      </c>
      <c r="AJ200" s="9" t="str">
        <f>IFERROR(MID(VLOOKUP($B200,Seqs!$A:$B,2,0),AK200,1),"")</f>
        <v>S</v>
      </c>
      <c r="AK200" s="9">
        <v>184</v>
      </c>
      <c r="AL200" s="9" t="str">
        <f>IFERROR(MID(VLOOKUP($B200,Seqs!$A:$B,2,0),AM200,1),"")</f>
        <v>V</v>
      </c>
      <c r="AM200" s="9">
        <v>221</v>
      </c>
      <c r="AN200" s="9" t="str">
        <f>IFERROR(MID(VLOOKUP($B200,Seqs!$A:$B,2,0),AO200,1),"")</f>
        <v>P</v>
      </c>
      <c r="AO200" s="9">
        <v>227</v>
      </c>
      <c r="AP200" s="9" t="str">
        <f>IFERROR(MID(VLOOKUP($B200,Seqs!$A:$B,2,0),AQ200,1),"")</f>
        <v>D</v>
      </c>
      <c r="AQ200" s="9">
        <v>264</v>
      </c>
      <c r="AR200" s="9" t="str">
        <f>IFERROR(MID(VLOOKUP($B200,Seqs!$A:$B,2,0),AS200,1),"")</f>
        <v>P</v>
      </c>
      <c r="AS200" s="9">
        <v>273</v>
      </c>
      <c r="AT200" s="9" t="str">
        <f>IFERROR(MID(VLOOKUP($B200,Seqs!$A:$B,2,0),AU200,1),"")</f>
        <v>L</v>
      </c>
      <c r="AU200" s="9">
        <v>298</v>
      </c>
      <c r="AV200" s="9" t="str">
        <f>IFERROR(MID(VLOOKUP($B200,Seqs!$A:$B,2,0),AW200,1),"")</f>
        <v>N</v>
      </c>
      <c r="AW200" s="9">
        <v>299</v>
      </c>
      <c r="AX200" s="9" t="str">
        <f>IFERROR(MID(VLOOKUP($B200,Seqs!$A:$B,2,0),AY200,1),"")</f>
        <v>T</v>
      </c>
      <c r="AY200" s="9">
        <v>315</v>
      </c>
      <c r="AZ200" s="110" t="str">
        <f>VLOOKUP(B200,Classification!A:D,2,0)</f>
        <v>A</v>
      </c>
      <c r="BA200" s="98" t="str">
        <f>VLOOKUP(B200,Classification!A:D,4,0)</f>
        <v>Melatonin</v>
      </c>
      <c r="BB200" s="36" t="b">
        <f t="shared" ref="BB200:BB201" si="1064"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109">
        <f t="shared" ref="BC200:BC202" si="1065">_xlfn.AGGREGATE(9,6,CH200:CS200)-_xlfn.AGGREGATE(9,6,BV200:CG200)+12</f>
        <v>266</v>
      </c>
      <c r="BD200" s="13" t="s">
        <v>23</v>
      </c>
      <c r="BE200" s="9" t="s">
        <v>23</v>
      </c>
      <c r="BF200" s="120" t="s">
        <v>23</v>
      </c>
      <c r="BG200" s="51" t="s">
        <v>1377</v>
      </c>
      <c r="BH200" s="51" t="s">
        <v>1377</v>
      </c>
      <c r="BJ200" s="111" t="s">
        <v>1287</v>
      </c>
      <c r="BK200" s="112" t="s">
        <v>1287</v>
      </c>
      <c r="BL200" s="112" t="s">
        <v>1287</v>
      </c>
      <c r="BM200" s="112" t="s">
        <v>1287</v>
      </c>
      <c r="BN200" s="112" t="s">
        <v>1287</v>
      </c>
      <c r="BO200" s="112" t="s">
        <v>1287</v>
      </c>
      <c r="BP200" s="112" t="s">
        <v>1287</v>
      </c>
      <c r="BQ200" s="112" t="s">
        <v>1287</v>
      </c>
      <c r="BR200" s="112" t="s">
        <v>1287</v>
      </c>
      <c r="BS200" s="112" t="s">
        <v>1287</v>
      </c>
      <c r="BT200" s="112" t="s">
        <v>1287</v>
      </c>
      <c r="BU200" s="112" t="s">
        <v>1287</v>
      </c>
      <c r="BV200" s="111">
        <f t="shared" ref="BV200:BV201" si="1066">E200</f>
        <v>23</v>
      </c>
      <c r="BW200" s="113">
        <f t="shared" ref="BW200:BW201" si="1067">I200</f>
        <v>56</v>
      </c>
      <c r="BX200" s="114">
        <f t="shared" ref="BX200:BX201" si="1068">M200</f>
        <v>60</v>
      </c>
      <c r="BY200" s="113">
        <f t="shared" ref="BY200:BY201" si="1069">Q200</f>
        <v>92</v>
      </c>
      <c r="BZ200" s="114">
        <f t="shared" ref="BZ200:BZ201" si="1070">U200</f>
        <v>96</v>
      </c>
      <c r="CA200" s="113">
        <f t="shared" ref="CA200:CA201" si="1071">Y200</f>
        <v>132</v>
      </c>
      <c r="CB200" s="114">
        <f t="shared" ref="CB200:CB201" si="1072">AC200</f>
        <v>140</v>
      </c>
      <c r="CC200" s="113">
        <f t="shared" ref="CC200:CC201" si="1073">AG200</f>
        <v>177</v>
      </c>
      <c r="CD200" s="114">
        <f t="shared" ref="CD200:CD201" si="1074">AK200</f>
        <v>184</v>
      </c>
      <c r="CE200" s="113">
        <f t="shared" ref="CE200:CE201" si="1075">AO200</f>
        <v>227</v>
      </c>
      <c r="CF200" s="114">
        <f t="shared" ref="CF200:CF201" si="1076">AS200</f>
        <v>273</v>
      </c>
      <c r="CG200" s="113">
        <f t="shared" ref="CG200:CG201" si="1077">AW200</f>
        <v>299</v>
      </c>
      <c r="CH200" s="111">
        <f t="shared" ref="CH200:CH201" si="1078">G200</f>
        <v>55</v>
      </c>
      <c r="CI200" s="113">
        <f t="shared" ref="CI200:CI201" si="1079">K200</f>
        <v>59</v>
      </c>
      <c r="CJ200" s="114">
        <f t="shared" ref="CJ200:CJ201" si="1080">O200</f>
        <v>91</v>
      </c>
      <c r="CK200" s="114">
        <f t="shared" ref="CK200:CK201" si="1081">S200</f>
        <v>95</v>
      </c>
      <c r="CL200" s="114">
        <f t="shared" ref="CL200:CL201" si="1082">W200</f>
        <v>131</v>
      </c>
      <c r="CM200" s="114">
        <f t="shared" ref="CM200:CM201" si="1083">AA200</f>
        <v>139</v>
      </c>
      <c r="CN200" s="114">
        <f t="shared" ref="CN200:CN201" si="1084">AE200</f>
        <v>166</v>
      </c>
      <c r="CO200" s="114">
        <f t="shared" ref="CO200:CO201" si="1085">AI200</f>
        <v>179</v>
      </c>
      <c r="CP200" s="114">
        <f t="shared" ref="CP200:CP201" si="1086">AM200</f>
        <v>221</v>
      </c>
      <c r="CQ200" s="114">
        <f t="shared" ref="CQ200:CQ201" si="1087">AQ200</f>
        <v>264</v>
      </c>
      <c r="CR200" s="114">
        <f t="shared" ref="CR200:CR201" si="1088">AU200</f>
        <v>298</v>
      </c>
      <c r="CS200" s="114">
        <f t="shared" ref="CS200:CS201" si="1089">AY200</f>
        <v>315</v>
      </c>
      <c r="CT200" s="109">
        <f t="shared" ref="CT200:CT201" si="1090">M200-K200</f>
        <v>1</v>
      </c>
    </row>
    <row r="201" spans="1:1029" s="12" customFormat="1" x14ac:dyDescent="0.2">
      <c r="A201" s="9" t="str">
        <f t="shared" si="1063"/>
        <v>mtr1a_human_6ME2</v>
      </c>
      <c r="B201" s="9" t="s">
        <v>311</v>
      </c>
      <c r="C201" s="9" t="s">
        <v>1564</v>
      </c>
      <c r="D201" s="9" t="str">
        <f>IFERROR(MID(VLOOKUP($B201,Seqs!$A:$B,2,0),E201,1),"")</f>
        <v>P</v>
      </c>
      <c r="E201" s="9">
        <v>23</v>
      </c>
      <c r="F201" s="9" t="str">
        <f>IFERROR(MID(VLOOKUP($B201,Seqs!$A:$B,2,0),G201,1),"")</f>
        <v>N</v>
      </c>
      <c r="G201" s="9">
        <v>55</v>
      </c>
      <c r="H201" s="9" t="str">
        <f>IFERROR(MID(VLOOKUP($B201,Seqs!$A:$B,2,0),I201,1),"")</f>
        <v>K</v>
      </c>
      <c r="I201" s="109">
        <v>56</v>
      </c>
      <c r="J201" s="9" t="str">
        <f>IFERROR(MID(VLOOKUP($B201,Seqs!$A:$B,2,0),K201,1),"")</f>
        <v>R</v>
      </c>
      <c r="K201" s="109">
        <v>59</v>
      </c>
      <c r="L201" s="9" t="str">
        <f>IFERROR(MID(VLOOKUP($B201,Seqs!$A:$B,2,0),M201,1),"")</f>
        <v>N</v>
      </c>
      <c r="M201" s="9">
        <v>60</v>
      </c>
      <c r="N201" s="9" t="str">
        <f>IFERROR(MID(VLOOKUP($B201,Seqs!$A:$B,2,0),O201,1),"")</f>
        <v>N</v>
      </c>
      <c r="O201" s="9">
        <v>91</v>
      </c>
      <c r="P201" s="9" t="str">
        <f>IFERROR(MID(VLOOKUP($B201,Seqs!$A:$B,2,0),Q201,1),"")</f>
        <v>G</v>
      </c>
      <c r="Q201" s="9">
        <v>92</v>
      </c>
      <c r="R201" s="9" t="str">
        <f>IFERROR(MID(VLOOKUP($B201,Seqs!$A:$B,2,0),S201,1),"")</f>
        <v>L</v>
      </c>
      <c r="S201" s="9">
        <v>95</v>
      </c>
      <c r="T201" s="9" t="str">
        <f>IFERROR(MID(VLOOKUP($B201,Seqs!$A:$B,2,0),U201,1),"")</f>
        <v>G</v>
      </c>
      <c r="U201" s="9">
        <v>96</v>
      </c>
      <c r="V201" s="9" t="str">
        <f>IFERROR(MID(VLOOKUP($B201,Seqs!$A:$B,2,0),W201,1),"")</f>
        <v>Y</v>
      </c>
      <c r="W201" s="9">
        <v>135</v>
      </c>
      <c r="X201" s="9" t="str">
        <f>IFERROR(MID(VLOOKUP($B201,Seqs!$A:$B,2,0),Y201,1),"")</f>
        <v/>
      </c>
      <c r="Y201" s="9" t="s">
        <v>23</v>
      </c>
      <c r="Z201" s="9" t="str">
        <f>IFERROR(MID(VLOOKUP($B201,Seqs!$A:$B,2,0),AA201,1),"")</f>
        <v/>
      </c>
      <c r="AA201" s="9" t="s">
        <v>23</v>
      </c>
      <c r="AB201" s="9" t="str">
        <f>IFERROR(MID(VLOOKUP($B201,Seqs!$A:$B,2,0),AC201,1),"")</f>
        <v>N</v>
      </c>
      <c r="AC201" s="9">
        <v>143</v>
      </c>
      <c r="AD201" s="9" t="str">
        <f>IFERROR(MID(VLOOKUP($B201,Seqs!$A:$B,2,0),AE201,1),"")</f>
        <v>G</v>
      </c>
      <c r="AE201" s="9">
        <v>166</v>
      </c>
      <c r="AF201" s="9" t="str">
        <f>IFERROR(MID(VLOOKUP($B201,Seqs!$A:$B,2,0),AG201,1),"")</f>
        <v>C</v>
      </c>
      <c r="AG201" s="9">
        <v>177</v>
      </c>
      <c r="AH201" s="9" t="str">
        <f>IFERROR(MID(VLOOKUP($B201,Seqs!$A:$B,2,0),AI201,1),"")</f>
        <v>F</v>
      </c>
      <c r="AI201" s="9">
        <v>179</v>
      </c>
      <c r="AJ201" s="9" t="str">
        <f>IFERROR(MID(VLOOKUP($B201,Seqs!$A:$B,2,0),AK201,1),"")</f>
        <v>S</v>
      </c>
      <c r="AK201" s="9">
        <v>184</v>
      </c>
      <c r="AL201" s="9" t="str">
        <f>IFERROR(MID(VLOOKUP($B201,Seqs!$A:$B,2,0),AM201,1),"")</f>
        <v>R</v>
      </c>
      <c r="AM201" s="9">
        <v>218</v>
      </c>
      <c r="AN201" s="9" t="str">
        <f>IFERROR(MID(VLOOKUP($B201,Seqs!$A:$B,2,0),AO201,1),"")</f>
        <v>R</v>
      </c>
      <c r="AO201" s="9">
        <v>235</v>
      </c>
      <c r="AP201" s="9" t="str">
        <f>IFERROR(MID(VLOOKUP($B201,Seqs!$A:$B,2,0),AQ201,1),"")</f>
        <v>D</v>
      </c>
      <c r="AQ201" s="9">
        <v>264</v>
      </c>
      <c r="AR201" s="9" t="str">
        <f>IFERROR(MID(VLOOKUP($B201,Seqs!$A:$B,2,0),AS201,1),"")</f>
        <v>P</v>
      </c>
      <c r="AS201" s="9">
        <v>273</v>
      </c>
      <c r="AT201" s="9" t="str">
        <f>IFERROR(MID(VLOOKUP($B201,Seqs!$A:$B,2,0),AU201,1),"")</f>
        <v>L</v>
      </c>
      <c r="AU201" s="9">
        <v>298</v>
      </c>
      <c r="AV201" s="9" t="str">
        <f>IFERROR(MID(VLOOKUP($B201,Seqs!$A:$B,2,0),AW201,1),"")</f>
        <v>N</v>
      </c>
      <c r="AW201" s="9">
        <v>299</v>
      </c>
      <c r="AX201" s="9" t="str">
        <f>IFERROR(MID(VLOOKUP($B201,Seqs!$A:$B,2,0),AY201,1),"")</f>
        <v>T</v>
      </c>
      <c r="AY201" s="9">
        <v>315</v>
      </c>
      <c r="AZ201" s="110" t="str">
        <f>VLOOKUP(B201,Classification!A:D,2,0)</f>
        <v>A</v>
      </c>
      <c r="BA201" s="98" t="str">
        <f>VLOOKUP(B201,Classification!A:D,4,0)</f>
        <v>Melatonin</v>
      </c>
      <c r="BB201" s="36" t="b">
        <f t="shared" si="1064"/>
        <v>1</v>
      </c>
      <c r="BC201" s="109">
        <f t="shared" si="1065"/>
        <v>249</v>
      </c>
      <c r="BD201" s="13" t="s">
        <v>1376</v>
      </c>
      <c r="BE201" s="9" t="s">
        <v>1374</v>
      </c>
      <c r="BF201" s="120">
        <v>2.8</v>
      </c>
      <c r="BG201" s="51" t="s">
        <v>1</v>
      </c>
      <c r="BH201" s="51" t="s">
        <v>1</v>
      </c>
      <c r="BJ201" s="111" t="s">
        <v>1287</v>
      </c>
      <c r="BK201" s="112" t="s">
        <v>1287</v>
      </c>
      <c r="BL201" s="112" t="s">
        <v>1287</v>
      </c>
      <c r="BM201" s="112" t="s">
        <v>1287</v>
      </c>
      <c r="BN201" s="112" t="s">
        <v>1287</v>
      </c>
      <c r="BO201" s="112" t="s">
        <v>1287</v>
      </c>
      <c r="BP201" s="112" t="s">
        <v>1287</v>
      </c>
      <c r="BQ201" s="112" t="s">
        <v>1287</v>
      </c>
      <c r="BR201" s="112" t="s">
        <v>1287</v>
      </c>
      <c r="BS201" s="112" t="s">
        <v>1287</v>
      </c>
      <c r="BT201" s="112" t="s">
        <v>1287</v>
      </c>
      <c r="BU201" s="112" t="s">
        <v>1287</v>
      </c>
      <c r="BV201" s="111">
        <f t="shared" si="1066"/>
        <v>23</v>
      </c>
      <c r="BW201" s="113">
        <f t="shared" si="1067"/>
        <v>56</v>
      </c>
      <c r="BX201" s="114">
        <f t="shared" si="1068"/>
        <v>60</v>
      </c>
      <c r="BY201" s="113">
        <f t="shared" si="1069"/>
        <v>92</v>
      </c>
      <c r="BZ201" s="114">
        <f t="shared" si="1070"/>
        <v>96</v>
      </c>
      <c r="CA201" s="113" t="str">
        <f t="shared" si="1071"/>
        <v>-</v>
      </c>
      <c r="CB201" s="114">
        <f t="shared" si="1072"/>
        <v>143</v>
      </c>
      <c r="CC201" s="113">
        <f t="shared" si="1073"/>
        <v>177</v>
      </c>
      <c r="CD201" s="114">
        <f t="shared" si="1074"/>
        <v>184</v>
      </c>
      <c r="CE201" s="113">
        <f t="shared" si="1075"/>
        <v>235</v>
      </c>
      <c r="CF201" s="114">
        <f t="shared" si="1076"/>
        <v>273</v>
      </c>
      <c r="CG201" s="113">
        <f t="shared" si="1077"/>
        <v>299</v>
      </c>
      <c r="CH201" s="111">
        <f t="shared" si="1078"/>
        <v>55</v>
      </c>
      <c r="CI201" s="113">
        <f t="shared" si="1079"/>
        <v>59</v>
      </c>
      <c r="CJ201" s="114">
        <f t="shared" si="1080"/>
        <v>91</v>
      </c>
      <c r="CK201" s="114">
        <f t="shared" si="1081"/>
        <v>95</v>
      </c>
      <c r="CL201" s="114">
        <f t="shared" si="1082"/>
        <v>135</v>
      </c>
      <c r="CM201" s="114" t="str">
        <f t="shared" si="1083"/>
        <v>-</v>
      </c>
      <c r="CN201" s="114">
        <f t="shared" si="1084"/>
        <v>166</v>
      </c>
      <c r="CO201" s="114">
        <f t="shared" si="1085"/>
        <v>179</v>
      </c>
      <c r="CP201" s="114">
        <f t="shared" si="1086"/>
        <v>218</v>
      </c>
      <c r="CQ201" s="114">
        <f t="shared" si="1087"/>
        <v>264</v>
      </c>
      <c r="CR201" s="114">
        <f t="shared" si="1088"/>
        <v>298</v>
      </c>
      <c r="CS201" s="114">
        <f t="shared" si="1089"/>
        <v>315</v>
      </c>
      <c r="CT201" s="109">
        <f t="shared" si="1090"/>
        <v>1</v>
      </c>
    </row>
    <row r="202" spans="1:1029" s="12" customFormat="1" x14ac:dyDescent="0.2">
      <c r="A202" s="9" t="str">
        <f t="shared" ref="A202" si="1091">CONCATENATE(B202,"_",C202)</f>
        <v>mtr1a_human_6ME3</v>
      </c>
      <c r="B202" s="9" t="s">
        <v>311</v>
      </c>
      <c r="C202" s="9" t="s">
        <v>1565</v>
      </c>
      <c r="D202" s="9" t="str">
        <f>IFERROR(MID(VLOOKUP($B202,Seqs!$A:$B,2,0),E202,1),"")</f>
        <v>P</v>
      </c>
      <c r="E202" s="9">
        <v>23</v>
      </c>
      <c r="F202" s="9" t="str">
        <f>IFERROR(MID(VLOOKUP($B202,Seqs!$A:$B,2,0),G202,1),"")</f>
        <v>N</v>
      </c>
      <c r="G202" s="9">
        <v>55</v>
      </c>
      <c r="H202" s="9" t="str">
        <f>IFERROR(MID(VLOOKUP($B202,Seqs!$A:$B,2,0),I202,1),"")</f>
        <v>K</v>
      </c>
      <c r="I202" s="109">
        <v>56</v>
      </c>
      <c r="J202" s="9" t="str">
        <f>IFERROR(MID(VLOOKUP($B202,Seqs!$A:$B,2,0),K202,1),"")</f>
        <v>R</v>
      </c>
      <c r="K202" s="109">
        <v>59</v>
      </c>
      <c r="L202" s="9" t="str">
        <f>IFERROR(MID(VLOOKUP($B202,Seqs!$A:$B,2,0),M202,1),"")</f>
        <v>N</v>
      </c>
      <c r="M202" s="9">
        <v>60</v>
      </c>
      <c r="N202" s="9" t="str">
        <f>IFERROR(MID(VLOOKUP($B202,Seqs!$A:$B,2,0),O202,1),"")</f>
        <v>N</v>
      </c>
      <c r="O202" s="9">
        <v>91</v>
      </c>
      <c r="P202" s="9" t="str">
        <f>IFERROR(MID(VLOOKUP($B202,Seqs!$A:$B,2,0),Q202,1),"")</f>
        <v>G</v>
      </c>
      <c r="Q202" s="9">
        <v>92</v>
      </c>
      <c r="R202" s="9" t="str">
        <f>IFERROR(MID(VLOOKUP($B202,Seqs!$A:$B,2,0),S202,1),"")</f>
        <v>L</v>
      </c>
      <c r="S202" s="9">
        <v>95</v>
      </c>
      <c r="T202" s="9" t="str">
        <f>IFERROR(MID(VLOOKUP($B202,Seqs!$A:$B,2,0),U202,1),"")</f>
        <v>G</v>
      </c>
      <c r="U202" s="9">
        <v>96</v>
      </c>
      <c r="V202" s="9" t="str">
        <f>IFERROR(MID(VLOOKUP($B202,Seqs!$A:$B,2,0),W202,1),"")</f>
        <v>Y</v>
      </c>
      <c r="W202" s="9">
        <v>135</v>
      </c>
      <c r="X202" s="9" t="str">
        <f>IFERROR(MID(VLOOKUP($B202,Seqs!$A:$B,2,0),Y202,1),"")</f>
        <v/>
      </c>
      <c r="Y202" s="9" t="s">
        <v>23</v>
      </c>
      <c r="Z202" s="9" t="str">
        <f>IFERROR(MID(VLOOKUP($B202,Seqs!$A:$B,2,0),AA202,1),"")</f>
        <v/>
      </c>
      <c r="AA202" s="9" t="s">
        <v>23</v>
      </c>
      <c r="AB202" s="9" t="str">
        <f>IFERROR(MID(VLOOKUP($B202,Seqs!$A:$B,2,0),AC202,1),"")</f>
        <v>N</v>
      </c>
      <c r="AC202" s="9">
        <v>143</v>
      </c>
      <c r="AD202" s="9" t="str">
        <f>IFERROR(MID(VLOOKUP($B202,Seqs!$A:$B,2,0),AE202,1),"")</f>
        <v>G</v>
      </c>
      <c r="AE202" s="9">
        <v>166</v>
      </c>
      <c r="AF202" s="9" t="str">
        <f>IFERROR(MID(VLOOKUP($B202,Seqs!$A:$B,2,0),AG202,1),"")</f>
        <v>C</v>
      </c>
      <c r="AG202" s="9">
        <v>177</v>
      </c>
      <c r="AH202" s="9" t="str">
        <f>IFERROR(MID(VLOOKUP($B202,Seqs!$A:$B,2,0),AI202,1),"")</f>
        <v>F</v>
      </c>
      <c r="AI202" s="9">
        <v>179</v>
      </c>
      <c r="AJ202" s="9" t="str">
        <f>IFERROR(MID(VLOOKUP($B202,Seqs!$A:$B,2,0),AK202,1),"")</f>
        <v>S</v>
      </c>
      <c r="AK202" s="9">
        <v>184</v>
      </c>
      <c r="AL202" s="9" t="str">
        <f>IFERROR(MID(VLOOKUP($B202,Seqs!$A:$B,2,0),AM202,1),"")</f>
        <v>R</v>
      </c>
      <c r="AM202" s="9">
        <v>218</v>
      </c>
      <c r="AN202" s="9" t="str">
        <f>IFERROR(MID(VLOOKUP($B202,Seqs!$A:$B,2,0),AO202,1),"")</f>
        <v>R</v>
      </c>
      <c r="AO202" s="9">
        <v>235</v>
      </c>
      <c r="AP202" s="9" t="str">
        <f>IFERROR(MID(VLOOKUP($B202,Seqs!$A:$B,2,0),AQ202,1),"")</f>
        <v>D</v>
      </c>
      <c r="AQ202" s="9">
        <v>264</v>
      </c>
      <c r="AR202" s="9" t="str">
        <f>IFERROR(MID(VLOOKUP($B202,Seqs!$A:$B,2,0),AS202,1),"")</f>
        <v>P</v>
      </c>
      <c r="AS202" s="9">
        <v>273</v>
      </c>
      <c r="AT202" s="9" t="str">
        <f>IFERROR(MID(VLOOKUP($B202,Seqs!$A:$B,2,0),AU202,1),"")</f>
        <v>L</v>
      </c>
      <c r="AU202" s="9">
        <v>298</v>
      </c>
      <c r="AV202" s="9" t="str">
        <f>IFERROR(MID(VLOOKUP($B202,Seqs!$A:$B,2,0),AW202,1),"")</f>
        <v>N</v>
      </c>
      <c r="AW202" s="9">
        <v>299</v>
      </c>
      <c r="AX202" s="9" t="str">
        <f>IFERROR(MID(VLOOKUP($B202,Seqs!$A:$B,2,0),AY202,1),"")</f>
        <v>T</v>
      </c>
      <c r="AY202" s="9">
        <v>315</v>
      </c>
      <c r="AZ202" s="110" t="str">
        <f>VLOOKUP(B202,Classification!A:D,2,0)</f>
        <v>A</v>
      </c>
      <c r="BA202" s="98" t="str">
        <f>VLOOKUP(B202,Classification!A:D,4,0)</f>
        <v>Melatonin</v>
      </c>
      <c r="BB202" s="36" t="b">
        <f t="shared" ref="BB202" si="1092">AND(E202&lt;G202,OR(G202&lt;I202,I202="-"),OR(I202&lt;K202,I202="-"),OR(K202&lt;M202,K202="-"),M202&lt;O202,OR(O202&lt;Q202,Q202="-"),OR(Q202&lt;S202,Q202="-"),OR(S202&lt;U202,S202="-"),U202&lt;W202,OR(W202&lt;Y202,Y202="-"),OR(Y202&lt;AA202,Y202="-"),OR(AA202&lt;AC202,AA202="-"),AC202&lt;AE202,OR(AE202&lt;AG202,AG202="-"),OR(AG202&lt;AI202,AG202="-"),OR(AI202&lt;AK202,AI202="-"),AK202&lt;AM202,AM202&lt;AO202,AO202&lt;AQ202,AQ202&lt;AS202,AS202&lt;AU202,OR(AU202&lt;AW202,AW202="-"),OR(AW202&lt;AY202,AW202="-"))</f>
        <v>1</v>
      </c>
      <c r="BC202" s="109">
        <f t="shared" si="1065"/>
        <v>249</v>
      </c>
      <c r="BD202" s="13" t="s">
        <v>23</v>
      </c>
      <c r="BE202" s="9" t="s">
        <v>1374</v>
      </c>
      <c r="BF202" s="120">
        <v>2.9</v>
      </c>
      <c r="BG202" s="51" t="s">
        <v>1</v>
      </c>
      <c r="BH202" s="51" t="s">
        <v>1</v>
      </c>
      <c r="BJ202" s="111" t="s">
        <v>1287</v>
      </c>
      <c r="BK202" s="112" t="s">
        <v>1287</v>
      </c>
      <c r="BL202" s="112" t="s">
        <v>1287</v>
      </c>
      <c r="BM202" s="112" t="s">
        <v>1287</v>
      </c>
      <c r="BN202" s="112" t="s">
        <v>1287</v>
      </c>
      <c r="BO202" s="112" t="s">
        <v>1287</v>
      </c>
      <c r="BP202" s="112" t="s">
        <v>1287</v>
      </c>
      <c r="BQ202" s="112" t="s">
        <v>1287</v>
      </c>
      <c r="BR202" s="112" t="s">
        <v>1287</v>
      </c>
      <c r="BS202" s="112" t="s">
        <v>1287</v>
      </c>
      <c r="BT202" s="112" t="s">
        <v>1287</v>
      </c>
      <c r="BU202" s="112" t="s">
        <v>1287</v>
      </c>
      <c r="BV202" s="111">
        <f t="shared" ref="BV202" si="1093">E202</f>
        <v>23</v>
      </c>
      <c r="BW202" s="113">
        <f t="shared" ref="BW202" si="1094">I202</f>
        <v>56</v>
      </c>
      <c r="BX202" s="114">
        <f t="shared" ref="BX202" si="1095">M202</f>
        <v>60</v>
      </c>
      <c r="BY202" s="113">
        <f t="shared" ref="BY202" si="1096">Q202</f>
        <v>92</v>
      </c>
      <c r="BZ202" s="114">
        <f t="shared" ref="BZ202" si="1097">U202</f>
        <v>96</v>
      </c>
      <c r="CA202" s="113" t="str">
        <f t="shared" ref="CA202" si="1098">Y202</f>
        <v>-</v>
      </c>
      <c r="CB202" s="114">
        <f t="shared" ref="CB202" si="1099">AC202</f>
        <v>143</v>
      </c>
      <c r="CC202" s="113">
        <f t="shared" ref="CC202" si="1100">AG202</f>
        <v>177</v>
      </c>
      <c r="CD202" s="114">
        <f t="shared" ref="CD202" si="1101">AK202</f>
        <v>184</v>
      </c>
      <c r="CE202" s="113">
        <f t="shared" ref="CE202" si="1102">AO202</f>
        <v>235</v>
      </c>
      <c r="CF202" s="114">
        <f t="shared" ref="CF202" si="1103">AS202</f>
        <v>273</v>
      </c>
      <c r="CG202" s="113">
        <f t="shared" ref="CG202" si="1104">AW202</f>
        <v>299</v>
      </c>
      <c r="CH202" s="111">
        <f t="shared" ref="CH202" si="1105">G202</f>
        <v>55</v>
      </c>
      <c r="CI202" s="113">
        <f t="shared" ref="CI202" si="1106">K202</f>
        <v>59</v>
      </c>
      <c r="CJ202" s="114">
        <f t="shared" ref="CJ202" si="1107">O202</f>
        <v>91</v>
      </c>
      <c r="CK202" s="114">
        <f t="shared" ref="CK202" si="1108">S202</f>
        <v>95</v>
      </c>
      <c r="CL202" s="114">
        <f t="shared" ref="CL202" si="1109">W202</f>
        <v>135</v>
      </c>
      <c r="CM202" s="114" t="str">
        <f t="shared" ref="CM202" si="1110">AA202</f>
        <v>-</v>
      </c>
      <c r="CN202" s="114">
        <f t="shared" ref="CN202" si="1111">AE202</f>
        <v>166</v>
      </c>
      <c r="CO202" s="114">
        <f t="shared" ref="CO202" si="1112">AI202</f>
        <v>179</v>
      </c>
      <c r="CP202" s="114">
        <f t="shared" ref="CP202" si="1113">AM202</f>
        <v>218</v>
      </c>
      <c r="CQ202" s="114">
        <f t="shared" ref="CQ202" si="1114">AQ202</f>
        <v>264</v>
      </c>
      <c r="CR202" s="114">
        <f t="shared" ref="CR202" si="1115">AU202</f>
        <v>298</v>
      </c>
      <c r="CS202" s="114">
        <f t="shared" ref="CS202" si="1116">AY202</f>
        <v>315</v>
      </c>
      <c r="CT202" s="109">
        <f t="shared" ref="CT202" si="1117">M202-K202</f>
        <v>1</v>
      </c>
    </row>
    <row r="203" spans="1:1029" s="12" customFormat="1" x14ac:dyDescent="0.2">
      <c r="A203" s="9" t="str">
        <f t="shared" ref="A203" si="1118">CONCATENATE(B203,"_",C203)</f>
        <v>mtr1a_human_6ME4</v>
      </c>
      <c r="B203" s="9" t="s">
        <v>311</v>
      </c>
      <c r="C203" s="9" t="s">
        <v>1566</v>
      </c>
      <c r="D203" s="9" t="str">
        <f>IFERROR(MID(VLOOKUP($B203,Seqs!$A:$B,2,0),E203,1),"")</f>
        <v>P</v>
      </c>
      <c r="E203" s="9">
        <v>23</v>
      </c>
      <c r="F203" s="9" t="str">
        <f>IFERROR(MID(VLOOKUP($B203,Seqs!$A:$B,2,0),G203,1),"")</f>
        <v>N</v>
      </c>
      <c r="G203" s="9">
        <v>55</v>
      </c>
      <c r="H203" s="9" t="str">
        <f>IFERROR(MID(VLOOKUP($B203,Seqs!$A:$B,2,0),I203,1),"")</f>
        <v>K</v>
      </c>
      <c r="I203" s="109">
        <v>56</v>
      </c>
      <c r="J203" s="9" t="str">
        <f>IFERROR(MID(VLOOKUP($B203,Seqs!$A:$B,2,0),K203,1),"")</f>
        <v>R</v>
      </c>
      <c r="K203" s="109">
        <v>59</v>
      </c>
      <c r="L203" s="9" t="str">
        <f>IFERROR(MID(VLOOKUP($B203,Seqs!$A:$B,2,0),M203,1),"")</f>
        <v>N</v>
      </c>
      <c r="M203" s="9">
        <v>60</v>
      </c>
      <c r="N203" s="9" t="str">
        <f>IFERROR(MID(VLOOKUP($B203,Seqs!$A:$B,2,0),O203,1),"")</f>
        <v>N</v>
      </c>
      <c r="O203" s="9">
        <v>91</v>
      </c>
      <c r="P203" s="9" t="str">
        <f>IFERROR(MID(VLOOKUP($B203,Seqs!$A:$B,2,0),Q203,1),"")</f>
        <v>G</v>
      </c>
      <c r="Q203" s="9">
        <v>92</v>
      </c>
      <c r="R203" s="9" t="str">
        <f>IFERROR(MID(VLOOKUP($B203,Seqs!$A:$B,2,0),S203,1),"")</f>
        <v>L</v>
      </c>
      <c r="S203" s="9">
        <v>95</v>
      </c>
      <c r="T203" s="9" t="str">
        <f>IFERROR(MID(VLOOKUP($B203,Seqs!$A:$B,2,0),U203,1),"")</f>
        <v>G</v>
      </c>
      <c r="U203" s="9">
        <v>96</v>
      </c>
      <c r="V203" s="9" t="str">
        <f>IFERROR(MID(VLOOKUP($B203,Seqs!$A:$B,2,0),W203,1),"")</f>
        <v>Y</v>
      </c>
      <c r="W203" s="9">
        <v>135</v>
      </c>
      <c r="X203" s="9" t="str">
        <f>IFERROR(MID(VLOOKUP($B203,Seqs!$A:$B,2,0),Y203,1),"")</f>
        <v/>
      </c>
      <c r="Y203" s="9" t="s">
        <v>23</v>
      </c>
      <c r="Z203" s="9" t="str">
        <f>IFERROR(MID(VLOOKUP($B203,Seqs!$A:$B,2,0),AA203,1),"")</f>
        <v/>
      </c>
      <c r="AA203" s="9" t="s">
        <v>23</v>
      </c>
      <c r="AB203" s="9" t="str">
        <f>IFERROR(MID(VLOOKUP($B203,Seqs!$A:$B,2,0),AC203,1),"")</f>
        <v>N</v>
      </c>
      <c r="AC203" s="9">
        <v>143</v>
      </c>
      <c r="AD203" s="9" t="str">
        <f>IFERROR(MID(VLOOKUP($B203,Seqs!$A:$B,2,0),AE203,1),"")</f>
        <v>G</v>
      </c>
      <c r="AE203" s="9">
        <v>166</v>
      </c>
      <c r="AF203" s="9" t="str">
        <f>IFERROR(MID(VLOOKUP($B203,Seqs!$A:$B,2,0),AG203,1),"")</f>
        <v>C</v>
      </c>
      <c r="AG203" s="9">
        <v>177</v>
      </c>
      <c r="AH203" s="9" t="str">
        <f>IFERROR(MID(VLOOKUP($B203,Seqs!$A:$B,2,0),AI203,1),"")</f>
        <v>F</v>
      </c>
      <c r="AI203" s="9">
        <v>179</v>
      </c>
      <c r="AJ203" s="9" t="str">
        <f>IFERROR(MID(VLOOKUP($B203,Seqs!$A:$B,2,0),AK203,1),"")</f>
        <v>S</v>
      </c>
      <c r="AK203" s="9">
        <v>184</v>
      </c>
      <c r="AL203" s="9" t="str">
        <f>IFERROR(MID(VLOOKUP($B203,Seqs!$A:$B,2,0),AM203,1),"")</f>
        <v>R</v>
      </c>
      <c r="AM203" s="9">
        <v>218</v>
      </c>
      <c r="AN203" s="9" t="str">
        <f>IFERROR(MID(VLOOKUP($B203,Seqs!$A:$B,2,0),AO203,1),"")</f>
        <v>R</v>
      </c>
      <c r="AO203" s="9">
        <v>235</v>
      </c>
      <c r="AP203" s="9" t="str">
        <f>IFERROR(MID(VLOOKUP($B203,Seqs!$A:$B,2,0),AQ203,1),"")</f>
        <v>D</v>
      </c>
      <c r="AQ203" s="9">
        <v>264</v>
      </c>
      <c r="AR203" s="9" t="str">
        <f>IFERROR(MID(VLOOKUP($B203,Seqs!$A:$B,2,0),AS203,1),"")</f>
        <v>P</v>
      </c>
      <c r="AS203" s="9">
        <v>273</v>
      </c>
      <c r="AT203" s="9" t="str">
        <f>IFERROR(MID(VLOOKUP($B203,Seqs!$A:$B,2,0),AU203,1),"")</f>
        <v>L</v>
      </c>
      <c r="AU203" s="9">
        <v>298</v>
      </c>
      <c r="AV203" s="9" t="str">
        <f>IFERROR(MID(VLOOKUP($B203,Seqs!$A:$B,2,0),AW203,1),"")</f>
        <v>N</v>
      </c>
      <c r="AW203" s="9">
        <v>299</v>
      </c>
      <c r="AX203" s="9" t="str">
        <f>IFERROR(MID(VLOOKUP($B203,Seqs!$A:$B,2,0),AY203,1),"")</f>
        <v>T</v>
      </c>
      <c r="AY203" s="9">
        <v>315</v>
      </c>
      <c r="AZ203" s="110" t="str">
        <f>VLOOKUP(B203,Classification!A:D,2,0)</f>
        <v>A</v>
      </c>
      <c r="BA203" s="98" t="str">
        <f>VLOOKUP(B203,Classification!A:D,4,0)</f>
        <v>Melatonin</v>
      </c>
      <c r="BB203" s="36" t="b">
        <f t="shared" ref="BB203" si="1119"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109">
        <f t="shared" ref="BC203" si="1120">_xlfn.AGGREGATE(9,6,CH203:CS203)-_xlfn.AGGREGATE(9,6,BV203:CG203)+12</f>
        <v>249</v>
      </c>
      <c r="BD203" s="13" t="s">
        <v>23</v>
      </c>
      <c r="BE203" s="9" t="s">
        <v>1374</v>
      </c>
      <c r="BF203" s="120">
        <v>3.2</v>
      </c>
      <c r="BG203" s="51" t="s">
        <v>1</v>
      </c>
      <c r="BH203" s="51" t="s">
        <v>1</v>
      </c>
      <c r="BJ203" s="111" t="s">
        <v>1287</v>
      </c>
      <c r="BK203" s="112" t="s">
        <v>1287</v>
      </c>
      <c r="BL203" s="112" t="s">
        <v>1287</v>
      </c>
      <c r="BM203" s="112" t="s">
        <v>1287</v>
      </c>
      <c r="BN203" s="112" t="s">
        <v>1287</v>
      </c>
      <c r="BO203" s="112" t="s">
        <v>1287</v>
      </c>
      <c r="BP203" s="112" t="s">
        <v>1287</v>
      </c>
      <c r="BQ203" s="112" t="s">
        <v>1287</v>
      </c>
      <c r="BR203" s="112" t="s">
        <v>1287</v>
      </c>
      <c r="BS203" s="112" t="s">
        <v>1287</v>
      </c>
      <c r="BT203" s="112" t="s">
        <v>1287</v>
      </c>
      <c r="BU203" s="112" t="s">
        <v>1287</v>
      </c>
      <c r="BV203" s="111">
        <f t="shared" ref="BV203" si="1121">E203</f>
        <v>23</v>
      </c>
      <c r="BW203" s="113">
        <f t="shared" ref="BW203" si="1122">I203</f>
        <v>56</v>
      </c>
      <c r="BX203" s="114">
        <f t="shared" ref="BX203" si="1123">M203</f>
        <v>60</v>
      </c>
      <c r="BY203" s="113">
        <f t="shared" ref="BY203" si="1124">Q203</f>
        <v>92</v>
      </c>
      <c r="BZ203" s="114">
        <f t="shared" ref="BZ203" si="1125">U203</f>
        <v>96</v>
      </c>
      <c r="CA203" s="113" t="str">
        <f t="shared" ref="CA203" si="1126">Y203</f>
        <v>-</v>
      </c>
      <c r="CB203" s="114">
        <f t="shared" ref="CB203" si="1127">AC203</f>
        <v>143</v>
      </c>
      <c r="CC203" s="113">
        <f t="shared" ref="CC203" si="1128">AG203</f>
        <v>177</v>
      </c>
      <c r="CD203" s="114">
        <f t="shared" ref="CD203" si="1129">AK203</f>
        <v>184</v>
      </c>
      <c r="CE203" s="113">
        <f t="shared" ref="CE203" si="1130">AO203</f>
        <v>235</v>
      </c>
      <c r="CF203" s="114">
        <f t="shared" ref="CF203" si="1131">AS203</f>
        <v>273</v>
      </c>
      <c r="CG203" s="113">
        <f t="shared" ref="CG203" si="1132">AW203</f>
        <v>299</v>
      </c>
      <c r="CH203" s="111">
        <f t="shared" ref="CH203" si="1133">G203</f>
        <v>55</v>
      </c>
      <c r="CI203" s="113">
        <f t="shared" ref="CI203" si="1134">K203</f>
        <v>59</v>
      </c>
      <c r="CJ203" s="114">
        <f t="shared" ref="CJ203" si="1135">O203</f>
        <v>91</v>
      </c>
      <c r="CK203" s="114">
        <f t="shared" ref="CK203" si="1136">S203</f>
        <v>95</v>
      </c>
      <c r="CL203" s="114">
        <f t="shared" ref="CL203" si="1137">W203</f>
        <v>135</v>
      </c>
      <c r="CM203" s="114" t="str">
        <f t="shared" ref="CM203" si="1138">AA203</f>
        <v>-</v>
      </c>
      <c r="CN203" s="114">
        <f t="shared" ref="CN203" si="1139">AE203</f>
        <v>166</v>
      </c>
      <c r="CO203" s="114">
        <f t="shared" ref="CO203" si="1140">AI203</f>
        <v>179</v>
      </c>
      <c r="CP203" s="114">
        <f t="shared" ref="CP203" si="1141">AM203</f>
        <v>218</v>
      </c>
      <c r="CQ203" s="114">
        <f t="shared" ref="CQ203" si="1142">AQ203</f>
        <v>264</v>
      </c>
      <c r="CR203" s="114">
        <f t="shared" ref="CR203" si="1143">AU203</f>
        <v>298</v>
      </c>
      <c r="CS203" s="114">
        <f t="shared" ref="CS203" si="1144">AY203</f>
        <v>315</v>
      </c>
      <c r="CT203" s="109">
        <f t="shared" ref="CT203" si="1145">M203-K203</f>
        <v>1</v>
      </c>
    </row>
    <row r="204" spans="1:1029" s="12" customFormat="1" x14ac:dyDescent="0.2">
      <c r="A204" s="9" t="str">
        <f t="shared" ref="A204" si="1146">CONCATENATE(B204,"_",C204)</f>
        <v>mtr1a_human_6ME5</v>
      </c>
      <c r="B204" s="9" t="s">
        <v>311</v>
      </c>
      <c r="C204" s="9" t="s">
        <v>1567</v>
      </c>
      <c r="D204" s="9" t="str">
        <f>IFERROR(MID(VLOOKUP($B204,Seqs!$A:$B,2,0),E204,1),"")</f>
        <v>P</v>
      </c>
      <c r="E204" s="9">
        <v>23</v>
      </c>
      <c r="F204" s="9" t="str">
        <f>IFERROR(MID(VLOOKUP($B204,Seqs!$A:$B,2,0),G204,1),"")</f>
        <v>N</v>
      </c>
      <c r="G204" s="9">
        <v>55</v>
      </c>
      <c r="H204" s="9" t="str">
        <f>IFERROR(MID(VLOOKUP($B204,Seqs!$A:$B,2,0),I204,1),"")</f>
        <v>K</v>
      </c>
      <c r="I204" s="109">
        <v>56</v>
      </c>
      <c r="J204" s="9" t="str">
        <f>IFERROR(MID(VLOOKUP($B204,Seqs!$A:$B,2,0),K204,1),"")</f>
        <v>R</v>
      </c>
      <c r="K204" s="109">
        <v>59</v>
      </c>
      <c r="L204" s="9" t="str">
        <f>IFERROR(MID(VLOOKUP($B204,Seqs!$A:$B,2,0),M204,1),"")</f>
        <v>N</v>
      </c>
      <c r="M204" s="9">
        <v>60</v>
      </c>
      <c r="N204" s="9" t="str">
        <f>IFERROR(MID(VLOOKUP($B204,Seqs!$A:$B,2,0),O204,1),"")</f>
        <v>N</v>
      </c>
      <c r="O204" s="9">
        <v>91</v>
      </c>
      <c r="P204" s="9" t="str">
        <f>IFERROR(MID(VLOOKUP($B204,Seqs!$A:$B,2,0),Q204,1),"")</f>
        <v>G</v>
      </c>
      <c r="Q204" s="9">
        <v>92</v>
      </c>
      <c r="R204" s="9" t="str">
        <f>IFERROR(MID(VLOOKUP($B204,Seqs!$A:$B,2,0),S204,1),"")</f>
        <v>L</v>
      </c>
      <c r="S204" s="9">
        <v>95</v>
      </c>
      <c r="T204" s="9" t="str">
        <f>IFERROR(MID(VLOOKUP($B204,Seqs!$A:$B,2,0),U204,1),"")</f>
        <v>G</v>
      </c>
      <c r="U204" s="9">
        <v>96</v>
      </c>
      <c r="V204" s="9" t="str">
        <f>IFERROR(MID(VLOOKUP($B204,Seqs!$A:$B,2,0),W204,1),"")</f>
        <v>Y</v>
      </c>
      <c r="W204" s="9">
        <v>135</v>
      </c>
      <c r="X204" s="9" t="str">
        <f>IFERROR(MID(VLOOKUP($B204,Seqs!$A:$B,2,0),Y204,1),"")</f>
        <v/>
      </c>
      <c r="Y204" s="9" t="s">
        <v>23</v>
      </c>
      <c r="Z204" s="9" t="str">
        <f>IFERROR(MID(VLOOKUP($B204,Seqs!$A:$B,2,0),AA204,1),"")</f>
        <v/>
      </c>
      <c r="AA204" s="9" t="s">
        <v>23</v>
      </c>
      <c r="AB204" s="9" t="str">
        <f>IFERROR(MID(VLOOKUP($B204,Seqs!$A:$B,2,0),AC204,1),"")</f>
        <v>N</v>
      </c>
      <c r="AC204" s="9">
        <v>143</v>
      </c>
      <c r="AD204" s="9" t="str">
        <f>IFERROR(MID(VLOOKUP($B204,Seqs!$A:$B,2,0),AE204,1),"")</f>
        <v>G</v>
      </c>
      <c r="AE204" s="9">
        <v>166</v>
      </c>
      <c r="AF204" s="9" t="str">
        <f>IFERROR(MID(VLOOKUP($B204,Seqs!$A:$B,2,0),AG204,1),"")</f>
        <v>C</v>
      </c>
      <c r="AG204" s="9">
        <v>177</v>
      </c>
      <c r="AH204" s="9" t="str">
        <f>IFERROR(MID(VLOOKUP($B204,Seqs!$A:$B,2,0),AI204,1),"")</f>
        <v>F</v>
      </c>
      <c r="AI204" s="9">
        <v>179</v>
      </c>
      <c r="AJ204" s="9" t="str">
        <f>IFERROR(MID(VLOOKUP($B204,Seqs!$A:$B,2,0),AK204,1),"")</f>
        <v>S</v>
      </c>
      <c r="AK204" s="9">
        <v>184</v>
      </c>
      <c r="AL204" s="9" t="str">
        <f>IFERROR(MID(VLOOKUP($B204,Seqs!$A:$B,2,0),AM204,1),"")</f>
        <v>R</v>
      </c>
      <c r="AM204" s="9">
        <v>218</v>
      </c>
      <c r="AN204" s="9" t="str">
        <f>IFERROR(MID(VLOOKUP($B204,Seqs!$A:$B,2,0),AO204,1),"")</f>
        <v>R</v>
      </c>
      <c r="AO204" s="9">
        <v>235</v>
      </c>
      <c r="AP204" s="9" t="str">
        <f>IFERROR(MID(VLOOKUP($B204,Seqs!$A:$B,2,0),AQ204,1),"")</f>
        <v>D</v>
      </c>
      <c r="AQ204" s="9">
        <v>264</v>
      </c>
      <c r="AR204" s="9" t="str">
        <f>IFERROR(MID(VLOOKUP($B204,Seqs!$A:$B,2,0),AS204,1),"")</f>
        <v>P</v>
      </c>
      <c r="AS204" s="9">
        <v>273</v>
      </c>
      <c r="AT204" s="9" t="str">
        <f>IFERROR(MID(VLOOKUP($B204,Seqs!$A:$B,2,0),AU204,1),"")</f>
        <v>L</v>
      </c>
      <c r="AU204" s="9">
        <v>298</v>
      </c>
      <c r="AV204" s="9" t="str">
        <f>IFERROR(MID(VLOOKUP($B204,Seqs!$A:$B,2,0),AW204,1),"")</f>
        <v>N</v>
      </c>
      <c r="AW204" s="9">
        <v>299</v>
      </c>
      <c r="AX204" s="9" t="str">
        <f>IFERROR(MID(VLOOKUP($B204,Seqs!$A:$B,2,0),AY204,1),"")</f>
        <v>T</v>
      </c>
      <c r="AY204" s="9">
        <v>315</v>
      </c>
      <c r="AZ204" s="110" t="str">
        <f>VLOOKUP(B204,Classification!A:D,2,0)</f>
        <v>A</v>
      </c>
      <c r="BA204" s="98" t="str">
        <f>VLOOKUP(B204,Classification!A:D,4,0)</f>
        <v>Melatonin</v>
      </c>
      <c r="BB204" s="36" t="b">
        <f t="shared" ref="BB204" si="1147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109">
        <f t="shared" ref="BC204" si="1148">_xlfn.AGGREGATE(9,6,CH204:CS204)-_xlfn.AGGREGATE(9,6,BV204:CG204)+12</f>
        <v>249</v>
      </c>
      <c r="BD204" s="13" t="s">
        <v>23</v>
      </c>
      <c r="BE204" s="9" t="s">
        <v>1374</v>
      </c>
      <c r="BF204" s="120">
        <v>3.2</v>
      </c>
      <c r="BG204" s="51" t="s">
        <v>1</v>
      </c>
      <c r="BH204" s="51" t="s">
        <v>1</v>
      </c>
      <c r="BJ204" s="111" t="s">
        <v>1287</v>
      </c>
      <c r="BK204" s="112" t="s">
        <v>1287</v>
      </c>
      <c r="BL204" s="112" t="s">
        <v>1287</v>
      </c>
      <c r="BM204" s="112" t="s">
        <v>1287</v>
      </c>
      <c r="BN204" s="112" t="s">
        <v>1287</v>
      </c>
      <c r="BO204" s="112" t="s">
        <v>1287</v>
      </c>
      <c r="BP204" s="112" t="s">
        <v>1287</v>
      </c>
      <c r="BQ204" s="112" t="s">
        <v>1287</v>
      </c>
      <c r="BR204" s="112" t="s">
        <v>1287</v>
      </c>
      <c r="BS204" s="112" t="s">
        <v>1287</v>
      </c>
      <c r="BT204" s="112" t="s">
        <v>1287</v>
      </c>
      <c r="BU204" s="112" t="s">
        <v>1287</v>
      </c>
      <c r="BV204" s="111">
        <f t="shared" ref="BV204" si="1149">E204</f>
        <v>23</v>
      </c>
      <c r="BW204" s="113">
        <f t="shared" ref="BW204" si="1150">I204</f>
        <v>56</v>
      </c>
      <c r="BX204" s="114">
        <f t="shared" ref="BX204" si="1151">M204</f>
        <v>60</v>
      </c>
      <c r="BY204" s="113">
        <f t="shared" ref="BY204" si="1152">Q204</f>
        <v>92</v>
      </c>
      <c r="BZ204" s="114">
        <f t="shared" ref="BZ204" si="1153">U204</f>
        <v>96</v>
      </c>
      <c r="CA204" s="113" t="str">
        <f t="shared" ref="CA204" si="1154">Y204</f>
        <v>-</v>
      </c>
      <c r="CB204" s="114">
        <f t="shared" ref="CB204" si="1155">AC204</f>
        <v>143</v>
      </c>
      <c r="CC204" s="113">
        <f t="shared" ref="CC204" si="1156">AG204</f>
        <v>177</v>
      </c>
      <c r="CD204" s="114">
        <f t="shared" ref="CD204" si="1157">AK204</f>
        <v>184</v>
      </c>
      <c r="CE204" s="113">
        <f t="shared" ref="CE204" si="1158">AO204</f>
        <v>235</v>
      </c>
      <c r="CF204" s="114">
        <f t="shared" ref="CF204" si="1159">AS204</f>
        <v>273</v>
      </c>
      <c r="CG204" s="113">
        <f t="shared" ref="CG204" si="1160">AW204</f>
        <v>299</v>
      </c>
      <c r="CH204" s="111">
        <f t="shared" ref="CH204" si="1161">G204</f>
        <v>55</v>
      </c>
      <c r="CI204" s="113">
        <f t="shared" ref="CI204" si="1162">K204</f>
        <v>59</v>
      </c>
      <c r="CJ204" s="114">
        <f t="shared" ref="CJ204" si="1163">O204</f>
        <v>91</v>
      </c>
      <c r="CK204" s="114">
        <f t="shared" ref="CK204" si="1164">S204</f>
        <v>95</v>
      </c>
      <c r="CL204" s="114">
        <f t="shared" ref="CL204" si="1165">W204</f>
        <v>135</v>
      </c>
      <c r="CM204" s="114" t="str">
        <f t="shared" ref="CM204" si="1166">AA204</f>
        <v>-</v>
      </c>
      <c r="CN204" s="114">
        <f t="shared" ref="CN204" si="1167">AE204</f>
        <v>166</v>
      </c>
      <c r="CO204" s="114">
        <f t="shared" ref="CO204" si="1168">AI204</f>
        <v>179</v>
      </c>
      <c r="CP204" s="114">
        <f t="shared" ref="CP204" si="1169">AM204</f>
        <v>218</v>
      </c>
      <c r="CQ204" s="114">
        <f t="shared" ref="CQ204" si="1170">AQ204</f>
        <v>264</v>
      </c>
      <c r="CR204" s="114">
        <f t="shared" ref="CR204" si="1171">AU204</f>
        <v>298</v>
      </c>
      <c r="CS204" s="114">
        <f t="shared" ref="CS204" si="1172">AY204</f>
        <v>315</v>
      </c>
      <c r="CT204" s="109">
        <f t="shared" ref="CT204" si="1173">M204-K204</f>
        <v>1</v>
      </c>
    </row>
    <row r="205" spans="1:1029" s="12" customFormat="1" x14ac:dyDescent="0.2">
      <c r="A205" s="9" t="str">
        <f t="shared" ref="A205:A206" si="1174">CONCATENATE(B205,"_",C205)</f>
        <v>mtr1b_human__wt</v>
      </c>
      <c r="B205" s="9" t="s">
        <v>312</v>
      </c>
      <c r="C205" s="9" t="s">
        <v>100</v>
      </c>
      <c r="D205" s="9" t="str">
        <f>IFERROR(MID(VLOOKUP($B205,Seqs!$A:$B,2,0),E205,1),"")</f>
        <v>W</v>
      </c>
      <c r="E205" s="9">
        <v>38</v>
      </c>
      <c r="F205" s="9" t="str">
        <f>IFERROR(MID(VLOOKUP($B205,Seqs!$A:$B,2,0),G205,1),"")</f>
        <v>N</v>
      </c>
      <c r="G205" s="9">
        <v>68</v>
      </c>
      <c r="H205" s="9" t="str">
        <f>IFERROR(MID(VLOOKUP($B205,Seqs!$A:$B,2,0),I205,1),"")</f>
        <v>R</v>
      </c>
      <c r="I205" s="109">
        <v>69</v>
      </c>
      <c r="J205" s="9" t="str">
        <f>IFERROR(MID(VLOOKUP($B205,Seqs!$A:$B,2,0),K205,1),"")</f>
        <v>R</v>
      </c>
      <c r="K205" s="109">
        <v>72</v>
      </c>
      <c r="L205" s="9" t="str">
        <f>IFERROR(MID(VLOOKUP($B205,Seqs!$A:$B,2,0),M205,1),"")</f>
        <v>N</v>
      </c>
      <c r="M205" s="9">
        <v>73</v>
      </c>
      <c r="N205" s="9" t="str">
        <f>IFERROR(MID(VLOOKUP($B205,Seqs!$A:$B,2,0),O205,1),"")</f>
        <v>D</v>
      </c>
      <c r="O205" s="9">
        <v>104</v>
      </c>
      <c r="P205" s="9" t="str">
        <f>IFERROR(MID(VLOOKUP($B205,Seqs!$A:$B,2,0),Q205,1),"")</f>
        <v>G</v>
      </c>
      <c r="Q205" s="9">
        <v>105</v>
      </c>
      <c r="R205" s="9" t="str">
        <f>IFERROR(MID(VLOOKUP($B205,Seqs!$A:$B,2,0),S205,1),"")</f>
        <v>L</v>
      </c>
      <c r="S205" s="9">
        <v>108</v>
      </c>
      <c r="T205" s="9" t="str">
        <f>IFERROR(MID(VLOOKUP($B205,Seqs!$A:$B,2,0),U205,1),"")</f>
        <v>G</v>
      </c>
      <c r="U205" s="9">
        <v>109</v>
      </c>
      <c r="V205" s="9" t="str">
        <f>IFERROR(MID(VLOOKUP($B205,Seqs!$A:$B,2,0),W205,1),"")</f>
        <v>H</v>
      </c>
      <c r="W205" s="9">
        <v>144</v>
      </c>
      <c r="X205" s="9" t="str">
        <f>IFERROR(MID(VLOOKUP($B205,Seqs!$A:$B,2,0),Y205,1),"")</f>
        <v>S</v>
      </c>
      <c r="Y205" s="9">
        <v>145</v>
      </c>
      <c r="Z205" s="9" t="str">
        <f>IFERROR(MID(VLOOKUP($B205,Seqs!$A:$B,2,0),AA205,1),"")</f>
        <v>Y</v>
      </c>
      <c r="AA205" s="9">
        <v>152</v>
      </c>
      <c r="AB205" s="9" t="str">
        <f>IFERROR(MID(VLOOKUP($B205,Seqs!$A:$B,2,0),AC205,1),"")</f>
        <v>R</v>
      </c>
      <c r="AC205" s="9">
        <v>153</v>
      </c>
      <c r="AD205" s="9" t="str">
        <f>IFERROR(MID(VLOOKUP($B205,Seqs!$A:$B,2,0),AE205,1),"")</f>
        <v>G</v>
      </c>
      <c r="AE205" s="9">
        <v>179</v>
      </c>
      <c r="AF205" s="9" t="str">
        <f>IFERROR(MID(VLOOKUP($B205,Seqs!$A:$B,2,0),AG205,1),"")</f>
        <v>C</v>
      </c>
      <c r="AG205" s="9">
        <v>190</v>
      </c>
      <c r="AH205" s="9" t="str">
        <f>IFERROR(MID(VLOOKUP($B205,Seqs!$A:$B,2,0),AI205,1),"")</f>
        <v>F</v>
      </c>
      <c r="AI205" s="9">
        <v>192</v>
      </c>
      <c r="AJ205" s="9" t="str">
        <f>IFERROR(MID(VLOOKUP($B205,Seqs!$A:$B,2,0),AK205,1),"")</f>
        <v>S</v>
      </c>
      <c r="AK205" s="9">
        <v>197</v>
      </c>
      <c r="AL205" s="9" t="str">
        <f>IFERROR(MID(VLOOKUP($B205,Seqs!$A:$B,2,0),AM205,1),"")</f>
        <v>A</v>
      </c>
      <c r="AM205" s="9">
        <v>234</v>
      </c>
      <c r="AN205" s="9" t="str">
        <f>IFERROR(MID(VLOOKUP($B205,Seqs!$A:$B,2,0),AO205,1),"")</f>
        <v>L</v>
      </c>
      <c r="AO205" s="9">
        <v>240</v>
      </c>
      <c r="AP205" s="9" t="str">
        <f>IFERROR(MID(VLOOKUP($B205,Seqs!$A:$B,2,0),AQ205,1),"")</f>
        <v>N</v>
      </c>
      <c r="AQ205" s="9">
        <v>277</v>
      </c>
      <c r="AR205" s="9" t="str">
        <f>IFERROR(MID(VLOOKUP($B205,Seqs!$A:$B,2,0),AS205,1),"")</f>
        <v>P</v>
      </c>
      <c r="AS205" s="9">
        <v>286</v>
      </c>
      <c r="AT205" s="9" t="str">
        <f>IFERROR(MID(VLOOKUP($B205,Seqs!$A:$B,2,0),AU205,1),"")</f>
        <v>L</v>
      </c>
      <c r="AU205" s="9">
        <v>311</v>
      </c>
      <c r="AV205" s="9" t="str">
        <f>IFERROR(MID(VLOOKUP($B205,Seqs!$A:$B,2,0),AW205,1),"")</f>
        <v>N</v>
      </c>
      <c r="AW205" s="9">
        <v>312</v>
      </c>
      <c r="AX205" s="9" t="str">
        <f>IFERROR(MID(VLOOKUP($B205,Seqs!$A:$B,2,0),AY205,1),"")</f>
        <v>N</v>
      </c>
      <c r="AY205" s="9">
        <v>328</v>
      </c>
      <c r="AZ205" s="110" t="str">
        <f>VLOOKUP(B205,Classification!A:D,2,0)</f>
        <v>A</v>
      </c>
      <c r="BA205" s="98" t="str">
        <f>VLOOKUP(B205,Classification!A:D,4,0)</f>
        <v>Melatonin</v>
      </c>
      <c r="BB205" s="36" t="b">
        <f t="shared" ref="BB205:BB206" si="1175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109">
        <f t="shared" ref="BC205:BC206" si="1176">_xlfn.AGGREGATE(9,6,CH205:CS205)-_xlfn.AGGREGATE(9,6,BV205:CG205)+12</f>
        <v>264</v>
      </c>
      <c r="BD205" s="13" t="s">
        <v>23</v>
      </c>
      <c r="BE205" s="9" t="s">
        <v>23</v>
      </c>
      <c r="BF205" s="120" t="s">
        <v>23</v>
      </c>
      <c r="BG205" s="51"/>
      <c r="BH205" s="51"/>
      <c r="BJ205" s="111" t="s">
        <v>1287</v>
      </c>
      <c r="BK205" s="112" t="s">
        <v>1287</v>
      </c>
      <c r="BL205" s="112" t="s">
        <v>1287</v>
      </c>
      <c r="BM205" s="112" t="s">
        <v>1287</v>
      </c>
      <c r="BN205" s="112" t="s">
        <v>1287</v>
      </c>
      <c r="BO205" s="112" t="s">
        <v>1287</v>
      </c>
      <c r="BP205" s="112" t="s">
        <v>1287</v>
      </c>
      <c r="BQ205" s="112" t="s">
        <v>1287</v>
      </c>
      <c r="BR205" s="112" t="s">
        <v>1287</v>
      </c>
      <c r="BS205" s="112" t="s">
        <v>1287</v>
      </c>
      <c r="BT205" s="112" t="s">
        <v>1287</v>
      </c>
      <c r="BU205" s="112" t="s">
        <v>1287</v>
      </c>
      <c r="BV205" s="111">
        <f t="shared" ref="BV205:BV206" si="1177">E205</f>
        <v>38</v>
      </c>
      <c r="BW205" s="113">
        <f t="shared" ref="BW205:BW206" si="1178">I205</f>
        <v>69</v>
      </c>
      <c r="BX205" s="114">
        <f t="shared" ref="BX205:BX206" si="1179">M205</f>
        <v>73</v>
      </c>
      <c r="BY205" s="113">
        <f t="shared" ref="BY205:BY206" si="1180">Q205</f>
        <v>105</v>
      </c>
      <c r="BZ205" s="114">
        <f t="shared" ref="BZ205:BZ206" si="1181">U205</f>
        <v>109</v>
      </c>
      <c r="CA205" s="113">
        <f t="shared" ref="CA205:CA206" si="1182">Y205</f>
        <v>145</v>
      </c>
      <c r="CB205" s="114">
        <f t="shared" ref="CB205:CB206" si="1183">AC205</f>
        <v>153</v>
      </c>
      <c r="CC205" s="113">
        <f t="shared" ref="CC205:CC206" si="1184">AG205</f>
        <v>190</v>
      </c>
      <c r="CD205" s="114">
        <f t="shared" ref="CD205:CD206" si="1185">AK205</f>
        <v>197</v>
      </c>
      <c r="CE205" s="113">
        <f t="shared" ref="CE205:CE206" si="1186">AO205</f>
        <v>240</v>
      </c>
      <c r="CF205" s="114">
        <f t="shared" ref="CF205:CF206" si="1187">AS205</f>
        <v>286</v>
      </c>
      <c r="CG205" s="113">
        <f t="shared" ref="CG205:CG206" si="1188">AW205</f>
        <v>312</v>
      </c>
      <c r="CH205" s="111">
        <f t="shared" ref="CH205:CH206" si="1189">G205</f>
        <v>68</v>
      </c>
      <c r="CI205" s="113">
        <f t="shared" ref="CI205:CI206" si="1190">K205</f>
        <v>72</v>
      </c>
      <c r="CJ205" s="114">
        <f t="shared" ref="CJ205:CJ206" si="1191">O205</f>
        <v>104</v>
      </c>
      <c r="CK205" s="114">
        <f t="shared" ref="CK205:CK206" si="1192">S205</f>
        <v>108</v>
      </c>
      <c r="CL205" s="114">
        <f t="shared" ref="CL205:CL206" si="1193">W205</f>
        <v>144</v>
      </c>
      <c r="CM205" s="114">
        <f t="shared" ref="CM205:CM206" si="1194">AA205</f>
        <v>152</v>
      </c>
      <c r="CN205" s="114">
        <f t="shared" ref="CN205:CN206" si="1195">AE205</f>
        <v>179</v>
      </c>
      <c r="CO205" s="114">
        <f t="shared" ref="CO205:CO206" si="1196">AI205</f>
        <v>192</v>
      </c>
      <c r="CP205" s="114">
        <f t="shared" ref="CP205:CP206" si="1197">AM205</f>
        <v>234</v>
      </c>
      <c r="CQ205" s="114">
        <f t="shared" ref="CQ205:CQ206" si="1198">AQ205</f>
        <v>277</v>
      </c>
      <c r="CR205" s="114">
        <f t="shared" ref="CR205:CR206" si="1199">AU205</f>
        <v>311</v>
      </c>
      <c r="CS205" s="114">
        <f t="shared" ref="CS205:CS206" si="1200">AY205</f>
        <v>328</v>
      </c>
      <c r="CT205" s="109">
        <f t="shared" ref="CT205:CT206" si="1201">M205-K205</f>
        <v>1</v>
      </c>
    </row>
    <row r="206" spans="1:1029" s="12" customFormat="1" x14ac:dyDescent="0.2">
      <c r="A206" s="9" t="str">
        <f t="shared" si="1174"/>
        <v>mtr1b_human_6ME6</v>
      </c>
      <c r="B206" s="9" t="s">
        <v>312</v>
      </c>
      <c r="C206" s="9" t="s">
        <v>1568</v>
      </c>
      <c r="D206" s="9" t="str">
        <f>IFERROR(MID(VLOOKUP($B206,Seqs!$A:$B,2,0),E206,1),"")</f>
        <v>W</v>
      </c>
      <c r="E206" s="9">
        <v>38</v>
      </c>
      <c r="F206" s="9" t="str">
        <f>IFERROR(MID(VLOOKUP($B206,Seqs!$A:$B,2,0),G206,1),"")</f>
        <v>R</v>
      </c>
      <c r="G206" s="9">
        <v>67</v>
      </c>
      <c r="H206" s="9" t="str">
        <f>IFERROR(MID(VLOOKUP($B206,Seqs!$A:$B,2,0),I206,1),"")</f>
        <v>R</v>
      </c>
      <c r="I206" s="109">
        <v>69</v>
      </c>
      <c r="J206" s="9" t="str">
        <f>IFERROR(MID(VLOOKUP($B206,Seqs!$A:$B,2,0),K206,1),"")</f>
        <v>R</v>
      </c>
      <c r="K206" s="109">
        <v>72</v>
      </c>
      <c r="L206" s="9" t="str">
        <f>IFERROR(MID(VLOOKUP($B206,Seqs!$A:$B,2,0),M206,1),"")</f>
        <v>N</v>
      </c>
      <c r="M206" s="9">
        <v>73</v>
      </c>
      <c r="N206" s="9" t="str">
        <f>IFERROR(MID(VLOOKUP($B206,Seqs!$A:$B,2,0),O206,1),"")</f>
        <v>D</v>
      </c>
      <c r="O206" s="9">
        <v>104</v>
      </c>
      <c r="P206" s="9" t="str">
        <f>IFERROR(MID(VLOOKUP($B206,Seqs!$A:$B,2,0),Q206,1),"")</f>
        <v>G</v>
      </c>
      <c r="Q206" s="9">
        <v>105</v>
      </c>
      <c r="R206" s="9" t="str">
        <f>IFERROR(MID(VLOOKUP($B206,Seqs!$A:$B,2,0),S206,1),"")</f>
        <v>L</v>
      </c>
      <c r="S206" s="9">
        <v>108</v>
      </c>
      <c r="T206" s="9" t="str">
        <f>IFERROR(MID(VLOOKUP($B206,Seqs!$A:$B,2,0),U206,1),"")</f>
        <v>E</v>
      </c>
      <c r="U206" s="9">
        <v>110</v>
      </c>
      <c r="V206" s="9" t="str">
        <f>IFERROR(MID(VLOOKUP($B206,Seqs!$A:$B,2,0),W206,1),"")</f>
        <v>H</v>
      </c>
      <c r="W206" s="9">
        <v>144</v>
      </c>
      <c r="X206" s="9" t="str">
        <f>IFERROR(MID(VLOOKUP($B206,Seqs!$A:$B,2,0),Y206,1),"")</f>
        <v>S</v>
      </c>
      <c r="Y206" s="9">
        <v>145</v>
      </c>
      <c r="Z206" s="9" t="str">
        <f>IFERROR(MID(VLOOKUP($B206,Seqs!$A:$B,2,0),AA206,1),"")</f>
        <v>Y</v>
      </c>
      <c r="AA206" s="9">
        <v>152</v>
      </c>
      <c r="AB206" s="9" t="str">
        <f>IFERROR(MID(VLOOKUP($B206,Seqs!$A:$B,2,0),AC206,1),"")</f>
        <v>R</v>
      </c>
      <c r="AC206" s="9">
        <v>153</v>
      </c>
      <c r="AD206" s="9" t="str">
        <f>IFERROR(MID(VLOOKUP($B206,Seqs!$A:$B,2,0),AE206,1),"")</f>
        <v>V</v>
      </c>
      <c r="AE206" s="9">
        <v>178</v>
      </c>
      <c r="AF206" s="9" t="str">
        <f>IFERROR(MID(VLOOKUP($B206,Seqs!$A:$B,2,0),AG206,1),"")</f>
        <v>C</v>
      </c>
      <c r="AG206" s="9">
        <v>190</v>
      </c>
      <c r="AH206" s="9" t="str">
        <f>IFERROR(MID(VLOOKUP($B206,Seqs!$A:$B,2,0),AI206,1),"")</f>
        <v>F</v>
      </c>
      <c r="AI206" s="9">
        <v>192</v>
      </c>
      <c r="AJ206" s="9" t="str">
        <f>IFERROR(MID(VLOOKUP($B206,Seqs!$A:$B,2,0),AK206,1),"")</f>
        <v>S</v>
      </c>
      <c r="AK206" s="9">
        <v>197</v>
      </c>
      <c r="AL206" s="9" t="str">
        <f>IFERROR(MID(VLOOKUP($B206,Seqs!$A:$B,2,0),AM206,1),"")</f>
        <v>R</v>
      </c>
      <c r="AM206" s="9">
        <v>231</v>
      </c>
      <c r="AN206" s="9" t="str">
        <f>IFERROR(MID(VLOOKUP($B206,Seqs!$A:$B,2,0),AO206,1),"")</f>
        <v>F</v>
      </c>
      <c r="AO206" s="9">
        <v>250</v>
      </c>
      <c r="AP206" s="9" t="str">
        <f>IFERROR(MID(VLOOKUP($B206,Seqs!$A:$B,2,0),AQ206,1),"")</f>
        <v>N</v>
      </c>
      <c r="AQ206" s="9">
        <v>277</v>
      </c>
      <c r="AR206" s="9" t="str">
        <f>IFERROR(MID(VLOOKUP($B206,Seqs!$A:$B,2,0),AS206,1),"")</f>
        <v>P</v>
      </c>
      <c r="AS206" s="9">
        <v>286</v>
      </c>
      <c r="AT206" s="9" t="str">
        <f>IFERROR(MID(VLOOKUP($B206,Seqs!$A:$B,2,0),AU206,1),"")</f>
        <v>L</v>
      </c>
      <c r="AU206" s="9">
        <v>311</v>
      </c>
      <c r="AV206" s="9" t="str">
        <f>IFERROR(MID(VLOOKUP($B206,Seqs!$A:$B,2,0),AW206,1),"")</f>
        <v>N</v>
      </c>
      <c r="AW206" s="9">
        <v>312</v>
      </c>
      <c r="AX206" s="9" t="str">
        <f>IFERROR(MID(VLOOKUP($B206,Seqs!$A:$B,2,0),AY206,1),"")</f>
        <v>N</v>
      </c>
      <c r="AY206" s="9">
        <v>328</v>
      </c>
      <c r="AZ206" s="110" t="str">
        <f>VLOOKUP(B206,Classification!A:D,2,0)</f>
        <v>A</v>
      </c>
      <c r="BA206" s="98" t="str">
        <f>VLOOKUP(B206,Classification!A:D,4,0)</f>
        <v>Melatonin</v>
      </c>
      <c r="BB206" s="36" t="b">
        <f t="shared" si="1175"/>
        <v>1</v>
      </c>
      <c r="BC206" s="109">
        <f t="shared" si="1176"/>
        <v>248</v>
      </c>
      <c r="BD206" s="13" t="s">
        <v>23</v>
      </c>
      <c r="BE206" s="9" t="s">
        <v>1374</v>
      </c>
      <c r="BF206" s="120">
        <v>2.8</v>
      </c>
      <c r="BG206" s="51" t="s">
        <v>1281</v>
      </c>
      <c r="BH206" s="51" t="s">
        <v>1281</v>
      </c>
      <c r="BJ206" s="111" t="s">
        <v>1287</v>
      </c>
      <c r="BK206" s="112" t="s">
        <v>1287</v>
      </c>
      <c r="BL206" s="112" t="s">
        <v>1287</v>
      </c>
      <c r="BM206" s="112" t="s">
        <v>1287</v>
      </c>
      <c r="BN206" s="112" t="s">
        <v>1287</v>
      </c>
      <c r="BO206" s="112" t="s">
        <v>1287</v>
      </c>
      <c r="BP206" s="112" t="s">
        <v>1287</v>
      </c>
      <c r="BQ206" s="112" t="s">
        <v>1287</v>
      </c>
      <c r="BR206" s="112" t="s">
        <v>1287</v>
      </c>
      <c r="BS206" s="112" t="s">
        <v>1287</v>
      </c>
      <c r="BT206" s="112" t="s">
        <v>1287</v>
      </c>
      <c r="BU206" s="112" t="s">
        <v>1287</v>
      </c>
      <c r="BV206" s="111">
        <f t="shared" si="1177"/>
        <v>38</v>
      </c>
      <c r="BW206" s="113">
        <f t="shared" si="1178"/>
        <v>69</v>
      </c>
      <c r="BX206" s="114">
        <f t="shared" si="1179"/>
        <v>73</v>
      </c>
      <c r="BY206" s="113">
        <f t="shared" si="1180"/>
        <v>105</v>
      </c>
      <c r="BZ206" s="114">
        <f t="shared" si="1181"/>
        <v>110</v>
      </c>
      <c r="CA206" s="113">
        <f t="shared" si="1182"/>
        <v>145</v>
      </c>
      <c r="CB206" s="114">
        <f t="shared" si="1183"/>
        <v>153</v>
      </c>
      <c r="CC206" s="113">
        <f t="shared" si="1184"/>
        <v>190</v>
      </c>
      <c r="CD206" s="114">
        <f t="shared" si="1185"/>
        <v>197</v>
      </c>
      <c r="CE206" s="113">
        <f t="shared" si="1186"/>
        <v>250</v>
      </c>
      <c r="CF206" s="114">
        <f t="shared" si="1187"/>
        <v>286</v>
      </c>
      <c r="CG206" s="113">
        <f t="shared" si="1188"/>
        <v>312</v>
      </c>
      <c r="CH206" s="111">
        <f t="shared" si="1189"/>
        <v>67</v>
      </c>
      <c r="CI206" s="113">
        <f t="shared" si="1190"/>
        <v>72</v>
      </c>
      <c r="CJ206" s="114">
        <f t="shared" si="1191"/>
        <v>104</v>
      </c>
      <c r="CK206" s="114">
        <f t="shared" si="1192"/>
        <v>108</v>
      </c>
      <c r="CL206" s="114">
        <f t="shared" si="1193"/>
        <v>144</v>
      </c>
      <c r="CM206" s="114">
        <f t="shared" si="1194"/>
        <v>152</v>
      </c>
      <c r="CN206" s="114">
        <f t="shared" si="1195"/>
        <v>178</v>
      </c>
      <c r="CO206" s="114">
        <f t="shared" si="1196"/>
        <v>192</v>
      </c>
      <c r="CP206" s="114">
        <f t="shared" si="1197"/>
        <v>231</v>
      </c>
      <c r="CQ206" s="114">
        <f t="shared" si="1198"/>
        <v>277</v>
      </c>
      <c r="CR206" s="114">
        <f t="shared" si="1199"/>
        <v>311</v>
      </c>
      <c r="CS206" s="114">
        <f t="shared" si="1200"/>
        <v>328</v>
      </c>
      <c r="CT206" s="109">
        <f t="shared" si="1201"/>
        <v>1</v>
      </c>
    </row>
    <row r="207" spans="1:1029" s="12" customFormat="1" x14ac:dyDescent="0.2">
      <c r="A207" s="9" t="str">
        <f t="shared" ref="A207" si="1202">CONCATENATE(B207,"_",C207)</f>
        <v>mtr1b_human_6ME7</v>
      </c>
      <c r="B207" s="9" t="s">
        <v>312</v>
      </c>
      <c r="C207" s="9" t="s">
        <v>1569</v>
      </c>
      <c r="D207" s="9" t="str">
        <f>IFERROR(MID(VLOOKUP($B207,Seqs!$A:$B,2,0),E207,1),"")</f>
        <v>W</v>
      </c>
      <c r="E207" s="9">
        <v>38</v>
      </c>
      <c r="F207" s="9" t="str">
        <f>IFERROR(MID(VLOOKUP($B207,Seqs!$A:$B,2,0),G207,1),"")</f>
        <v>N</v>
      </c>
      <c r="G207" s="9">
        <v>68</v>
      </c>
      <c r="H207" s="9" t="str">
        <f>IFERROR(MID(VLOOKUP($B207,Seqs!$A:$B,2,0),I207,1),"")</f>
        <v>R</v>
      </c>
      <c r="I207" s="109">
        <v>69</v>
      </c>
      <c r="J207" s="9" t="str">
        <f>IFERROR(MID(VLOOKUP($B207,Seqs!$A:$B,2,0),K207,1),"")</f>
        <v>R</v>
      </c>
      <c r="K207" s="109">
        <v>72</v>
      </c>
      <c r="L207" s="9" t="str">
        <f>IFERROR(MID(VLOOKUP($B207,Seqs!$A:$B,2,0),M207,1),"")</f>
        <v>G</v>
      </c>
      <c r="M207" s="9">
        <v>75</v>
      </c>
      <c r="N207" s="9" t="str">
        <f>IFERROR(MID(VLOOKUP($B207,Seqs!$A:$B,2,0),O207,1),"")</f>
        <v>D</v>
      </c>
      <c r="O207" s="9">
        <v>104</v>
      </c>
      <c r="P207" s="9" t="str">
        <f>IFERROR(MID(VLOOKUP($B207,Seqs!$A:$B,2,0),Q207,1),"")</f>
        <v>G</v>
      </c>
      <c r="Q207" s="9">
        <v>105</v>
      </c>
      <c r="R207" s="9" t="str">
        <f>IFERROR(MID(VLOOKUP($B207,Seqs!$A:$B,2,0),S207,1),"")</f>
        <v>L</v>
      </c>
      <c r="S207" s="9">
        <v>108</v>
      </c>
      <c r="T207" s="9" t="str">
        <f>IFERROR(MID(VLOOKUP($B207,Seqs!$A:$B,2,0),U207,1),"")</f>
        <v>G</v>
      </c>
      <c r="U207" s="9">
        <v>109</v>
      </c>
      <c r="V207" s="9" t="str">
        <f>IFERROR(MID(VLOOKUP($B207,Seqs!$A:$B,2,0),W207,1),"")</f>
        <v>H</v>
      </c>
      <c r="W207" s="9">
        <v>144</v>
      </c>
      <c r="X207" s="9" t="str">
        <f>IFERROR(MID(VLOOKUP($B207,Seqs!$A:$B,2,0),Y207,1),"")</f>
        <v>S</v>
      </c>
      <c r="Y207" s="9">
        <v>145</v>
      </c>
      <c r="Z207" s="9" t="str">
        <f>IFERROR(MID(VLOOKUP($B207,Seqs!$A:$B,2,0),AA207,1),"")</f>
        <v>Y</v>
      </c>
      <c r="AA207" s="9">
        <v>152</v>
      </c>
      <c r="AB207" s="9" t="str">
        <f>IFERROR(MID(VLOOKUP($B207,Seqs!$A:$B,2,0),AC207,1),"")</f>
        <v>R</v>
      </c>
      <c r="AC207" s="9">
        <v>153</v>
      </c>
      <c r="AD207" s="9" t="str">
        <f>IFERROR(MID(VLOOKUP($B207,Seqs!$A:$B,2,0),AE207,1),"")</f>
        <v>G</v>
      </c>
      <c r="AE207" s="9">
        <v>179</v>
      </c>
      <c r="AF207" s="9" t="str">
        <f>IFERROR(MID(VLOOKUP($B207,Seqs!$A:$B,2,0),AG207,1),"")</f>
        <v>C</v>
      </c>
      <c r="AG207" s="9">
        <v>190</v>
      </c>
      <c r="AH207" s="9" t="str">
        <f>IFERROR(MID(VLOOKUP($B207,Seqs!$A:$B,2,0),AI207,1),"")</f>
        <v>F</v>
      </c>
      <c r="AI207" s="9">
        <v>192</v>
      </c>
      <c r="AJ207" s="9" t="str">
        <f>IFERROR(MID(VLOOKUP($B207,Seqs!$A:$B,2,0),AK207,1),"")</f>
        <v>S</v>
      </c>
      <c r="AK207" s="9">
        <v>197</v>
      </c>
      <c r="AL207" s="9" t="str">
        <f>IFERROR(MID(VLOOKUP($B207,Seqs!$A:$B,2,0),AM207,1),"")</f>
        <v>A</v>
      </c>
      <c r="AM207" s="9">
        <v>230</v>
      </c>
      <c r="AN207" s="9" t="str">
        <f>IFERROR(MID(VLOOKUP($B207,Seqs!$A:$B,2,0),AO207,1),"")</f>
        <v>S</v>
      </c>
      <c r="AO207" s="9">
        <v>249</v>
      </c>
      <c r="AP207" s="9" t="str">
        <f>IFERROR(MID(VLOOKUP($B207,Seqs!$A:$B,2,0),AQ207,1),"")</f>
        <v>N</v>
      </c>
      <c r="AQ207" s="9">
        <v>277</v>
      </c>
      <c r="AR207" s="9" t="str">
        <f>IFERROR(MID(VLOOKUP($B207,Seqs!$A:$B,2,0),AS207,1),"")</f>
        <v>P</v>
      </c>
      <c r="AS207" s="9">
        <v>286</v>
      </c>
      <c r="AT207" s="9" t="str">
        <f>IFERROR(MID(VLOOKUP($B207,Seqs!$A:$B,2,0),AU207,1),"")</f>
        <v>L</v>
      </c>
      <c r="AU207" s="9">
        <v>311</v>
      </c>
      <c r="AV207" s="9" t="str">
        <f>IFERROR(MID(VLOOKUP($B207,Seqs!$A:$B,2,0),AW207,1),"")</f>
        <v>N</v>
      </c>
      <c r="AW207" s="9">
        <v>312</v>
      </c>
      <c r="AX207" s="9" t="str">
        <f>IFERROR(MID(VLOOKUP($B207,Seqs!$A:$B,2,0),AY207,1),"")</f>
        <v>N</v>
      </c>
      <c r="AY207" s="9">
        <v>328</v>
      </c>
      <c r="AZ207" s="110" t="str">
        <f>VLOOKUP(B207,Classification!A:D,2,0)</f>
        <v>A</v>
      </c>
      <c r="BA207" s="98" t="str">
        <f>VLOOKUP(B207,Classification!A:D,4,0)</f>
        <v>Melatonin</v>
      </c>
      <c r="BB207" s="36" t="b">
        <f t="shared" ref="BB207" si="1203"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109">
        <f t="shared" ref="BC207" si="1204">_xlfn.AGGREGATE(9,6,CH207:CS207)-_xlfn.AGGREGATE(9,6,BV207:CG207)+12</f>
        <v>249</v>
      </c>
      <c r="BD207" s="13" t="s">
        <v>1376</v>
      </c>
      <c r="BE207" s="9" t="s">
        <v>1374</v>
      </c>
      <c r="BF207" s="120">
        <v>3.2</v>
      </c>
      <c r="BG207" s="51" t="s">
        <v>1</v>
      </c>
      <c r="BH207" s="51" t="s">
        <v>1</v>
      </c>
      <c r="BJ207" s="111" t="s">
        <v>1287</v>
      </c>
      <c r="BK207" s="112" t="s">
        <v>1287</v>
      </c>
      <c r="BL207" s="112" t="s">
        <v>1287</v>
      </c>
      <c r="BM207" s="112" t="s">
        <v>1287</v>
      </c>
      <c r="BN207" s="112" t="s">
        <v>1287</v>
      </c>
      <c r="BO207" s="112" t="s">
        <v>1287</v>
      </c>
      <c r="BP207" s="112" t="s">
        <v>1287</v>
      </c>
      <c r="BQ207" s="112" t="s">
        <v>1287</v>
      </c>
      <c r="BR207" s="112" t="s">
        <v>1287</v>
      </c>
      <c r="BS207" s="112" t="s">
        <v>1287</v>
      </c>
      <c r="BT207" s="112" t="s">
        <v>1287</v>
      </c>
      <c r="BU207" s="112" t="s">
        <v>1287</v>
      </c>
      <c r="BV207" s="111">
        <f t="shared" ref="BV207" si="1205">E207</f>
        <v>38</v>
      </c>
      <c r="BW207" s="113">
        <f t="shared" ref="BW207" si="1206">I207</f>
        <v>69</v>
      </c>
      <c r="BX207" s="114">
        <f t="shared" ref="BX207" si="1207">M207</f>
        <v>75</v>
      </c>
      <c r="BY207" s="113">
        <f t="shared" ref="BY207" si="1208">Q207</f>
        <v>105</v>
      </c>
      <c r="BZ207" s="114">
        <f t="shared" ref="BZ207" si="1209">U207</f>
        <v>109</v>
      </c>
      <c r="CA207" s="113">
        <f t="shared" ref="CA207" si="1210">Y207</f>
        <v>145</v>
      </c>
      <c r="CB207" s="114">
        <f t="shared" ref="CB207" si="1211">AC207</f>
        <v>153</v>
      </c>
      <c r="CC207" s="113">
        <f t="shared" ref="CC207" si="1212">AG207</f>
        <v>190</v>
      </c>
      <c r="CD207" s="114">
        <f t="shared" ref="CD207" si="1213">AK207</f>
        <v>197</v>
      </c>
      <c r="CE207" s="113">
        <f t="shared" ref="CE207" si="1214">AO207</f>
        <v>249</v>
      </c>
      <c r="CF207" s="114">
        <f t="shared" ref="CF207" si="1215">AS207</f>
        <v>286</v>
      </c>
      <c r="CG207" s="113">
        <f t="shared" ref="CG207" si="1216">AW207</f>
        <v>312</v>
      </c>
      <c r="CH207" s="111">
        <f t="shared" ref="CH207" si="1217">G207</f>
        <v>68</v>
      </c>
      <c r="CI207" s="113">
        <f t="shared" ref="CI207" si="1218">K207</f>
        <v>72</v>
      </c>
      <c r="CJ207" s="114">
        <f t="shared" ref="CJ207" si="1219">O207</f>
        <v>104</v>
      </c>
      <c r="CK207" s="114">
        <f t="shared" ref="CK207" si="1220">S207</f>
        <v>108</v>
      </c>
      <c r="CL207" s="114">
        <f t="shared" ref="CL207" si="1221">W207</f>
        <v>144</v>
      </c>
      <c r="CM207" s="114">
        <f t="shared" ref="CM207" si="1222">AA207</f>
        <v>152</v>
      </c>
      <c r="CN207" s="114">
        <f t="shared" ref="CN207" si="1223">AE207</f>
        <v>179</v>
      </c>
      <c r="CO207" s="114">
        <f t="shared" ref="CO207" si="1224">AI207</f>
        <v>192</v>
      </c>
      <c r="CP207" s="114">
        <f t="shared" ref="CP207" si="1225">AM207</f>
        <v>230</v>
      </c>
      <c r="CQ207" s="114">
        <f t="shared" ref="CQ207" si="1226">AQ207</f>
        <v>277</v>
      </c>
      <c r="CR207" s="114">
        <f t="shared" ref="CR207" si="1227">AU207</f>
        <v>311</v>
      </c>
      <c r="CS207" s="114">
        <f t="shared" ref="CS207" si="1228">AY207</f>
        <v>328</v>
      </c>
      <c r="CT207" s="109">
        <f t="shared" ref="CT207" si="1229">M207-K207</f>
        <v>3</v>
      </c>
    </row>
    <row r="208" spans="1:1029" s="12" customFormat="1" x14ac:dyDescent="0.2">
      <c r="A208" s="9" t="str">
        <f t="shared" ref="A208" si="1230">CONCATENATE(B208,"_",C208)</f>
        <v>mtr1b_human_6ME8</v>
      </c>
      <c r="B208" s="9" t="s">
        <v>312</v>
      </c>
      <c r="C208" s="9" t="s">
        <v>1570</v>
      </c>
      <c r="D208" s="9" t="str">
        <f>IFERROR(MID(VLOOKUP($B208,Seqs!$A:$B,2,0),E208,1),"")</f>
        <v>W</v>
      </c>
      <c r="E208" s="9">
        <v>38</v>
      </c>
      <c r="F208" s="9" t="str">
        <f>IFERROR(MID(VLOOKUP($B208,Seqs!$A:$B,2,0),G208,1),"")</f>
        <v>R</v>
      </c>
      <c r="G208" s="9">
        <v>67</v>
      </c>
      <c r="H208" s="9" t="str">
        <f>IFERROR(MID(VLOOKUP($B208,Seqs!$A:$B,2,0),I208,1),"")</f>
        <v>R</v>
      </c>
      <c r="I208" s="109">
        <v>69</v>
      </c>
      <c r="J208" s="9" t="str">
        <f>IFERROR(MID(VLOOKUP($B208,Seqs!$A:$B,2,0),K208,1),"")</f>
        <v>R</v>
      </c>
      <c r="K208" s="109">
        <v>72</v>
      </c>
      <c r="L208" s="9" t="str">
        <f>IFERROR(MID(VLOOKUP($B208,Seqs!$A:$B,2,0),M208,1),"")</f>
        <v>N</v>
      </c>
      <c r="M208" s="9">
        <v>73</v>
      </c>
      <c r="N208" s="9" t="str">
        <f>IFERROR(MID(VLOOKUP($B208,Seqs!$A:$B,2,0),O208,1),"")</f>
        <v>D</v>
      </c>
      <c r="O208" s="9">
        <v>104</v>
      </c>
      <c r="P208" s="9" t="str">
        <f>IFERROR(MID(VLOOKUP($B208,Seqs!$A:$B,2,0),Q208,1),"")</f>
        <v>G</v>
      </c>
      <c r="Q208" s="9">
        <v>105</v>
      </c>
      <c r="R208" s="9" t="str">
        <f>IFERROR(MID(VLOOKUP($B208,Seqs!$A:$B,2,0),S208,1),"")</f>
        <v>L</v>
      </c>
      <c r="S208" s="9">
        <v>108</v>
      </c>
      <c r="T208" s="9" t="str">
        <f>IFERROR(MID(VLOOKUP($B208,Seqs!$A:$B,2,0),U208,1),"")</f>
        <v>G</v>
      </c>
      <c r="U208" s="9">
        <v>109</v>
      </c>
      <c r="V208" s="9" t="str">
        <f>IFERROR(MID(VLOOKUP($B208,Seqs!$A:$B,2,0),W208,1),"")</f>
        <v>C</v>
      </c>
      <c r="W208" s="9">
        <v>143</v>
      </c>
      <c r="X208" s="9" t="str">
        <f>IFERROR(MID(VLOOKUP($B208,Seqs!$A:$B,2,0),Y208,1),"")</f>
        <v>S</v>
      </c>
      <c r="Y208" s="9">
        <v>145</v>
      </c>
      <c r="Z208" s="9" t="str">
        <f>IFERROR(MID(VLOOKUP($B208,Seqs!$A:$B,2,0),AA208,1),"")</f>
        <v>Y</v>
      </c>
      <c r="AA208" s="9">
        <v>152</v>
      </c>
      <c r="AB208" s="9" t="str">
        <f>IFERROR(MID(VLOOKUP($B208,Seqs!$A:$B,2,0),AC208,1),"")</f>
        <v>H</v>
      </c>
      <c r="AC208" s="9">
        <v>156</v>
      </c>
      <c r="AD208" s="9" t="str">
        <f>IFERROR(MID(VLOOKUP($B208,Seqs!$A:$B,2,0),AE208,1),"")</f>
        <v>G</v>
      </c>
      <c r="AE208" s="9">
        <v>179</v>
      </c>
      <c r="AF208" s="9" t="str">
        <f>IFERROR(MID(VLOOKUP($B208,Seqs!$A:$B,2,0),AG208,1),"")</f>
        <v>C</v>
      </c>
      <c r="AG208" s="9">
        <v>190</v>
      </c>
      <c r="AH208" s="9" t="str">
        <f>IFERROR(MID(VLOOKUP($B208,Seqs!$A:$B,2,0),AI208,1),"")</f>
        <v>F</v>
      </c>
      <c r="AI208" s="9">
        <v>192</v>
      </c>
      <c r="AJ208" s="9" t="str">
        <f>IFERROR(MID(VLOOKUP($B208,Seqs!$A:$B,2,0),AK208,1),"")</f>
        <v>S</v>
      </c>
      <c r="AK208" s="9">
        <v>197</v>
      </c>
      <c r="AL208" s="9" t="str">
        <f>IFERROR(MID(VLOOKUP($B208,Seqs!$A:$B,2,0),AM208,1),"")</f>
        <v>A</v>
      </c>
      <c r="AM208" s="9">
        <v>230</v>
      </c>
      <c r="AN208" s="9" t="str">
        <f>IFERROR(MID(VLOOKUP($B208,Seqs!$A:$B,2,0),AO208,1),"")</f>
        <v>F</v>
      </c>
      <c r="AO208" s="9">
        <v>250</v>
      </c>
      <c r="AP208" s="9" t="str">
        <f>IFERROR(MID(VLOOKUP($B208,Seqs!$A:$B,2,0),AQ208,1),"")</f>
        <v>N</v>
      </c>
      <c r="AQ208" s="9">
        <v>277</v>
      </c>
      <c r="AR208" s="9" t="str">
        <f>IFERROR(MID(VLOOKUP($B208,Seqs!$A:$B,2,0),AS208,1),"")</f>
        <v>P</v>
      </c>
      <c r="AS208" s="9">
        <v>286</v>
      </c>
      <c r="AT208" s="9" t="str">
        <f>IFERROR(MID(VLOOKUP($B208,Seqs!$A:$B,2,0),AU208,1),"")</f>
        <v>L</v>
      </c>
      <c r="AU208" s="9">
        <v>311</v>
      </c>
      <c r="AV208" s="9" t="str">
        <f>IFERROR(MID(VLOOKUP($B208,Seqs!$A:$B,2,0),AW208,1),"")</f>
        <v>N</v>
      </c>
      <c r="AW208" s="9">
        <v>312</v>
      </c>
      <c r="AX208" s="9" t="str">
        <f>IFERROR(MID(VLOOKUP($B208,Seqs!$A:$B,2,0),AY208,1),"")</f>
        <v>N</v>
      </c>
      <c r="AY208" s="9">
        <v>328</v>
      </c>
      <c r="AZ208" s="110" t="str">
        <f>VLOOKUP(B208,Classification!A:D,2,0)</f>
        <v>A</v>
      </c>
      <c r="BA208" s="98" t="str">
        <f>VLOOKUP(B208,Classification!A:D,4,0)</f>
        <v>Melatonin</v>
      </c>
      <c r="BB208" s="36" t="b">
        <f t="shared" ref="BB208" si="1231"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109">
        <f t="shared" ref="BC208" si="1232">_xlfn.AGGREGATE(9,6,CH208:CS208)-_xlfn.AGGREGATE(9,6,BV208:CG208)+12</f>
        <v>245</v>
      </c>
      <c r="BD208" s="13" t="s">
        <v>23</v>
      </c>
      <c r="BE208" s="9" t="s">
        <v>1374</v>
      </c>
      <c r="BF208" s="120">
        <v>3.1</v>
      </c>
      <c r="BG208" s="51" t="s">
        <v>1281</v>
      </c>
      <c r="BH208" s="51" t="s">
        <v>1281</v>
      </c>
      <c r="BJ208" s="111" t="s">
        <v>1287</v>
      </c>
      <c r="BK208" s="112" t="s">
        <v>1287</v>
      </c>
      <c r="BL208" s="112" t="s">
        <v>1287</v>
      </c>
      <c r="BM208" s="112" t="s">
        <v>1287</v>
      </c>
      <c r="BN208" s="112" t="s">
        <v>1287</v>
      </c>
      <c r="BO208" s="112" t="s">
        <v>1287</v>
      </c>
      <c r="BP208" s="112" t="s">
        <v>1287</v>
      </c>
      <c r="BQ208" s="112" t="s">
        <v>1287</v>
      </c>
      <c r="BR208" s="112" t="s">
        <v>1287</v>
      </c>
      <c r="BS208" s="112" t="s">
        <v>1287</v>
      </c>
      <c r="BT208" s="112" t="s">
        <v>1287</v>
      </c>
      <c r="BU208" s="112" t="s">
        <v>1287</v>
      </c>
      <c r="BV208" s="111">
        <f t="shared" ref="BV208" si="1233">E208</f>
        <v>38</v>
      </c>
      <c r="BW208" s="113">
        <f t="shared" ref="BW208" si="1234">I208</f>
        <v>69</v>
      </c>
      <c r="BX208" s="114">
        <f t="shared" ref="BX208" si="1235">M208</f>
        <v>73</v>
      </c>
      <c r="BY208" s="113">
        <f t="shared" ref="BY208" si="1236">Q208</f>
        <v>105</v>
      </c>
      <c r="BZ208" s="114">
        <f t="shared" ref="BZ208" si="1237">U208</f>
        <v>109</v>
      </c>
      <c r="CA208" s="113">
        <f t="shared" ref="CA208" si="1238">Y208</f>
        <v>145</v>
      </c>
      <c r="CB208" s="114">
        <f t="shared" ref="CB208" si="1239">AC208</f>
        <v>156</v>
      </c>
      <c r="CC208" s="113">
        <f t="shared" ref="CC208" si="1240">AG208</f>
        <v>190</v>
      </c>
      <c r="CD208" s="114">
        <f t="shared" ref="CD208" si="1241">AK208</f>
        <v>197</v>
      </c>
      <c r="CE208" s="113">
        <f t="shared" ref="CE208" si="1242">AO208</f>
        <v>250</v>
      </c>
      <c r="CF208" s="114">
        <f t="shared" ref="CF208" si="1243">AS208</f>
        <v>286</v>
      </c>
      <c r="CG208" s="113">
        <f t="shared" ref="CG208" si="1244">AW208</f>
        <v>312</v>
      </c>
      <c r="CH208" s="111">
        <f t="shared" ref="CH208" si="1245">G208</f>
        <v>67</v>
      </c>
      <c r="CI208" s="113">
        <f t="shared" ref="CI208" si="1246">K208</f>
        <v>72</v>
      </c>
      <c r="CJ208" s="114">
        <f t="shared" ref="CJ208" si="1247">O208</f>
        <v>104</v>
      </c>
      <c r="CK208" s="114">
        <f t="shared" ref="CK208" si="1248">S208</f>
        <v>108</v>
      </c>
      <c r="CL208" s="114">
        <f t="shared" ref="CL208" si="1249">W208</f>
        <v>143</v>
      </c>
      <c r="CM208" s="114">
        <f t="shared" ref="CM208" si="1250">AA208</f>
        <v>152</v>
      </c>
      <c r="CN208" s="114">
        <f t="shared" ref="CN208" si="1251">AE208</f>
        <v>179</v>
      </c>
      <c r="CO208" s="114">
        <f t="shared" ref="CO208" si="1252">AI208</f>
        <v>192</v>
      </c>
      <c r="CP208" s="114">
        <f t="shared" ref="CP208" si="1253">AM208</f>
        <v>230</v>
      </c>
      <c r="CQ208" s="114">
        <f t="shared" ref="CQ208" si="1254">AQ208</f>
        <v>277</v>
      </c>
      <c r="CR208" s="114">
        <f t="shared" ref="CR208" si="1255">AU208</f>
        <v>311</v>
      </c>
      <c r="CS208" s="114">
        <f t="shared" ref="CS208" si="1256">AY208</f>
        <v>328</v>
      </c>
      <c r="CT208" s="109">
        <f t="shared" ref="CT208" si="1257">M208-K208</f>
        <v>1</v>
      </c>
    </row>
    <row r="209" spans="1:1029" s="12" customFormat="1" x14ac:dyDescent="0.2">
      <c r="A209" s="9" t="str">
        <f t="shared" ref="A209" si="1258">CONCATENATE(B209,"_",C209)</f>
        <v>mtr1b_human_6ME9</v>
      </c>
      <c r="B209" s="9" t="s">
        <v>312</v>
      </c>
      <c r="C209" s="9" t="s">
        <v>1571</v>
      </c>
      <c r="D209" s="9" t="str">
        <f>IFERROR(MID(VLOOKUP($B209,Seqs!$A:$B,2,0),E209,1),"")</f>
        <v>W</v>
      </c>
      <c r="E209" s="9">
        <v>38</v>
      </c>
      <c r="F209" s="9" t="str">
        <f>IFERROR(MID(VLOOKUP($B209,Seqs!$A:$B,2,0),G209,1),"")</f>
        <v>R</v>
      </c>
      <c r="G209" s="9">
        <v>67</v>
      </c>
      <c r="H209" s="9" t="str">
        <f>IFERROR(MID(VLOOKUP($B209,Seqs!$A:$B,2,0),I209,1),"")</f>
        <v>R</v>
      </c>
      <c r="I209" s="109">
        <v>69</v>
      </c>
      <c r="J209" s="9" t="str">
        <f>IFERROR(MID(VLOOKUP($B209,Seqs!$A:$B,2,0),K209,1),"")</f>
        <v>R</v>
      </c>
      <c r="K209" s="109">
        <v>72</v>
      </c>
      <c r="L209" s="9" t="str">
        <f>IFERROR(MID(VLOOKUP($B209,Seqs!$A:$B,2,0),M209,1),"")</f>
        <v>N</v>
      </c>
      <c r="M209" s="9">
        <v>73</v>
      </c>
      <c r="N209" s="9" t="str">
        <f>IFERROR(MID(VLOOKUP($B209,Seqs!$A:$B,2,0),O209,1),"")</f>
        <v>D</v>
      </c>
      <c r="O209" s="9">
        <v>104</v>
      </c>
      <c r="P209" s="9" t="str">
        <f>IFERROR(MID(VLOOKUP($B209,Seqs!$A:$B,2,0),Q209,1),"")</f>
        <v>G</v>
      </c>
      <c r="Q209" s="9">
        <v>105</v>
      </c>
      <c r="R209" s="9" t="str">
        <f>IFERROR(MID(VLOOKUP($B209,Seqs!$A:$B,2,0),S209,1),"")</f>
        <v>L</v>
      </c>
      <c r="S209" s="9">
        <v>108</v>
      </c>
      <c r="T209" s="9" t="str">
        <f>IFERROR(MID(VLOOKUP($B209,Seqs!$A:$B,2,0),U209,1),"")</f>
        <v>G</v>
      </c>
      <c r="U209" s="9">
        <v>109</v>
      </c>
      <c r="V209" s="9" t="str">
        <f>IFERROR(MID(VLOOKUP($B209,Seqs!$A:$B,2,0),W209,1),"")</f>
        <v>C</v>
      </c>
      <c r="W209" s="9">
        <v>143</v>
      </c>
      <c r="X209" s="9" t="str">
        <f>IFERROR(MID(VLOOKUP($B209,Seqs!$A:$B,2,0),Y209,1),"")</f>
        <v>S</v>
      </c>
      <c r="Y209" s="9">
        <v>145</v>
      </c>
      <c r="Z209" s="9" t="str">
        <f>IFERROR(MID(VLOOKUP($B209,Seqs!$A:$B,2,0),AA209,1),"")</f>
        <v>Y</v>
      </c>
      <c r="AA209" s="9">
        <v>152</v>
      </c>
      <c r="AB209" s="9" t="str">
        <f>IFERROR(MID(VLOOKUP($B209,Seqs!$A:$B,2,0),AC209,1),"")</f>
        <v>H</v>
      </c>
      <c r="AC209" s="9">
        <v>156</v>
      </c>
      <c r="AD209" s="9" t="str">
        <f>IFERROR(MID(VLOOKUP($B209,Seqs!$A:$B,2,0),AE209,1),"")</f>
        <v>G</v>
      </c>
      <c r="AE209" s="9">
        <v>179</v>
      </c>
      <c r="AF209" s="9" t="str">
        <f>IFERROR(MID(VLOOKUP($B209,Seqs!$A:$B,2,0),AG209,1),"")</f>
        <v>C</v>
      </c>
      <c r="AG209" s="9">
        <v>190</v>
      </c>
      <c r="AH209" s="9" t="str">
        <f>IFERROR(MID(VLOOKUP($B209,Seqs!$A:$B,2,0),AI209,1),"")</f>
        <v>F</v>
      </c>
      <c r="AI209" s="9">
        <v>192</v>
      </c>
      <c r="AJ209" s="9" t="str">
        <f>IFERROR(MID(VLOOKUP($B209,Seqs!$A:$B,2,0),AK209,1),"")</f>
        <v>S</v>
      </c>
      <c r="AK209" s="9">
        <v>197</v>
      </c>
      <c r="AL209" s="9" t="str">
        <f>IFERROR(MID(VLOOKUP($B209,Seqs!$A:$B,2,0),AM209,1),"")</f>
        <v>A</v>
      </c>
      <c r="AM209" s="9">
        <v>230</v>
      </c>
      <c r="AN209" s="9" t="str">
        <f>IFERROR(MID(VLOOKUP($B209,Seqs!$A:$B,2,0),AO209,1),"")</f>
        <v>F</v>
      </c>
      <c r="AO209" s="9">
        <v>250</v>
      </c>
      <c r="AP209" s="9" t="str">
        <f>IFERROR(MID(VLOOKUP($B209,Seqs!$A:$B,2,0),AQ209,1),"")</f>
        <v>N</v>
      </c>
      <c r="AQ209" s="9">
        <v>277</v>
      </c>
      <c r="AR209" s="9" t="str">
        <f>IFERROR(MID(VLOOKUP($B209,Seqs!$A:$B,2,0),AS209,1),"")</f>
        <v>P</v>
      </c>
      <c r="AS209" s="9">
        <v>286</v>
      </c>
      <c r="AT209" s="9" t="str">
        <f>IFERROR(MID(VLOOKUP($B209,Seqs!$A:$B,2,0),AU209,1),"")</f>
        <v>L</v>
      </c>
      <c r="AU209" s="9">
        <v>311</v>
      </c>
      <c r="AV209" s="9" t="str">
        <f>IFERROR(MID(VLOOKUP($B209,Seqs!$A:$B,2,0),AW209,1),"")</f>
        <v>N</v>
      </c>
      <c r="AW209" s="9">
        <v>312</v>
      </c>
      <c r="AX209" s="9" t="str">
        <f>IFERROR(MID(VLOOKUP($B209,Seqs!$A:$B,2,0),AY209,1),"")</f>
        <v>N</v>
      </c>
      <c r="AY209" s="9">
        <v>328</v>
      </c>
      <c r="AZ209" s="110" t="str">
        <f>VLOOKUP(B209,Classification!A:D,2,0)</f>
        <v>A</v>
      </c>
      <c r="BA209" s="98" t="str">
        <f>VLOOKUP(B209,Classification!A:D,4,0)</f>
        <v>Melatonin</v>
      </c>
      <c r="BB209" s="36" t="b">
        <f t="shared" ref="BB209" si="1259"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109">
        <f t="shared" ref="BC209" si="1260">_xlfn.AGGREGATE(9,6,CH209:CS209)-_xlfn.AGGREGATE(9,6,BV209:CG209)+12</f>
        <v>245</v>
      </c>
      <c r="BD209" s="13" t="s">
        <v>23</v>
      </c>
      <c r="BE209" s="9" t="s">
        <v>1374</v>
      </c>
      <c r="BF209" s="120">
        <v>3.3</v>
      </c>
      <c r="BG209" s="51" t="s">
        <v>1281</v>
      </c>
      <c r="BH209" s="51" t="s">
        <v>1281</v>
      </c>
      <c r="BJ209" s="111" t="s">
        <v>1287</v>
      </c>
      <c r="BK209" s="112" t="s">
        <v>1287</v>
      </c>
      <c r="BL209" s="112" t="s">
        <v>1287</v>
      </c>
      <c r="BM209" s="112" t="s">
        <v>1287</v>
      </c>
      <c r="BN209" s="112" t="s">
        <v>1287</v>
      </c>
      <c r="BO209" s="112" t="s">
        <v>1287</v>
      </c>
      <c r="BP209" s="112" t="s">
        <v>1287</v>
      </c>
      <c r="BQ209" s="112" t="s">
        <v>1287</v>
      </c>
      <c r="BR209" s="112" t="s">
        <v>1287</v>
      </c>
      <c r="BS209" s="112" t="s">
        <v>1287</v>
      </c>
      <c r="BT209" s="112" t="s">
        <v>1287</v>
      </c>
      <c r="BU209" s="112" t="s">
        <v>1287</v>
      </c>
      <c r="BV209" s="111">
        <f t="shared" ref="BV209" si="1261">E209</f>
        <v>38</v>
      </c>
      <c r="BW209" s="113">
        <f t="shared" ref="BW209" si="1262">I209</f>
        <v>69</v>
      </c>
      <c r="BX209" s="114">
        <f t="shared" ref="BX209" si="1263">M209</f>
        <v>73</v>
      </c>
      <c r="BY209" s="113">
        <f t="shared" ref="BY209" si="1264">Q209</f>
        <v>105</v>
      </c>
      <c r="BZ209" s="114">
        <f t="shared" ref="BZ209" si="1265">U209</f>
        <v>109</v>
      </c>
      <c r="CA209" s="113">
        <f t="shared" ref="CA209" si="1266">Y209</f>
        <v>145</v>
      </c>
      <c r="CB209" s="114">
        <f t="shared" ref="CB209" si="1267">AC209</f>
        <v>156</v>
      </c>
      <c r="CC209" s="113">
        <f t="shared" ref="CC209" si="1268">AG209</f>
        <v>190</v>
      </c>
      <c r="CD209" s="114">
        <f t="shared" ref="CD209" si="1269">AK209</f>
        <v>197</v>
      </c>
      <c r="CE209" s="113">
        <f t="shared" ref="CE209" si="1270">AO209</f>
        <v>250</v>
      </c>
      <c r="CF209" s="114">
        <f t="shared" ref="CF209" si="1271">AS209</f>
        <v>286</v>
      </c>
      <c r="CG209" s="113">
        <f t="shared" ref="CG209" si="1272">AW209</f>
        <v>312</v>
      </c>
      <c r="CH209" s="111">
        <f t="shared" ref="CH209" si="1273">G209</f>
        <v>67</v>
      </c>
      <c r="CI209" s="113">
        <f t="shared" ref="CI209" si="1274">K209</f>
        <v>72</v>
      </c>
      <c r="CJ209" s="114">
        <f t="shared" ref="CJ209" si="1275">O209</f>
        <v>104</v>
      </c>
      <c r="CK209" s="114">
        <f t="shared" ref="CK209" si="1276">S209</f>
        <v>108</v>
      </c>
      <c r="CL209" s="114">
        <f t="shared" ref="CL209" si="1277">W209</f>
        <v>143</v>
      </c>
      <c r="CM209" s="114">
        <f t="shared" ref="CM209" si="1278">AA209</f>
        <v>152</v>
      </c>
      <c r="CN209" s="114">
        <f t="shared" ref="CN209" si="1279">AE209</f>
        <v>179</v>
      </c>
      <c r="CO209" s="114">
        <f t="shared" ref="CO209" si="1280">AI209</f>
        <v>192</v>
      </c>
      <c r="CP209" s="114">
        <f t="shared" ref="CP209" si="1281">AM209</f>
        <v>230</v>
      </c>
      <c r="CQ209" s="114">
        <f t="shared" ref="CQ209" si="1282">AQ209</f>
        <v>277</v>
      </c>
      <c r="CR209" s="114">
        <f t="shared" ref="CR209" si="1283">AU209</f>
        <v>311</v>
      </c>
      <c r="CS209" s="114">
        <f t="shared" ref="CS209" si="1284">AY209</f>
        <v>328</v>
      </c>
      <c r="CT209" s="109">
        <f t="shared" ref="CT209" si="1285">M209-K209</f>
        <v>1</v>
      </c>
    </row>
    <row r="210" spans="1:1029" x14ac:dyDescent="0.2">
      <c r="A210" s="3" t="str">
        <f t="shared" ref="A210" si="1286">CONCATENATE(B210,"_",C210)</f>
        <v>nk1r_human__wt</v>
      </c>
      <c r="B210" s="3" t="s">
        <v>314</v>
      </c>
      <c r="C210" s="133" t="s">
        <v>100</v>
      </c>
      <c r="D210" s="3" t="str">
        <f>IFERROR(MID(VLOOKUP($B210,Seqs!$A:$B,2,0),E210,1),"")</f>
        <v>P</v>
      </c>
      <c r="E210" s="3">
        <v>28</v>
      </c>
      <c r="F210" s="3" t="str">
        <f>IFERROR(MID(VLOOKUP($B210,Seqs!$A:$B,2,0),G210,1),"")</f>
        <v>H</v>
      </c>
      <c r="G210" s="3">
        <v>60</v>
      </c>
      <c r="H210" s="3" t="str">
        <f>IFERROR(MID(VLOOKUP($B210,Seqs!$A:$B,2,0),I210,1),"")</f>
        <v>K</v>
      </c>
      <c r="I210" s="23">
        <v>61</v>
      </c>
      <c r="J210" s="3" t="str">
        <f>IFERROR(MID(VLOOKUP($B210,Seqs!$A:$B,2,0),K210,1),"")</f>
        <v>R</v>
      </c>
      <c r="K210" s="23">
        <v>64</v>
      </c>
      <c r="L210" s="3" t="str">
        <f>IFERROR(MID(VLOOKUP($B210,Seqs!$A:$B,2,0),M210,1),"")</f>
        <v>T</v>
      </c>
      <c r="M210" s="3">
        <v>65</v>
      </c>
      <c r="N210" s="3" t="str">
        <f>IFERROR(MID(VLOOKUP($B210,Seqs!$A:$B,2,0),O210,1),"")</f>
        <v>N</v>
      </c>
      <c r="O210" s="3">
        <v>96</v>
      </c>
      <c r="P210" s="3" t="str">
        <f>IFERROR(MID(VLOOKUP($B210,Seqs!$A:$B,2,0),Q210,1),"")</f>
        <v>E</v>
      </c>
      <c r="Q210" s="3">
        <v>97</v>
      </c>
      <c r="R210" s="3" t="str">
        <f>IFERROR(MID(VLOOKUP($B210,Seqs!$A:$B,2,0),S210,1),"")</f>
        <v>Y</v>
      </c>
      <c r="S210" s="3">
        <v>100</v>
      </c>
      <c r="T210" s="3" t="str">
        <f>IFERROR(MID(VLOOKUP($B210,Seqs!$A:$B,2,0),U210,1),"")</f>
        <v>G</v>
      </c>
      <c r="U210" s="3">
        <v>101</v>
      </c>
      <c r="V210" s="3" t="str">
        <f>IFERROR(MID(VLOOKUP($B210,Seqs!$A:$B,2,0),W210,1),"")</f>
        <v>H</v>
      </c>
      <c r="W210" s="3">
        <v>136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S</v>
      </c>
      <c r="AC210" s="3">
        <v>143</v>
      </c>
      <c r="AD210" s="3" t="str">
        <f>IFERROR(MID(VLOOKUP($B210,Seqs!$A:$B,2,0),AE210,1),"")</f>
        <v>S</v>
      </c>
      <c r="AE210" s="3">
        <v>169</v>
      </c>
      <c r="AF210" s="3" t="str">
        <f>IFERROR(MID(VLOOKUP($B210,Seqs!$A:$B,2,0),AG210,1),"")</f>
        <v>C</v>
      </c>
      <c r="AG210" s="3">
        <v>180</v>
      </c>
      <c r="AH210" s="3" t="str">
        <f>IFERROR(MID(VLOOKUP($B210,Seqs!$A:$B,2,0),AI210,1),"")</f>
        <v>I</v>
      </c>
      <c r="AI210" s="3">
        <v>182</v>
      </c>
      <c r="AJ210" s="3" t="str">
        <f>IFERROR(MID(VLOOKUP($B210,Seqs!$A:$B,2,0),AK210,1),"")</f>
        <v>P</v>
      </c>
      <c r="AK210" s="3">
        <v>188</v>
      </c>
      <c r="AL210" s="3" t="str">
        <f>IFERROR(MID(VLOOKUP($B210,Seqs!$A:$B,2,0),AM210,1),"")</f>
        <v>D</v>
      </c>
      <c r="AM210" s="3">
        <v>231</v>
      </c>
      <c r="AN210" s="3" t="str">
        <f>IFERROR(MID(VLOOKUP($B210,Seqs!$A:$B,2,0),AO210,1),"")</f>
        <v>R</v>
      </c>
      <c r="AO210" s="3">
        <v>235</v>
      </c>
      <c r="AP210" s="3" t="str">
        <f>IFERROR(MID(VLOOKUP($B210,Seqs!$A:$B,2,0),AQ210,1),"")</f>
        <v>N</v>
      </c>
      <c r="AQ210" s="3">
        <v>274</v>
      </c>
      <c r="AR210" s="3" t="str">
        <f>IFERROR(MID(VLOOKUP($B210,Seqs!$A:$B,2,0),AS210,1),"")</f>
        <v>F</v>
      </c>
      <c r="AS210" s="3">
        <v>282</v>
      </c>
      <c r="AT210" s="3" t="str">
        <f>IFERROR(MID(VLOOKUP($B210,Seqs!$A:$B,2,0),AU210,1),"")</f>
        <v>L</v>
      </c>
      <c r="AU210" s="3">
        <v>308</v>
      </c>
      <c r="AV210" s="3" t="str">
        <f>IFERROR(MID(VLOOKUP($B210,Seqs!$A:$B,2,0),AW210,1),"")</f>
        <v>N</v>
      </c>
      <c r="AW210" s="3">
        <v>309</v>
      </c>
      <c r="AX210" s="3" t="str">
        <f>IFERROR(MID(VLOOKUP($B210,Seqs!$A:$B,2,0),AY210,1),"")</f>
        <v>F</v>
      </c>
      <c r="AY210" s="3">
        <v>320</v>
      </c>
      <c r="AZ210" s="77" t="str">
        <f>VLOOKUP(B210,Classification!A:D,2,0)</f>
        <v>A</v>
      </c>
      <c r="BA210" s="94" t="str">
        <f>VLOOKUP(B210,Classification!A:D,4,0)</f>
        <v>Tachykinin</v>
      </c>
      <c r="BB210" s="27" t="b">
        <f t="shared" ref="BB210" si="1287"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 t="shared" ref="BC210" si="1288">_xlfn.AGGREGATE(9,6,CH210:CS210)-_xlfn.AGGREGATE(9,6,BV210:CG210)+12</f>
        <v>263</v>
      </c>
      <c r="BD210" s="5" t="s">
        <v>23</v>
      </c>
      <c r="BE210" s="3" t="s">
        <v>23</v>
      </c>
      <c r="BF210" s="119" t="s">
        <v>23</v>
      </c>
      <c r="BG210" s="49" t="s">
        <v>1377</v>
      </c>
      <c r="BH210" s="49" t="s">
        <v>1377</v>
      </c>
      <c r="BI210" s="1"/>
      <c r="BJ210" s="70" t="s">
        <v>1287</v>
      </c>
      <c r="BK210" s="57" t="s">
        <v>1287</v>
      </c>
      <c r="BL210" s="57" t="s">
        <v>1287</v>
      </c>
      <c r="BM210" s="57" t="s">
        <v>1287</v>
      </c>
      <c r="BN210" s="57" t="s">
        <v>1287</v>
      </c>
      <c r="BO210" s="57" t="s">
        <v>1287</v>
      </c>
      <c r="BP210" s="57" t="s">
        <v>1287</v>
      </c>
      <c r="BQ210" s="57" t="s">
        <v>1287</v>
      </c>
      <c r="BR210" s="57" t="s">
        <v>1287</v>
      </c>
      <c r="BS210" s="57" t="s">
        <v>1287</v>
      </c>
      <c r="BT210" s="57" t="s">
        <v>1287</v>
      </c>
      <c r="BU210" s="57" t="s">
        <v>1287</v>
      </c>
      <c r="BV210" s="70">
        <f t="shared" ref="BV210" si="1289">E210</f>
        <v>28</v>
      </c>
      <c r="BW210" s="71">
        <f t="shared" ref="BW210" si="1290">I210</f>
        <v>61</v>
      </c>
      <c r="BX210" s="72">
        <f t="shared" ref="BX210" si="1291">M210</f>
        <v>65</v>
      </c>
      <c r="BY210" s="71">
        <f t="shared" ref="BY210" si="1292">Q210</f>
        <v>97</v>
      </c>
      <c r="BZ210" s="72">
        <f t="shared" ref="BZ210" si="1293">U210</f>
        <v>101</v>
      </c>
      <c r="CA210" s="71" t="str">
        <f t="shared" ref="CA210" si="1294">Y210</f>
        <v>-</v>
      </c>
      <c r="CB210" s="72">
        <f t="shared" ref="CB210" si="1295">AC210</f>
        <v>143</v>
      </c>
      <c r="CC210" s="71">
        <f t="shared" ref="CC210" si="1296">AG210</f>
        <v>180</v>
      </c>
      <c r="CD210" s="72">
        <f t="shared" ref="CD210" si="1297">AK210</f>
        <v>188</v>
      </c>
      <c r="CE210" s="71">
        <f t="shared" ref="CE210" si="1298">AO210</f>
        <v>235</v>
      </c>
      <c r="CF210" s="72">
        <f t="shared" ref="CF210" si="1299">AS210</f>
        <v>282</v>
      </c>
      <c r="CG210" s="71">
        <f t="shared" ref="CG210" si="1300">AW210</f>
        <v>309</v>
      </c>
      <c r="CH210" s="70">
        <f t="shared" ref="CH210" si="1301">G210</f>
        <v>60</v>
      </c>
      <c r="CI210" s="71">
        <f t="shared" ref="CI210" si="1302">K210</f>
        <v>64</v>
      </c>
      <c r="CJ210" s="72">
        <f t="shared" ref="CJ210" si="1303">O210</f>
        <v>96</v>
      </c>
      <c r="CK210" s="72">
        <f t="shared" ref="CK210" si="1304">S210</f>
        <v>100</v>
      </c>
      <c r="CL210" s="72">
        <f t="shared" ref="CL210" si="1305">W210</f>
        <v>136</v>
      </c>
      <c r="CM210" s="72" t="str">
        <f t="shared" ref="CM210" si="1306">AA210</f>
        <v>-</v>
      </c>
      <c r="CN210" s="72">
        <f t="shared" ref="CN210" si="1307">AE210</f>
        <v>169</v>
      </c>
      <c r="CO210" s="72">
        <f t="shared" ref="CO210" si="1308">AI210</f>
        <v>182</v>
      </c>
      <c r="CP210" s="72">
        <f t="shared" ref="CP210" si="1309">AM210</f>
        <v>231</v>
      </c>
      <c r="CQ210" s="72">
        <f t="shared" ref="CQ210" si="1310">AQ210</f>
        <v>274</v>
      </c>
      <c r="CR210" s="72">
        <f t="shared" ref="CR210" si="1311">AU210</f>
        <v>308</v>
      </c>
      <c r="CS210" s="72">
        <f t="shared" ref="CS210" si="1312">AY210</f>
        <v>320</v>
      </c>
      <c r="CT210" s="23">
        <f t="shared" ref="CT210" si="1313">M210-K210</f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29" x14ac:dyDescent="0.2">
      <c r="A211" s="3" t="str">
        <f t="shared" ref="A211" si="1314">CONCATENATE(B211,"_",C211)</f>
        <v>nk1r_human_6E59</v>
      </c>
      <c r="B211" s="3" t="s">
        <v>314</v>
      </c>
      <c r="C211" s="134" t="s">
        <v>1535</v>
      </c>
      <c r="D211" s="3" t="str">
        <f>IFERROR(MID(VLOOKUP($B211,Seqs!$A:$B,2,0),E211,1),"")</f>
        <v>V</v>
      </c>
      <c r="E211" s="3">
        <v>33</v>
      </c>
      <c r="F211" s="3" t="str">
        <f>IFERROR(MID(VLOOKUP($B211,Seqs!$A:$B,2,0),G211,1),"")</f>
        <v>H</v>
      </c>
      <c r="G211" s="3">
        <v>60</v>
      </c>
      <c r="H211" s="3" t="str">
        <f>IFERROR(MID(VLOOKUP($B211,Seqs!$A:$B,2,0),I211,1),"")</f>
        <v/>
      </c>
      <c r="I211" s="23" t="s">
        <v>23</v>
      </c>
      <c r="J211" s="3" t="str">
        <f>IFERROR(MID(VLOOKUP($B211,Seqs!$A:$B,2,0),K211,1),"")</f>
        <v/>
      </c>
      <c r="K211" s="23" t="s">
        <v>23</v>
      </c>
      <c r="L211" s="3" t="str">
        <f>IFERROR(MID(VLOOKUP($B211,Seqs!$A:$B,2,0),M211,1),"")</f>
        <v>T</v>
      </c>
      <c r="M211" s="3">
        <v>65</v>
      </c>
      <c r="N211" s="3" t="str">
        <f>IFERROR(MID(VLOOKUP($B211,Seqs!$A:$B,2,0),O211,1),"")</f>
        <v>V</v>
      </c>
      <c r="O211" s="3">
        <v>94</v>
      </c>
      <c r="P211" s="3" t="str">
        <f>IFERROR(MID(VLOOKUP($B211,Seqs!$A:$B,2,0),Q211,1),"")</f>
        <v>E</v>
      </c>
      <c r="Q211" s="3">
        <v>97</v>
      </c>
      <c r="R211" s="3" t="str">
        <f>IFERROR(MID(VLOOKUP($B211,Seqs!$A:$B,2,0),S211,1),"")</f>
        <v>Y</v>
      </c>
      <c r="S211" s="3">
        <v>100</v>
      </c>
      <c r="T211" s="3" t="str">
        <f>IFERROR(MID(VLOOKUP($B211,Seqs!$A:$B,2,0),U211,1),"")</f>
        <v>F</v>
      </c>
      <c r="U211" s="3">
        <v>103</v>
      </c>
      <c r="V211" s="3" t="str">
        <f>IFERROR(MID(VLOOKUP($B211,Seqs!$A:$B,2,0),W211,1),"")</f>
        <v>H</v>
      </c>
      <c r="W211" s="3">
        <v>136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S</v>
      </c>
      <c r="AC211" s="3">
        <v>143</v>
      </c>
      <c r="AD211" s="3" t="str">
        <f>IFERROR(MID(VLOOKUP($B211,Seqs!$A:$B,2,0),AE211,1),"")</f>
        <v>S</v>
      </c>
      <c r="AE211" s="3">
        <v>169</v>
      </c>
      <c r="AF211" s="3" t="str">
        <f>IFERROR(MID(VLOOKUP($B211,Seqs!$A:$B,2,0),AG211,1),"")</f>
        <v>C</v>
      </c>
      <c r="AG211" s="3">
        <v>180</v>
      </c>
      <c r="AH211" s="3" t="str">
        <f>IFERROR(MID(VLOOKUP($B211,Seqs!$A:$B,2,0),AI211,1),"")</f>
        <v>I</v>
      </c>
      <c r="AI211" s="3">
        <v>182</v>
      </c>
      <c r="AJ211" s="3" t="str">
        <f>IFERROR(MID(VLOOKUP($B211,Seqs!$A:$B,2,0),AK211,1),"")</f>
        <v>P</v>
      </c>
      <c r="AK211" s="3">
        <v>188</v>
      </c>
      <c r="AL211" s="3" t="str">
        <f>IFERROR(MID(VLOOKUP($B211,Seqs!$A:$B,2,0),AM211,1),"")</f>
        <v>W</v>
      </c>
      <c r="AM211" s="3">
        <v>224</v>
      </c>
      <c r="AN211" s="3" t="str">
        <f>IFERROR(MID(VLOOKUP($B211,Seqs!$A:$B,2,0),AO211,1),"")</f>
        <v>E</v>
      </c>
      <c r="AO211" s="3">
        <v>238</v>
      </c>
      <c r="AP211" s="3" t="str">
        <f>IFERROR(MID(VLOOKUP($B211,Seqs!$A:$B,2,0),AQ211,1),"")</f>
        <v>N</v>
      </c>
      <c r="AQ211" s="3">
        <v>274</v>
      </c>
      <c r="AR211" s="3" t="str">
        <f>IFERROR(MID(VLOOKUP($B211,Seqs!$A:$B,2,0),AS211,1),"")</f>
        <v>I</v>
      </c>
      <c r="AS211" s="3">
        <v>283</v>
      </c>
      <c r="AT211" s="3" t="str">
        <f>IFERROR(MID(VLOOKUP($B211,Seqs!$A:$B,2,0),AU211,1),"")</f>
        <v>L</v>
      </c>
      <c r="AU211" s="3">
        <v>308</v>
      </c>
      <c r="AV211" s="3" t="str">
        <f>IFERROR(MID(VLOOKUP($B211,Seqs!$A:$B,2,0),AW211,1),"")</f>
        <v>N</v>
      </c>
      <c r="AW211" s="3">
        <v>309</v>
      </c>
      <c r="AX211" s="3" t="str">
        <f>IFERROR(MID(VLOOKUP($B211,Seqs!$A:$B,2,0),AY211,1),"")</f>
        <v>H</v>
      </c>
      <c r="AY211" s="3">
        <v>318</v>
      </c>
      <c r="AZ211" s="77" t="str">
        <f>VLOOKUP(B211,Classification!A:D,2,0)</f>
        <v>A</v>
      </c>
      <c r="BA211" s="94" t="str">
        <f>VLOOKUP(B211,Classification!A:D,4,0)</f>
        <v>Tachykinin</v>
      </c>
      <c r="BB211" s="27" t="b">
        <f t="shared" ref="BB211" si="1315"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 t="shared" ref="BC211" si="1316">_xlfn.AGGREGATE(9,6,CH211:CS211)-_xlfn.AGGREGATE(9,6,BV211:CG211)+12</f>
        <v>238</v>
      </c>
      <c r="BD211" s="5" t="s">
        <v>23</v>
      </c>
      <c r="BE211" s="3" t="s">
        <v>1374</v>
      </c>
      <c r="BF211" s="119">
        <v>3.4</v>
      </c>
      <c r="BG211" s="49" t="s">
        <v>1</v>
      </c>
      <c r="BH211" s="49" t="s">
        <v>1</v>
      </c>
      <c r="BI211" s="1"/>
      <c r="BJ211" s="70" t="s">
        <v>1287</v>
      </c>
      <c r="BK211" s="57" t="s">
        <v>1287</v>
      </c>
      <c r="BL211" s="57" t="s">
        <v>1287</v>
      </c>
      <c r="BM211" s="57" t="s">
        <v>1287</v>
      </c>
      <c r="BN211" s="57" t="s">
        <v>1287</v>
      </c>
      <c r="BO211" s="57" t="s">
        <v>1287</v>
      </c>
      <c r="BP211" s="57" t="s">
        <v>1287</v>
      </c>
      <c r="BQ211" s="57" t="s">
        <v>1287</v>
      </c>
      <c r="BR211" s="57" t="s">
        <v>1287</v>
      </c>
      <c r="BS211" s="57" t="s">
        <v>1287</v>
      </c>
      <c r="BT211" s="57" t="s">
        <v>1287</v>
      </c>
      <c r="BU211" s="57" t="s">
        <v>1287</v>
      </c>
      <c r="BV211" s="70">
        <f t="shared" ref="BV211" si="1317">E211</f>
        <v>33</v>
      </c>
      <c r="BW211" s="71" t="str">
        <f t="shared" ref="BW211" si="1318">I211</f>
        <v>-</v>
      </c>
      <c r="BX211" s="72">
        <f t="shared" ref="BX211" si="1319">M211</f>
        <v>65</v>
      </c>
      <c r="BY211" s="71">
        <f t="shared" ref="BY211" si="1320">Q211</f>
        <v>97</v>
      </c>
      <c r="BZ211" s="72">
        <f t="shared" ref="BZ211" si="1321">U211</f>
        <v>103</v>
      </c>
      <c r="CA211" s="71" t="str">
        <f t="shared" ref="CA211" si="1322">Y211</f>
        <v>-</v>
      </c>
      <c r="CB211" s="72">
        <f t="shared" ref="CB211" si="1323">AC211</f>
        <v>143</v>
      </c>
      <c r="CC211" s="71">
        <f t="shared" ref="CC211" si="1324">AG211</f>
        <v>180</v>
      </c>
      <c r="CD211" s="72">
        <f t="shared" ref="CD211" si="1325">AK211</f>
        <v>188</v>
      </c>
      <c r="CE211" s="71">
        <f t="shared" ref="CE211" si="1326">AO211</f>
        <v>238</v>
      </c>
      <c r="CF211" s="72">
        <f t="shared" ref="CF211" si="1327">AS211</f>
        <v>283</v>
      </c>
      <c r="CG211" s="71">
        <f t="shared" ref="CG211" si="1328">AW211</f>
        <v>309</v>
      </c>
      <c r="CH211" s="70">
        <f t="shared" ref="CH211" si="1329">G211</f>
        <v>60</v>
      </c>
      <c r="CI211" s="71" t="str">
        <f t="shared" ref="CI211" si="1330">K211</f>
        <v>-</v>
      </c>
      <c r="CJ211" s="72">
        <f t="shared" ref="CJ211" si="1331">O211</f>
        <v>94</v>
      </c>
      <c r="CK211" s="72">
        <f t="shared" ref="CK211" si="1332">S211</f>
        <v>100</v>
      </c>
      <c r="CL211" s="72">
        <f t="shared" ref="CL211" si="1333">W211</f>
        <v>136</v>
      </c>
      <c r="CM211" s="72" t="str">
        <f t="shared" ref="CM211" si="1334">AA211</f>
        <v>-</v>
      </c>
      <c r="CN211" s="72">
        <f t="shared" ref="CN211" si="1335">AE211</f>
        <v>169</v>
      </c>
      <c r="CO211" s="72">
        <f t="shared" ref="CO211" si="1336">AI211</f>
        <v>182</v>
      </c>
      <c r="CP211" s="72">
        <f t="shared" ref="CP211" si="1337">AM211</f>
        <v>224</v>
      </c>
      <c r="CQ211" s="72">
        <f t="shared" ref="CQ211" si="1338">AQ211</f>
        <v>274</v>
      </c>
      <c r="CR211" s="72">
        <f t="shared" ref="CR211" si="1339">AU211</f>
        <v>308</v>
      </c>
      <c r="CS211" s="72">
        <f t="shared" ref="CS211" si="1340">AY211</f>
        <v>318</v>
      </c>
      <c r="CT211" s="23" t="e">
        <f t="shared" ref="CT211" si="1341">M211-K211</f>
        <v>#VALUE!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29" x14ac:dyDescent="0.2">
      <c r="A212" s="3" t="str">
        <f t="shared" ref="A212" si="1342">CONCATENATE(B212,"_",C212)</f>
        <v>nk1r_human_6HLL</v>
      </c>
      <c r="B212" s="3" t="s">
        <v>314</v>
      </c>
      <c r="C212" s="134" t="s">
        <v>1543</v>
      </c>
      <c r="D212" s="3" t="str">
        <f>IFERROR(MID(VLOOKUP($B212,Seqs!$A:$B,2,0),E212,1),"")</f>
        <v>P</v>
      </c>
      <c r="E212" s="3">
        <v>28</v>
      </c>
      <c r="F212" s="3" t="str">
        <f>IFERROR(MID(VLOOKUP($B212,Seqs!$A:$B,2,0),G212,1),"")</f>
        <v>A</v>
      </c>
      <c r="G212" s="3">
        <v>59</v>
      </c>
      <c r="H212" s="3" t="str">
        <f>IFERROR(MID(VLOOKUP($B212,Seqs!$A:$B,2,0),I212,1),"")</f>
        <v>K</v>
      </c>
      <c r="I212" s="23">
        <v>61</v>
      </c>
      <c r="J212" s="3" t="str">
        <f>IFERROR(MID(VLOOKUP($B212,Seqs!$A:$B,2,0),K212,1),"")</f>
        <v>R</v>
      </c>
      <c r="K212" s="23">
        <v>64</v>
      </c>
      <c r="L212" s="3" t="str">
        <f>IFERROR(MID(VLOOKUP($B212,Seqs!$A:$B,2,0),M212,1),"")</f>
        <v>T</v>
      </c>
      <c r="M212" s="3">
        <v>65</v>
      </c>
      <c r="N212" s="3" t="str">
        <f>IFERROR(MID(VLOOKUP($B212,Seqs!$A:$B,2,0),O212,1),"")</f>
        <v>N</v>
      </c>
      <c r="O212" s="3">
        <v>96</v>
      </c>
      <c r="P212" s="3" t="str">
        <f>IFERROR(MID(VLOOKUP($B212,Seqs!$A:$B,2,0),Q212,1),"")</f>
        <v>E</v>
      </c>
      <c r="Q212" s="3">
        <v>97</v>
      </c>
      <c r="R212" s="3" t="str">
        <f>IFERROR(MID(VLOOKUP($B212,Seqs!$A:$B,2,0),S212,1),"")</f>
        <v>Y</v>
      </c>
      <c r="S212" s="3">
        <v>100</v>
      </c>
      <c r="T212" s="3" t="str">
        <f>IFERROR(MID(VLOOKUP($B212,Seqs!$A:$B,2,0),U212,1),"")</f>
        <v>G</v>
      </c>
      <c r="U212" s="3">
        <v>101</v>
      </c>
      <c r="V212" s="3" t="str">
        <f>IFERROR(MID(VLOOKUP($B212,Seqs!$A:$B,2,0),W212,1),"")</f>
        <v>H</v>
      </c>
      <c r="W212" s="3">
        <v>136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S</v>
      </c>
      <c r="AC212" s="3">
        <v>143</v>
      </c>
      <c r="AD212" s="3" t="str">
        <f>IFERROR(MID(VLOOKUP($B212,Seqs!$A:$B,2,0),AE212,1),"")</f>
        <v>S</v>
      </c>
      <c r="AE212" s="3">
        <v>169</v>
      </c>
      <c r="AF212" s="3" t="str">
        <f>IFERROR(MID(VLOOKUP($B212,Seqs!$A:$B,2,0),AG212,1),"")</f>
        <v>C</v>
      </c>
      <c r="AG212" s="3">
        <v>180</v>
      </c>
      <c r="AH212" s="3" t="str">
        <f>IFERROR(MID(VLOOKUP($B212,Seqs!$A:$B,2,0),AI212,1),"")</f>
        <v>I</v>
      </c>
      <c r="AI212" s="3">
        <v>182</v>
      </c>
      <c r="AJ212" s="3" t="str">
        <f>IFERROR(MID(VLOOKUP($B212,Seqs!$A:$B,2,0),AK212,1),"")</f>
        <v>K</v>
      </c>
      <c r="AK212" s="3">
        <v>190</v>
      </c>
      <c r="AL212" s="3" t="str">
        <f>IFERROR(MID(VLOOKUP($B212,Seqs!$A:$B,2,0),AM212,1),"")</f>
        <v>S</v>
      </c>
      <c r="AM212" s="3">
        <v>226</v>
      </c>
      <c r="AN212" s="3" t="str">
        <f>IFERROR(MID(VLOOKUP($B212,Seqs!$A:$B,2,0),AO212,1),"")</f>
        <v>E</v>
      </c>
      <c r="AO212" s="3">
        <v>238</v>
      </c>
      <c r="AP212" s="3" t="str">
        <f>IFERROR(MID(VLOOKUP($B212,Seqs!$A:$B,2,0),AQ212,1),"")</f>
        <v>L</v>
      </c>
      <c r="AQ212" s="3">
        <v>270</v>
      </c>
      <c r="AR212" s="3" t="str">
        <f>IFERROR(MID(VLOOKUP($B212,Seqs!$A:$B,2,0),AS212,1),"")</f>
        <v>I</v>
      </c>
      <c r="AS212" s="3">
        <v>283</v>
      </c>
      <c r="AT212" s="3" t="str">
        <f>IFERROR(MID(VLOOKUP($B212,Seqs!$A:$B,2,0),AU212,1),"")</f>
        <v>L</v>
      </c>
      <c r="AU212" s="3">
        <v>308</v>
      </c>
      <c r="AV212" s="3" t="str">
        <f>IFERROR(MID(VLOOKUP($B212,Seqs!$A:$B,2,0),AW212,1),"")</f>
        <v>N</v>
      </c>
      <c r="AW212" s="3">
        <v>309</v>
      </c>
      <c r="AX212" s="3" t="str">
        <f>IFERROR(MID(VLOOKUP($B212,Seqs!$A:$B,2,0),AY212,1),"")</f>
        <v>F</v>
      </c>
      <c r="AY212" s="3">
        <v>320</v>
      </c>
      <c r="AZ212" s="77" t="str">
        <f>VLOOKUP(B212,Classification!A:D,2,0)</f>
        <v>A</v>
      </c>
      <c r="BA212" s="94" t="str">
        <f>VLOOKUP(B212,Classification!A:D,4,0)</f>
        <v>Tachykinin</v>
      </c>
      <c r="BB212" s="27" t="b">
        <f t="shared" ref="BB212" si="1343"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23">
        <f t="shared" ref="BC212" si="1344">_xlfn.AGGREGATE(9,6,CH212:CS212)-_xlfn.AGGREGATE(9,6,BV212:CG212)+12</f>
        <v>247</v>
      </c>
      <c r="BD212" s="5" t="s">
        <v>23</v>
      </c>
      <c r="BE212" s="3" t="s">
        <v>1374</v>
      </c>
      <c r="BF212" s="119">
        <v>3.27</v>
      </c>
      <c r="BG212" s="49" t="s">
        <v>1</v>
      </c>
      <c r="BH212" s="49" t="s">
        <v>1</v>
      </c>
      <c r="BI212" s="1"/>
      <c r="BJ212" s="70" t="s">
        <v>1287</v>
      </c>
      <c r="BK212" s="57" t="s">
        <v>1287</v>
      </c>
      <c r="BL212" s="57" t="s">
        <v>1287</v>
      </c>
      <c r="BM212" s="57" t="s">
        <v>1287</v>
      </c>
      <c r="BN212" s="57" t="s">
        <v>1287</v>
      </c>
      <c r="BO212" s="57" t="s">
        <v>1287</v>
      </c>
      <c r="BP212" s="57" t="s">
        <v>1287</v>
      </c>
      <c r="BQ212" s="57" t="s">
        <v>1287</v>
      </c>
      <c r="BR212" s="57" t="s">
        <v>1287</v>
      </c>
      <c r="BS212" s="57" t="s">
        <v>1287</v>
      </c>
      <c r="BT212" s="57" t="s">
        <v>1287</v>
      </c>
      <c r="BU212" s="57" t="s">
        <v>1287</v>
      </c>
      <c r="BV212" s="70">
        <f t="shared" ref="BV212" si="1345">E212</f>
        <v>28</v>
      </c>
      <c r="BW212" s="71">
        <f t="shared" ref="BW212" si="1346">I212</f>
        <v>61</v>
      </c>
      <c r="BX212" s="72">
        <f t="shared" ref="BX212" si="1347">M212</f>
        <v>65</v>
      </c>
      <c r="BY212" s="71">
        <f t="shared" ref="BY212" si="1348">Q212</f>
        <v>97</v>
      </c>
      <c r="BZ212" s="72">
        <f t="shared" ref="BZ212" si="1349">U212</f>
        <v>101</v>
      </c>
      <c r="CA212" s="71" t="str">
        <f t="shared" ref="CA212" si="1350">Y212</f>
        <v>-</v>
      </c>
      <c r="CB212" s="72">
        <f t="shared" ref="CB212" si="1351">AC212</f>
        <v>143</v>
      </c>
      <c r="CC212" s="71">
        <f t="shared" ref="CC212" si="1352">AG212</f>
        <v>180</v>
      </c>
      <c r="CD212" s="72">
        <f t="shared" ref="CD212" si="1353">AK212</f>
        <v>190</v>
      </c>
      <c r="CE212" s="71">
        <f t="shared" ref="CE212" si="1354">AO212</f>
        <v>238</v>
      </c>
      <c r="CF212" s="72">
        <f t="shared" ref="CF212" si="1355">AS212</f>
        <v>283</v>
      </c>
      <c r="CG212" s="71">
        <f t="shared" ref="CG212" si="1356">AW212</f>
        <v>309</v>
      </c>
      <c r="CH212" s="70">
        <f t="shared" ref="CH212" si="1357">G212</f>
        <v>59</v>
      </c>
      <c r="CI212" s="71">
        <f t="shared" ref="CI212" si="1358">K212</f>
        <v>64</v>
      </c>
      <c r="CJ212" s="72">
        <f t="shared" ref="CJ212" si="1359">O212</f>
        <v>96</v>
      </c>
      <c r="CK212" s="72">
        <f t="shared" ref="CK212" si="1360">S212</f>
        <v>100</v>
      </c>
      <c r="CL212" s="72">
        <f t="shared" ref="CL212" si="1361">W212</f>
        <v>136</v>
      </c>
      <c r="CM212" s="72" t="str">
        <f t="shared" ref="CM212" si="1362">AA212</f>
        <v>-</v>
      </c>
      <c r="CN212" s="72">
        <f t="shared" ref="CN212" si="1363">AE212</f>
        <v>169</v>
      </c>
      <c r="CO212" s="72">
        <f t="shared" ref="CO212" si="1364">AI212</f>
        <v>182</v>
      </c>
      <c r="CP212" s="72">
        <f t="shared" ref="CP212" si="1365">AM212</f>
        <v>226</v>
      </c>
      <c r="CQ212" s="72">
        <f t="shared" ref="CQ212" si="1366">AQ212</f>
        <v>270</v>
      </c>
      <c r="CR212" s="72">
        <f t="shared" ref="CR212" si="1367">AU212</f>
        <v>308</v>
      </c>
      <c r="CS212" s="72">
        <f t="shared" ref="CS212" si="1368">AY212</f>
        <v>320</v>
      </c>
      <c r="CT212" s="23">
        <f t="shared" ref="CT212" si="1369">M212-K212</f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29" x14ac:dyDescent="0.2">
      <c r="A213" s="3" t="str">
        <f t="shared" ref="A213" si="1370">CONCATENATE(B213,"_",C213)</f>
        <v>nk1r_human_6HLO</v>
      </c>
      <c r="B213" s="3" t="s">
        <v>314</v>
      </c>
      <c r="C213" s="134" t="s">
        <v>1544</v>
      </c>
      <c r="D213" s="3" t="str">
        <f>IFERROR(MID(VLOOKUP($B213,Seqs!$A:$B,2,0),E213,1),"")</f>
        <v>P</v>
      </c>
      <c r="E213" s="3">
        <v>28</v>
      </c>
      <c r="F213" s="3" t="str">
        <f>IFERROR(MID(VLOOKUP($B213,Seqs!$A:$B,2,0),G213,1),"")</f>
        <v>H</v>
      </c>
      <c r="G213" s="3">
        <v>60</v>
      </c>
      <c r="H213" s="3" t="str">
        <f>IFERROR(MID(VLOOKUP($B213,Seqs!$A:$B,2,0),I213,1),"")</f>
        <v>K</v>
      </c>
      <c r="I213" s="23">
        <v>61</v>
      </c>
      <c r="J213" s="3" t="str">
        <f>IFERROR(MID(VLOOKUP($B213,Seqs!$A:$B,2,0),K213,1),"")</f>
        <v>R</v>
      </c>
      <c r="K213" s="23">
        <v>64</v>
      </c>
      <c r="L213" s="3" t="str">
        <f>IFERROR(MID(VLOOKUP($B213,Seqs!$A:$B,2,0),M213,1),"")</f>
        <v>T</v>
      </c>
      <c r="M213" s="3">
        <v>65</v>
      </c>
      <c r="N213" s="3" t="str">
        <f>IFERROR(MID(VLOOKUP($B213,Seqs!$A:$B,2,0),O213,1),"")</f>
        <v>H</v>
      </c>
      <c r="O213" s="3">
        <v>95</v>
      </c>
      <c r="P213" s="3" t="str">
        <f>IFERROR(MID(VLOOKUP($B213,Seqs!$A:$B,2,0),Q213,1),"")</f>
        <v>E</v>
      </c>
      <c r="Q213" s="3">
        <v>97</v>
      </c>
      <c r="R213" s="3" t="str">
        <f>IFERROR(MID(VLOOKUP($B213,Seqs!$A:$B,2,0),S213,1),"")</f>
        <v>Y</v>
      </c>
      <c r="S213" s="3">
        <v>100</v>
      </c>
      <c r="T213" s="3" t="str">
        <f>IFERROR(MID(VLOOKUP($B213,Seqs!$A:$B,2,0),U213,1),"")</f>
        <v>G</v>
      </c>
      <c r="U213" s="3">
        <v>101</v>
      </c>
      <c r="V213" s="3" t="str">
        <f>IFERROR(MID(VLOOKUP($B213,Seqs!$A:$B,2,0),W213,1),"")</f>
        <v>H</v>
      </c>
      <c r="W213" s="3">
        <v>136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S</v>
      </c>
      <c r="AC213" s="3">
        <v>143</v>
      </c>
      <c r="AD213" s="3" t="str">
        <f>IFERROR(MID(VLOOKUP($B213,Seqs!$A:$B,2,0),AE213,1),"")</f>
        <v>S</v>
      </c>
      <c r="AE213" s="3">
        <v>169</v>
      </c>
      <c r="AF213" s="3" t="str">
        <f>IFERROR(MID(VLOOKUP($B213,Seqs!$A:$B,2,0),AG213,1),"")</f>
        <v>C</v>
      </c>
      <c r="AG213" s="3">
        <v>180</v>
      </c>
      <c r="AH213" s="3" t="str">
        <f>IFERROR(MID(VLOOKUP($B213,Seqs!$A:$B,2,0),AI213,1),"")</f>
        <v>I</v>
      </c>
      <c r="AI213" s="3">
        <v>182</v>
      </c>
      <c r="AJ213" s="3" t="str">
        <f>IFERROR(MID(VLOOKUP($B213,Seqs!$A:$B,2,0),AK213,1),"")</f>
        <v>K</v>
      </c>
      <c r="AK213" s="3">
        <v>190</v>
      </c>
      <c r="AL213" s="3" t="str">
        <f>IFERROR(MID(VLOOKUP($B213,Seqs!$A:$B,2,0),AM213,1),"")</f>
        <v>S</v>
      </c>
      <c r="AM213" s="3">
        <v>226</v>
      </c>
      <c r="AN213" s="3" t="str">
        <f>IFERROR(MID(VLOOKUP($B213,Seqs!$A:$B,2,0),AO213,1),"")</f>
        <v>E</v>
      </c>
      <c r="AO213" s="3">
        <v>238</v>
      </c>
      <c r="AP213" s="3" t="str">
        <f>IFERROR(MID(VLOOKUP($B213,Seqs!$A:$B,2,0),AQ213,1),"")</f>
        <v>N</v>
      </c>
      <c r="AQ213" s="3">
        <v>274</v>
      </c>
      <c r="AR213" s="3" t="str">
        <f>IFERROR(MID(VLOOKUP($B213,Seqs!$A:$B,2,0),AS213,1),"")</f>
        <v>F</v>
      </c>
      <c r="AS213" s="3">
        <v>282</v>
      </c>
      <c r="AT213" s="3" t="str">
        <f>IFERROR(MID(VLOOKUP($B213,Seqs!$A:$B,2,0),AU213,1),"")</f>
        <v>L</v>
      </c>
      <c r="AU213" s="3">
        <v>308</v>
      </c>
      <c r="AV213" s="3" t="str">
        <f>IFERROR(MID(VLOOKUP($B213,Seqs!$A:$B,2,0),AW213,1),"")</f>
        <v>N</v>
      </c>
      <c r="AW213" s="3">
        <v>309</v>
      </c>
      <c r="AX213" s="3" t="str">
        <f>IFERROR(MID(VLOOKUP($B213,Seqs!$A:$B,2,0),AY213,1),"")</f>
        <v>F</v>
      </c>
      <c r="AY213" s="3">
        <v>320</v>
      </c>
      <c r="AZ213" s="77" t="str">
        <f>VLOOKUP(B213,Classification!A:D,2,0)</f>
        <v>A</v>
      </c>
      <c r="BA213" s="94" t="str">
        <f>VLOOKUP(B213,Classification!A:D,4,0)</f>
        <v>Tachykinin</v>
      </c>
      <c r="BB213" s="27" t="b">
        <f t="shared" ref="BB213" si="1371">AND(E213&lt;G213,OR(G213&lt;I213,I213="-"),OR(I213&lt;K213,I213="-"),OR(K213&lt;M213,K213="-"),M213&lt;O213,OR(O213&lt;Q213,Q213="-"),OR(Q213&lt;S213,Q213="-"),OR(S213&lt;U213,S213="-"),U213&lt;W213,OR(W213&lt;Y213,Y213="-"),OR(Y213&lt;AA213,Y213="-"),OR(AA213&lt;AC213,AA213="-"),AC213&lt;AE213,OR(AE213&lt;AG213,AG213="-"),OR(AG213&lt;AI213,AG213="-"),OR(AI213&lt;AK213,AI213="-"),AK213&lt;AM213,AM213&lt;AO213,AO213&lt;AQ213,AQ213&lt;AS213,AS213&lt;AU213,OR(AU213&lt;AW213,AW213="-"),OR(AW213&lt;AY213,AW213="-"))</f>
        <v>1</v>
      </c>
      <c r="BC213" s="23">
        <f t="shared" ref="BC213" si="1372">_xlfn.AGGREGATE(9,6,CH213:CS213)-_xlfn.AGGREGATE(9,6,BV213:CG213)+12</f>
        <v>252</v>
      </c>
      <c r="BD213" s="5" t="s">
        <v>23</v>
      </c>
      <c r="BE213" s="3" t="s">
        <v>1374</v>
      </c>
      <c r="BF213" s="119">
        <v>2.4</v>
      </c>
      <c r="BG213" s="49" t="s">
        <v>1</v>
      </c>
      <c r="BH213" s="49" t="s">
        <v>1</v>
      </c>
      <c r="BI213" s="1"/>
      <c r="BJ213" s="70" t="s">
        <v>1287</v>
      </c>
      <c r="BK213" s="57" t="s">
        <v>1287</v>
      </c>
      <c r="BL213" s="57" t="s">
        <v>1287</v>
      </c>
      <c r="BM213" s="57" t="s">
        <v>1287</v>
      </c>
      <c r="BN213" s="57" t="s">
        <v>1287</v>
      </c>
      <c r="BO213" s="57" t="s">
        <v>1287</v>
      </c>
      <c r="BP213" s="57" t="s">
        <v>1287</v>
      </c>
      <c r="BQ213" s="57" t="s">
        <v>1287</v>
      </c>
      <c r="BR213" s="57" t="s">
        <v>1287</v>
      </c>
      <c r="BS213" s="57" t="s">
        <v>1287</v>
      </c>
      <c r="BT213" s="57" t="s">
        <v>1287</v>
      </c>
      <c r="BU213" s="57" t="s">
        <v>1287</v>
      </c>
      <c r="BV213" s="70">
        <f t="shared" ref="BV213" si="1373">E213</f>
        <v>28</v>
      </c>
      <c r="BW213" s="71">
        <f t="shared" ref="BW213" si="1374">I213</f>
        <v>61</v>
      </c>
      <c r="BX213" s="72">
        <f t="shared" ref="BX213" si="1375">M213</f>
        <v>65</v>
      </c>
      <c r="BY213" s="71">
        <f t="shared" ref="BY213" si="1376">Q213</f>
        <v>97</v>
      </c>
      <c r="BZ213" s="72">
        <f t="shared" ref="BZ213" si="1377">U213</f>
        <v>101</v>
      </c>
      <c r="CA213" s="71" t="str">
        <f t="shared" ref="CA213" si="1378">Y213</f>
        <v>-</v>
      </c>
      <c r="CB213" s="72">
        <f t="shared" ref="CB213" si="1379">AC213</f>
        <v>143</v>
      </c>
      <c r="CC213" s="71">
        <f t="shared" ref="CC213" si="1380">AG213</f>
        <v>180</v>
      </c>
      <c r="CD213" s="72">
        <f t="shared" ref="CD213" si="1381">AK213</f>
        <v>190</v>
      </c>
      <c r="CE213" s="71">
        <f t="shared" ref="CE213" si="1382">AO213</f>
        <v>238</v>
      </c>
      <c r="CF213" s="72">
        <f t="shared" ref="CF213" si="1383">AS213</f>
        <v>282</v>
      </c>
      <c r="CG213" s="71">
        <f t="shared" ref="CG213" si="1384">AW213</f>
        <v>309</v>
      </c>
      <c r="CH213" s="70">
        <f t="shared" ref="CH213" si="1385">G213</f>
        <v>60</v>
      </c>
      <c r="CI213" s="71">
        <f t="shared" ref="CI213" si="1386">K213</f>
        <v>64</v>
      </c>
      <c r="CJ213" s="72">
        <f t="shared" ref="CJ213" si="1387">O213</f>
        <v>95</v>
      </c>
      <c r="CK213" s="72">
        <f t="shared" ref="CK213" si="1388">S213</f>
        <v>100</v>
      </c>
      <c r="CL213" s="72">
        <f t="shared" ref="CL213" si="1389">W213</f>
        <v>136</v>
      </c>
      <c r="CM213" s="72" t="str">
        <f t="shared" ref="CM213" si="1390">AA213</f>
        <v>-</v>
      </c>
      <c r="CN213" s="72">
        <f t="shared" ref="CN213" si="1391">AE213</f>
        <v>169</v>
      </c>
      <c r="CO213" s="72">
        <f t="shared" ref="CO213" si="1392">AI213</f>
        <v>182</v>
      </c>
      <c r="CP213" s="72">
        <f t="shared" ref="CP213" si="1393">AM213</f>
        <v>226</v>
      </c>
      <c r="CQ213" s="72">
        <f t="shared" ref="CQ213" si="1394">AQ213</f>
        <v>274</v>
      </c>
      <c r="CR213" s="72">
        <f t="shared" ref="CR213" si="1395">AU213</f>
        <v>308</v>
      </c>
      <c r="CS213" s="72">
        <f t="shared" ref="CS213" si="1396">AY213</f>
        <v>320</v>
      </c>
      <c r="CT213" s="23">
        <f t="shared" ref="CT213" si="1397">M213-K213</f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29" x14ac:dyDescent="0.2">
      <c r="A214" s="3" t="str">
        <f t="shared" ref="A214" si="1398">CONCATENATE(B214,"_",C214)</f>
        <v>nk1r_human_6HLP</v>
      </c>
      <c r="B214" s="3" t="s">
        <v>314</v>
      </c>
      <c r="C214" s="134" t="s">
        <v>1545</v>
      </c>
      <c r="D214" s="3" t="str">
        <f>IFERROR(MID(VLOOKUP($B214,Seqs!$A:$B,2,0),E214,1),"")</f>
        <v>P</v>
      </c>
      <c r="E214" s="3">
        <v>28</v>
      </c>
      <c r="F214" s="3" t="str">
        <f>IFERROR(MID(VLOOKUP($B214,Seqs!$A:$B,2,0),G214,1),"")</f>
        <v>H</v>
      </c>
      <c r="G214" s="3">
        <v>60</v>
      </c>
      <c r="H214" s="3" t="str">
        <f>IFERROR(MID(VLOOKUP($B214,Seqs!$A:$B,2,0),I214,1),"")</f>
        <v>K</v>
      </c>
      <c r="I214" s="23">
        <v>61</v>
      </c>
      <c r="J214" s="3" t="str">
        <f>IFERROR(MID(VLOOKUP($B214,Seqs!$A:$B,2,0),K214,1),"")</f>
        <v>R</v>
      </c>
      <c r="K214" s="23">
        <v>64</v>
      </c>
      <c r="L214" s="3" t="str">
        <f>IFERROR(MID(VLOOKUP($B214,Seqs!$A:$B,2,0),M214,1),"")</f>
        <v>T</v>
      </c>
      <c r="M214" s="3">
        <v>65</v>
      </c>
      <c r="N214" s="3" t="str">
        <f>IFERROR(MID(VLOOKUP($B214,Seqs!$A:$B,2,0),O214,1),"")</f>
        <v>H</v>
      </c>
      <c r="O214" s="3">
        <v>95</v>
      </c>
      <c r="P214" s="3" t="str">
        <f>IFERROR(MID(VLOOKUP($B214,Seqs!$A:$B,2,0),Q214,1),"")</f>
        <v>E</v>
      </c>
      <c r="Q214" s="3">
        <v>97</v>
      </c>
      <c r="R214" s="3" t="str">
        <f>IFERROR(MID(VLOOKUP($B214,Seqs!$A:$B,2,0),S214,1),"")</f>
        <v>Y</v>
      </c>
      <c r="S214" s="3">
        <v>100</v>
      </c>
      <c r="T214" s="3" t="str">
        <f>IFERROR(MID(VLOOKUP($B214,Seqs!$A:$B,2,0),U214,1),"")</f>
        <v>G</v>
      </c>
      <c r="U214" s="3">
        <v>101</v>
      </c>
      <c r="V214" s="3" t="str">
        <f>IFERROR(MID(VLOOKUP($B214,Seqs!$A:$B,2,0),W214,1),"")</f>
        <v>H</v>
      </c>
      <c r="W214" s="3">
        <v>136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S</v>
      </c>
      <c r="AC214" s="3">
        <v>143</v>
      </c>
      <c r="AD214" s="3" t="str">
        <f>IFERROR(MID(VLOOKUP($B214,Seqs!$A:$B,2,0),AE214,1),"")</f>
        <v>S</v>
      </c>
      <c r="AE214" s="3">
        <v>169</v>
      </c>
      <c r="AF214" s="3" t="str">
        <f>IFERROR(MID(VLOOKUP($B214,Seqs!$A:$B,2,0),AG214,1),"")</f>
        <v>C</v>
      </c>
      <c r="AG214" s="3">
        <v>180</v>
      </c>
      <c r="AH214" s="3" t="str">
        <f>IFERROR(MID(VLOOKUP($B214,Seqs!$A:$B,2,0),AI214,1),"")</f>
        <v>I</v>
      </c>
      <c r="AI214" s="3">
        <v>182</v>
      </c>
      <c r="AJ214" s="3" t="str">
        <f>IFERROR(MID(VLOOKUP($B214,Seqs!$A:$B,2,0),AK214,1),"")</f>
        <v>K</v>
      </c>
      <c r="AK214" s="3">
        <v>190</v>
      </c>
      <c r="AL214" s="3" t="str">
        <f>IFERROR(MID(VLOOKUP($B214,Seqs!$A:$B,2,0),AM214,1),"")</f>
        <v>S</v>
      </c>
      <c r="AM214" s="3">
        <v>226</v>
      </c>
      <c r="AN214" s="3" t="str">
        <f>IFERROR(MID(VLOOKUP($B214,Seqs!$A:$B,2,0),AO214,1),"")</f>
        <v>E</v>
      </c>
      <c r="AO214" s="3">
        <v>238</v>
      </c>
      <c r="AP214" s="3" t="str">
        <f>IFERROR(MID(VLOOKUP($B214,Seqs!$A:$B,2,0),AQ214,1),"")</f>
        <v>N</v>
      </c>
      <c r="AQ214" s="3">
        <v>274</v>
      </c>
      <c r="AR214" s="3" t="str">
        <f>IFERROR(MID(VLOOKUP($B214,Seqs!$A:$B,2,0),AS214,1),"")</f>
        <v>F</v>
      </c>
      <c r="AS214" s="3">
        <v>282</v>
      </c>
      <c r="AT214" s="3" t="str">
        <f>IFERROR(MID(VLOOKUP($B214,Seqs!$A:$B,2,0),AU214,1),"")</f>
        <v>L</v>
      </c>
      <c r="AU214" s="3">
        <v>308</v>
      </c>
      <c r="AV214" s="3" t="str">
        <f>IFERROR(MID(VLOOKUP($B214,Seqs!$A:$B,2,0),AW214,1),"")</f>
        <v>N</v>
      </c>
      <c r="AW214" s="3">
        <v>309</v>
      </c>
      <c r="AX214" s="3" t="str">
        <f>IFERROR(MID(VLOOKUP($B214,Seqs!$A:$B,2,0),AY214,1),"")</f>
        <v>F</v>
      </c>
      <c r="AY214" s="3">
        <v>320</v>
      </c>
      <c r="AZ214" s="77" t="str">
        <f>VLOOKUP(B214,Classification!A:D,2,0)</f>
        <v>A</v>
      </c>
      <c r="BA214" s="94" t="str">
        <f>VLOOKUP(B214,Classification!A:D,4,0)</f>
        <v>Tachykinin</v>
      </c>
      <c r="BB214" s="27" t="b">
        <f t="shared" ref="BB214" si="1399">AND(E214&lt;G214,OR(G214&lt;I214,I214="-"),OR(I214&lt;K214,I214="-"),OR(K214&lt;M214,K214="-"),M214&lt;O214,OR(O214&lt;Q214,Q214="-"),OR(Q214&lt;S214,Q214="-"),OR(S214&lt;U214,S214="-"),U214&lt;W214,OR(W214&lt;Y214,Y214="-"),OR(Y214&lt;AA214,Y214="-"),OR(AA214&lt;AC214,AA214="-"),AC214&lt;AE214,OR(AE214&lt;AG214,AG214="-"),OR(AG214&lt;AI214,AG214="-"),OR(AI214&lt;AK214,AI214="-"),AK214&lt;AM214,AM214&lt;AO214,AO214&lt;AQ214,AQ214&lt;AS214,AS214&lt;AU214,OR(AU214&lt;AW214,AW214="-"),OR(AW214&lt;AY214,AW214="-"))</f>
        <v>1</v>
      </c>
      <c r="BC214" s="23">
        <f t="shared" ref="BC214" si="1400">_xlfn.AGGREGATE(9,6,CH214:CS214)-_xlfn.AGGREGATE(9,6,BV214:CG214)+12</f>
        <v>252</v>
      </c>
      <c r="BD214" s="5" t="s">
        <v>1376</v>
      </c>
      <c r="BE214" s="3" t="s">
        <v>1374</v>
      </c>
      <c r="BF214" s="119">
        <v>2.2000000000000002</v>
      </c>
      <c r="BG214" s="49" t="s">
        <v>1</v>
      </c>
      <c r="BH214" s="49" t="s">
        <v>1</v>
      </c>
      <c r="BI214" s="1"/>
      <c r="BJ214" s="70" t="s">
        <v>1287</v>
      </c>
      <c r="BK214" s="57" t="s">
        <v>1287</v>
      </c>
      <c r="BL214" s="57" t="s">
        <v>1287</v>
      </c>
      <c r="BM214" s="57" t="s">
        <v>1287</v>
      </c>
      <c r="BN214" s="57" t="s">
        <v>1287</v>
      </c>
      <c r="BO214" s="57" t="s">
        <v>1287</v>
      </c>
      <c r="BP214" s="57" t="s">
        <v>1287</v>
      </c>
      <c r="BQ214" s="57" t="s">
        <v>1287</v>
      </c>
      <c r="BR214" s="57" t="s">
        <v>1287</v>
      </c>
      <c r="BS214" s="57" t="s">
        <v>1287</v>
      </c>
      <c r="BT214" s="57" t="s">
        <v>1287</v>
      </c>
      <c r="BU214" s="57" t="s">
        <v>1287</v>
      </c>
      <c r="BV214" s="70">
        <f t="shared" ref="BV214" si="1401">E214</f>
        <v>28</v>
      </c>
      <c r="BW214" s="71">
        <f t="shared" ref="BW214" si="1402">I214</f>
        <v>61</v>
      </c>
      <c r="BX214" s="72">
        <f t="shared" ref="BX214" si="1403">M214</f>
        <v>65</v>
      </c>
      <c r="BY214" s="71">
        <f t="shared" ref="BY214" si="1404">Q214</f>
        <v>97</v>
      </c>
      <c r="BZ214" s="72">
        <f t="shared" ref="BZ214" si="1405">U214</f>
        <v>101</v>
      </c>
      <c r="CA214" s="71" t="str">
        <f t="shared" ref="CA214" si="1406">Y214</f>
        <v>-</v>
      </c>
      <c r="CB214" s="72">
        <f t="shared" ref="CB214" si="1407">AC214</f>
        <v>143</v>
      </c>
      <c r="CC214" s="71">
        <f t="shared" ref="CC214" si="1408">AG214</f>
        <v>180</v>
      </c>
      <c r="CD214" s="72">
        <f t="shared" ref="CD214" si="1409">AK214</f>
        <v>190</v>
      </c>
      <c r="CE214" s="71">
        <f t="shared" ref="CE214" si="1410">AO214</f>
        <v>238</v>
      </c>
      <c r="CF214" s="72">
        <f t="shared" ref="CF214" si="1411">AS214</f>
        <v>282</v>
      </c>
      <c r="CG214" s="71">
        <f t="shared" ref="CG214" si="1412">AW214</f>
        <v>309</v>
      </c>
      <c r="CH214" s="70">
        <f t="shared" ref="CH214" si="1413">G214</f>
        <v>60</v>
      </c>
      <c r="CI214" s="71">
        <f t="shared" ref="CI214" si="1414">K214</f>
        <v>64</v>
      </c>
      <c r="CJ214" s="72">
        <f t="shared" ref="CJ214" si="1415">O214</f>
        <v>95</v>
      </c>
      <c r="CK214" s="72">
        <f t="shared" ref="CK214" si="1416">S214</f>
        <v>100</v>
      </c>
      <c r="CL214" s="72">
        <f t="shared" ref="CL214" si="1417">W214</f>
        <v>136</v>
      </c>
      <c r="CM214" s="72" t="str">
        <f t="shared" ref="CM214" si="1418">AA214</f>
        <v>-</v>
      </c>
      <c r="CN214" s="72">
        <f t="shared" ref="CN214" si="1419">AE214</f>
        <v>169</v>
      </c>
      <c r="CO214" s="72">
        <f t="shared" ref="CO214" si="1420">AI214</f>
        <v>182</v>
      </c>
      <c r="CP214" s="72">
        <f t="shared" ref="CP214" si="1421">AM214</f>
        <v>226</v>
      </c>
      <c r="CQ214" s="72">
        <f t="shared" ref="CQ214" si="1422">AQ214</f>
        <v>274</v>
      </c>
      <c r="CR214" s="72">
        <f t="shared" ref="CR214" si="1423">AU214</f>
        <v>308</v>
      </c>
      <c r="CS214" s="72">
        <f t="shared" ref="CS214" si="1424">AY214</f>
        <v>320</v>
      </c>
      <c r="CT214" s="23">
        <f t="shared" ref="CT214" si="1425">M214-K214</f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29" x14ac:dyDescent="0.2">
      <c r="A215" s="3" t="str">
        <f t="shared" ref="A215" si="1426">CONCATENATE(B215,"_",C215)</f>
        <v>nk1r_human_6J20</v>
      </c>
      <c r="B215" s="3" t="s">
        <v>314</v>
      </c>
      <c r="C215" s="134" t="s">
        <v>1562</v>
      </c>
      <c r="D215" s="3" t="str">
        <f>IFERROR(MID(VLOOKUP($B215,Seqs!$A:$B,2,0),E215,1),"")</f>
        <v>P</v>
      </c>
      <c r="E215" s="3">
        <v>28</v>
      </c>
      <c r="F215" s="3" t="str">
        <f>IFERROR(MID(VLOOKUP($B215,Seqs!$A:$B,2,0),G215,1),"")</f>
        <v>A</v>
      </c>
      <c r="G215" s="3">
        <v>59</v>
      </c>
      <c r="H215" s="3" t="str">
        <f>IFERROR(MID(VLOOKUP($B215,Seqs!$A:$B,2,0),I215,1),"")</f>
        <v/>
      </c>
      <c r="I215" s="23" t="s">
        <v>23</v>
      </c>
      <c r="J215" s="3" t="str">
        <f>IFERROR(MID(VLOOKUP($B215,Seqs!$A:$B,2,0),K215,1),"")</f>
        <v/>
      </c>
      <c r="K215" s="23" t="s">
        <v>23</v>
      </c>
      <c r="L215" s="3" t="str">
        <f>IFERROR(MID(VLOOKUP($B215,Seqs!$A:$B,2,0),M215,1),"")</f>
        <v>V</v>
      </c>
      <c r="M215" s="3">
        <v>66</v>
      </c>
      <c r="N215" s="3" t="str">
        <f>IFERROR(MID(VLOOKUP($B215,Seqs!$A:$B,2,0),O215,1),"")</f>
        <v>N</v>
      </c>
      <c r="O215" s="3">
        <v>96</v>
      </c>
      <c r="P215" s="3" t="str">
        <f>IFERROR(MID(VLOOKUP($B215,Seqs!$A:$B,2,0),Q215,1),"")</f>
        <v>E</v>
      </c>
      <c r="Q215" s="3">
        <v>97</v>
      </c>
      <c r="R215" s="3" t="str">
        <f>IFERROR(MID(VLOOKUP($B215,Seqs!$A:$B,2,0),S215,1),"")</f>
        <v>Y</v>
      </c>
      <c r="S215" s="3">
        <v>100</v>
      </c>
      <c r="T215" s="3" t="str">
        <f>IFERROR(MID(VLOOKUP($B215,Seqs!$A:$B,2,0),U215,1),"")</f>
        <v>G</v>
      </c>
      <c r="U215" s="3">
        <v>101</v>
      </c>
      <c r="V215" s="3" t="str">
        <f>IFERROR(MID(VLOOKUP($B215,Seqs!$A:$B,2,0),W215,1),"")</f>
        <v>H</v>
      </c>
      <c r="W215" s="3">
        <v>136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S</v>
      </c>
      <c r="AC215" s="3">
        <v>143</v>
      </c>
      <c r="AD215" s="3" t="str">
        <f>IFERROR(MID(VLOOKUP($B215,Seqs!$A:$B,2,0),AE215,1),"")</f>
        <v>S</v>
      </c>
      <c r="AE215" s="3">
        <v>169</v>
      </c>
      <c r="AF215" s="3" t="str">
        <f>IFERROR(MID(VLOOKUP($B215,Seqs!$A:$B,2,0),AG215,1),"")</f>
        <v>C</v>
      </c>
      <c r="AG215" s="3">
        <v>180</v>
      </c>
      <c r="AH215" s="3" t="str">
        <f>IFERROR(MID(VLOOKUP($B215,Seqs!$A:$B,2,0),AI215,1),"")</f>
        <v>I</v>
      </c>
      <c r="AI215" s="3">
        <v>182</v>
      </c>
      <c r="AJ215" s="3" t="str">
        <f>IFERROR(MID(VLOOKUP($B215,Seqs!$A:$B,2,0),AK215,1),"")</f>
        <v>K</v>
      </c>
      <c r="AK215" s="3">
        <v>190</v>
      </c>
      <c r="AL215" s="3" t="str">
        <f>IFERROR(MID(VLOOKUP($B215,Seqs!$A:$B,2,0),AM215,1),"")</f>
        <v>A</v>
      </c>
      <c r="AM215" s="3">
        <v>225</v>
      </c>
      <c r="AN215" s="3" t="str">
        <f>IFERROR(MID(VLOOKUP($B215,Seqs!$A:$B,2,0),AO215,1),"")</f>
        <v>S</v>
      </c>
      <c r="AO215" s="3">
        <v>241</v>
      </c>
      <c r="AP215" s="3" t="str">
        <f>IFERROR(MID(VLOOKUP($B215,Seqs!$A:$B,2,0),AQ215,1),"")</f>
        <v>N</v>
      </c>
      <c r="AQ215" s="3">
        <v>274</v>
      </c>
      <c r="AR215" s="3" t="str">
        <f>IFERROR(MID(VLOOKUP($B215,Seqs!$A:$B,2,0),AS215,1),"")</f>
        <v>I</v>
      </c>
      <c r="AS215" s="3">
        <v>283</v>
      </c>
      <c r="AT215" s="3" t="str">
        <f>IFERROR(MID(VLOOKUP($B215,Seqs!$A:$B,2,0),AU215,1),"")</f>
        <v>L</v>
      </c>
      <c r="AU215" s="3">
        <v>308</v>
      </c>
      <c r="AV215" s="3" t="str">
        <f>IFERROR(MID(VLOOKUP($B215,Seqs!$A:$B,2,0),AW215,1),"")</f>
        <v>N</v>
      </c>
      <c r="AW215" s="3">
        <v>309</v>
      </c>
      <c r="AX215" s="3" t="str">
        <f>IFERROR(MID(VLOOKUP($B215,Seqs!$A:$B,2,0),AY215,1),"")</f>
        <v>A</v>
      </c>
      <c r="AY215" s="3">
        <v>319</v>
      </c>
      <c r="AZ215" s="77" t="str">
        <f>VLOOKUP(B215,Classification!A:D,2,0)</f>
        <v>A</v>
      </c>
      <c r="BA215" s="94" t="str">
        <f>VLOOKUP(B215,Classification!A:D,4,0)</f>
        <v>Tachykinin</v>
      </c>
      <c r="BB215" s="27" t="b">
        <f t="shared" ref="BB215" si="1427"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23">
        <f t="shared" ref="BC215" si="1428">_xlfn.AGGREGATE(9,6,CH215:CS215)-_xlfn.AGGREGATE(9,6,BV215:CG215)+12</f>
        <v>242</v>
      </c>
      <c r="BD215" s="5" t="s">
        <v>23</v>
      </c>
      <c r="BE215" s="3" t="s">
        <v>1374</v>
      </c>
      <c r="BF215" s="119">
        <v>2.7</v>
      </c>
      <c r="BG215" s="49" t="s">
        <v>1</v>
      </c>
      <c r="BH215" s="49" t="s">
        <v>1</v>
      </c>
      <c r="BI215" s="1"/>
      <c r="BJ215" s="70" t="s">
        <v>1287</v>
      </c>
      <c r="BK215" s="57" t="s">
        <v>1287</v>
      </c>
      <c r="BL215" s="57" t="s">
        <v>1287</v>
      </c>
      <c r="BM215" s="57" t="s">
        <v>1287</v>
      </c>
      <c r="BN215" s="57" t="s">
        <v>1287</v>
      </c>
      <c r="BO215" s="57" t="s">
        <v>1287</v>
      </c>
      <c r="BP215" s="57" t="s">
        <v>1287</v>
      </c>
      <c r="BQ215" s="57" t="s">
        <v>1287</v>
      </c>
      <c r="BR215" s="57" t="s">
        <v>1287</v>
      </c>
      <c r="BS215" s="57" t="s">
        <v>1287</v>
      </c>
      <c r="BT215" s="57" t="s">
        <v>1287</v>
      </c>
      <c r="BU215" s="57" t="s">
        <v>1287</v>
      </c>
      <c r="BV215" s="70">
        <f t="shared" ref="BV215" si="1429">E215</f>
        <v>28</v>
      </c>
      <c r="BW215" s="71" t="str">
        <f t="shared" ref="BW215" si="1430">I215</f>
        <v>-</v>
      </c>
      <c r="BX215" s="72">
        <f t="shared" ref="BX215" si="1431">M215</f>
        <v>66</v>
      </c>
      <c r="BY215" s="71">
        <f t="shared" ref="BY215" si="1432">Q215</f>
        <v>97</v>
      </c>
      <c r="BZ215" s="72">
        <f t="shared" ref="BZ215" si="1433">U215</f>
        <v>101</v>
      </c>
      <c r="CA215" s="71" t="str">
        <f t="shared" ref="CA215" si="1434">Y215</f>
        <v>-</v>
      </c>
      <c r="CB215" s="72">
        <f t="shared" ref="CB215" si="1435">AC215</f>
        <v>143</v>
      </c>
      <c r="CC215" s="71">
        <f t="shared" ref="CC215" si="1436">AG215</f>
        <v>180</v>
      </c>
      <c r="CD215" s="72">
        <f t="shared" ref="CD215" si="1437">AK215</f>
        <v>190</v>
      </c>
      <c r="CE215" s="71">
        <f t="shared" ref="CE215" si="1438">AO215</f>
        <v>241</v>
      </c>
      <c r="CF215" s="72">
        <f t="shared" ref="CF215" si="1439">AS215</f>
        <v>283</v>
      </c>
      <c r="CG215" s="71">
        <f t="shared" ref="CG215" si="1440">AW215</f>
        <v>309</v>
      </c>
      <c r="CH215" s="70">
        <f t="shared" ref="CH215" si="1441">G215</f>
        <v>59</v>
      </c>
      <c r="CI215" s="71" t="str">
        <f t="shared" ref="CI215" si="1442">K215</f>
        <v>-</v>
      </c>
      <c r="CJ215" s="72">
        <f t="shared" ref="CJ215" si="1443">O215</f>
        <v>96</v>
      </c>
      <c r="CK215" s="72">
        <f t="shared" ref="CK215" si="1444">S215</f>
        <v>100</v>
      </c>
      <c r="CL215" s="72">
        <f t="shared" ref="CL215" si="1445">W215</f>
        <v>136</v>
      </c>
      <c r="CM215" s="72" t="str">
        <f t="shared" ref="CM215" si="1446">AA215</f>
        <v>-</v>
      </c>
      <c r="CN215" s="72">
        <f t="shared" ref="CN215" si="1447">AE215</f>
        <v>169</v>
      </c>
      <c r="CO215" s="72">
        <f t="shared" ref="CO215" si="1448">AI215</f>
        <v>182</v>
      </c>
      <c r="CP215" s="72">
        <f t="shared" ref="CP215" si="1449">AM215</f>
        <v>225</v>
      </c>
      <c r="CQ215" s="72">
        <f t="shared" ref="CQ215" si="1450">AQ215</f>
        <v>274</v>
      </c>
      <c r="CR215" s="72">
        <f t="shared" ref="CR215" si="1451">AU215</f>
        <v>308</v>
      </c>
      <c r="CS215" s="72">
        <f t="shared" ref="CS215" si="1452">AY215</f>
        <v>319</v>
      </c>
      <c r="CT215" s="23" t="e">
        <f t="shared" ref="CT215" si="1453">M215-K215</f>
        <v>#VALUE!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29" x14ac:dyDescent="0.2">
      <c r="A216" s="3" t="str">
        <f t="shared" ref="A216" si="1454">CONCATENATE(B216,"_",C216)</f>
        <v>nk1r_human_6J21</v>
      </c>
      <c r="B216" s="3" t="s">
        <v>314</v>
      </c>
      <c r="C216" s="134" t="s">
        <v>1563</v>
      </c>
      <c r="D216" s="3" t="str">
        <f>IFERROR(MID(VLOOKUP($B216,Seqs!$A:$B,2,0),E216,1),"")</f>
        <v>P</v>
      </c>
      <c r="E216" s="3">
        <v>28</v>
      </c>
      <c r="F216" s="3" t="str">
        <f>IFERROR(MID(VLOOKUP($B216,Seqs!$A:$B,2,0),G216,1),"")</f>
        <v>A</v>
      </c>
      <c r="G216" s="3">
        <v>59</v>
      </c>
      <c r="H216" s="3" t="str">
        <f>IFERROR(MID(VLOOKUP($B216,Seqs!$A:$B,2,0),I216,1),"")</f>
        <v/>
      </c>
      <c r="I216" s="23" t="s">
        <v>23</v>
      </c>
      <c r="J216" s="3" t="str">
        <f>IFERROR(MID(VLOOKUP($B216,Seqs!$A:$B,2,0),K216,1),"")</f>
        <v/>
      </c>
      <c r="K216" s="23" t="s">
        <v>23</v>
      </c>
      <c r="L216" s="3" t="str">
        <f>IFERROR(MID(VLOOKUP($B216,Seqs!$A:$B,2,0),M216,1),"")</f>
        <v>T</v>
      </c>
      <c r="M216" s="3">
        <v>65</v>
      </c>
      <c r="N216" s="3" t="str">
        <f>IFERROR(MID(VLOOKUP($B216,Seqs!$A:$B,2,0),O216,1),"")</f>
        <v>N</v>
      </c>
      <c r="O216" s="3">
        <v>96</v>
      </c>
      <c r="P216" s="3" t="str">
        <f>IFERROR(MID(VLOOKUP($B216,Seqs!$A:$B,2,0),Q216,1),"")</f>
        <v>E</v>
      </c>
      <c r="Q216" s="3">
        <v>97</v>
      </c>
      <c r="R216" s="3" t="str">
        <f>IFERROR(MID(VLOOKUP($B216,Seqs!$A:$B,2,0),S216,1),"")</f>
        <v>Y</v>
      </c>
      <c r="S216" s="3">
        <v>100</v>
      </c>
      <c r="T216" s="3" t="str">
        <f>IFERROR(MID(VLOOKUP($B216,Seqs!$A:$B,2,0),U216,1),"")</f>
        <v>G</v>
      </c>
      <c r="U216" s="3">
        <v>101</v>
      </c>
      <c r="V216" s="3" t="str">
        <f>IFERROR(MID(VLOOKUP($B216,Seqs!$A:$B,2,0),W216,1),"")</f>
        <v>H</v>
      </c>
      <c r="W216" s="3">
        <v>136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S</v>
      </c>
      <c r="AC216" s="3">
        <v>143</v>
      </c>
      <c r="AD216" s="3" t="str">
        <f>IFERROR(MID(VLOOKUP($B216,Seqs!$A:$B,2,0),AE216,1),"")</f>
        <v>S</v>
      </c>
      <c r="AE216" s="3">
        <v>169</v>
      </c>
      <c r="AF216" s="3" t="str">
        <f>IFERROR(MID(VLOOKUP($B216,Seqs!$A:$B,2,0),AG216,1),"")</f>
        <v>C</v>
      </c>
      <c r="AG216" s="3">
        <v>180</v>
      </c>
      <c r="AH216" s="3" t="str">
        <f>IFERROR(MID(VLOOKUP($B216,Seqs!$A:$B,2,0),AI216,1),"")</f>
        <v>I</v>
      </c>
      <c r="AI216" s="3">
        <v>182</v>
      </c>
      <c r="AJ216" s="3" t="str">
        <f>IFERROR(MID(VLOOKUP($B216,Seqs!$A:$B,2,0),AK216,1),"")</f>
        <v>I</v>
      </c>
      <c r="AK216" s="3">
        <v>191</v>
      </c>
      <c r="AL216" s="3" t="str">
        <f>IFERROR(MID(VLOOKUP($B216,Seqs!$A:$B,2,0),AM216,1),"")</f>
        <v>A</v>
      </c>
      <c r="AM216" s="3">
        <v>225</v>
      </c>
      <c r="AN216" s="3" t="str">
        <f>IFERROR(MID(VLOOKUP($B216,Seqs!$A:$B,2,0),AO216,1),"")</f>
        <v>A</v>
      </c>
      <c r="AO216" s="3">
        <v>242</v>
      </c>
      <c r="AP216" s="3" t="str">
        <f>IFERROR(MID(VLOOKUP($B216,Seqs!$A:$B,2,0),AQ216,1),"")</f>
        <v>N</v>
      </c>
      <c r="AQ216" s="3">
        <v>274</v>
      </c>
      <c r="AR216" s="3" t="str">
        <f>IFERROR(MID(VLOOKUP($B216,Seqs!$A:$B,2,0),AS216,1),"")</f>
        <v>F</v>
      </c>
      <c r="AS216" s="3">
        <v>282</v>
      </c>
      <c r="AT216" s="3" t="str">
        <f>IFERROR(MID(VLOOKUP($B216,Seqs!$A:$B,2,0),AU216,1),"")</f>
        <v>L</v>
      </c>
      <c r="AU216" s="3">
        <v>308</v>
      </c>
      <c r="AV216" s="3" t="str">
        <f>IFERROR(MID(VLOOKUP($B216,Seqs!$A:$B,2,0),AW216,1),"")</f>
        <v>N</v>
      </c>
      <c r="AW216" s="3">
        <v>309</v>
      </c>
      <c r="AX216" s="3" t="str">
        <f>IFERROR(MID(VLOOKUP($B216,Seqs!$A:$B,2,0),AY216,1),"")</f>
        <v>A</v>
      </c>
      <c r="AY216" s="3">
        <v>319</v>
      </c>
      <c r="AZ216" s="77" t="str">
        <f>VLOOKUP(B216,Classification!A:D,2,0)</f>
        <v>A</v>
      </c>
      <c r="BA216" s="94" t="str">
        <f>VLOOKUP(B216,Classification!A:D,4,0)</f>
        <v>Tachykinin</v>
      </c>
      <c r="BB216" s="27" t="b">
        <f t="shared" ref="BB216" si="1455"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 t="shared" ref="BC216" si="1456">_xlfn.AGGREGATE(9,6,CH216:CS216)-_xlfn.AGGREGATE(9,6,BV216:CG216)+12</f>
        <v>242</v>
      </c>
      <c r="BD216" s="5" t="s">
        <v>23</v>
      </c>
      <c r="BE216" s="3" t="s">
        <v>1374</v>
      </c>
      <c r="BF216" s="119">
        <v>3.2</v>
      </c>
      <c r="BG216" s="49" t="s">
        <v>1</v>
      </c>
      <c r="BH216" s="49" t="s">
        <v>1</v>
      </c>
      <c r="BI216" s="1"/>
      <c r="BJ216" s="70" t="s">
        <v>1287</v>
      </c>
      <c r="BK216" s="57" t="s">
        <v>1287</v>
      </c>
      <c r="BL216" s="57" t="s">
        <v>1287</v>
      </c>
      <c r="BM216" s="57" t="s">
        <v>1287</v>
      </c>
      <c r="BN216" s="57" t="s">
        <v>1287</v>
      </c>
      <c r="BO216" s="57" t="s">
        <v>1287</v>
      </c>
      <c r="BP216" s="57" t="s">
        <v>1287</v>
      </c>
      <c r="BQ216" s="57" t="s">
        <v>1287</v>
      </c>
      <c r="BR216" s="57" t="s">
        <v>1287</v>
      </c>
      <c r="BS216" s="57" t="s">
        <v>1287</v>
      </c>
      <c r="BT216" s="57" t="s">
        <v>1287</v>
      </c>
      <c r="BU216" s="57" t="s">
        <v>1287</v>
      </c>
      <c r="BV216" s="70">
        <f t="shared" ref="BV216" si="1457">E216</f>
        <v>28</v>
      </c>
      <c r="BW216" s="71" t="str">
        <f t="shared" ref="BW216" si="1458">I216</f>
        <v>-</v>
      </c>
      <c r="BX216" s="72">
        <f t="shared" ref="BX216" si="1459">M216</f>
        <v>65</v>
      </c>
      <c r="BY216" s="71">
        <f t="shared" ref="BY216" si="1460">Q216</f>
        <v>97</v>
      </c>
      <c r="BZ216" s="72">
        <f t="shared" ref="BZ216" si="1461">U216</f>
        <v>101</v>
      </c>
      <c r="CA216" s="71" t="str">
        <f t="shared" ref="CA216" si="1462">Y216</f>
        <v>-</v>
      </c>
      <c r="CB216" s="72">
        <f t="shared" ref="CB216" si="1463">AC216</f>
        <v>143</v>
      </c>
      <c r="CC216" s="71">
        <f t="shared" ref="CC216" si="1464">AG216</f>
        <v>180</v>
      </c>
      <c r="CD216" s="72">
        <f t="shared" ref="CD216" si="1465">AK216</f>
        <v>191</v>
      </c>
      <c r="CE216" s="71">
        <f t="shared" ref="CE216" si="1466">AO216</f>
        <v>242</v>
      </c>
      <c r="CF216" s="72">
        <f t="shared" ref="CF216" si="1467">AS216</f>
        <v>282</v>
      </c>
      <c r="CG216" s="71">
        <f t="shared" ref="CG216" si="1468">AW216</f>
        <v>309</v>
      </c>
      <c r="CH216" s="70">
        <f t="shared" ref="CH216" si="1469">G216</f>
        <v>59</v>
      </c>
      <c r="CI216" s="71" t="str">
        <f t="shared" ref="CI216" si="1470">K216</f>
        <v>-</v>
      </c>
      <c r="CJ216" s="72">
        <f t="shared" ref="CJ216" si="1471">O216</f>
        <v>96</v>
      </c>
      <c r="CK216" s="72">
        <f t="shared" ref="CK216" si="1472">S216</f>
        <v>100</v>
      </c>
      <c r="CL216" s="72">
        <f t="shared" ref="CL216" si="1473">W216</f>
        <v>136</v>
      </c>
      <c r="CM216" s="72" t="str">
        <f t="shared" ref="CM216" si="1474">AA216</f>
        <v>-</v>
      </c>
      <c r="CN216" s="72">
        <f t="shared" ref="CN216" si="1475">AE216</f>
        <v>169</v>
      </c>
      <c r="CO216" s="72">
        <f t="shared" ref="CO216" si="1476">AI216</f>
        <v>182</v>
      </c>
      <c r="CP216" s="72">
        <f t="shared" ref="CP216" si="1477">AM216</f>
        <v>225</v>
      </c>
      <c r="CQ216" s="72">
        <f t="shared" ref="CQ216" si="1478">AQ216</f>
        <v>274</v>
      </c>
      <c r="CR216" s="72">
        <f t="shared" ref="CR216" si="1479">AU216</f>
        <v>308</v>
      </c>
      <c r="CS216" s="72">
        <f t="shared" ref="CS216" si="1480">AY216</f>
        <v>319</v>
      </c>
      <c r="CT216" s="23" t="e">
        <f t="shared" ref="CT216" si="1481">M216-K216</f>
        <v>#VALUE!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29" x14ac:dyDescent="0.2">
      <c r="A217" s="3" t="str">
        <f>CONCATENATE(B217,"_",C217)</f>
        <v>npy1r_human__wt</v>
      </c>
      <c r="B217" s="3" t="s">
        <v>325</v>
      </c>
      <c r="C217" s="3" t="s">
        <v>100</v>
      </c>
      <c r="D217" s="3" t="str">
        <f>IFERROR(MID(VLOOKUP($B217,Seqs!$A:$B,2,0),E217,1),"")</f>
        <v>P</v>
      </c>
      <c r="E217" s="3">
        <v>36</v>
      </c>
      <c r="F217" s="3" t="str">
        <f>IFERROR(MID(VLOOKUP($B217,Seqs!$A:$B,2,0),G217,1),"")</f>
        <v>Q</v>
      </c>
      <c r="G217" s="3">
        <v>68</v>
      </c>
      <c r="H217" s="3" t="str">
        <f>IFERROR(MID(VLOOKUP($B217,Seqs!$A:$B,2,0),I217,1),"")</f>
        <v>K</v>
      </c>
      <c r="I217" s="23">
        <v>69</v>
      </c>
      <c r="J217" s="3" t="str">
        <f>IFERROR(MID(VLOOKUP($B217,Seqs!$A:$B,2,0),K217,1),"")</f>
        <v>R</v>
      </c>
      <c r="K217" s="23">
        <v>72</v>
      </c>
      <c r="L217" s="3" t="str">
        <f>IFERROR(MID(VLOOKUP($B217,Seqs!$A:$B,2,0),M217,1),"")</f>
        <v>N</v>
      </c>
      <c r="M217" s="3">
        <v>73</v>
      </c>
      <c r="N217" s="3" t="str">
        <f>IFERROR(MID(VLOOKUP($B217,Seqs!$A:$B,2,0),O217,1),"")</f>
        <v>D</v>
      </c>
      <c r="O217" s="3">
        <v>104</v>
      </c>
      <c r="P217" s="3" t="str">
        <f>IFERROR(MID(VLOOKUP($B217,Seqs!$A:$B,2,0),Q217,1),"")</f>
        <v>H</v>
      </c>
      <c r="Q217" s="3">
        <v>105</v>
      </c>
      <c r="R217" s="3" t="str">
        <f>IFERROR(MID(VLOOKUP($B217,Seqs!$A:$B,2,0),S217,1),"")</f>
        <v>F</v>
      </c>
      <c r="S217" s="3">
        <v>108</v>
      </c>
      <c r="T217" s="3" t="str">
        <f>IFERROR(MID(VLOOKUP($B217,Seqs!$A:$B,2,0),U217,1),"")</f>
        <v>G</v>
      </c>
      <c r="U217" s="3">
        <v>109</v>
      </c>
      <c r="V217" s="3" t="str">
        <f>IFERROR(MID(VLOOKUP($B217,Seqs!$A:$B,2,0),W217,1),"")</f>
        <v>N</v>
      </c>
      <c r="W217" s="3">
        <v>144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N</v>
      </c>
      <c r="AC217" s="3">
        <v>151</v>
      </c>
      <c r="AD217" s="3" t="str">
        <f>IFERROR(MID(VLOOKUP($B217,Seqs!$A:$B,2,0),AE217,1),"")</f>
        <v>Q</v>
      </c>
      <c r="AE217" s="3">
        <v>177</v>
      </c>
      <c r="AF217" s="3" t="str">
        <f>IFERROR(MID(VLOOKUP($B217,Seqs!$A:$B,2,0),AG217,1),"")</f>
        <v>C</v>
      </c>
      <c r="AG217" s="3">
        <v>198</v>
      </c>
      <c r="AH217" s="3" t="str">
        <f>IFERROR(MID(VLOOKUP($B217,Seqs!$A:$B,2,0),AI217,1),"")</f>
        <v>D</v>
      </c>
      <c r="AI217" s="3">
        <v>200</v>
      </c>
      <c r="AJ217" s="3" t="str">
        <f>IFERROR(MID(VLOOKUP($B217,Seqs!$A:$B,2,0),AK217,1),"")</f>
        <v>S</v>
      </c>
      <c r="AK217" s="3">
        <v>204</v>
      </c>
      <c r="AL217" s="3" t="str">
        <f>IFERROR(MID(VLOOKUP($B217,Seqs!$A:$B,2,0),AM217,1),"")</f>
        <v>M</v>
      </c>
      <c r="AM217" s="3">
        <v>245</v>
      </c>
      <c r="AN217" s="3" t="str">
        <f>IFERROR(MID(VLOOKUP($B217,Seqs!$A:$B,2,0),AO217,1),"")</f>
        <v>D</v>
      </c>
      <c r="AO217" s="3">
        <v>250</v>
      </c>
      <c r="AP217" s="3" t="str">
        <f>IFERROR(MID(VLOOKUP($B217,Seqs!$A:$B,2,0),AQ217,1),"")</f>
        <v>N</v>
      </c>
      <c r="AQ217" s="3">
        <v>289</v>
      </c>
      <c r="AR217" s="3" t="str">
        <f>IFERROR(MID(VLOOKUP($B217,Seqs!$A:$B,2,0),AS217,1),"")</f>
        <v>T</v>
      </c>
      <c r="AS217" s="3">
        <v>295</v>
      </c>
      <c r="AT217" s="3" t="str">
        <f>IFERROR(MID(VLOOKUP($B217,Seqs!$A:$B,2,0),AU217,1),"")</f>
        <v>L</v>
      </c>
      <c r="AU217" s="3">
        <v>323</v>
      </c>
      <c r="AV217" s="3" t="str">
        <f>IFERROR(MID(VLOOKUP($B217,Seqs!$A:$B,2,0),AW217,1),"")</f>
        <v>N</v>
      </c>
      <c r="AW217" s="3">
        <v>324</v>
      </c>
      <c r="AX217" s="3" t="str">
        <f>IFERROR(MID(VLOOKUP($B217,Seqs!$A:$B,2,0),AY217,1),"")</f>
        <v>F</v>
      </c>
      <c r="AY217" s="3">
        <v>335</v>
      </c>
      <c r="AZ217" s="77" t="str">
        <f>VLOOKUP(B217,Classification!A:D,2,0)</f>
        <v>A</v>
      </c>
      <c r="BA217" s="94" t="str">
        <f>VLOOKUP(B217,Classification!A:D,4,0)</f>
        <v>NeuropeptideY</v>
      </c>
      <c r="BB217" s="27" t="b">
        <f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>_xlfn.AGGREGATE(9,6,CH217:CS217)-_xlfn.AGGREGATE(9,6,BV217:CG217)+12</f>
        <v>263</v>
      </c>
      <c r="BD217" s="5" t="s">
        <v>23</v>
      </c>
      <c r="BE217" s="3" t="s">
        <v>1374</v>
      </c>
      <c r="BF217" s="119" t="s">
        <v>23</v>
      </c>
      <c r="BG217" s="49" t="s">
        <v>1377</v>
      </c>
      <c r="BH217" s="49" t="s">
        <v>1377</v>
      </c>
      <c r="BI217" s="1"/>
      <c r="BJ217" s="70" t="s">
        <v>1287</v>
      </c>
      <c r="BK217" s="57" t="s">
        <v>1287</v>
      </c>
      <c r="BL217" s="57" t="s">
        <v>1287</v>
      </c>
      <c r="BM217" s="57" t="s">
        <v>1287</v>
      </c>
      <c r="BN217" s="57" t="s">
        <v>1287</v>
      </c>
      <c r="BO217" s="57" t="s">
        <v>1287</v>
      </c>
      <c r="BP217" s="57" t="s">
        <v>1287</v>
      </c>
      <c r="BQ217" s="57" t="s">
        <v>1287</v>
      </c>
      <c r="BR217" s="57" t="s">
        <v>1287</v>
      </c>
      <c r="BS217" s="57" t="s">
        <v>1287</v>
      </c>
      <c r="BT217" s="57" t="s">
        <v>1287</v>
      </c>
      <c r="BU217" s="57" t="s">
        <v>1287</v>
      </c>
      <c r="BV217" s="70">
        <f>E217</f>
        <v>36</v>
      </c>
      <c r="BW217" s="71">
        <f>I217</f>
        <v>69</v>
      </c>
      <c r="BX217" s="72">
        <f>M217</f>
        <v>73</v>
      </c>
      <c r="BY217" s="71">
        <f>Q217</f>
        <v>105</v>
      </c>
      <c r="BZ217" s="72">
        <f>U217</f>
        <v>109</v>
      </c>
      <c r="CA217" s="71" t="str">
        <f>Y217</f>
        <v>-</v>
      </c>
      <c r="CB217" s="72">
        <f>AC217</f>
        <v>151</v>
      </c>
      <c r="CC217" s="71">
        <f>AG217</f>
        <v>198</v>
      </c>
      <c r="CD217" s="72">
        <f>AK217</f>
        <v>204</v>
      </c>
      <c r="CE217" s="71">
        <f>AO217</f>
        <v>250</v>
      </c>
      <c r="CF217" s="72">
        <f>AS217</f>
        <v>295</v>
      </c>
      <c r="CG217" s="71">
        <f>AW217</f>
        <v>324</v>
      </c>
      <c r="CH217" s="70">
        <f>G217</f>
        <v>68</v>
      </c>
      <c r="CI217" s="71">
        <f>K217</f>
        <v>72</v>
      </c>
      <c r="CJ217" s="72">
        <f>O217</f>
        <v>104</v>
      </c>
      <c r="CK217" s="72">
        <f>S217</f>
        <v>108</v>
      </c>
      <c r="CL217" s="72">
        <f>W217</f>
        <v>144</v>
      </c>
      <c r="CM217" s="72" t="str">
        <f>AA217</f>
        <v>-</v>
      </c>
      <c r="CN217" s="72">
        <f>AE217</f>
        <v>177</v>
      </c>
      <c r="CO217" s="72">
        <f>AI217</f>
        <v>200</v>
      </c>
      <c r="CP217" s="72">
        <f>AM217</f>
        <v>245</v>
      </c>
      <c r="CQ217" s="72">
        <f>AQ217</f>
        <v>289</v>
      </c>
      <c r="CR217" s="72">
        <f>AU217</f>
        <v>323</v>
      </c>
      <c r="CS217" s="72">
        <f>AY217</f>
        <v>335</v>
      </c>
      <c r="CT217" s="23">
        <f>M217-K217</f>
        <v>1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29" x14ac:dyDescent="0.2">
      <c r="A218" s="3" t="str">
        <f>CONCATENATE(B218,"_",C218)</f>
        <v>npy1r_human_5ZBH</v>
      </c>
      <c r="B218" s="3" t="s">
        <v>325</v>
      </c>
      <c r="C218" s="3" t="s">
        <v>1490</v>
      </c>
      <c r="D218" s="3" t="str">
        <f>IFERROR(MID(VLOOKUP($B218,Seqs!$A:$B,2,0),E218,1),"")</f>
        <v>P</v>
      </c>
      <c r="E218" s="3">
        <v>36</v>
      </c>
      <c r="F218" s="3" t="str">
        <f>IFERROR(MID(VLOOKUP($B218,Seqs!$A:$B,2,0),G218,1),"")</f>
        <v>Q</v>
      </c>
      <c r="G218" s="3">
        <v>68</v>
      </c>
      <c r="H218" s="3" t="str">
        <f>IFERROR(MID(VLOOKUP($B218,Seqs!$A:$B,2,0),I218,1),"")</f>
        <v>K</v>
      </c>
      <c r="I218" s="23">
        <v>69</v>
      </c>
      <c r="J218" s="3" t="str">
        <f>IFERROR(MID(VLOOKUP($B218,Seqs!$A:$B,2,0),K218,1),"")</f>
        <v>R</v>
      </c>
      <c r="K218" s="23">
        <v>72</v>
      </c>
      <c r="L218" s="3" t="str">
        <f>IFERROR(MID(VLOOKUP($B218,Seqs!$A:$B,2,0),M218,1),"")</f>
        <v>N</v>
      </c>
      <c r="M218" s="3">
        <v>73</v>
      </c>
      <c r="N218" s="3" t="str">
        <f>IFERROR(MID(VLOOKUP($B218,Seqs!$A:$B,2,0),O218,1),"")</f>
        <v>M</v>
      </c>
      <c r="O218" s="3">
        <v>103</v>
      </c>
      <c r="P218" s="3" t="str">
        <f>IFERROR(MID(VLOOKUP($B218,Seqs!$A:$B,2,0),Q218,1),"")</f>
        <v>H</v>
      </c>
      <c r="Q218" s="3">
        <v>105</v>
      </c>
      <c r="R218" s="3" t="str">
        <f>IFERROR(MID(VLOOKUP($B218,Seqs!$A:$B,2,0),S218,1),"")</f>
        <v>F</v>
      </c>
      <c r="S218" s="3">
        <v>108</v>
      </c>
      <c r="T218" s="3" t="str">
        <f>IFERROR(MID(VLOOKUP($B218,Seqs!$A:$B,2,0),U218,1),"")</f>
        <v>G</v>
      </c>
      <c r="U218" s="3">
        <v>109</v>
      </c>
      <c r="V218" s="3" t="str">
        <f>IFERROR(MID(VLOOKUP($B218,Seqs!$A:$B,2,0),W218,1),"")</f>
        <v>N</v>
      </c>
      <c r="W218" s="3">
        <v>144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N</v>
      </c>
      <c r="AC218" s="3">
        <v>151</v>
      </c>
      <c r="AD218" s="3" t="str">
        <f>IFERROR(MID(VLOOKUP($B218,Seqs!$A:$B,2,0),AE218,1),"")</f>
        <v>Y</v>
      </c>
      <c r="AE218" s="3">
        <v>176</v>
      </c>
      <c r="AF218" s="3" t="str">
        <f>IFERROR(MID(VLOOKUP($B218,Seqs!$A:$B,2,0),AG218,1),"")</f>
        <v>C</v>
      </c>
      <c r="AG218" s="3">
        <v>198</v>
      </c>
      <c r="AH218" s="3" t="str">
        <f>IFERROR(MID(VLOOKUP($B218,Seqs!$A:$B,2,0),AI218,1),"")</f>
        <v>D</v>
      </c>
      <c r="AI218" s="3">
        <v>200</v>
      </c>
      <c r="AJ218" s="3" t="str">
        <f>IFERROR(MID(VLOOKUP($B218,Seqs!$A:$B,2,0),AK218,1),"")</f>
        <v>S</v>
      </c>
      <c r="AK218" s="3">
        <v>204</v>
      </c>
      <c r="AL218" s="3" t="str">
        <f>IFERROR(MID(VLOOKUP($B218,Seqs!$A:$B,2,0),AM218,1),"")</f>
        <v>R</v>
      </c>
      <c r="AM218" s="3">
        <v>241</v>
      </c>
      <c r="AN218" s="3" t="str">
        <f>IFERROR(MID(VLOOKUP($B218,Seqs!$A:$B,2,0),AO218,1),"")</f>
        <v>Y</v>
      </c>
      <c r="AO218" s="3">
        <v>253</v>
      </c>
      <c r="AP218" s="3" t="str">
        <f>IFERROR(MID(VLOOKUP($B218,Seqs!$A:$B,2,0),AQ218,1),"")</f>
        <v>N</v>
      </c>
      <c r="AQ218" s="3">
        <v>289</v>
      </c>
      <c r="AR218" s="3" t="str">
        <f>IFERROR(MID(VLOOKUP($B218,Seqs!$A:$B,2,0),AS218,1),"")</f>
        <v>T</v>
      </c>
      <c r="AS218" s="3">
        <v>295</v>
      </c>
      <c r="AT218" s="3" t="str">
        <f>IFERROR(MID(VLOOKUP($B218,Seqs!$A:$B,2,0),AU218,1),"")</f>
        <v>L</v>
      </c>
      <c r="AU218" s="3">
        <v>323</v>
      </c>
      <c r="AV218" s="3" t="str">
        <f>IFERROR(MID(VLOOKUP($B218,Seqs!$A:$B,2,0),AW218,1),"")</f>
        <v>N</v>
      </c>
      <c r="AW218" s="3">
        <v>324</v>
      </c>
      <c r="AX218" s="3" t="str">
        <f>IFERROR(MID(VLOOKUP($B218,Seqs!$A:$B,2,0),AY218,1),"")</f>
        <v>F</v>
      </c>
      <c r="AY218" s="3">
        <v>335</v>
      </c>
      <c r="AZ218" s="77" t="str">
        <f>VLOOKUP(B218,Classification!A:D,2,0)</f>
        <v>A</v>
      </c>
      <c r="BA218" s="94" t="str">
        <f>VLOOKUP(B218,Classification!A:D,4,0)</f>
        <v>NeuropeptideY</v>
      </c>
      <c r="BB218" s="27" t="b">
        <f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23">
        <f>_xlfn.AGGREGATE(9,6,CH218:CS218)-_xlfn.AGGREGATE(9,6,BV218:CG218)+12</f>
        <v>254</v>
      </c>
      <c r="BD218" s="5" t="s">
        <v>1376</v>
      </c>
      <c r="BE218" s="3" t="s">
        <v>1374</v>
      </c>
      <c r="BF218" s="119">
        <v>3</v>
      </c>
      <c r="BG218" s="49" t="s">
        <v>1</v>
      </c>
      <c r="BH218" s="49" t="s">
        <v>1</v>
      </c>
      <c r="BI218" s="1"/>
      <c r="BJ218" s="70" t="s">
        <v>1287</v>
      </c>
      <c r="BK218" s="57" t="s">
        <v>1287</v>
      </c>
      <c r="BL218" s="57" t="s">
        <v>1287</v>
      </c>
      <c r="BM218" s="57" t="s">
        <v>1287</v>
      </c>
      <c r="BN218" s="57" t="s">
        <v>1287</v>
      </c>
      <c r="BO218" s="57" t="s">
        <v>1287</v>
      </c>
      <c r="BP218" s="57" t="s">
        <v>1287</v>
      </c>
      <c r="BQ218" s="57" t="s">
        <v>1287</v>
      </c>
      <c r="BR218" s="57" t="s">
        <v>1287</v>
      </c>
      <c r="BS218" s="57" t="s">
        <v>1287</v>
      </c>
      <c r="BT218" s="57" t="s">
        <v>1287</v>
      </c>
      <c r="BU218" s="57" t="s">
        <v>1287</v>
      </c>
      <c r="BV218" s="70">
        <f>E218</f>
        <v>36</v>
      </c>
      <c r="BW218" s="71">
        <f>I218</f>
        <v>69</v>
      </c>
      <c r="BX218" s="72">
        <f>M218</f>
        <v>73</v>
      </c>
      <c r="BY218" s="71">
        <f>Q218</f>
        <v>105</v>
      </c>
      <c r="BZ218" s="72">
        <f>U218</f>
        <v>109</v>
      </c>
      <c r="CA218" s="71" t="str">
        <f>Y218</f>
        <v>-</v>
      </c>
      <c r="CB218" s="72">
        <f>AC218</f>
        <v>151</v>
      </c>
      <c r="CC218" s="71">
        <f>AG218</f>
        <v>198</v>
      </c>
      <c r="CD218" s="72">
        <f>AK218</f>
        <v>204</v>
      </c>
      <c r="CE218" s="71">
        <f>AO218</f>
        <v>253</v>
      </c>
      <c r="CF218" s="72">
        <f>AS218</f>
        <v>295</v>
      </c>
      <c r="CG218" s="71">
        <f>AW218</f>
        <v>324</v>
      </c>
      <c r="CH218" s="70">
        <f>G218</f>
        <v>68</v>
      </c>
      <c r="CI218" s="71">
        <f>K218</f>
        <v>72</v>
      </c>
      <c r="CJ218" s="72">
        <f>O218</f>
        <v>103</v>
      </c>
      <c r="CK218" s="72">
        <f>S218</f>
        <v>108</v>
      </c>
      <c r="CL218" s="72">
        <f>W218</f>
        <v>144</v>
      </c>
      <c r="CM218" s="72" t="str">
        <f>AA218</f>
        <v>-</v>
      </c>
      <c r="CN218" s="72">
        <f>AE218</f>
        <v>176</v>
      </c>
      <c r="CO218" s="72">
        <f>AI218</f>
        <v>200</v>
      </c>
      <c r="CP218" s="72">
        <f>AM218</f>
        <v>241</v>
      </c>
      <c r="CQ218" s="72">
        <f>AQ218</f>
        <v>289</v>
      </c>
      <c r="CR218" s="72">
        <f>AU218</f>
        <v>323</v>
      </c>
      <c r="CS218" s="72">
        <f>AY218</f>
        <v>335</v>
      </c>
      <c r="CT218" s="23">
        <f>M218-K218</f>
        <v>1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29" x14ac:dyDescent="0.2">
      <c r="A219" s="3" t="str">
        <f>CONCATENATE(B219,"_",C219)</f>
        <v>npy1r_human_5ZBQ</v>
      </c>
      <c r="B219" s="3" t="s">
        <v>325</v>
      </c>
      <c r="C219" s="3" t="s">
        <v>1489</v>
      </c>
      <c r="D219" s="3" t="str">
        <f>IFERROR(MID(VLOOKUP($B219,Seqs!$A:$B,2,0),E219,1),"")</f>
        <v>P</v>
      </c>
      <c r="E219" s="3">
        <v>36</v>
      </c>
      <c r="F219" s="3" t="str">
        <f>IFERROR(MID(VLOOKUP($B219,Seqs!$A:$B,2,0),G219,1),"")</f>
        <v>Q</v>
      </c>
      <c r="G219" s="3">
        <v>68</v>
      </c>
      <c r="H219" s="3" t="str">
        <f>IFERROR(MID(VLOOKUP($B219,Seqs!$A:$B,2,0),I219,1),"")</f>
        <v/>
      </c>
      <c r="I219" s="23" t="s">
        <v>23</v>
      </c>
      <c r="J219" s="3" t="str">
        <f>IFERROR(MID(VLOOKUP($B219,Seqs!$A:$B,2,0),K219,1),"")</f>
        <v/>
      </c>
      <c r="K219" s="23" t="s">
        <v>23</v>
      </c>
      <c r="L219" s="3" t="str">
        <f>IFERROR(MID(VLOOKUP($B219,Seqs!$A:$B,2,0),M219,1),"")</f>
        <v>V</v>
      </c>
      <c r="M219" s="3">
        <v>74</v>
      </c>
      <c r="N219" s="3" t="str">
        <f>IFERROR(MID(VLOOKUP($B219,Seqs!$A:$B,2,0),O219,1),"")</f>
        <v>D</v>
      </c>
      <c r="O219" s="3">
        <v>104</v>
      </c>
      <c r="P219" s="3" t="str">
        <f>IFERROR(MID(VLOOKUP($B219,Seqs!$A:$B,2,0),Q219,1),"")</f>
        <v>W</v>
      </c>
      <c r="Q219" s="3">
        <v>106</v>
      </c>
      <c r="R219" s="3" t="str">
        <f>IFERROR(MID(VLOOKUP($B219,Seqs!$A:$B,2,0),S219,1),"")</f>
        <v>F</v>
      </c>
      <c r="S219" s="3">
        <v>108</v>
      </c>
      <c r="T219" s="3" t="str">
        <f>IFERROR(MID(VLOOKUP($B219,Seqs!$A:$B,2,0),U219,1),"")</f>
        <v>G</v>
      </c>
      <c r="U219" s="3">
        <v>109</v>
      </c>
      <c r="V219" s="3" t="str">
        <f>IFERROR(MID(VLOOKUP($B219,Seqs!$A:$B,2,0),W219,1),"")</f>
        <v>I</v>
      </c>
      <c r="W219" s="3">
        <v>143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N</v>
      </c>
      <c r="AC219" s="3">
        <v>151</v>
      </c>
      <c r="AD219" s="3" t="str">
        <f>IFERROR(MID(VLOOKUP($B219,Seqs!$A:$B,2,0),AE219,1),"")</f>
        <v>Q</v>
      </c>
      <c r="AE219" s="3">
        <v>177</v>
      </c>
      <c r="AF219" s="3" t="str">
        <f>IFERROR(MID(VLOOKUP($B219,Seqs!$A:$B,2,0),AG219,1),"")</f>
        <v>C</v>
      </c>
      <c r="AG219" s="3">
        <v>198</v>
      </c>
      <c r="AH219" s="3" t="str">
        <f>IFERROR(MID(VLOOKUP($B219,Seqs!$A:$B,2,0),AI219,1),"")</f>
        <v>D</v>
      </c>
      <c r="AI219" s="3">
        <v>200</v>
      </c>
      <c r="AJ219" s="3" t="str">
        <f>IFERROR(MID(VLOOKUP($B219,Seqs!$A:$B,2,0),AK219,1),"")</f>
        <v>S</v>
      </c>
      <c r="AK219" s="3">
        <v>204</v>
      </c>
      <c r="AL219" s="3" t="str">
        <f>IFERROR(MID(VLOOKUP($B219,Seqs!$A:$B,2,0),AM219,1),"")</f>
        <v>R</v>
      </c>
      <c r="AM219" s="3">
        <v>241</v>
      </c>
      <c r="AN219" s="3" t="str">
        <f>IFERROR(MID(VLOOKUP($B219,Seqs!$A:$B,2,0),AO219,1),"")</f>
        <v>T</v>
      </c>
      <c r="AO219" s="3">
        <v>258</v>
      </c>
      <c r="AP219" s="3" t="str">
        <f>IFERROR(MID(VLOOKUP($B219,Seqs!$A:$B,2,0),AQ219,1),"")</f>
        <v>N</v>
      </c>
      <c r="AQ219" s="3">
        <v>289</v>
      </c>
      <c r="AR219" s="3" t="str">
        <f>IFERROR(MID(VLOOKUP($B219,Seqs!$A:$B,2,0),AS219,1),"")</f>
        <v>T</v>
      </c>
      <c r="AS219" s="3">
        <v>295</v>
      </c>
      <c r="AT219" s="3" t="str">
        <f>IFERROR(MID(VLOOKUP($B219,Seqs!$A:$B,2,0),AU219,1),"")</f>
        <v>L</v>
      </c>
      <c r="AU219" s="3">
        <v>323</v>
      </c>
      <c r="AV219" s="3" t="str">
        <f>IFERROR(MID(VLOOKUP($B219,Seqs!$A:$B,2,0),AW219,1),"")</f>
        <v>N</v>
      </c>
      <c r="AW219" s="3">
        <v>324</v>
      </c>
      <c r="AX219" s="3" t="str">
        <f>IFERROR(MID(VLOOKUP($B219,Seqs!$A:$B,2,0),AY219,1),"")</f>
        <v>F</v>
      </c>
      <c r="AY219" s="3">
        <v>335</v>
      </c>
      <c r="AZ219" s="77" t="str">
        <f>VLOOKUP(B219,Classification!A:D,2,0)</f>
        <v>A</v>
      </c>
      <c r="BA219" s="94" t="str">
        <f>VLOOKUP(B219,Classification!A:D,4,0)</f>
        <v>NeuropeptideY</v>
      </c>
      <c r="BB219" s="27" t="b">
        <f>AND(E219&lt;G219,OR(G219&lt;I219,I219="-"),OR(I219&lt;K219,I219="-"),OR(K219&lt;M219,K219="-"),M219&lt;O219,OR(O219&lt;Q219,Q219="-"),OR(Q219&lt;S219,Q219="-"),OR(S219&lt;U219,S219="-"),U219&lt;W219,OR(W219&lt;Y219,Y219="-"),OR(Y219&lt;AA219,Y219="-"),OR(AA219&lt;AC219,AA219="-"),AC219&lt;AE219,OR(AE219&lt;AG219,AG219="-"),OR(AG219&lt;AI219,AG219="-"),OR(AI219&lt;AK219,AI219="-"),AK219&lt;AM219,AM219&lt;AO219,AO219&lt;AQ219,AQ219&lt;AS219,AS219&lt;AU219,OR(AU219&lt;AW219,AW219="-"),OR(AW219&lt;AY219,AW219="-"))</f>
        <v>1</v>
      </c>
      <c r="BC219" s="23">
        <f>_xlfn.AGGREGATE(9,6,CH219:CS219)-_xlfn.AGGREGATE(9,6,BV219:CG219)+12</f>
        <v>245</v>
      </c>
      <c r="BD219" s="5" t="s">
        <v>23</v>
      </c>
      <c r="BE219" s="3" t="s">
        <v>1374</v>
      </c>
      <c r="BF219" s="119">
        <v>2.7</v>
      </c>
      <c r="BG219" s="49" t="s">
        <v>1</v>
      </c>
      <c r="BH219" s="49" t="s">
        <v>1</v>
      </c>
      <c r="BI219" s="1"/>
      <c r="BJ219" s="70" t="s">
        <v>1287</v>
      </c>
      <c r="BK219" s="57" t="s">
        <v>1287</v>
      </c>
      <c r="BL219" s="57" t="s">
        <v>1287</v>
      </c>
      <c r="BM219" s="57" t="s">
        <v>1287</v>
      </c>
      <c r="BN219" s="57" t="s">
        <v>1287</v>
      </c>
      <c r="BO219" s="57" t="s">
        <v>1287</v>
      </c>
      <c r="BP219" s="57" t="s">
        <v>1287</v>
      </c>
      <c r="BQ219" s="57" t="s">
        <v>1287</v>
      </c>
      <c r="BR219" s="57" t="s">
        <v>1287</v>
      </c>
      <c r="BS219" s="57" t="s">
        <v>1287</v>
      </c>
      <c r="BT219" s="57" t="s">
        <v>1287</v>
      </c>
      <c r="BU219" s="57" t="s">
        <v>1287</v>
      </c>
      <c r="BV219" s="70">
        <f>E219</f>
        <v>36</v>
      </c>
      <c r="BW219" s="71" t="str">
        <f>I219</f>
        <v>-</v>
      </c>
      <c r="BX219" s="72">
        <f>M219</f>
        <v>74</v>
      </c>
      <c r="BY219" s="71">
        <f>Q219</f>
        <v>106</v>
      </c>
      <c r="BZ219" s="72">
        <f>U219</f>
        <v>109</v>
      </c>
      <c r="CA219" s="71" t="str">
        <f>Y219</f>
        <v>-</v>
      </c>
      <c r="CB219" s="72">
        <f>AC219</f>
        <v>151</v>
      </c>
      <c r="CC219" s="71">
        <f>AG219</f>
        <v>198</v>
      </c>
      <c r="CD219" s="72">
        <f>AK219</f>
        <v>204</v>
      </c>
      <c r="CE219" s="71">
        <f>AO219</f>
        <v>258</v>
      </c>
      <c r="CF219" s="72">
        <f>AS219</f>
        <v>295</v>
      </c>
      <c r="CG219" s="71">
        <f>AW219</f>
        <v>324</v>
      </c>
      <c r="CH219" s="70">
        <f>G219</f>
        <v>68</v>
      </c>
      <c r="CI219" s="71" t="str">
        <f>K219</f>
        <v>-</v>
      </c>
      <c r="CJ219" s="72">
        <f>O219</f>
        <v>104</v>
      </c>
      <c r="CK219" s="72">
        <f>S219</f>
        <v>108</v>
      </c>
      <c r="CL219" s="72">
        <f>W219</f>
        <v>143</v>
      </c>
      <c r="CM219" s="72" t="str">
        <f>AA219</f>
        <v>-</v>
      </c>
      <c r="CN219" s="72">
        <f>AE219</f>
        <v>177</v>
      </c>
      <c r="CO219" s="72">
        <f>AI219</f>
        <v>200</v>
      </c>
      <c r="CP219" s="72">
        <f>AM219</f>
        <v>241</v>
      </c>
      <c r="CQ219" s="72">
        <f>AQ219</f>
        <v>289</v>
      </c>
      <c r="CR219" s="72">
        <f>AU219</f>
        <v>323</v>
      </c>
      <c r="CS219" s="72">
        <f>AY219</f>
        <v>335</v>
      </c>
      <c r="CT219" s="23" t="e">
        <f>M219-K219</f>
        <v>#VALUE!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29" s="12" customFormat="1" x14ac:dyDescent="0.2">
      <c r="A220" s="9" t="str">
        <f t="shared" ref="A220" si="1482">CONCATENATE(B220,"_",C220)</f>
        <v>ntr1_human__wt</v>
      </c>
      <c r="B220" s="9" t="s">
        <v>127</v>
      </c>
      <c r="C220" s="9" t="s">
        <v>100</v>
      </c>
      <c r="D220" s="9" t="str">
        <f>IFERROR(MID(VLOOKUP($B220,Seqs!$A:$B,2,0),E220,1),"")</f>
        <v>D</v>
      </c>
      <c r="E220" s="9">
        <v>59</v>
      </c>
      <c r="F220" s="9" t="str">
        <f>IFERROR(MID(VLOOKUP($B220,Seqs!$A:$B,2,0),G220,1),"")</f>
        <v>K</v>
      </c>
      <c r="G220" s="9">
        <v>91</v>
      </c>
      <c r="H220" s="9" t="str">
        <f>IFERROR(MID(VLOOKUP($B220,Seqs!$A:$B,2,0),I220,1),"")</f>
        <v>K</v>
      </c>
      <c r="I220" s="109">
        <v>92</v>
      </c>
      <c r="J220" s="9" t="str">
        <f>IFERROR(MID(VLOOKUP($B220,Seqs!$A:$B,2,0),K220,1),"")</f>
        <v>Q</v>
      </c>
      <c r="K220" s="109">
        <v>95</v>
      </c>
      <c r="L220" s="9" t="str">
        <f>IFERROR(MID(VLOOKUP($B220,Seqs!$A:$B,2,0),M220,1),"")</f>
        <v>S</v>
      </c>
      <c r="M220" s="9">
        <v>96</v>
      </c>
      <c r="N220" s="9" t="str">
        <f>IFERROR(MID(VLOOKUP($B220,Seqs!$A:$B,2,0),O220,1),"")</f>
        <v>V</v>
      </c>
      <c r="O220" s="9">
        <v>130</v>
      </c>
      <c r="P220" s="9" t="str">
        <f>IFERROR(MID(VLOOKUP($B220,Seqs!$A:$B,2,0),Q220,1),"")</f>
        <v>P</v>
      </c>
      <c r="Q220" s="9">
        <v>133</v>
      </c>
      <c r="R220" s="9" t="str">
        <f>IFERROR(MID(VLOOKUP($B220,Seqs!$A:$B,2,0),S220,1),"")</f>
        <v>F</v>
      </c>
      <c r="S220" s="9">
        <v>136</v>
      </c>
      <c r="T220" s="9" t="str">
        <f>IFERROR(MID(VLOOKUP($B220,Seqs!$A:$B,2,0),U220,1),"")</f>
        <v>G</v>
      </c>
      <c r="U220" s="9">
        <v>137</v>
      </c>
      <c r="V220" s="9" t="str">
        <f>IFERROR(MID(VLOOKUP($B220,Seqs!$A:$B,2,0),W220,1),"")</f>
        <v>H</v>
      </c>
      <c r="W220" s="9">
        <v>172</v>
      </c>
      <c r="X220" s="9" t="str">
        <f>IFERROR(MID(VLOOKUP($B220,Seqs!$A:$B,2,0),Y220,1),"")</f>
        <v>P</v>
      </c>
      <c r="Y220" s="9">
        <v>173</v>
      </c>
      <c r="Z220" s="9" t="str">
        <f>IFERROR(MID(VLOOKUP($B220,Seqs!$A:$B,2,0),AA220,1),"")</f>
        <v>M</v>
      </c>
      <c r="AA220" s="9">
        <v>180</v>
      </c>
      <c r="AB220" s="9" t="str">
        <f>IFERROR(MID(VLOOKUP($B220,Seqs!$A:$B,2,0),AC220,1),"")</f>
        <v>S</v>
      </c>
      <c r="AC220" s="9">
        <v>181</v>
      </c>
      <c r="AD220" s="9" t="str">
        <f>IFERROR(MID(VLOOKUP($B220,Seqs!$A:$B,2,0),AE220,1),"")</f>
        <v>M</v>
      </c>
      <c r="AE220" s="9">
        <v>207</v>
      </c>
      <c r="AF220" s="9" t="str">
        <f>IFERROR(MID(VLOOKUP($B220,Seqs!$A:$B,2,0),AG220,1),"")</f>
        <v>C</v>
      </c>
      <c r="AG220" s="9">
        <v>224</v>
      </c>
      <c r="AH220" s="9" t="str">
        <f>IFERROR(MID(VLOOKUP($B220,Seqs!$A:$B,2,0),AI220,1),"")</f>
        <v>P</v>
      </c>
      <c r="AI220" s="9">
        <v>226</v>
      </c>
      <c r="AJ220" s="9" t="str">
        <f>IFERROR(MID(VLOOKUP($B220,Seqs!$A:$B,2,0),AK220,1),"")</f>
        <v>H</v>
      </c>
      <c r="AK220" s="9">
        <v>229</v>
      </c>
      <c r="AL220" s="9" t="str">
        <f>IFERROR(MID(VLOOKUP($B220,Seqs!$A:$B,2,0),AM220,1),"")</f>
        <v>G</v>
      </c>
      <c r="AM220" s="9">
        <v>274</v>
      </c>
      <c r="AN220" s="9" t="str">
        <f>IFERROR(MID(VLOOKUP($B220,Seqs!$A:$B,2,0),AO220,1),"")</f>
        <v>P</v>
      </c>
      <c r="AO220" s="9">
        <v>292</v>
      </c>
      <c r="AP220" s="9" t="str">
        <f>IFERROR(MID(VLOOKUP($B220,Seqs!$A:$B,2,0),AQ220,1),"")</f>
        <v>I</v>
      </c>
      <c r="AQ220" s="9">
        <v>329</v>
      </c>
      <c r="AR220" s="9" t="str">
        <f>IFERROR(MID(VLOOKUP($B220,Seqs!$A:$B,2,0),AS220,1),"")</f>
        <v>T</v>
      </c>
      <c r="AS220" s="9">
        <v>335</v>
      </c>
      <c r="AT220" s="9" t="str">
        <f>IFERROR(MID(VLOOKUP($B220,Seqs!$A:$B,2,0),AU220,1),"")</f>
        <v>V</v>
      </c>
      <c r="AU220" s="9">
        <v>367</v>
      </c>
      <c r="AV220" s="9" t="str">
        <f>IFERROR(MID(VLOOKUP($B220,Seqs!$A:$B,2,0),AW220,1),"")</f>
        <v>S</v>
      </c>
      <c r="AW220" s="9">
        <v>368</v>
      </c>
      <c r="AX220" s="9" t="str">
        <f>IFERROR(MID(VLOOKUP($B220,Seqs!$A:$B,2,0),AY220,1),"")</f>
        <v>C</v>
      </c>
      <c r="AY220" s="9">
        <v>383</v>
      </c>
      <c r="AZ220" s="110" t="str">
        <f>VLOOKUP(B220,Classification!A:D,2,0)</f>
        <v>A</v>
      </c>
      <c r="BA220" s="98" t="str">
        <f>VLOOKUP(B220,Classification!A:D,4,0)</f>
        <v>Neurotensin</v>
      </c>
      <c r="BB220" s="36" t="b">
        <f t="shared" ref="BB220" si="1483">AND(E220&lt;G220,OR(G220&lt;I220,I220="-"),OR(I220&lt;K220,I220="-"),OR(K220&lt;M220,K220="-"),M220&lt;O220,OR(O220&lt;Q220,Q220="-"),OR(Q220&lt;S220,Q220="-"),OR(S220&lt;U220,S220="-"),U220&lt;W220,OR(W220&lt;Y220,Y220="-"),OR(Y220&lt;AA220,Y220="-"),OR(AA220&lt;AC220,AA220="-"),AC220&lt;AE220,OR(AE220&lt;AG220,AG220="-"),OR(AG220&lt;AI220,AG220="-"),OR(AI220&lt;AK220,AI220="-"),AK220&lt;AM220,AM220&lt;AO220,AO220&lt;AQ220,AQ220&lt;AS220,AS220&lt;AU220,OR(AU220&lt;AW220,AW220="-"),OR(AW220&lt;AY220,AW220="-"))</f>
        <v>1</v>
      </c>
      <c r="BC220" s="109" t="s">
        <v>23</v>
      </c>
      <c r="BD220" s="130" t="s">
        <v>23</v>
      </c>
      <c r="BE220" s="9" t="s">
        <v>23</v>
      </c>
      <c r="BF220" s="120" t="s">
        <v>23</v>
      </c>
      <c r="BG220" s="51" t="s">
        <v>1372</v>
      </c>
      <c r="BH220" s="51" t="s">
        <v>1377</v>
      </c>
      <c r="BI220" s="9"/>
      <c r="BJ220" s="111" t="s">
        <v>1287</v>
      </c>
      <c r="BK220" s="112" t="s">
        <v>1287</v>
      </c>
      <c r="BL220" s="112" t="s">
        <v>1287</v>
      </c>
      <c r="BM220" s="112" t="s">
        <v>1287</v>
      </c>
      <c r="BN220" s="112" t="s">
        <v>1287</v>
      </c>
      <c r="BO220" s="112" t="s">
        <v>1287</v>
      </c>
      <c r="BP220" s="112" t="s">
        <v>1287</v>
      </c>
      <c r="BQ220" s="112" t="s">
        <v>1287</v>
      </c>
      <c r="BR220" s="112" t="s">
        <v>1287</v>
      </c>
      <c r="BS220" s="112" t="s">
        <v>1287</v>
      </c>
      <c r="BT220" s="112" t="s">
        <v>1287</v>
      </c>
      <c r="BU220" s="112" t="s">
        <v>1287</v>
      </c>
      <c r="BV220" s="111">
        <f t="shared" ref="BV220" si="1484">E220</f>
        <v>59</v>
      </c>
      <c r="BW220" s="113">
        <f t="shared" ref="BW220" si="1485">I220</f>
        <v>92</v>
      </c>
      <c r="BX220" s="114">
        <f t="shared" ref="BX220" si="1486">M220</f>
        <v>96</v>
      </c>
      <c r="BY220" s="113">
        <f t="shared" ref="BY220" si="1487">Q220</f>
        <v>133</v>
      </c>
      <c r="BZ220" s="114">
        <f t="shared" ref="BZ220" si="1488">U220</f>
        <v>137</v>
      </c>
      <c r="CA220" s="113">
        <f t="shared" ref="CA220" si="1489">Y220</f>
        <v>173</v>
      </c>
      <c r="CB220" s="114">
        <f t="shared" ref="CB220" si="1490">AC220</f>
        <v>181</v>
      </c>
      <c r="CC220" s="113">
        <f t="shared" ref="CC220" si="1491">AG220</f>
        <v>224</v>
      </c>
      <c r="CD220" s="114">
        <f t="shared" ref="CD220" si="1492">AK220</f>
        <v>229</v>
      </c>
      <c r="CE220" s="113">
        <f t="shared" ref="CE220" si="1493">AO220</f>
        <v>292</v>
      </c>
      <c r="CF220" s="114">
        <f t="shared" ref="CF220" si="1494">AS220</f>
        <v>335</v>
      </c>
      <c r="CG220" s="113">
        <f t="shared" ref="CG220" si="1495">AW220</f>
        <v>368</v>
      </c>
      <c r="CH220" s="111">
        <f t="shared" ref="CH220" si="1496">G220</f>
        <v>91</v>
      </c>
      <c r="CI220" s="113">
        <f t="shared" ref="CI220" si="1497">K220</f>
        <v>95</v>
      </c>
      <c r="CJ220" s="114">
        <f t="shared" ref="CJ220" si="1498">O220</f>
        <v>130</v>
      </c>
      <c r="CK220" s="114">
        <f t="shared" ref="CK220" si="1499">S220</f>
        <v>136</v>
      </c>
      <c r="CL220" s="114">
        <f t="shared" ref="CL220" si="1500">W220</f>
        <v>172</v>
      </c>
      <c r="CM220" s="114">
        <f t="shared" ref="CM220" si="1501">AA220</f>
        <v>180</v>
      </c>
      <c r="CN220" s="114">
        <f t="shared" ref="CN220" si="1502">AE220</f>
        <v>207</v>
      </c>
      <c r="CO220" s="114">
        <f t="shared" ref="CO220" si="1503">AI220</f>
        <v>226</v>
      </c>
      <c r="CP220" s="114">
        <f t="shared" ref="CP220" si="1504">AM220</f>
        <v>274</v>
      </c>
      <c r="CQ220" s="114">
        <f t="shared" ref="CQ220" si="1505">AQ220</f>
        <v>329</v>
      </c>
      <c r="CR220" s="114">
        <f t="shared" ref="CR220" si="1506">AU220</f>
        <v>367</v>
      </c>
      <c r="CS220" s="114">
        <f t="shared" ref="CS220" si="1507">AY220</f>
        <v>383</v>
      </c>
      <c r="CT220" s="109">
        <f t="shared" ref="CT220" si="1508">M220-K220</f>
        <v>1</v>
      </c>
    </row>
    <row r="221" spans="1:1029" s="12" customFormat="1" x14ac:dyDescent="0.2">
      <c r="A221" s="9" t="str">
        <f t="shared" ref="A221" si="1509">CONCATENATE(B221,"_",C221)</f>
        <v>ntr1_human_6OS9</v>
      </c>
      <c r="B221" s="9" t="s">
        <v>127</v>
      </c>
      <c r="C221" s="9" t="s">
        <v>1583</v>
      </c>
      <c r="D221" s="9" t="str">
        <f>IFERROR(MID(VLOOKUP($B221,Seqs!$A:$B,2,0),E221,1),"")</f>
        <v>D</v>
      </c>
      <c r="E221" s="9">
        <v>59</v>
      </c>
      <c r="F221" s="9" t="str">
        <f>IFERROR(MID(VLOOKUP($B221,Seqs!$A:$B,2,0),G221,1),"")</f>
        <v>K</v>
      </c>
      <c r="G221" s="9">
        <v>91</v>
      </c>
      <c r="H221" s="9" t="str">
        <f>IFERROR(MID(VLOOKUP($B221,Seqs!$A:$B,2,0),I221,1),"")</f>
        <v/>
      </c>
      <c r="I221" s="109" t="s">
        <v>23</v>
      </c>
      <c r="J221" s="9" t="str">
        <f>IFERROR(MID(VLOOKUP($B221,Seqs!$A:$B,2,0),K221,1),"")</f>
        <v/>
      </c>
      <c r="K221" s="109" t="s">
        <v>23</v>
      </c>
      <c r="L221" s="9" t="str">
        <f>IFERROR(MID(VLOOKUP($B221,Seqs!$A:$B,2,0),M221,1),"")</f>
        <v>Q</v>
      </c>
      <c r="M221" s="9">
        <v>98</v>
      </c>
      <c r="N221" s="9" t="str">
        <f>IFERROR(MID(VLOOKUP($B221,Seqs!$A:$B,2,0),O221,1),"")</f>
        <v>V</v>
      </c>
      <c r="O221" s="9">
        <v>130</v>
      </c>
      <c r="P221" s="9" t="str">
        <f>IFERROR(MID(VLOOKUP($B221,Seqs!$A:$B,2,0),Q221,1),"")</f>
        <v>P</v>
      </c>
      <c r="Q221" s="9">
        <v>133</v>
      </c>
      <c r="R221" s="9" t="str">
        <f>IFERROR(MID(VLOOKUP($B221,Seqs!$A:$B,2,0),S221,1),"")</f>
        <v>F</v>
      </c>
      <c r="S221" s="9">
        <v>136</v>
      </c>
      <c r="T221" s="9" t="str">
        <f>IFERROR(MID(VLOOKUP($B221,Seqs!$A:$B,2,0),U221,1),"")</f>
        <v>G</v>
      </c>
      <c r="U221" s="9">
        <v>137</v>
      </c>
      <c r="V221" s="9" t="str">
        <f>IFERROR(MID(VLOOKUP($B221,Seqs!$A:$B,2,0),W221,1),"")</f>
        <v>H</v>
      </c>
      <c r="W221" s="9">
        <v>172</v>
      </c>
      <c r="X221" s="9" t="str">
        <f>IFERROR(MID(VLOOKUP($B221,Seqs!$A:$B,2,0),Y221,1),"")</f>
        <v>P</v>
      </c>
      <c r="Y221" s="9">
        <v>173</v>
      </c>
      <c r="Z221" s="9" t="str">
        <f>IFERROR(MID(VLOOKUP($B221,Seqs!$A:$B,2,0),AA221,1),"")</f>
        <v>M</v>
      </c>
      <c r="AA221" s="9">
        <v>180</v>
      </c>
      <c r="AB221" s="9" t="str">
        <f>IFERROR(MID(VLOOKUP($B221,Seqs!$A:$B,2,0),AC221,1),"")</f>
        <v>S</v>
      </c>
      <c r="AC221" s="9">
        <v>181</v>
      </c>
      <c r="AD221" s="9" t="str">
        <f>IFERROR(MID(VLOOKUP($B221,Seqs!$A:$B,2,0),AE221,1),"")</f>
        <v>L</v>
      </c>
      <c r="AE221" s="9">
        <v>204</v>
      </c>
      <c r="AF221" s="9" t="str">
        <f>IFERROR(MID(VLOOKUP($B221,Seqs!$A:$B,2,0),AG221,1),"")</f>
        <v>C</v>
      </c>
      <c r="AG221" s="9">
        <v>224</v>
      </c>
      <c r="AH221" s="9" t="str">
        <f>IFERROR(MID(VLOOKUP($B221,Seqs!$A:$B,2,0),AI221,1),"")</f>
        <v>P</v>
      </c>
      <c r="AI221" s="9">
        <v>226</v>
      </c>
      <c r="AJ221" s="9" t="str">
        <f>IFERROR(MID(VLOOKUP($B221,Seqs!$A:$B,2,0),AK221,1),"")</f>
        <v>H</v>
      </c>
      <c r="AK221" s="9">
        <v>229</v>
      </c>
      <c r="AL221" s="9" t="str">
        <f>IFERROR(MID(VLOOKUP($B221,Seqs!$A:$B,2,0),AM221,1),"")</f>
        <v>E</v>
      </c>
      <c r="AM221" s="9">
        <v>272</v>
      </c>
      <c r="AN221" s="9" t="str">
        <f>IFERROR(MID(VLOOKUP($B221,Seqs!$A:$B,2,0),AO221,1),"")</f>
        <v>V</v>
      </c>
      <c r="AO221" s="9">
        <v>295</v>
      </c>
      <c r="AP221" s="9" t="str">
        <f>IFERROR(MID(VLOOKUP($B221,Seqs!$A:$B,2,0),AQ221,1),"")</f>
        <v>I</v>
      </c>
      <c r="AQ221" s="9">
        <v>329</v>
      </c>
      <c r="AR221" s="9" t="str">
        <f>IFERROR(MID(VLOOKUP($B221,Seqs!$A:$B,2,0),AS221,1),"")</f>
        <v>T</v>
      </c>
      <c r="AS221" s="9">
        <v>335</v>
      </c>
      <c r="AT221" s="9" t="str">
        <f>IFERROR(MID(VLOOKUP($B221,Seqs!$A:$B,2,0),AU221,1),"")</f>
        <v>L</v>
      </c>
      <c r="AU221" s="9">
        <v>366</v>
      </c>
      <c r="AV221" s="9" t="str">
        <f>IFERROR(MID(VLOOKUP($B221,Seqs!$A:$B,2,0),AW221,1),"")</f>
        <v/>
      </c>
      <c r="AW221" s="9" t="s">
        <v>23</v>
      </c>
      <c r="AX221" s="9" t="str">
        <f>IFERROR(MID(VLOOKUP($B221,Seqs!$A:$B,2,0),AY221,1),"")</f>
        <v/>
      </c>
      <c r="AY221" s="9" t="s">
        <v>23</v>
      </c>
      <c r="AZ221" s="110" t="str">
        <f>VLOOKUP(B221,Classification!A:D,2,0)</f>
        <v>A</v>
      </c>
      <c r="BA221" s="98" t="str">
        <f>VLOOKUP(B221,Classification!A:D,4,0)</f>
        <v>Neurotensin</v>
      </c>
      <c r="BB221" s="36" t="b">
        <f t="shared" ref="BB221" si="1510">AND(E221&lt;G221,OR(G221&lt;I221,I221="-"),OR(I221&lt;K221,I221="-"),OR(K221&lt;M221,K221="-"),M221&lt;O221,OR(O221&lt;Q221,Q221="-"),OR(Q221&lt;S221,Q221="-"),OR(S221&lt;U221,S221="-"),U221&lt;W221,OR(W221&lt;Y221,Y221="-"),OR(Y221&lt;AA221,Y221="-"),OR(AA221&lt;AC221,AA221="-"),AC221&lt;AE221,OR(AE221&lt;AG221,AG221="-"),OR(AG221&lt;AI221,AG221="-"),OR(AI221&lt;AK221,AI221="-"),AK221&lt;AM221,AM221&lt;AO221,AO221&lt;AQ221,AQ221&lt;AS221,AS221&lt;AU221,OR(AU221&lt;AW221,AW221="-"),OR(AW221&lt;AY221,AW221="-"))</f>
        <v>1</v>
      </c>
      <c r="BC221" s="109">
        <f t="shared" ref="BC221" si="1511">_xlfn.AGGREGATE(9,6,CH221:CS221)-_xlfn.AGGREGATE(9,6,BV221:CG221)+12</f>
        <v>254</v>
      </c>
      <c r="BD221" s="130" t="s">
        <v>23</v>
      </c>
      <c r="BE221" s="9" t="s">
        <v>1428</v>
      </c>
      <c r="BF221" s="120">
        <v>3</v>
      </c>
      <c r="BG221" s="51" t="s">
        <v>1422</v>
      </c>
      <c r="BH221" s="51" t="s">
        <v>1422</v>
      </c>
      <c r="BI221" s="9"/>
      <c r="BJ221" s="111" t="s">
        <v>1287</v>
      </c>
      <c r="BK221" s="112" t="s">
        <v>1287</v>
      </c>
      <c r="BL221" s="112" t="s">
        <v>1287</v>
      </c>
      <c r="BM221" s="112" t="s">
        <v>1287</v>
      </c>
      <c r="BN221" s="112" t="s">
        <v>1287</v>
      </c>
      <c r="BO221" s="112" t="s">
        <v>1287</v>
      </c>
      <c r="BP221" s="112" t="s">
        <v>1287</v>
      </c>
      <c r="BQ221" s="112" t="s">
        <v>1287</v>
      </c>
      <c r="BR221" s="112" t="s">
        <v>1287</v>
      </c>
      <c r="BS221" s="112" t="s">
        <v>1287</v>
      </c>
      <c r="BT221" s="112" t="s">
        <v>1287</v>
      </c>
      <c r="BU221" s="112" t="s">
        <v>1287</v>
      </c>
      <c r="BV221" s="111">
        <f t="shared" ref="BV221" si="1512">E221</f>
        <v>59</v>
      </c>
      <c r="BW221" s="113" t="str">
        <f t="shared" ref="BW221" si="1513">I221</f>
        <v>-</v>
      </c>
      <c r="BX221" s="114">
        <f t="shared" ref="BX221" si="1514">M221</f>
        <v>98</v>
      </c>
      <c r="BY221" s="113">
        <f t="shared" ref="BY221" si="1515">Q221</f>
        <v>133</v>
      </c>
      <c r="BZ221" s="114">
        <f t="shared" ref="BZ221" si="1516">U221</f>
        <v>137</v>
      </c>
      <c r="CA221" s="113">
        <f t="shared" ref="CA221" si="1517">Y221</f>
        <v>173</v>
      </c>
      <c r="CB221" s="114">
        <f t="shared" ref="CB221" si="1518">AC221</f>
        <v>181</v>
      </c>
      <c r="CC221" s="113">
        <f t="shared" ref="CC221" si="1519">AG221</f>
        <v>224</v>
      </c>
      <c r="CD221" s="114">
        <f t="shared" ref="CD221" si="1520">AK221</f>
        <v>229</v>
      </c>
      <c r="CE221" s="113">
        <f t="shared" ref="CE221" si="1521">AO221</f>
        <v>295</v>
      </c>
      <c r="CF221" s="114">
        <f t="shared" ref="CF221" si="1522">AS221</f>
        <v>335</v>
      </c>
      <c r="CG221" s="113" t="str">
        <f t="shared" ref="CG221" si="1523">AW221</f>
        <v>-</v>
      </c>
      <c r="CH221" s="111">
        <f t="shared" ref="CH221" si="1524">G221</f>
        <v>91</v>
      </c>
      <c r="CI221" s="113" t="str">
        <f t="shared" ref="CI221" si="1525">K221</f>
        <v>-</v>
      </c>
      <c r="CJ221" s="114">
        <f t="shared" ref="CJ221" si="1526">O221</f>
        <v>130</v>
      </c>
      <c r="CK221" s="114">
        <f t="shared" ref="CK221" si="1527">S221</f>
        <v>136</v>
      </c>
      <c r="CL221" s="114">
        <f t="shared" ref="CL221" si="1528">W221</f>
        <v>172</v>
      </c>
      <c r="CM221" s="114">
        <f t="shared" ref="CM221" si="1529">AA221</f>
        <v>180</v>
      </c>
      <c r="CN221" s="114">
        <f t="shared" ref="CN221" si="1530">AE221</f>
        <v>204</v>
      </c>
      <c r="CO221" s="114">
        <f t="shared" ref="CO221" si="1531">AI221</f>
        <v>226</v>
      </c>
      <c r="CP221" s="114">
        <f t="shared" ref="CP221" si="1532">AM221</f>
        <v>272</v>
      </c>
      <c r="CQ221" s="114">
        <f t="shared" ref="CQ221" si="1533">AQ221</f>
        <v>329</v>
      </c>
      <c r="CR221" s="114">
        <f t="shared" ref="CR221" si="1534">AU221</f>
        <v>366</v>
      </c>
      <c r="CS221" s="114" t="str">
        <f t="shared" ref="CS221" si="1535">AY221</f>
        <v>-</v>
      </c>
      <c r="CT221" s="109" t="e">
        <f t="shared" ref="CT221" si="1536">M221-K221</f>
        <v>#VALUE!</v>
      </c>
    </row>
    <row r="222" spans="1:1029" s="12" customFormat="1" x14ac:dyDescent="0.2">
      <c r="A222" s="9" t="str">
        <f t="shared" ref="A222" si="1537">CONCATENATE(B222,"_",C222)</f>
        <v>ntr1_human_6OSA</v>
      </c>
      <c r="B222" s="9" t="s">
        <v>127</v>
      </c>
      <c r="C222" s="9" t="s">
        <v>1584</v>
      </c>
      <c r="D222" s="9" t="str">
        <f>IFERROR(MID(VLOOKUP($B222,Seqs!$A:$B,2,0),E222,1),"")</f>
        <v>D</v>
      </c>
      <c r="E222" s="9">
        <v>59</v>
      </c>
      <c r="F222" s="9" t="str">
        <f>IFERROR(MID(VLOOKUP($B222,Seqs!$A:$B,2,0),G222,1),"")</f>
        <v>K</v>
      </c>
      <c r="G222" s="9">
        <v>91</v>
      </c>
      <c r="H222" s="9" t="str">
        <f>IFERROR(MID(VLOOKUP($B222,Seqs!$A:$B,2,0),I222,1),"")</f>
        <v/>
      </c>
      <c r="I222" s="109" t="s">
        <v>23</v>
      </c>
      <c r="J222" s="9" t="str">
        <f>IFERROR(MID(VLOOKUP($B222,Seqs!$A:$B,2,0),K222,1),"")</f>
        <v/>
      </c>
      <c r="K222" s="109" t="s">
        <v>23</v>
      </c>
      <c r="L222" s="9" t="str">
        <f>IFERROR(MID(VLOOKUP($B222,Seqs!$A:$B,2,0),M222,1),"")</f>
        <v>L</v>
      </c>
      <c r="M222" s="9">
        <v>97</v>
      </c>
      <c r="N222" s="9" t="str">
        <f>IFERROR(MID(VLOOKUP($B222,Seqs!$A:$B,2,0),O222,1),"")</f>
        <v>V</v>
      </c>
      <c r="O222" s="9">
        <v>130</v>
      </c>
      <c r="P222" s="9" t="str">
        <f>IFERROR(MID(VLOOKUP($B222,Seqs!$A:$B,2,0),Q222,1),"")</f>
        <v>P</v>
      </c>
      <c r="Q222" s="9">
        <v>133</v>
      </c>
      <c r="R222" s="9" t="str">
        <f>IFERROR(MID(VLOOKUP($B222,Seqs!$A:$B,2,0),S222,1),"")</f>
        <v>F</v>
      </c>
      <c r="S222" s="9">
        <v>136</v>
      </c>
      <c r="T222" s="9" t="str">
        <f>IFERROR(MID(VLOOKUP($B222,Seqs!$A:$B,2,0),U222,1),"")</f>
        <v>A</v>
      </c>
      <c r="U222" s="9">
        <v>139</v>
      </c>
      <c r="V222" s="9" t="str">
        <f>IFERROR(MID(VLOOKUP($B222,Seqs!$A:$B,2,0),W222,1),"")</f>
        <v>C</v>
      </c>
      <c r="W222" s="9">
        <v>171</v>
      </c>
      <c r="X222" s="9" t="str">
        <f>IFERROR(MID(VLOOKUP($B222,Seqs!$A:$B,2,0),Y222,1),"")</f>
        <v>P</v>
      </c>
      <c r="Y222" s="9">
        <v>173</v>
      </c>
      <c r="Z222" s="9" t="str">
        <f>IFERROR(MID(VLOOKUP($B222,Seqs!$A:$B,2,0),AA222,1),"")</f>
        <v>M</v>
      </c>
      <c r="AA222" s="9">
        <v>180</v>
      </c>
      <c r="AB222" s="9" t="str">
        <f>IFERROR(MID(VLOOKUP($B222,Seqs!$A:$B,2,0),AC222,1),"")</f>
        <v>S</v>
      </c>
      <c r="AC222" s="9">
        <v>181</v>
      </c>
      <c r="AD222" s="9" t="str">
        <f>IFERROR(MID(VLOOKUP($B222,Seqs!$A:$B,2,0),AE222,1),"")</f>
        <v>M</v>
      </c>
      <c r="AE222" s="9">
        <v>207</v>
      </c>
      <c r="AF222" s="9" t="str">
        <f>IFERROR(MID(VLOOKUP($B222,Seqs!$A:$B,2,0),AG222,1),"")</f>
        <v>C</v>
      </c>
      <c r="AG222" s="9">
        <v>224</v>
      </c>
      <c r="AH222" s="9" t="str">
        <f>IFERROR(MID(VLOOKUP($B222,Seqs!$A:$B,2,0),AI222,1),"")</f>
        <v>P</v>
      </c>
      <c r="AI222" s="9">
        <v>226</v>
      </c>
      <c r="AJ222" s="9" t="str">
        <f>IFERROR(MID(VLOOKUP($B222,Seqs!$A:$B,2,0),AK222,1),"")</f>
        <v>H</v>
      </c>
      <c r="AK222" s="9">
        <v>229</v>
      </c>
      <c r="AL222" s="9" t="str">
        <f>IFERROR(MID(VLOOKUP($B222,Seqs!$A:$B,2,0),AM222,1),"")</f>
        <v>Q</v>
      </c>
      <c r="AM222" s="9">
        <v>273</v>
      </c>
      <c r="AN222" s="9" t="str">
        <f>IFERROR(MID(VLOOKUP($B222,Seqs!$A:$B,2,0),AO222,1),"")</f>
        <v>G</v>
      </c>
      <c r="AO222" s="9">
        <v>280</v>
      </c>
      <c r="AP222" s="9" t="str">
        <f>IFERROR(MID(VLOOKUP($B222,Seqs!$A:$B,2,0),AQ222,1),"")</f>
        <v>Y</v>
      </c>
      <c r="AQ222" s="9">
        <v>328</v>
      </c>
      <c r="AR222" s="9" t="str">
        <f>IFERROR(MID(VLOOKUP($B222,Seqs!$A:$B,2,0),AS222,1),"")</f>
        <v>T</v>
      </c>
      <c r="AS222" s="9">
        <v>335</v>
      </c>
      <c r="AT222" s="9" t="str">
        <f>IFERROR(MID(VLOOKUP($B222,Seqs!$A:$B,2,0),AU222,1),"")</f>
        <v>V</v>
      </c>
      <c r="AU222" s="9">
        <v>367</v>
      </c>
      <c r="AV222" s="9" t="str">
        <f>IFERROR(MID(VLOOKUP($B222,Seqs!$A:$B,2,0),AW222,1),"")</f>
        <v>S</v>
      </c>
      <c r="AW222" s="9">
        <v>368</v>
      </c>
      <c r="AX222" s="9" t="str">
        <f>IFERROR(MID(VLOOKUP($B222,Seqs!$A:$B,2,0),AY222,1),"")</f>
        <v>C</v>
      </c>
      <c r="AY222" s="9">
        <v>383</v>
      </c>
      <c r="AZ222" s="110" t="str">
        <f>VLOOKUP(B222,Classification!A:D,2,0)</f>
        <v>A</v>
      </c>
      <c r="BA222" s="98" t="str">
        <f>VLOOKUP(B222,Classification!A:D,4,0)</f>
        <v>Neurotensin</v>
      </c>
      <c r="BB222" s="36" t="b">
        <f t="shared" ref="BB222" si="1538">AND(E222&lt;G222,OR(G222&lt;I222,I222="-"),OR(I222&lt;K222,I222="-"),OR(K222&lt;M222,K222="-"),M222&lt;O222,OR(O222&lt;Q222,Q222="-"),OR(Q222&lt;S222,Q222="-"),OR(S222&lt;U222,S222="-"),U222&lt;W222,OR(W222&lt;Y222,Y222="-"),OR(Y222&lt;AA222,Y222="-"),OR(AA222&lt;AC222,AA222="-"),AC222&lt;AE222,OR(AE222&lt;AG222,AG222="-"),OR(AG222&lt;AI222,AG222="-"),OR(AI222&lt;AK222,AI222="-"),AK222&lt;AM222,AM222&lt;AO222,AO222&lt;AQ222,AQ222&lt;AS222,AS222&lt;AU222,OR(AU222&lt;AW222,AW222="-"),OR(AW222&lt;AY222,AW222="-"))</f>
        <v>1</v>
      </c>
      <c r="BC222" s="109">
        <f t="shared" ref="BC222" si="1539">_xlfn.AGGREGATE(9,6,CH222:CS222)-_xlfn.AGGREGATE(9,6,BV222:CG222)+12</f>
        <v>286</v>
      </c>
      <c r="BD222" s="130" t="s">
        <v>1429</v>
      </c>
      <c r="BE222" s="9" t="s">
        <v>1428</v>
      </c>
      <c r="BF222" s="120">
        <v>3</v>
      </c>
      <c r="BG222" s="51" t="s">
        <v>1422</v>
      </c>
      <c r="BH222" s="51" t="s">
        <v>1422</v>
      </c>
      <c r="BI222" s="9"/>
      <c r="BJ222" s="111" t="s">
        <v>1287</v>
      </c>
      <c r="BK222" s="112" t="s">
        <v>1287</v>
      </c>
      <c r="BL222" s="112" t="s">
        <v>1287</v>
      </c>
      <c r="BM222" s="112" t="s">
        <v>1287</v>
      </c>
      <c r="BN222" s="112" t="s">
        <v>1287</v>
      </c>
      <c r="BO222" s="112" t="s">
        <v>1287</v>
      </c>
      <c r="BP222" s="112" t="s">
        <v>1287</v>
      </c>
      <c r="BQ222" s="112" t="s">
        <v>1287</v>
      </c>
      <c r="BR222" s="112" t="s">
        <v>1287</v>
      </c>
      <c r="BS222" s="112" t="s">
        <v>1287</v>
      </c>
      <c r="BT222" s="112" t="s">
        <v>1287</v>
      </c>
      <c r="BU222" s="112" t="s">
        <v>1287</v>
      </c>
      <c r="BV222" s="111">
        <f t="shared" ref="BV222" si="1540">E222</f>
        <v>59</v>
      </c>
      <c r="BW222" s="113" t="str">
        <f t="shared" ref="BW222" si="1541">I222</f>
        <v>-</v>
      </c>
      <c r="BX222" s="114">
        <f t="shared" ref="BX222" si="1542">M222</f>
        <v>97</v>
      </c>
      <c r="BY222" s="113">
        <f t="shared" ref="BY222" si="1543">Q222</f>
        <v>133</v>
      </c>
      <c r="BZ222" s="114">
        <f t="shared" ref="BZ222" si="1544">U222</f>
        <v>139</v>
      </c>
      <c r="CA222" s="113">
        <f t="shared" ref="CA222" si="1545">Y222</f>
        <v>173</v>
      </c>
      <c r="CB222" s="114">
        <f t="shared" ref="CB222" si="1546">AC222</f>
        <v>181</v>
      </c>
      <c r="CC222" s="113">
        <f t="shared" ref="CC222" si="1547">AG222</f>
        <v>224</v>
      </c>
      <c r="CD222" s="114">
        <f t="shared" ref="CD222" si="1548">AK222</f>
        <v>229</v>
      </c>
      <c r="CE222" s="113">
        <f t="shared" ref="CE222" si="1549">AO222</f>
        <v>280</v>
      </c>
      <c r="CF222" s="114">
        <f t="shared" ref="CF222" si="1550">AS222</f>
        <v>335</v>
      </c>
      <c r="CG222" s="113">
        <f t="shared" ref="CG222" si="1551">AW222</f>
        <v>368</v>
      </c>
      <c r="CH222" s="111">
        <f t="shared" ref="CH222" si="1552">G222</f>
        <v>91</v>
      </c>
      <c r="CI222" s="113" t="str">
        <f t="shared" ref="CI222" si="1553">K222</f>
        <v>-</v>
      </c>
      <c r="CJ222" s="114">
        <f t="shared" ref="CJ222" si="1554">O222</f>
        <v>130</v>
      </c>
      <c r="CK222" s="114">
        <f t="shared" ref="CK222" si="1555">S222</f>
        <v>136</v>
      </c>
      <c r="CL222" s="114">
        <f t="shared" ref="CL222" si="1556">W222</f>
        <v>171</v>
      </c>
      <c r="CM222" s="114">
        <f t="shared" ref="CM222" si="1557">AA222</f>
        <v>180</v>
      </c>
      <c r="CN222" s="114">
        <f t="shared" ref="CN222" si="1558">AE222</f>
        <v>207</v>
      </c>
      <c r="CO222" s="114">
        <f t="shared" ref="CO222" si="1559">AI222</f>
        <v>226</v>
      </c>
      <c r="CP222" s="114">
        <f t="shared" ref="CP222" si="1560">AM222</f>
        <v>273</v>
      </c>
      <c r="CQ222" s="114">
        <f t="shared" ref="CQ222" si="1561">AQ222</f>
        <v>328</v>
      </c>
      <c r="CR222" s="114">
        <f t="shared" ref="CR222" si="1562">AU222</f>
        <v>367</v>
      </c>
      <c r="CS222" s="114">
        <f t="shared" ref="CS222" si="1563">AY222</f>
        <v>383</v>
      </c>
      <c r="CT222" s="109" t="e">
        <f t="shared" ref="CT222" si="1564">M222-K222</f>
        <v>#VALUE!</v>
      </c>
    </row>
    <row r="223" spans="1:1029" x14ac:dyDescent="0.2">
      <c r="A223" s="3" t="str">
        <f t="shared" si="1061"/>
        <v>ntr1_rat__wt</v>
      </c>
      <c r="B223" s="3" t="s">
        <v>913</v>
      </c>
      <c r="C223" s="3" t="s">
        <v>100</v>
      </c>
      <c r="D223" s="3" t="str">
        <f>IFERROR(MID(VLOOKUP($B223,Seqs!$A:$B,2,0),E223,1),"")</f>
        <v>I</v>
      </c>
      <c r="E223" s="3">
        <v>61</v>
      </c>
      <c r="F223" s="3" t="str">
        <f>IFERROR(MID(VLOOKUP($B223,Seqs!$A:$B,2,0),G223,1),"")</f>
        <v>K</v>
      </c>
      <c r="G223" s="3">
        <v>92</v>
      </c>
      <c r="H223" s="3" t="str">
        <f>IFERROR(MID(VLOOKUP($B223,Seqs!$A:$B,2,0),I223,1),"")</f>
        <v>K</v>
      </c>
      <c r="I223" s="23">
        <v>93</v>
      </c>
      <c r="J223" s="3" t="str">
        <f>IFERROR(MID(VLOOKUP($B223,Seqs!$A:$B,2,0),K223,1),"")</f>
        <v>Q</v>
      </c>
      <c r="K223" s="23">
        <v>96</v>
      </c>
      <c r="L223" s="3" t="str">
        <f>IFERROR(MID(VLOOKUP($B223,Seqs!$A:$B,2,0),M223,1),"")</f>
        <v>S</v>
      </c>
      <c r="M223" s="3">
        <v>97</v>
      </c>
      <c r="N223" s="3" t="str">
        <f>IFERROR(MID(VLOOKUP($B223,Seqs!$A:$B,2,0),O223,1),"")</f>
        <v>V</v>
      </c>
      <c r="O223" s="3">
        <v>131</v>
      </c>
      <c r="P223" s="3" t="str">
        <f>IFERROR(MID(VLOOKUP($B223,Seqs!$A:$B,2,0),Q223,1),"")</f>
        <v>P</v>
      </c>
      <c r="Q223" s="3">
        <v>134</v>
      </c>
      <c r="R223" s="3" t="str">
        <f>IFERROR(MID(VLOOKUP($B223,Seqs!$A:$B,2,0),S223,1),"")</f>
        <v>F</v>
      </c>
      <c r="S223" s="3">
        <v>137</v>
      </c>
      <c r="T223" s="3" t="str">
        <f>IFERROR(MID(VLOOKUP($B223,Seqs!$A:$B,2,0),U223,1),"")</f>
        <v>G</v>
      </c>
      <c r="U223" s="3">
        <v>138</v>
      </c>
      <c r="V223" s="3" t="str">
        <f>IFERROR(MID(VLOOKUP($B223,Seqs!$A:$B,2,0),W223,1),"")</f>
        <v>H</v>
      </c>
      <c r="W223" s="3">
        <v>173</v>
      </c>
      <c r="X223" s="3" t="str">
        <f>IFERROR(MID(VLOOKUP($B223,Seqs!$A:$B,2,0),Y223,1),"")</f>
        <v>P</v>
      </c>
      <c r="Y223" s="3">
        <v>174</v>
      </c>
      <c r="Z223" s="3" t="str">
        <f>IFERROR(MID(VLOOKUP($B223,Seqs!$A:$B,2,0),AA223,1),"")</f>
        <v>M</v>
      </c>
      <c r="AA223" s="3">
        <v>181</v>
      </c>
      <c r="AB223" s="3" t="str">
        <f>IFERROR(MID(VLOOKUP($B223,Seqs!$A:$B,2,0),AC223,1),"")</f>
        <v>S</v>
      </c>
      <c r="AC223" s="9">
        <v>182</v>
      </c>
      <c r="AD223" s="3" t="str">
        <f>IFERROR(MID(VLOOKUP($B223,Seqs!$A:$B,2,0),AE223,1),"")</f>
        <v>M</v>
      </c>
      <c r="AE223" s="3">
        <v>208</v>
      </c>
      <c r="AF223" s="3" t="str">
        <f>IFERROR(MID(VLOOKUP($B223,Seqs!$A:$B,2,0),AG223,1),"")</f>
        <v>C</v>
      </c>
      <c r="AG223" s="3">
        <v>225</v>
      </c>
      <c r="AH223" s="3" t="str">
        <f>IFERROR(MID(VLOOKUP($B223,Seqs!$A:$B,2,0),AI223,1),"")</f>
        <v>P</v>
      </c>
      <c r="AI223" s="3">
        <v>227</v>
      </c>
      <c r="AJ223" s="3" t="str">
        <f>IFERROR(MID(VLOOKUP($B223,Seqs!$A:$B,2,0),AK223,1),"")</f>
        <v>T</v>
      </c>
      <c r="AK223" s="3">
        <v>231</v>
      </c>
      <c r="AL223" s="3" t="str">
        <f>IFERROR(MID(VLOOKUP($B223,Seqs!$A:$B,2,0),AM223,1),"")</f>
        <v>G</v>
      </c>
      <c r="AM223" s="3">
        <v>275</v>
      </c>
      <c r="AN223" s="3" t="str">
        <f>IFERROR(MID(VLOOKUP($B223,Seqs!$A:$B,2,0),AO223,1),"")</f>
        <v>P</v>
      </c>
      <c r="AO223" s="3">
        <v>297</v>
      </c>
      <c r="AP223" s="3" t="str">
        <f>IFERROR(MID(VLOOKUP($B223,Seqs!$A:$B,2,0),AQ223,1),"")</f>
        <v>I</v>
      </c>
      <c r="AQ223" s="3">
        <v>334</v>
      </c>
      <c r="AR223" s="3" t="str">
        <f>IFERROR(MID(VLOOKUP($B223,Seqs!$A:$B,2,0),AS223,1),"")</f>
        <v>T</v>
      </c>
      <c r="AS223" s="3">
        <v>340</v>
      </c>
      <c r="AT223" s="3" t="str">
        <f>IFERROR(MID(VLOOKUP($B223,Seqs!$A:$B,2,0),AU223,1),"")</f>
        <v>V</v>
      </c>
      <c r="AU223" s="3">
        <v>372</v>
      </c>
      <c r="AV223" s="3" t="str">
        <f>IFERROR(MID(VLOOKUP($B223,Seqs!$A:$B,2,0),AW223,1),"")</f>
        <v>S</v>
      </c>
      <c r="AW223" s="3">
        <v>373</v>
      </c>
      <c r="AX223" s="3" t="str">
        <f>IFERROR(MID(VLOOKUP($B223,Seqs!$A:$B,2,0),AY223,1),"")</f>
        <v>C</v>
      </c>
      <c r="AY223" s="105">
        <v>388</v>
      </c>
      <c r="AZ223" s="77" t="str">
        <f>VLOOKUP(B223,Classification!A:D,2,0)</f>
        <v>A</v>
      </c>
      <c r="BA223" s="94" t="str">
        <f>VLOOKUP(B223,Classification!A:D,4,0)</f>
        <v>Neurotensin</v>
      </c>
      <c r="BB223" s="27" t="b">
        <f t="shared" si="1062"/>
        <v>1</v>
      </c>
      <c r="BC223" s="23">
        <f t="shared" si="1035"/>
        <v>281</v>
      </c>
      <c r="BD223" s="56" t="s">
        <v>23</v>
      </c>
      <c r="BE223" s="3" t="s">
        <v>23</v>
      </c>
      <c r="BF223" s="119" t="s">
        <v>23</v>
      </c>
      <c r="BG223" s="49" t="s">
        <v>1372</v>
      </c>
      <c r="BH223" s="49" t="s">
        <v>1377</v>
      </c>
      <c r="BI223" s="3" t="s">
        <v>1169</v>
      </c>
      <c r="BJ223" s="70" t="s">
        <v>1287</v>
      </c>
      <c r="BK223" s="57" t="s">
        <v>1287</v>
      </c>
      <c r="BL223" s="57" t="s">
        <v>1287</v>
      </c>
      <c r="BM223" s="57" t="s">
        <v>1287</v>
      </c>
      <c r="BN223" s="57" t="s">
        <v>1287</v>
      </c>
      <c r="BO223" s="57" t="s">
        <v>1287</v>
      </c>
      <c r="BP223" s="57" t="s">
        <v>1287</v>
      </c>
      <c r="BQ223" s="57" t="s">
        <v>1287</v>
      </c>
      <c r="BR223" s="57" t="s">
        <v>1287</v>
      </c>
      <c r="BS223" s="57" t="s">
        <v>1287</v>
      </c>
      <c r="BT223" s="57" t="s">
        <v>1287</v>
      </c>
      <c r="BU223" s="57" t="s">
        <v>1287</v>
      </c>
      <c r="BV223" s="70">
        <f t="shared" si="1036"/>
        <v>61</v>
      </c>
      <c r="BW223" s="71">
        <f t="shared" si="1037"/>
        <v>93</v>
      </c>
      <c r="BX223" s="72">
        <f t="shared" si="1038"/>
        <v>97</v>
      </c>
      <c r="BY223" s="71">
        <f t="shared" si="1039"/>
        <v>134</v>
      </c>
      <c r="BZ223" s="72">
        <f t="shared" si="1040"/>
        <v>138</v>
      </c>
      <c r="CA223" s="71">
        <f t="shared" si="1041"/>
        <v>174</v>
      </c>
      <c r="CB223" s="72">
        <f t="shared" si="1042"/>
        <v>182</v>
      </c>
      <c r="CC223" s="71">
        <f t="shared" si="1043"/>
        <v>225</v>
      </c>
      <c r="CD223" s="72">
        <f t="shared" si="1044"/>
        <v>231</v>
      </c>
      <c r="CE223" s="71">
        <f t="shared" si="1045"/>
        <v>297</v>
      </c>
      <c r="CF223" s="72">
        <f t="shared" si="1046"/>
        <v>340</v>
      </c>
      <c r="CG223" s="71">
        <f t="shared" si="1047"/>
        <v>373</v>
      </c>
      <c r="CH223" s="70">
        <f t="shared" si="1048"/>
        <v>92</v>
      </c>
      <c r="CI223" s="71">
        <f t="shared" si="1049"/>
        <v>96</v>
      </c>
      <c r="CJ223" s="72">
        <f t="shared" si="1050"/>
        <v>131</v>
      </c>
      <c r="CK223" s="72">
        <f t="shared" si="1051"/>
        <v>137</v>
      </c>
      <c r="CL223" s="72">
        <f t="shared" si="1052"/>
        <v>173</v>
      </c>
      <c r="CM223" s="72">
        <f t="shared" si="1053"/>
        <v>181</v>
      </c>
      <c r="CN223" s="72">
        <f t="shared" si="1054"/>
        <v>208</v>
      </c>
      <c r="CO223" s="72">
        <f t="shared" si="1055"/>
        <v>227</v>
      </c>
      <c r="CP223" s="72">
        <f t="shared" si="1056"/>
        <v>275</v>
      </c>
      <c r="CQ223" s="72">
        <f t="shared" si="1057"/>
        <v>334</v>
      </c>
      <c r="CR223" s="72">
        <f t="shared" si="1058"/>
        <v>372</v>
      </c>
      <c r="CS223" s="72">
        <f t="shared" si="1059"/>
        <v>388</v>
      </c>
      <c r="CT223" s="23">
        <f t="shared" si="1060"/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29" x14ac:dyDescent="0.2">
      <c r="A224" s="3" t="str">
        <f t="shared" si="1061"/>
        <v>ntr1_rat_4BUO</v>
      </c>
      <c r="B224" s="3" t="s">
        <v>913</v>
      </c>
      <c r="C224" s="3" t="s">
        <v>1332</v>
      </c>
      <c r="D224" s="3" t="str">
        <f>IFERROR(MID(VLOOKUP($B224,Seqs!$A:$B,2,0),E224,1),"")</f>
        <v>I</v>
      </c>
      <c r="E224" s="3">
        <v>61</v>
      </c>
      <c r="F224" s="3" t="str">
        <f>IFERROR(MID(VLOOKUP($B224,Seqs!$A:$B,2,0),G224,1),"")</f>
        <v>R</v>
      </c>
      <c r="G224" s="3">
        <v>91</v>
      </c>
      <c r="H224" s="3" t="str">
        <f>IFERROR(MID(VLOOKUP($B224,Seqs!$A:$B,2,0),I224,1),"")</f>
        <v/>
      </c>
      <c r="I224" s="23" t="s">
        <v>23</v>
      </c>
      <c r="J224" s="3" t="str">
        <f>IFERROR(MID(VLOOKUP($B224,Seqs!$A:$B,2,0),K224,1),"")</f>
        <v/>
      </c>
      <c r="K224" s="23" t="s">
        <v>23</v>
      </c>
      <c r="L224" s="3" t="str">
        <f>IFERROR(MID(VLOOKUP($B224,Seqs!$A:$B,2,0),M224,1),"")</f>
        <v>S</v>
      </c>
      <c r="M224" s="3">
        <v>97</v>
      </c>
      <c r="N224" s="3" t="str">
        <f>IFERROR(MID(VLOOKUP($B224,Seqs!$A:$B,2,0),O224,1),"")</f>
        <v>V</v>
      </c>
      <c r="O224" s="3">
        <v>131</v>
      </c>
      <c r="P224" s="3" t="str">
        <f>IFERROR(MID(VLOOKUP($B224,Seqs!$A:$B,2,0),Q224,1),"")</f>
        <v>P</v>
      </c>
      <c r="Q224" s="3">
        <v>134</v>
      </c>
      <c r="R224" s="3" t="str">
        <f>IFERROR(MID(VLOOKUP($B224,Seqs!$A:$B,2,0),S224,1),"")</f>
        <v>F</v>
      </c>
      <c r="S224" s="3">
        <v>137</v>
      </c>
      <c r="T224" s="3" t="str">
        <f>IFERROR(MID(VLOOKUP($B224,Seqs!$A:$B,2,0),U224,1),"")</f>
        <v>G</v>
      </c>
      <c r="U224" s="3">
        <v>138</v>
      </c>
      <c r="V224" s="3" t="str">
        <f>IFERROR(MID(VLOOKUP($B224,Seqs!$A:$B,2,0),W224,1),"")</f>
        <v>H</v>
      </c>
      <c r="W224" s="3">
        <v>173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S</v>
      </c>
      <c r="AC224" s="9">
        <v>182</v>
      </c>
      <c r="AD224" s="3" t="str">
        <f>IFERROR(MID(VLOOKUP($B224,Seqs!$A:$B,2,0),AE224,1),"")</f>
        <v>M</v>
      </c>
      <c r="AE224" s="3">
        <v>208</v>
      </c>
      <c r="AF224" s="3" t="str">
        <f>IFERROR(MID(VLOOKUP($B224,Seqs!$A:$B,2,0),AG224,1),"")</f>
        <v>C</v>
      </c>
      <c r="AG224" s="3">
        <v>225</v>
      </c>
      <c r="AH224" s="3" t="str">
        <f>IFERROR(MID(VLOOKUP($B224,Seqs!$A:$B,2,0),AI224,1),"")</f>
        <v>P</v>
      </c>
      <c r="AI224" s="3">
        <v>227</v>
      </c>
      <c r="AJ224" s="3" t="str">
        <f>IFERROR(MID(VLOOKUP($B224,Seqs!$A:$B,2,0),AK224,1),"")</f>
        <v>T</v>
      </c>
      <c r="AK224" s="3">
        <v>231</v>
      </c>
      <c r="AL224" s="3" t="str">
        <f>IFERROR(MID(VLOOKUP($B224,Seqs!$A:$B,2,0),AM224,1),"")</f>
        <v>Q</v>
      </c>
      <c r="AM224" s="3">
        <v>270</v>
      </c>
      <c r="AN224" s="3" t="str">
        <f>IFERROR(MID(VLOOKUP($B224,Seqs!$A:$B,2,0),AO224,1),"")</f>
        <v>G</v>
      </c>
      <c r="AO224" s="3">
        <v>298</v>
      </c>
      <c r="AP224" s="3" t="str">
        <f>IFERROR(MID(VLOOKUP($B224,Seqs!$A:$B,2,0),AQ224,1),"")</f>
        <v>I</v>
      </c>
      <c r="AQ224" s="3">
        <v>334</v>
      </c>
      <c r="AR224" s="3" t="str">
        <f>IFERROR(MID(VLOOKUP($B224,Seqs!$A:$B,2,0),AS224,1),"")</f>
        <v>T</v>
      </c>
      <c r="AS224" s="3">
        <v>340</v>
      </c>
      <c r="AT224" s="3" t="str">
        <f>IFERROR(MID(VLOOKUP($B224,Seqs!$A:$B,2,0),AU224,1),"")</f>
        <v>V</v>
      </c>
      <c r="AU224" s="3">
        <v>372</v>
      </c>
      <c r="AV224" s="3" t="str">
        <f>IFERROR(MID(VLOOKUP($B224,Seqs!$A:$B,2,0),AW224,1),"")</f>
        <v>S</v>
      </c>
      <c r="AW224" s="3">
        <v>373</v>
      </c>
      <c r="AX224" s="3" t="str">
        <f>IFERROR(MID(VLOOKUP($B224,Seqs!$A:$B,2,0),AY224,1),"")</f>
        <v>L</v>
      </c>
      <c r="AY224" s="3">
        <v>384</v>
      </c>
      <c r="AZ224" s="77" t="str">
        <f>VLOOKUP(B224,Classification!A:D,2,0)</f>
        <v>A</v>
      </c>
      <c r="BA224" s="94" t="str">
        <f>VLOOKUP(B224,Classification!A:D,4,0)</f>
        <v>Neurotensin</v>
      </c>
      <c r="BB224" s="27" t="b">
        <f t="shared" si="1062"/>
        <v>1</v>
      </c>
      <c r="BC224" s="23">
        <f t="shared" si="1035"/>
        <v>260</v>
      </c>
      <c r="BD224" s="16" t="s">
        <v>1376</v>
      </c>
      <c r="BE224" s="3" t="s">
        <v>1374</v>
      </c>
      <c r="BF224" s="119">
        <v>2.75</v>
      </c>
      <c r="BG224" s="49" t="s">
        <v>1377</v>
      </c>
      <c r="BH224" s="49" t="s">
        <v>1377</v>
      </c>
      <c r="BI224" s="1"/>
      <c r="BJ224" s="70" t="s">
        <v>1287</v>
      </c>
      <c r="BK224" s="57" t="s">
        <v>1287</v>
      </c>
      <c r="BL224" s="57" t="s">
        <v>1287</v>
      </c>
      <c r="BM224" s="57" t="s">
        <v>1287</v>
      </c>
      <c r="BN224" s="57" t="s">
        <v>1287</v>
      </c>
      <c r="BO224" s="57" t="s">
        <v>1287</v>
      </c>
      <c r="BP224" s="57" t="s">
        <v>1287</v>
      </c>
      <c r="BQ224" s="57" t="s">
        <v>1287</v>
      </c>
      <c r="BR224" s="57" t="s">
        <v>1287</v>
      </c>
      <c r="BS224" s="57" t="s">
        <v>1287</v>
      </c>
      <c r="BT224" s="57" t="s">
        <v>1287</v>
      </c>
      <c r="BU224" s="57" t="s">
        <v>1287</v>
      </c>
      <c r="BV224" s="70">
        <f t="shared" si="1036"/>
        <v>61</v>
      </c>
      <c r="BW224" s="71" t="str">
        <f t="shared" si="1037"/>
        <v>-</v>
      </c>
      <c r="BX224" s="72">
        <f t="shared" si="1038"/>
        <v>97</v>
      </c>
      <c r="BY224" s="71">
        <f t="shared" si="1039"/>
        <v>134</v>
      </c>
      <c r="BZ224" s="72">
        <f t="shared" si="1040"/>
        <v>138</v>
      </c>
      <c r="CA224" s="71" t="str">
        <f t="shared" si="1041"/>
        <v>-</v>
      </c>
      <c r="CB224" s="72">
        <f t="shared" si="1042"/>
        <v>182</v>
      </c>
      <c r="CC224" s="71">
        <f t="shared" si="1043"/>
        <v>225</v>
      </c>
      <c r="CD224" s="72">
        <f t="shared" si="1044"/>
        <v>231</v>
      </c>
      <c r="CE224" s="71">
        <f t="shared" si="1045"/>
        <v>298</v>
      </c>
      <c r="CF224" s="72">
        <f t="shared" si="1046"/>
        <v>340</v>
      </c>
      <c r="CG224" s="71">
        <f t="shared" si="1047"/>
        <v>373</v>
      </c>
      <c r="CH224" s="70">
        <f t="shared" si="1048"/>
        <v>91</v>
      </c>
      <c r="CI224" s="71" t="str">
        <f t="shared" si="1049"/>
        <v>-</v>
      </c>
      <c r="CJ224" s="72">
        <f t="shared" si="1050"/>
        <v>131</v>
      </c>
      <c r="CK224" s="72">
        <f t="shared" si="1051"/>
        <v>137</v>
      </c>
      <c r="CL224" s="72">
        <f t="shared" si="1052"/>
        <v>173</v>
      </c>
      <c r="CM224" s="72" t="str">
        <f t="shared" si="1053"/>
        <v>-</v>
      </c>
      <c r="CN224" s="72">
        <f t="shared" si="1054"/>
        <v>208</v>
      </c>
      <c r="CO224" s="72">
        <f t="shared" si="1055"/>
        <v>227</v>
      </c>
      <c r="CP224" s="72">
        <f t="shared" si="1056"/>
        <v>270</v>
      </c>
      <c r="CQ224" s="72">
        <f t="shared" si="1057"/>
        <v>334</v>
      </c>
      <c r="CR224" s="72">
        <f t="shared" si="1058"/>
        <v>372</v>
      </c>
      <c r="CS224" s="72">
        <f t="shared" si="1059"/>
        <v>384</v>
      </c>
      <c r="CT224" s="23" t="e">
        <f t="shared" si="1060"/>
        <v>#VALUE!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30" x14ac:dyDescent="0.2">
      <c r="A225" s="3" t="str">
        <f t="shared" si="1061"/>
        <v>ntr1_rat_4GRV</v>
      </c>
      <c r="B225" s="3" t="s">
        <v>913</v>
      </c>
      <c r="C225" s="3" t="s">
        <v>50</v>
      </c>
      <c r="D225" s="3" t="str">
        <f>IFERROR(MID(VLOOKUP($B225,Seqs!$A:$B,2,0),E225,1),"")</f>
        <v>I</v>
      </c>
      <c r="E225" s="3">
        <v>61</v>
      </c>
      <c r="F225" s="3" t="str">
        <f>IFERROR(MID(VLOOKUP($B225,Seqs!$A:$B,2,0),G225,1),"")</f>
        <v>T</v>
      </c>
      <c r="G225" s="3">
        <v>88</v>
      </c>
      <c r="H225" s="3" t="str">
        <f>IFERROR(MID(VLOOKUP($B225,Seqs!$A:$B,2,0),I225,1),"")</f>
        <v/>
      </c>
      <c r="I225" s="23" t="s">
        <v>23</v>
      </c>
      <c r="J225" s="3" t="str">
        <f>IFERROR(MID(VLOOKUP($B225,Seqs!$A:$B,2,0),K225,1),"")</f>
        <v/>
      </c>
      <c r="K225" s="23" t="s">
        <v>23</v>
      </c>
      <c r="L225" s="3" t="str">
        <f>IFERROR(MID(VLOOKUP($B225,Seqs!$A:$B,2,0),M225,1),"")</f>
        <v>Q</v>
      </c>
      <c r="M225" s="3">
        <v>99</v>
      </c>
      <c r="N225" s="3" t="str">
        <f>IFERROR(MID(VLOOKUP($B225,Seqs!$A:$B,2,0),O225,1),"")</f>
        <v>V</v>
      </c>
      <c r="O225" s="3">
        <v>131</v>
      </c>
      <c r="P225" s="3" t="str">
        <f>IFERROR(MID(VLOOKUP($B225,Seqs!$A:$B,2,0),Q225,1),"")</f>
        <v>P</v>
      </c>
      <c r="Q225" s="3">
        <v>134</v>
      </c>
      <c r="R225" s="3" t="str">
        <f>IFERROR(MID(VLOOKUP($B225,Seqs!$A:$B,2,0),S225,1),"")</f>
        <v>F</v>
      </c>
      <c r="S225" s="3">
        <v>137</v>
      </c>
      <c r="T225" s="3" t="str">
        <f>IFERROR(MID(VLOOKUP($B225,Seqs!$A:$B,2,0),U225,1),"")</f>
        <v>G</v>
      </c>
      <c r="U225" s="3">
        <v>138</v>
      </c>
      <c r="V225" s="3" t="str">
        <f>IFERROR(MID(VLOOKUP($B225,Seqs!$A:$B,2,0),W225,1),"")</f>
        <v>H</v>
      </c>
      <c r="W225" s="3">
        <v>173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T</v>
      </c>
      <c r="AC225" s="9">
        <v>186</v>
      </c>
      <c r="AD225" s="3" t="str">
        <f>IFERROR(MID(VLOOKUP($B225,Seqs!$A:$B,2,0),AE225,1),"")</f>
        <v>M</v>
      </c>
      <c r="AE225" s="3">
        <v>208</v>
      </c>
      <c r="AF225" s="3" t="str">
        <f>IFERROR(MID(VLOOKUP($B225,Seqs!$A:$B,2,0),AG225,1),"")</f>
        <v>C</v>
      </c>
      <c r="AG225" s="3">
        <v>225</v>
      </c>
      <c r="AH225" s="3" t="str">
        <f>IFERROR(MID(VLOOKUP($B225,Seqs!$A:$B,2,0),AI225,1),"")</f>
        <v>P</v>
      </c>
      <c r="AI225" s="3">
        <v>227</v>
      </c>
      <c r="AJ225" s="3" t="str">
        <f>IFERROR(MID(VLOOKUP($B225,Seqs!$A:$B,2,0),AK225,1),"")</f>
        <v>T</v>
      </c>
      <c r="AK225" s="3">
        <v>231</v>
      </c>
      <c r="AL225" s="3" t="str">
        <f>IFERROR(MID(VLOOKUP($B225,Seqs!$A:$B,2,0),AM225,1),"")</f>
        <v>T</v>
      </c>
      <c r="AM225" s="3">
        <v>265</v>
      </c>
      <c r="AN225" s="3" t="str">
        <f>IFERROR(MID(VLOOKUP($B225,Seqs!$A:$B,2,0),AO225,1),"")</f>
        <v>A</v>
      </c>
      <c r="AO225" s="3">
        <v>302</v>
      </c>
      <c r="AP225" s="3" t="str">
        <f>IFERROR(MID(VLOOKUP($B225,Seqs!$A:$B,2,0),AQ225,1),"")</f>
        <v>I</v>
      </c>
      <c r="AQ225" s="3">
        <v>334</v>
      </c>
      <c r="AR225" s="3" t="str">
        <f>IFERROR(MID(VLOOKUP($B225,Seqs!$A:$B,2,0),AS225,1),"")</f>
        <v>T</v>
      </c>
      <c r="AS225" s="3">
        <v>340</v>
      </c>
      <c r="AT225" s="3" t="str">
        <f>IFERROR(MID(VLOOKUP($B225,Seqs!$A:$B,2,0),AU225,1),"")</f>
        <v>S</v>
      </c>
      <c r="AU225" s="3">
        <v>361</v>
      </c>
      <c r="AV225" s="3" t="str">
        <f>IFERROR(MID(VLOOKUP($B225,Seqs!$A:$B,2,0),AW225,1),"")</f>
        <v/>
      </c>
      <c r="AW225" s="3" t="s">
        <v>23</v>
      </c>
      <c r="AX225" s="3" t="str">
        <f>IFERROR(MID(VLOOKUP($B225,Seqs!$A:$B,2,0),AY225,1),"")</f>
        <v/>
      </c>
      <c r="AY225" s="3" t="s">
        <v>23</v>
      </c>
      <c r="AZ225" s="77" t="str">
        <f>VLOOKUP(B225,Classification!A:D,2,0)</f>
        <v>A</v>
      </c>
      <c r="BA225" s="94" t="str">
        <f>VLOOKUP(B225,Classification!A:D,4,0)</f>
        <v>Neurotensin</v>
      </c>
      <c r="BB225" s="27" t="b">
        <f t="shared" si="1062"/>
        <v>1</v>
      </c>
      <c r="BC225" s="23">
        <f t="shared" si="1035"/>
        <v>220</v>
      </c>
      <c r="BD225" s="5" t="s">
        <v>23</v>
      </c>
      <c r="BE225" s="3" t="s">
        <v>1428</v>
      </c>
      <c r="BF225" s="119">
        <v>2.8</v>
      </c>
      <c r="BG225" s="49" t="s">
        <v>1377</v>
      </c>
      <c r="BH225" s="49" t="s">
        <v>1377</v>
      </c>
      <c r="BI225" s="1"/>
      <c r="BJ225" s="70" t="s">
        <v>1287</v>
      </c>
      <c r="BK225" s="57" t="s">
        <v>1287</v>
      </c>
      <c r="BL225" s="57" t="s">
        <v>1287</v>
      </c>
      <c r="BM225" s="57" t="s">
        <v>1287</v>
      </c>
      <c r="BN225" s="57" t="s">
        <v>1287</v>
      </c>
      <c r="BO225" s="57" t="s">
        <v>1287</v>
      </c>
      <c r="BP225" s="57" t="s">
        <v>1287</v>
      </c>
      <c r="BQ225" s="57" t="s">
        <v>1287</v>
      </c>
      <c r="BR225" s="57" t="s">
        <v>1287</v>
      </c>
      <c r="BS225" s="57" t="s">
        <v>1287</v>
      </c>
      <c r="BT225" s="57" t="s">
        <v>1287</v>
      </c>
      <c r="BU225" s="57" t="s">
        <v>1287</v>
      </c>
      <c r="BV225" s="70">
        <f t="shared" si="1036"/>
        <v>61</v>
      </c>
      <c r="BW225" s="71" t="str">
        <f t="shared" si="1037"/>
        <v>-</v>
      </c>
      <c r="BX225" s="72">
        <f t="shared" si="1038"/>
        <v>99</v>
      </c>
      <c r="BY225" s="71">
        <f t="shared" si="1039"/>
        <v>134</v>
      </c>
      <c r="BZ225" s="72">
        <f t="shared" si="1040"/>
        <v>138</v>
      </c>
      <c r="CA225" s="71" t="str">
        <f t="shared" si="1041"/>
        <v>-</v>
      </c>
      <c r="CB225" s="72">
        <f t="shared" si="1042"/>
        <v>186</v>
      </c>
      <c r="CC225" s="71">
        <f t="shared" si="1043"/>
        <v>225</v>
      </c>
      <c r="CD225" s="72">
        <f t="shared" si="1044"/>
        <v>231</v>
      </c>
      <c r="CE225" s="71">
        <f t="shared" si="1045"/>
        <v>302</v>
      </c>
      <c r="CF225" s="72">
        <f t="shared" si="1046"/>
        <v>340</v>
      </c>
      <c r="CG225" s="71" t="str">
        <f t="shared" si="1047"/>
        <v>-</v>
      </c>
      <c r="CH225" s="70">
        <f t="shared" si="1048"/>
        <v>88</v>
      </c>
      <c r="CI225" s="71" t="str">
        <f t="shared" si="1049"/>
        <v>-</v>
      </c>
      <c r="CJ225" s="72">
        <f t="shared" si="1050"/>
        <v>131</v>
      </c>
      <c r="CK225" s="72">
        <f t="shared" si="1051"/>
        <v>137</v>
      </c>
      <c r="CL225" s="72">
        <f t="shared" si="1052"/>
        <v>173</v>
      </c>
      <c r="CM225" s="72" t="str">
        <f t="shared" si="1053"/>
        <v>-</v>
      </c>
      <c r="CN225" s="72">
        <f t="shared" si="1054"/>
        <v>208</v>
      </c>
      <c r="CO225" s="72">
        <f t="shared" si="1055"/>
        <v>227</v>
      </c>
      <c r="CP225" s="72">
        <f t="shared" si="1056"/>
        <v>265</v>
      </c>
      <c r="CQ225" s="72">
        <f t="shared" si="1057"/>
        <v>334</v>
      </c>
      <c r="CR225" s="72">
        <f t="shared" si="1058"/>
        <v>361</v>
      </c>
      <c r="CS225" s="72" t="str">
        <f t="shared" si="1059"/>
        <v>-</v>
      </c>
      <c r="CT225" s="23" t="e">
        <f t="shared" si="1060"/>
        <v>#VALUE!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30" x14ac:dyDescent="0.2">
      <c r="A226" s="3" t="str">
        <f t="shared" si="1061"/>
        <v>ntr1_rat_4XEE</v>
      </c>
      <c r="B226" s="3" t="s">
        <v>913</v>
      </c>
      <c r="C226" s="3" t="s">
        <v>1350</v>
      </c>
      <c r="D226" s="3" t="str">
        <f>IFERROR(MID(VLOOKUP($B226,Seqs!$A:$B,2,0),E226,1),"")</f>
        <v>I</v>
      </c>
      <c r="E226" s="3">
        <v>61</v>
      </c>
      <c r="F226" s="3" t="str">
        <f>IFERROR(MID(VLOOKUP($B226,Seqs!$A:$B,2,0),G226,1),"")</f>
        <v>R</v>
      </c>
      <c r="G226" s="3">
        <v>91</v>
      </c>
      <c r="H226" s="3" t="str">
        <f>IFERROR(MID(VLOOKUP($B226,Seqs!$A:$B,2,0),I226,1),"")</f>
        <v/>
      </c>
      <c r="I226" s="23" t="s">
        <v>23</v>
      </c>
      <c r="J226" s="3" t="str">
        <f>IFERROR(MID(VLOOKUP($B226,Seqs!$A:$B,2,0),K226,1),"")</f>
        <v/>
      </c>
      <c r="K226" s="23" t="s">
        <v>23</v>
      </c>
      <c r="L226" s="3" t="str">
        <f>IFERROR(MID(VLOOKUP($B226,Seqs!$A:$B,2,0),M226,1),"")</f>
        <v>S</v>
      </c>
      <c r="M226" s="3">
        <v>100</v>
      </c>
      <c r="N226" s="3" t="str">
        <f>IFERROR(MID(VLOOKUP($B226,Seqs!$A:$B,2,0),O226,1),"")</f>
        <v>V</v>
      </c>
      <c r="O226" s="3">
        <v>131</v>
      </c>
      <c r="P226" s="3" t="str">
        <f>IFERROR(MID(VLOOKUP($B226,Seqs!$A:$B,2,0),Q226,1),"")</f>
        <v>P</v>
      </c>
      <c r="Q226" s="3">
        <v>134</v>
      </c>
      <c r="R226" s="3" t="str">
        <f>IFERROR(MID(VLOOKUP($B226,Seqs!$A:$B,2,0),S226,1),"")</f>
        <v>F</v>
      </c>
      <c r="S226" s="3">
        <v>137</v>
      </c>
      <c r="T226" s="3" t="str">
        <f>IFERROR(MID(VLOOKUP($B226,Seqs!$A:$B,2,0),U226,1),"")</f>
        <v>G</v>
      </c>
      <c r="U226" s="3">
        <v>138</v>
      </c>
      <c r="V226" s="3" t="str">
        <f>IFERROR(MID(VLOOKUP($B226,Seqs!$A:$B,2,0),W226,1),"")</f>
        <v>H</v>
      </c>
      <c r="W226" s="3">
        <v>173</v>
      </c>
      <c r="X226" s="3" t="str">
        <f>IFERROR(MID(VLOOKUP($B226,Seqs!$A:$B,2,0),Y226,1),"")</f>
        <v>P</v>
      </c>
      <c r="Y226" s="3">
        <v>174</v>
      </c>
      <c r="Z226" s="3" t="str">
        <f>IFERROR(MID(VLOOKUP($B226,Seqs!$A:$B,2,0),AA226,1),"")</f>
        <v>M</v>
      </c>
      <c r="AA226" s="3">
        <v>181</v>
      </c>
      <c r="AB226" s="3" t="str">
        <f>IFERROR(MID(VLOOKUP($B226,Seqs!$A:$B,2,0),AC226,1),"")</f>
        <v>S</v>
      </c>
      <c r="AC226" s="9">
        <v>182</v>
      </c>
      <c r="AD226" s="3" t="str">
        <f>IFERROR(MID(VLOOKUP($B226,Seqs!$A:$B,2,0),AE226,1),"")</f>
        <v>M</v>
      </c>
      <c r="AE226" s="3">
        <v>208</v>
      </c>
      <c r="AF226" s="3" t="str">
        <f>IFERROR(MID(VLOOKUP($B226,Seqs!$A:$B,2,0),AG226,1),"")</f>
        <v>C</v>
      </c>
      <c r="AG226" s="3">
        <v>225</v>
      </c>
      <c r="AH226" s="3" t="str">
        <f>IFERROR(MID(VLOOKUP($B226,Seqs!$A:$B,2,0),AI226,1),"")</f>
        <v>P</v>
      </c>
      <c r="AI226" s="3">
        <v>227</v>
      </c>
      <c r="AJ226" s="3" t="str">
        <f>IFERROR(MID(VLOOKUP($B226,Seqs!$A:$B,2,0),AK226,1),"")</f>
        <v>T</v>
      </c>
      <c r="AK226" s="3">
        <v>231</v>
      </c>
      <c r="AL226" s="3" t="str">
        <f>IFERROR(MID(VLOOKUP($B226,Seqs!$A:$B,2,0),AM226,1),"")</f>
        <v>V</v>
      </c>
      <c r="AM226" s="3">
        <v>268</v>
      </c>
      <c r="AN226" s="3" t="str">
        <f>IFERROR(MID(VLOOKUP($B226,Seqs!$A:$B,2,0),AO226,1),"")</f>
        <v>Q</v>
      </c>
      <c r="AO226" s="3">
        <v>301</v>
      </c>
      <c r="AP226" s="3" t="str">
        <f>IFERROR(MID(VLOOKUP($B226,Seqs!$A:$B,2,0),AQ226,1),"")</f>
        <v>I</v>
      </c>
      <c r="AQ226" s="3">
        <v>334</v>
      </c>
      <c r="AR226" s="3" t="str">
        <f>IFERROR(MID(VLOOKUP($B226,Seqs!$A:$B,2,0),AS226,1),"")</f>
        <v>T</v>
      </c>
      <c r="AS226" s="3">
        <v>340</v>
      </c>
      <c r="AT226" s="3" t="str">
        <f>IFERROR(MID(VLOOKUP($B226,Seqs!$A:$B,2,0),AU226,1),"")</f>
        <v>I</v>
      </c>
      <c r="AU226" s="3">
        <v>364</v>
      </c>
      <c r="AV226" s="3" t="str">
        <f>IFERROR(MID(VLOOKUP($B226,Seqs!$A:$B,2,0),AW226,1),"")</f>
        <v/>
      </c>
      <c r="AW226" s="3" t="s">
        <v>23</v>
      </c>
      <c r="AX226" s="3" t="str">
        <f>IFERROR(MID(VLOOKUP($B226,Seqs!$A:$B,2,0),AY226,1),"")</f>
        <v/>
      </c>
      <c r="AY226" s="3" t="s">
        <v>23</v>
      </c>
      <c r="AZ226" s="77" t="str">
        <f>VLOOKUP(B226,Classification!A:D,2,0)</f>
        <v>A</v>
      </c>
      <c r="BA226" s="94" t="str">
        <f>VLOOKUP(B226,Classification!A:D,4,0)</f>
        <v>Neurotensin</v>
      </c>
      <c r="BB226" s="27" t="b">
        <f t="shared" si="1062"/>
        <v>1</v>
      </c>
      <c r="BC226" s="23">
        <f t="shared" si="1035"/>
        <v>240</v>
      </c>
      <c r="BD226" s="4" t="s">
        <v>23</v>
      </c>
      <c r="BE226" s="3" t="s">
        <v>1428</v>
      </c>
      <c r="BF226" s="119">
        <v>2.9</v>
      </c>
      <c r="BG226" s="49" t="s">
        <v>1377</v>
      </c>
      <c r="BH226" s="49" t="s">
        <v>1377</v>
      </c>
      <c r="BI226" s="1"/>
      <c r="BJ226" s="70" t="s">
        <v>1287</v>
      </c>
      <c r="BK226" s="57" t="s">
        <v>1287</v>
      </c>
      <c r="BL226" s="57" t="s">
        <v>1287</v>
      </c>
      <c r="BM226" s="57" t="s">
        <v>1287</v>
      </c>
      <c r="BN226" s="57" t="s">
        <v>1287</v>
      </c>
      <c r="BO226" s="57" t="s">
        <v>1287</v>
      </c>
      <c r="BP226" s="57" t="s">
        <v>1287</v>
      </c>
      <c r="BQ226" s="57" t="s">
        <v>1287</v>
      </c>
      <c r="BR226" s="57" t="s">
        <v>1287</v>
      </c>
      <c r="BS226" s="57" t="s">
        <v>1287</v>
      </c>
      <c r="BT226" s="57" t="s">
        <v>1287</v>
      </c>
      <c r="BU226" s="57" t="s">
        <v>1287</v>
      </c>
      <c r="BV226" s="70">
        <f t="shared" si="1036"/>
        <v>61</v>
      </c>
      <c r="BW226" s="71" t="str">
        <f t="shared" si="1037"/>
        <v>-</v>
      </c>
      <c r="BX226" s="72">
        <f t="shared" si="1038"/>
        <v>100</v>
      </c>
      <c r="BY226" s="71">
        <f t="shared" si="1039"/>
        <v>134</v>
      </c>
      <c r="BZ226" s="72">
        <f t="shared" si="1040"/>
        <v>138</v>
      </c>
      <c r="CA226" s="71">
        <f t="shared" si="1041"/>
        <v>174</v>
      </c>
      <c r="CB226" s="72">
        <f t="shared" si="1042"/>
        <v>182</v>
      </c>
      <c r="CC226" s="71">
        <f t="shared" si="1043"/>
        <v>225</v>
      </c>
      <c r="CD226" s="72">
        <f t="shared" si="1044"/>
        <v>231</v>
      </c>
      <c r="CE226" s="71">
        <f t="shared" si="1045"/>
        <v>301</v>
      </c>
      <c r="CF226" s="72">
        <f t="shared" si="1046"/>
        <v>340</v>
      </c>
      <c r="CG226" s="71" t="str">
        <f t="shared" si="1047"/>
        <v>-</v>
      </c>
      <c r="CH226" s="70">
        <f t="shared" si="1048"/>
        <v>91</v>
      </c>
      <c r="CI226" s="71" t="str">
        <f t="shared" si="1049"/>
        <v>-</v>
      </c>
      <c r="CJ226" s="72">
        <f t="shared" si="1050"/>
        <v>131</v>
      </c>
      <c r="CK226" s="72">
        <f t="shared" si="1051"/>
        <v>137</v>
      </c>
      <c r="CL226" s="72">
        <f t="shared" si="1052"/>
        <v>173</v>
      </c>
      <c r="CM226" s="72">
        <f t="shared" si="1053"/>
        <v>181</v>
      </c>
      <c r="CN226" s="72">
        <f t="shared" si="1054"/>
        <v>208</v>
      </c>
      <c r="CO226" s="72">
        <f t="shared" si="1055"/>
        <v>227</v>
      </c>
      <c r="CP226" s="72">
        <f t="shared" si="1056"/>
        <v>268</v>
      </c>
      <c r="CQ226" s="72">
        <f t="shared" si="1057"/>
        <v>334</v>
      </c>
      <c r="CR226" s="72">
        <f t="shared" si="1058"/>
        <v>364</v>
      </c>
      <c r="CS226" s="72" t="str">
        <f t="shared" si="1059"/>
        <v>-</v>
      </c>
      <c r="CT226" s="23" t="e">
        <f t="shared" si="1060"/>
        <v>#VALUE!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30" x14ac:dyDescent="0.2">
      <c r="A227" s="3" t="str">
        <f t="shared" si="1061"/>
        <v>ntr1_rat_4XES</v>
      </c>
      <c r="B227" s="3" t="s">
        <v>913</v>
      </c>
      <c r="C227" s="3" t="s">
        <v>1351</v>
      </c>
      <c r="D227" s="3" t="str">
        <f>IFERROR(MID(VLOOKUP($B227,Seqs!$A:$B,2,0),E227,1),"")</f>
        <v>I</v>
      </c>
      <c r="E227" s="3">
        <v>61</v>
      </c>
      <c r="F227" s="3" t="str">
        <f>IFERROR(MID(VLOOKUP($B227,Seqs!$A:$B,2,0),G227,1),"")</f>
        <v>K</v>
      </c>
      <c r="G227" s="3">
        <v>92</v>
      </c>
      <c r="H227" s="3" t="str">
        <f>IFERROR(MID(VLOOKUP($B227,Seqs!$A:$B,2,0),I227,1),"")</f>
        <v/>
      </c>
      <c r="I227" s="23" t="s">
        <v>23</v>
      </c>
      <c r="J227" s="3" t="str">
        <f>IFERROR(MID(VLOOKUP($B227,Seqs!$A:$B,2,0),K227,1),"")</f>
        <v/>
      </c>
      <c r="K227" s="23" t="s">
        <v>23</v>
      </c>
      <c r="L227" s="3" t="str">
        <f>IFERROR(MID(VLOOKUP($B227,Seqs!$A:$B,2,0),M227,1),"")</f>
        <v>S</v>
      </c>
      <c r="M227" s="3">
        <v>97</v>
      </c>
      <c r="N227" s="3" t="str">
        <f>IFERROR(MID(VLOOKUP($B227,Seqs!$A:$B,2,0),O227,1),"")</f>
        <v>V</v>
      </c>
      <c r="O227" s="3">
        <v>131</v>
      </c>
      <c r="P227" s="3" t="str">
        <f>IFERROR(MID(VLOOKUP($B227,Seqs!$A:$B,2,0),Q227,1),"")</f>
        <v>P</v>
      </c>
      <c r="Q227" s="3">
        <v>134</v>
      </c>
      <c r="R227" s="3" t="str">
        <f>IFERROR(MID(VLOOKUP($B227,Seqs!$A:$B,2,0),S227,1),"")</f>
        <v>F</v>
      </c>
      <c r="S227" s="3">
        <v>137</v>
      </c>
      <c r="T227" s="3" t="str">
        <f>IFERROR(MID(VLOOKUP($B227,Seqs!$A:$B,2,0),U227,1),"")</f>
        <v>G</v>
      </c>
      <c r="U227" s="3">
        <v>138</v>
      </c>
      <c r="V227" s="3" t="str">
        <f>IFERROR(MID(VLOOKUP($B227,Seqs!$A:$B,2,0),W227,1),"")</f>
        <v>H</v>
      </c>
      <c r="W227" s="3">
        <v>173</v>
      </c>
      <c r="X227" s="3" t="str">
        <f>IFERROR(MID(VLOOKUP($B227,Seqs!$A:$B,2,0),Y227,1),"")</f>
        <v>P</v>
      </c>
      <c r="Y227" s="3">
        <v>174</v>
      </c>
      <c r="Z227" s="3" t="str">
        <f>IFERROR(MID(VLOOKUP($B227,Seqs!$A:$B,2,0),AA227,1),"")</f>
        <v>M</v>
      </c>
      <c r="AA227" s="3">
        <v>181</v>
      </c>
      <c r="AB227" s="3" t="str">
        <f>IFERROR(MID(VLOOKUP($B227,Seqs!$A:$B,2,0),AC227,1),"")</f>
        <v>S</v>
      </c>
      <c r="AC227" s="9">
        <v>182</v>
      </c>
      <c r="AD227" s="3" t="str">
        <f>IFERROR(MID(VLOOKUP($B227,Seqs!$A:$B,2,0),AE227,1),"")</f>
        <v>M</v>
      </c>
      <c r="AE227" s="3">
        <v>208</v>
      </c>
      <c r="AF227" s="3" t="str">
        <f>IFERROR(MID(VLOOKUP($B227,Seqs!$A:$B,2,0),AG227,1),"")</f>
        <v>C</v>
      </c>
      <c r="AG227" s="3">
        <v>225</v>
      </c>
      <c r="AH227" s="3" t="str">
        <f>IFERROR(MID(VLOOKUP($B227,Seqs!$A:$B,2,0),AI227,1),"")</f>
        <v>P</v>
      </c>
      <c r="AI227" s="3">
        <v>227</v>
      </c>
      <c r="AJ227" s="3" t="str">
        <f>IFERROR(MID(VLOOKUP($B227,Seqs!$A:$B,2,0),AK227,1),"")</f>
        <v>T</v>
      </c>
      <c r="AK227" s="3">
        <v>231</v>
      </c>
      <c r="AL227" s="3" t="str">
        <f>IFERROR(MID(VLOOKUP($B227,Seqs!$A:$B,2,0),AM227,1),"")</f>
        <v>V</v>
      </c>
      <c r="AM227" s="3">
        <v>268</v>
      </c>
      <c r="AN227" s="3" t="str">
        <f>IFERROR(MID(VLOOKUP($B227,Seqs!$A:$B,2,0),AO227,1),"")</f>
        <v>A</v>
      </c>
      <c r="AO227" s="3">
        <v>302</v>
      </c>
      <c r="AP227" s="3" t="str">
        <f>IFERROR(MID(VLOOKUP($B227,Seqs!$A:$B,2,0),AQ227,1),"")</f>
        <v>I</v>
      </c>
      <c r="AQ227" s="3">
        <v>334</v>
      </c>
      <c r="AR227" s="3" t="str">
        <f>IFERROR(MID(VLOOKUP($B227,Seqs!$A:$B,2,0),AS227,1),"")</f>
        <v>T</v>
      </c>
      <c r="AS227" s="3">
        <v>340</v>
      </c>
      <c r="AT227" s="3" t="str">
        <f>IFERROR(MID(VLOOKUP($B227,Seqs!$A:$B,2,0),AU227,1),"")</f>
        <v>I</v>
      </c>
      <c r="AU227" s="3">
        <v>364</v>
      </c>
      <c r="AV227" s="3" t="str">
        <f>IFERROR(MID(VLOOKUP($B227,Seqs!$A:$B,2,0),AW227,1),"")</f>
        <v/>
      </c>
      <c r="AW227" s="3" t="s">
        <v>23</v>
      </c>
      <c r="AX227" s="3" t="str">
        <f>IFERROR(MID(VLOOKUP($B227,Seqs!$A:$B,2,0),AY227,1),"")</f>
        <v/>
      </c>
      <c r="AY227" s="3" t="s">
        <v>23</v>
      </c>
      <c r="AZ227" s="77" t="str">
        <f>VLOOKUP(B227,Classification!A:D,2,0)</f>
        <v>A</v>
      </c>
      <c r="BA227" s="94" t="str">
        <f>VLOOKUP(B227,Classification!A:D,4,0)</f>
        <v>Neurotensin</v>
      </c>
      <c r="BB227" s="27" t="b">
        <f t="shared" si="1062"/>
        <v>1</v>
      </c>
      <c r="BC227" s="23">
        <f t="shared" si="1035"/>
        <v>243</v>
      </c>
      <c r="BD227" s="5" t="s">
        <v>1429</v>
      </c>
      <c r="BE227" s="3" t="s">
        <v>1428</v>
      </c>
      <c r="BF227" s="119">
        <v>2.6</v>
      </c>
      <c r="BG227" s="49" t="s">
        <v>1377</v>
      </c>
      <c r="BH227" s="49" t="s">
        <v>1377</v>
      </c>
      <c r="BI227" s="1"/>
      <c r="BJ227" s="70" t="s">
        <v>1287</v>
      </c>
      <c r="BK227" s="57" t="s">
        <v>1287</v>
      </c>
      <c r="BL227" s="57" t="s">
        <v>1287</v>
      </c>
      <c r="BM227" s="57" t="s">
        <v>1287</v>
      </c>
      <c r="BN227" s="57" t="s">
        <v>1287</v>
      </c>
      <c r="BO227" s="57" t="s">
        <v>1287</v>
      </c>
      <c r="BP227" s="57" t="s">
        <v>1287</v>
      </c>
      <c r="BQ227" s="57" t="s">
        <v>1287</v>
      </c>
      <c r="BR227" s="57" t="s">
        <v>1287</v>
      </c>
      <c r="BS227" s="57" t="s">
        <v>1287</v>
      </c>
      <c r="BT227" s="57" t="s">
        <v>1287</v>
      </c>
      <c r="BU227" s="57" t="s">
        <v>1287</v>
      </c>
      <c r="BV227" s="70">
        <f t="shared" si="1036"/>
        <v>61</v>
      </c>
      <c r="BW227" s="71" t="str">
        <f t="shared" si="1037"/>
        <v>-</v>
      </c>
      <c r="BX227" s="72">
        <f t="shared" si="1038"/>
        <v>97</v>
      </c>
      <c r="BY227" s="71">
        <f t="shared" si="1039"/>
        <v>134</v>
      </c>
      <c r="BZ227" s="72">
        <f t="shared" si="1040"/>
        <v>138</v>
      </c>
      <c r="CA227" s="71">
        <f t="shared" si="1041"/>
        <v>174</v>
      </c>
      <c r="CB227" s="72">
        <f t="shared" si="1042"/>
        <v>182</v>
      </c>
      <c r="CC227" s="71">
        <f t="shared" si="1043"/>
        <v>225</v>
      </c>
      <c r="CD227" s="72">
        <f t="shared" si="1044"/>
        <v>231</v>
      </c>
      <c r="CE227" s="71">
        <f t="shared" si="1045"/>
        <v>302</v>
      </c>
      <c r="CF227" s="72">
        <f t="shared" si="1046"/>
        <v>340</v>
      </c>
      <c r="CG227" s="71" t="str">
        <f t="shared" si="1047"/>
        <v>-</v>
      </c>
      <c r="CH227" s="70">
        <f t="shared" si="1048"/>
        <v>92</v>
      </c>
      <c r="CI227" s="71" t="str">
        <f t="shared" si="1049"/>
        <v>-</v>
      </c>
      <c r="CJ227" s="72">
        <f t="shared" si="1050"/>
        <v>131</v>
      </c>
      <c r="CK227" s="72">
        <f t="shared" si="1051"/>
        <v>137</v>
      </c>
      <c r="CL227" s="72">
        <f t="shared" si="1052"/>
        <v>173</v>
      </c>
      <c r="CM227" s="72">
        <f t="shared" si="1053"/>
        <v>181</v>
      </c>
      <c r="CN227" s="72">
        <f t="shared" si="1054"/>
        <v>208</v>
      </c>
      <c r="CO227" s="72">
        <f t="shared" si="1055"/>
        <v>227</v>
      </c>
      <c r="CP227" s="72">
        <f t="shared" si="1056"/>
        <v>268</v>
      </c>
      <c r="CQ227" s="72">
        <f t="shared" si="1057"/>
        <v>334</v>
      </c>
      <c r="CR227" s="72">
        <f t="shared" si="1058"/>
        <v>364</v>
      </c>
      <c r="CS227" s="72" t="str">
        <f t="shared" si="1059"/>
        <v>-</v>
      </c>
      <c r="CT227" s="23" t="e">
        <f t="shared" si="1060"/>
        <v>#VALUE!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30" x14ac:dyDescent="0.2">
      <c r="A228" s="3" t="str">
        <f>CONCATENATE(B228,"_",C228)</f>
        <v>ntr1_rat_5T04</v>
      </c>
      <c r="B228" s="3" t="s">
        <v>913</v>
      </c>
      <c r="C228" s="3" t="s">
        <v>1385</v>
      </c>
      <c r="D228" s="3" t="str">
        <f>IFERROR(MID(VLOOKUP($B228,Seqs!$A:$B,2,0),E228,1),"")</f>
        <v>I</v>
      </c>
      <c r="E228" s="3">
        <v>61</v>
      </c>
      <c r="F228" s="3" t="str">
        <f>IFERROR(MID(VLOOKUP($B228,Seqs!$A:$B,2,0),G228,1),"")</f>
        <v>T</v>
      </c>
      <c r="G228" s="3">
        <v>88</v>
      </c>
      <c r="H228" s="3" t="str">
        <f>IFERROR(MID(VLOOKUP($B228,Seqs!$A:$B,2,0),I228,1),"")</f>
        <v/>
      </c>
      <c r="I228" s="23" t="s">
        <v>23</v>
      </c>
      <c r="J228" s="3" t="str">
        <f>IFERROR(MID(VLOOKUP($B228,Seqs!$A:$B,2,0),K228,1),"")</f>
        <v/>
      </c>
      <c r="K228" s="23" t="s">
        <v>23</v>
      </c>
      <c r="L228" s="3" t="str">
        <f>IFERROR(MID(VLOOKUP($B228,Seqs!$A:$B,2,0),M228,1),"")</f>
        <v>H</v>
      </c>
      <c r="M228" s="3">
        <v>103</v>
      </c>
      <c r="N228" s="3" t="str">
        <f>IFERROR(MID(VLOOKUP($B228,Seqs!$A:$B,2,0),O228,1),"")</f>
        <v>V</v>
      </c>
      <c r="O228" s="3">
        <v>131</v>
      </c>
      <c r="P228" s="3" t="str">
        <f>IFERROR(MID(VLOOKUP($B228,Seqs!$A:$B,2,0),Q228,1),"")</f>
        <v>P</v>
      </c>
      <c r="Q228" s="3">
        <v>134</v>
      </c>
      <c r="R228" s="3" t="str">
        <f>IFERROR(MID(VLOOKUP($B228,Seqs!$A:$B,2,0),S228,1),"")</f>
        <v>F</v>
      </c>
      <c r="S228" s="3">
        <v>137</v>
      </c>
      <c r="T228" s="3" t="str">
        <f>IFERROR(MID(VLOOKUP($B228,Seqs!$A:$B,2,0),U228,1),"")</f>
        <v>G</v>
      </c>
      <c r="U228" s="3">
        <v>138</v>
      </c>
      <c r="V228" s="3" t="str">
        <f>IFERROR(MID(VLOOKUP($B228,Seqs!$A:$B,2,0),W228,1),"")</f>
        <v>H</v>
      </c>
      <c r="W228" s="3">
        <v>173</v>
      </c>
      <c r="X228" s="3" t="str">
        <f>IFERROR(MID(VLOOKUP($B228,Seqs!$A:$B,2,0),Y228,1),"")</f>
        <v>P</v>
      </c>
      <c r="Y228" s="3">
        <v>174</v>
      </c>
      <c r="Z228" s="3" t="str">
        <f>IFERROR(MID(VLOOKUP($B228,Seqs!$A:$B,2,0),AA228,1),"")</f>
        <v>M</v>
      </c>
      <c r="AA228" s="3">
        <v>181</v>
      </c>
      <c r="AB228" s="3" t="str">
        <f>IFERROR(MID(VLOOKUP($B228,Seqs!$A:$B,2,0),AC228,1),"")</f>
        <v>S</v>
      </c>
      <c r="AC228" s="3">
        <v>182</v>
      </c>
      <c r="AD228" s="3" t="str">
        <f>IFERROR(MID(VLOOKUP($B228,Seqs!$A:$B,2,0),AE228,1),"")</f>
        <v>M</v>
      </c>
      <c r="AE228" s="3">
        <v>208</v>
      </c>
      <c r="AF228" s="3" t="str">
        <f>IFERROR(MID(VLOOKUP($B228,Seqs!$A:$B,2,0),AG228,1),"")</f>
        <v>C</v>
      </c>
      <c r="AG228" s="3">
        <v>225</v>
      </c>
      <c r="AH228" s="3" t="str">
        <f>IFERROR(MID(VLOOKUP($B228,Seqs!$A:$B,2,0),AI228,1),"")</f>
        <v>P</v>
      </c>
      <c r="AI228" s="3">
        <v>227</v>
      </c>
      <c r="AJ228" s="3" t="str">
        <f>IFERROR(MID(VLOOKUP($B228,Seqs!$A:$B,2,0),AK228,1),"")</f>
        <v>T</v>
      </c>
      <c r="AK228" s="3">
        <v>231</v>
      </c>
      <c r="AL228" s="3" t="str">
        <f>IFERROR(MID(VLOOKUP($B228,Seqs!$A:$B,2,0),AM228,1),"")</f>
        <v>V</v>
      </c>
      <c r="AM228" s="3">
        <v>268</v>
      </c>
      <c r="AN228" s="3" t="str">
        <f>IFERROR(MID(VLOOKUP($B228,Seqs!$A:$B,2,0),AO228,1),"")</f>
        <v>P</v>
      </c>
      <c r="AO228" s="3">
        <v>297</v>
      </c>
      <c r="AP228" s="3" t="str">
        <f>IFERROR(MID(VLOOKUP($B228,Seqs!$A:$B,2,0),AQ228,1),"")</f>
        <v>I</v>
      </c>
      <c r="AQ228" s="3">
        <v>334</v>
      </c>
      <c r="AR228" s="3" t="str">
        <f>IFERROR(MID(VLOOKUP($B228,Seqs!$A:$B,2,0),AS228,1),"")</f>
        <v>T</v>
      </c>
      <c r="AS228" s="3">
        <v>340</v>
      </c>
      <c r="AT228" s="3" t="str">
        <f>IFERROR(MID(VLOOKUP($B228,Seqs!$A:$B,2,0),AU228,1),"")</f>
        <v>I</v>
      </c>
      <c r="AU228" s="3">
        <v>364</v>
      </c>
      <c r="AV228" s="3" t="str">
        <f>IFERROR(MID(VLOOKUP($B228,Seqs!$A:$B,2,0),AW228,1),"")</f>
        <v/>
      </c>
      <c r="AW228" s="3" t="s">
        <v>23</v>
      </c>
      <c r="AX228" s="3" t="str">
        <f>IFERROR(MID(VLOOKUP($B228,Seqs!$A:$B,2,0),AY228,1),"")</f>
        <v/>
      </c>
      <c r="AY228" s="3" t="s">
        <v>23</v>
      </c>
      <c r="AZ228" s="77" t="str">
        <f>VLOOKUP(B228,Classification!A:D,2,0)</f>
        <v>A</v>
      </c>
      <c r="BA228" s="94" t="str">
        <f>VLOOKUP(B228,Classification!A:D,4,0)</f>
        <v>Neurotensin</v>
      </c>
      <c r="BB228" s="27" t="b">
        <f>AND(E228&lt;G228,OR(G228&lt;I228,I228="-"),OR(I228&lt;K228,I228="-"),OR(K228&lt;M228,K228="-"),M228&lt;O228,OR(O228&lt;Q228,Q228="-"),OR(Q228&lt;S228,Q228="-"),OR(S228&lt;U228,S228="-"),U228&lt;W228,OR(W228&lt;Y228,Y228="-"),OR(Y228&lt;AA228,Y228="-"),OR(AA228&lt;AC228,AA228="-"),AC228&lt;AE228,OR(AE228&lt;AG228,AG228="-"),OR(AG228&lt;AI228,AG228="-"),OR(AI228&lt;AK228,AI228="-"),AK228&lt;AM228,AM228&lt;AO228,AO228&lt;AQ228,AQ228&lt;AS228,AS228&lt;AU228,OR(AU228&lt;AW228,AW228="-"),OR(AW228&lt;AY228,AW228="-"))</f>
        <v>1</v>
      </c>
      <c r="BC228" s="23">
        <f>_xlfn.AGGREGATE(9,6,CH228:CS228)-_xlfn.AGGREGATE(9,6,BV228:CG228)+12</f>
        <v>238</v>
      </c>
      <c r="BD228" s="5" t="s">
        <v>1375</v>
      </c>
      <c r="BE228" s="3" t="s">
        <v>1291</v>
      </c>
      <c r="BF228" s="119">
        <v>3.3</v>
      </c>
      <c r="BG228" s="49" t="s">
        <v>1377</v>
      </c>
      <c r="BH228" s="49" t="s">
        <v>1377</v>
      </c>
      <c r="BI228" s="1"/>
      <c r="BJ228" s="70" t="s">
        <v>1287</v>
      </c>
      <c r="BK228" s="57" t="s">
        <v>1287</v>
      </c>
      <c r="BL228" s="57" t="s">
        <v>1287</v>
      </c>
      <c r="BM228" s="57" t="s">
        <v>1287</v>
      </c>
      <c r="BN228" s="57" t="s">
        <v>1287</v>
      </c>
      <c r="BO228" s="57" t="s">
        <v>1287</v>
      </c>
      <c r="BP228" s="57" t="s">
        <v>1287</v>
      </c>
      <c r="BQ228" s="57" t="s">
        <v>1287</v>
      </c>
      <c r="BR228" s="57" t="s">
        <v>1287</v>
      </c>
      <c r="BS228" s="57" t="s">
        <v>1287</v>
      </c>
      <c r="BT228" s="57" t="s">
        <v>1287</v>
      </c>
      <c r="BU228" s="57" t="s">
        <v>1287</v>
      </c>
      <c r="BV228" s="70">
        <f>E228</f>
        <v>61</v>
      </c>
      <c r="BW228" s="71" t="str">
        <f>I228</f>
        <v>-</v>
      </c>
      <c r="BX228" s="72">
        <f>M228</f>
        <v>103</v>
      </c>
      <c r="BY228" s="71">
        <f>Q228</f>
        <v>134</v>
      </c>
      <c r="BZ228" s="72">
        <f>U228</f>
        <v>138</v>
      </c>
      <c r="CA228" s="71">
        <f>Y228</f>
        <v>174</v>
      </c>
      <c r="CB228" s="72">
        <f>AC228</f>
        <v>182</v>
      </c>
      <c r="CC228" s="71">
        <f>AG228</f>
        <v>225</v>
      </c>
      <c r="CD228" s="72">
        <f>AK228</f>
        <v>231</v>
      </c>
      <c r="CE228" s="71">
        <f>AO228</f>
        <v>297</v>
      </c>
      <c r="CF228" s="72">
        <f>AS228</f>
        <v>340</v>
      </c>
      <c r="CG228" s="71" t="str">
        <f>AW228</f>
        <v>-</v>
      </c>
      <c r="CH228" s="70">
        <f>G228</f>
        <v>88</v>
      </c>
      <c r="CI228" s="71" t="str">
        <f>K228</f>
        <v>-</v>
      </c>
      <c r="CJ228" s="72">
        <f>O228</f>
        <v>131</v>
      </c>
      <c r="CK228" s="72">
        <f>S228</f>
        <v>137</v>
      </c>
      <c r="CL228" s="72">
        <f>W228</f>
        <v>173</v>
      </c>
      <c r="CM228" s="72">
        <f>AA228</f>
        <v>181</v>
      </c>
      <c r="CN228" s="72">
        <f>AE228</f>
        <v>208</v>
      </c>
      <c r="CO228" s="72">
        <f>AI228</f>
        <v>227</v>
      </c>
      <c r="CP228" s="72">
        <f>AM228</f>
        <v>268</v>
      </c>
      <c r="CQ228" s="72">
        <f>AQ228</f>
        <v>334</v>
      </c>
      <c r="CR228" s="72">
        <f>AU228</f>
        <v>364</v>
      </c>
      <c r="CS228" s="72" t="str">
        <f>AY228</f>
        <v>-</v>
      </c>
      <c r="CT228" s="23" t="e">
        <f>M228-K228</f>
        <v>#VALUE!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30" x14ac:dyDescent="0.2">
      <c r="A229" s="3" t="str">
        <f t="shared" si="1061"/>
        <v>oprd_human__wt</v>
      </c>
      <c r="B229" s="3" t="s">
        <v>335</v>
      </c>
      <c r="C229" s="3" t="s">
        <v>100</v>
      </c>
      <c r="D229" s="3" t="str">
        <f>IFERROR(MID(VLOOKUP($B229,Seqs!$A:$B,2,0),E229,1),"")</f>
        <v>G</v>
      </c>
      <c r="E229" s="3">
        <v>39</v>
      </c>
      <c r="F229" s="3" t="str">
        <f>IFERROR(MID(VLOOKUP($B229,Seqs!$A:$B,2,0),G229,1),"")</f>
        <v>Y</v>
      </c>
      <c r="G229" s="3">
        <v>77</v>
      </c>
      <c r="H229" s="3" t="str">
        <f>IFERROR(MID(VLOOKUP($B229,Seqs!$A:$B,2,0),I229,1),"")</f>
        <v>T</v>
      </c>
      <c r="I229" s="23">
        <v>78</v>
      </c>
      <c r="J229" s="3" t="str">
        <f>IFERROR(MID(VLOOKUP($B229,Seqs!$A:$B,2,0),K229,1),"")</f>
        <v>K</v>
      </c>
      <c r="K229" s="23">
        <v>81</v>
      </c>
      <c r="L229" s="3" t="str">
        <f>IFERROR(MID(VLOOKUP($B229,Seqs!$A:$B,2,0),M229,1),"")</f>
        <v>T</v>
      </c>
      <c r="M229" s="3">
        <v>82</v>
      </c>
      <c r="N229" s="3" t="str">
        <f>IFERROR(MID(VLOOKUP($B229,Seqs!$A:$B,2,0),O229,1),"")</f>
        <v>M</v>
      </c>
      <c r="O229" s="3">
        <v>111</v>
      </c>
      <c r="P229" s="3" t="str">
        <f>IFERROR(MID(VLOOKUP($B229,Seqs!$A:$B,2,0),Q229,1),"")</f>
        <v>T</v>
      </c>
      <c r="Q229" s="3">
        <v>113</v>
      </c>
      <c r="R229" s="3" t="str">
        <f>IFERROR(MID(VLOOKUP($B229,Seqs!$A:$B,2,0),S229,1),"")</f>
        <v>F</v>
      </c>
      <c r="S229" s="3">
        <v>116</v>
      </c>
      <c r="T229" s="3" t="str">
        <f>IFERROR(MID(VLOOKUP($B229,Seqs!$A:$B,2,0),U229,1),"")</f>
        <v>G</v>
      </c>
      <c r="U229" s="3">
        <v>117</v>
      </c>
      <c r="V229" s="3" t="str">
        <f>IFERROR(MID(VLOOKUP($B229,Seqs!$A:$B,2,0),W229,1),"")</f>
        <v>H</v>
      </c>
      <c r="W229" s="3">
        <v>152</v>
      </c>
      <c r="X229" s="3" t="str">
        <f>IFERROR(MID(VLOOKUP($B229,Seqs!$A:$B,2,0),Y229,1),"")</f>
        <v>P</v>
      </c>
      <c r="Y229" s="3">
        <v>153</v>
      </c>
      <c r="Z229" s="3" t="str">
        <f>IFERROR(MID(VLOOKUP($B229,Seqs!$A:$B,2,0),AA229,1),"")</f>
        <v>R</v>
      </c>
      <c r="AA229" s="3">
        <v>160</v>
      </c>
      <c r="AB229" s="3" t="str">
        <f>IFERROR(MID(VLOOKUP($B229,Seqs!$A:$B,2,0),AC229,1),"")</f>
        <v>T</v>
      </c>
      <c r="AC229" s="9">
        <v>161</v>
      </c>
      <c r="AD229" s="3" t="str">
        <f>IFERROR(MID(VLOOKUP($B229,Seqs!$A:$B,2,0),AE229,1),"")</f>
        <v>A</v>
      </c>
      <c r="AE229" s="3">
        <v>187</v>
      </c>
      <c r="AF229" s="3" t="str">
        <f>IFERROR(MID(VLOOKUP($B229,Seqs!$A:$B,2,0),AG229,1),"")</f>
        <v>C</v>
      </c>
      <c r="AG229" s="3">
        <v>198</v>
      </c>
      <c r="AH229" s="3" t="str">
        <f>IFERROR(MID(VLOOKUP($B229,Seqs!$A:$B,2,0),AI229,1),"")</f>
        <v>L</v>
      </c>
      <c r="AI229" s="3">
        <v>200</v>
      </c>
      <c r="AJ229" s="3" t="str">
        <f>IFERROR(MID(VLOOKUP($B229,Seqs!$A:$B,2,0),AK229,1),"")</f>
        <v>S</v>
      </c>
      <c r="AK229" s="3">
        <v>206</v>
      </c>
      <c r="AL229" s="3" t="str">
        <f>IFERROR(MID(VLOOKUP($B229,Seqs!$A:$B,2,0),AM229,1),"")</f>
        <v>V</v>
      </c>
      <c r="AM229" s="3">
        <v>243</v>
      </c>
      <c r="AN229" s="3" t="str">
        <f>IFERROR(MID(VLOOKUP($B229,Seqs!$A:$B,2,0),AO229,1),"")</f>
        <v>S</v>
      </c>
      <c r="AO229" s="3">
        <v>249</v>
      </c>
      <c r="AP229" s="3" t="str">
        <f>IFERROR(MID(VLOOKUP($B229,Seqs!$A:$B,2,0),AQ229,1),"")</f>
        <v>V</v>
      </c>
      <c r="AQ229" s="3">
        <v>287</v>
      </c>
      <c r="AR229" s="3" t="str">
        <f>IFERROR(MID(VLOOKUP($B229,Seqs!$A:$B,2,0),AS229,1),"")</f>
        <v>D</v>
      </c>
      <c r="AS229" s="3">
        <v>293</v>
      </c>
      <c r="AT229" s="3" t="str">
        <f>IFERROR(MID(VLOOKUP($B229,Seqs!$A:$B,2,0),AU229,1),"")</f>
        <v>L</v>
      </c>
      <c r="AU229" s="3">
        <v>321</v>
      </c>
      <c r="AV229" s="3" t="str">
        <f>IFERROR(MID(VLOOKUP($B229,Seqs!$A:$B,2,0),AW229,1),"")</f>
        <v>D</v>
      </c>
      <c r="AW229" s="3">
        <v>322</v>
      </c>
      <c r="AX229" s="3" t="str">
        <f>IFERROR(MID(VLOOKUP($B229,Seqs!$A:$B,2,0),AY229,1),"")</f>
        <v>K</v>
      </c>
      <c r="AY229" s="3">
        <v>335</v>
      </c>
      <c r="AZ229" s="77" t="str">
        <f>VLOOKUP(B229,Classification!A:D,2,0)</f>
        <v>A</v>
      </c>
      <c r="BA229" s="94" t="str">
        <f>VLOOKUP(B229,Classification!A:D,4,0)</f>
        <v>Opioid</v>
      </c>
      <c r="BB229" s="27" t="b">
        <f t="shared" si="1062"/>
        <v>1</v>
      </c>
      <c r="BC229" s="23">
        <f t="shared" si="1035"/>
        <v>271</v>
      </c>
      <c r="BD229" s="56" t="s">
        <v>23</v>
      </c>
      <c r="BE229" s="3" t="s">
        <v>23</v>
      </c>
      <c r="BF229" s="119" t="s">
        <v>23</v>
      </c>
      <c r="BG229" s="49" t="s">
        <v>1372</v>
      </c>
      <c r="BH229" s="49" t="s">
        <v>1377</v>
      </c>
      <c r="BI229" s="1"/>
      <c r="BJ229" s="70" t="s">
        <v>1287</v>
      </c>
      <c r="BK229" s="57" t="s">
        <v>1287</v>
      </c>
      <c r="BL229" s="57" t="s">
        <v>1287</v>
      </c>
      <c r="BM229" s="57" t="s">
        <v>1287</v>
      </c>
      <c r="BN229" s="57" t="s">
        <v>1287</v>
      </c>
      <c r="BO229" s="57" t="s">
        <v>1287</v>
      </c>
      <c r="BP229" s="57" t="s">
        <v>1287</v>
      </c>
      <c r="BQ229" s="57" t="s">
        <v>1287</v>
      </c>
      <c r="BR229" s="57" t="s">
        <v>1287</v>
      </c>
      <c r="BS229" s="57" t="s">
        <v>1287</v>
      </c>
      <c r="BT229" s="57" t="s">
        <v>1287</v>
      </c>
      <c r="BU229" s="57" t="s">
        <v>1287</v>
      </c>
      <c r="BV229" s="70">
        <f t="shared" si="1036"/>
        <v>39</v>
      </c>
      <c r="BW229" s="71">
        <f t="shared" si="1037"/>
        <v>78</v>
      </c>
      <c r="BX229" s="72">
        <f t="shared" si="1038"/>
        <v>82</v>
      </c>
      <c r="BY229" s="71">
        <f t="shared" si="1039"/>
        <v>113</v>
      </c>
      <c r="BZ229" s="72">
        <f t="shared" si="1040"/>
        <v>117</v>
      </c>
      <c r="CA229" s="71">
        <f t="shared" si="1041"/>
        <v>153</v>
      </c>
      <c r="CB229" s="72">
        <f t="shared" si="1042"/>
        <v>161</v>
      </c>
      <c r="CC229" s="71">
        <f t="shared" si="1043"/>
        <v>198</v>
      </c>
      <c r="CD229" s="72">
        <f t="shared" si="1044"/>
        <v>206</v>
      </c>
      <c r="CE229" s="71">
        <f t="shared" si="1045"/>
        <v>249</v>
      </c>
      <c r="CF229" s="72">
        <f t="shared" si="1046"/>
        <v>293</v>
      </c>
      <c r="CG229" s="71">
        <f t="shared" si="1047"/>
        <v>322</v>
      </c>
      <c r="CH229" s="70">
        <f t="shared" si="1048"/>
        <v>77</v>
      </c>
      <c r="CI229" s="71">
        <f t="shared" si="1049"/>
        <v>81</v>
      </c>
      <c r="CJ229" s="72">
        <f t="shared" si="1050"/>
        <v>111</v>
      </c>
      <c r="CK229" s="72">
        <f t="shared" si="1051"/>
        <v>116</v>
      </c>
      <c r="CL229" s="72">
        <f t="shared" si="1052"/>
        <v>152</v>
      </c>
      <c r="CM229" s="72">
        <f t="shared" si="1053"/>
        <v>160</v>
      </c>
      <c r="CN229" s="72">
        <f t="shared" si="1054"/>
        <v>187</v>
      </c>
      <c r="CO229" s="72">
        <f t="shared" si="1055"/>
        <v>200</v>
      </c>
      <c r="CP229" s="72">
        <f t="shared" si="1056"/>
        <v>243</v>
      </c>
      <c r="CQ229" s="72">
        <f t="shared" si="1057"/>
        <v>287</v>
      </c>
      <c r="CR229" s="72">
        <f t="shared" si="1058"/>
        <v>321</v>
      </c>
      <c r="CS229" s="72">
        <f t="shared" si="1059"/>
        <v>335</v>
      </c>
      <c r="CT229" s="23">
        <f t="shared" si="1060"/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30" x14ac:dyDescent="0.2">
      <c r="A230" s="3" t="str">
        <f t="shared" si="1061"/>
        <v>oprd_human_4N6H</v>
      </c>
      <c r="B230" s="3" t="s">
        <v>335</v>
      </c>
      <c r="C230" s="3" t="s">
        <v>87</v>
      </c>
      <c r="D230" s="3" t="str">
        <f>IFERROR(MID(VLOOKUP($B230,Seqs!$A:$B,2,0),E230,1),"")</f>
        <v>G</v>
      </c>
      <c r="E230" s="3">
        <v>39</v>
      </c>
      <c r="F230" s="3" t="str">
        <f>IFERROR(MID(VLOOKUP($B230,Seqs!$A:$B,2,0),G230,1),"")</f>
        <v>Y</v>
      </c>
      <c r="G230" s="3">
        <v>77</v>
      </c>
      <c r="H230" s="3" t="str">
        <f>IFERROR(MID(VLOOKUP($B230,Seqs!$A:$B,2,0),I230,1),"")</f>
        <v>T</v>
      </c>
      <c r="I230" s="23">
        <v>78</v>
      </c>
      <c r="J230" s="3" t="str">
        <f>IFERROR(MID(VLOOKUP($B230,Seqs!$A:$B,2,0),K230,1),"")</f>
        <v>K</v>
      </c>
      <c r="K230" s="23">
        <v>81</v>
      </c>
      <c r="L230" s="3" t="str">
        <f>IFERROR(MID(VLOOKUP($B230,Seqs!$A:$B,2,0),M230,1),"")</f>
        <v>T</v>
      </c>
      <c r="M230" s="3">
        <v>82</v>
      </c>
      <c r="N230" s="3" t="str">
        <f>IFERROR(MID(VLOOKUP($B230,Seqs!$A:$B,2,0),O230,1),"")</f>
        <v>M</v>
      </c>
      <c r="O230" s="3">
        <v>111</v>
      </c>
      <c r="P230" s="3" t="str">
        <f>IFERROR(MID(VLOOKUP($B230,Seqs!$A:$B,2,0),Q230,1),"")</f>
        <v>T</v>
      </c>
      <c r="Q230" s="3">
        <v>113</v>
      </c>
      <c r="R230" s="3" t="str">
        <f>IFERROR(MID(VLOOKUP($B230,Seqs!$A:$B,2,0),S230,1),"")</f>
        <v>F</v>
      </c>
      <c r="S230" s="3">
        <v>116</v>
      </c>
      <c r="T230" s="3" t="str">
        <f>IFERROR(MID(VLOOKUP($B230,Seqs!$A:$B,2,0),U230,1),"")</f>
        <v>G</v>
      </c>
      <c r="U230" s="3">
        <v>117</v>
      </c>
      <c r="V230" s="3" t="str">
        <f>IFERROR(MID(VLOOKUP($B230,Seqs!$A:$B,2,0),W230,1),"")</f>
        <v>H</v>
      </c>
      <c r="W230" s="3">
        <v>152</v>
      </c>
      <c r="X230" s="3" t="str">
        <f>IFERROR(MID(VLOOKUP($B230,Seqs!$A:$B,2,0),Y230,1),"")</f>
        <v>P</v>
      </c>
      <c r="Y230" s="3">
        <v>153</v>
      </c>
      <c r="Z230" s="3" t="str">
        <f>IFERROR(MID(VLOOKUP($B230,Seqs!$A:$B,2,0),AA230,1),"")</f>
        <v>R</v>
      </c>
      <c r="AA230" s="3">
        <v>160</v>
      </c>
      <c r="AB230" s="3" t="str">
        <f>IFERROR(MID(VLOOKUP($B230,Seqs!$A:$B,2,0),AC230,1),"")</f>
        <v>T</v>
      </c>
      <c r="AC230" s="9">
        <v>161</v>
      </c>
      <c r="AD230" s="3" t="str">
        <f>IFERROR(MID(VLOOKUP($B230,Seqs!$A:$B,2,0),AE230,1),"")</f>
        <v>A</v>
      </c>
      <c r="AE230" s="3">
        <v>187</v>
      </c>
      <c r="AF230" s="3" t="str">
        <f>IFERROR(MID(VLOOKUP($B230,Seqs!$A:$B,2,0),AG230,1),"")</f>
        <v>C</v>
      </c>
      <c r="AG230" s="3">
        <v>198</v>
      </c>
      <c r="AH230" s="3" t="str">
        <f>IFERROR(MID(VLOOKUP($B230,Seqs!$A:$B,2,0),AI230,1),"")</f>
        <v>L</v>
      </c>
      <c r="AI230" s="3">
        <v>200</v>
      </c>
      <c r="AJ230" s="3" t="str">
        <f>IFERROR(MID(VLOOKUP($B230,Seqs!$A:$B,2,0),AK230,1),"")</f>
        <v>S</v>
      </c>
      <c r="AK230" s="3">
        <v>206</v>
      </c>
      <c r="AL230" s="3" t="str">
        <f>IFERROR(MID(VLOOKUP($B230,Seqs!$A:$B,2,0),AM230,1),"")</f>
        <v>V</v>
      </c>
      <c r="AM230" s="3">
        <v>243</v>
      </c>
      <c r="AN230" s="3" t="str">
        <f>IFERROR(MID(VLOOKUP($B230,Seqs!$A:$B,2,0),AO230,1),"")</f>
        <v>S</v>
      </c>
      <c r="AO230" s="3">
        <v>249</v>
      </c>
      <c r="AP230" s="3" t="str">
        <f>IFERROR(MID(VLOOKUP($B230,Seqs!$A:$B,2,0),AQ230,1),"")</f>
        <v>V</v>
      </c>
      <c r="AQ230" s="3">
        <v>287</v>
      </c>
      <c r="AR230" s="3" t="str">
        <f>IFERROR(MID(VLOOKUP($B230,Seqs!$A:$B,2,0),AS230,1),"")</f>
        <v>D</v>
      </c>
      <c r="AS230" s="3">
        <v>293</v>
      </c>
      <c r="AT230" s="3" t="str">
        <f>IFERROR(MID(VLOOKUP($B230,Seqs!$A:$B,2,0),AU230,1),"")</f>
        <v>L</v>
      </c>
      <c r="AU230" s="3">
        <v>321</v>
      </c>
      <c r="AV230" s="3" t="str">
        <f>IFERROR(MID(VLOOKUP($B230,Seqs!$A:$B,2,0),AW230,1),"")</f>
        <v>D</v>
      </c>
      <c r="AW230" s="3">
        <v>322</v>
      </c>
      <c r="AX230" s="3" t="str">
        <f>IFERROR(MID(VLOOKUP($B230,Seqs!$A:$B,2,0),AY230,1),"")</f>
        <v>K</v>
      </c>
      <c r="AY230" s="3">
        <v>335</v>
      </c>
      <c r="AZ230" s="77" t="str">
        <f>VLOOKUP(B230,Classification!A:D,2,0)</f>
        <v>A</v>
      </c>
      <c r="BA230" s="94" t="str">
        <f>VLOOKUP(B230,Classification!A:D,4,0)</f>
        <v>Opioid</v>
      </c>
      <c r="BB230" s="27" t="b">
        <f t="shared" si="1062"/>
        <v>1</v>
      </c>
      <c r="BC230" s="23">
        <f t="shared" si="1035"/>
        <v>271</v>
      </c>
      <c r="BD230" s="16" t="s">
        <v>1376</v>
      </c>
      <c r="BE230" s="3" t="s">
        <v>1374</v>
      </c>
      <c r="BF230" s="119">
        <v>1.8</v>
      </c>
      <c r="BG230" s="49" t="s">
        <v>1377</v>
      </c>
      <c r="BH230" s="49" t="s">
        <v>1377</v>
      </c>
      <c r="BJ230" s="70" t="s">
        <v>1287</v>
      </c>
      <c r="BK230" s="57" t="s">
        <v>1287</v>
      </c>
      <c r="BL230" s="57" t="s">
        <v>1287</v>
      </c>
      <c r="BM230" s="57" t="s">
        <v>1287</v>
      </c>
      <c r="BN230" s="57" t="s">
        <v>1287</v>
      </c>
      <c r="BO230" s="57" t="s">
        <v>1287</v>
      </c>
      <c r="BP230" s="57" t="s">
        <v>1287</v>
      </c>
      <c r="BQ230" s="57" t="s">
        <v>1287</v>
      </c>
      <c r="BR230" s="57" t="s">
        <v>1287</v>
      </c>
      <c r="BS230" s="57" t="s">
        <v>1287</v>
      </c>
      <c r="BT230" s="57" t="s">
        <v>1287</v>
      </c>
      <c r="BU230" s="57" t="s">
        <v>1287</v>
      </c>
      <c r="BV230" s="70">
        <f t="shared" si="1036"/>
        <v>39</v>
      </c>
      <c r="BW230" s="71">
        <f t="shared" si="1037"/>
        <v>78</v>
      </c>
      <c r="BX230" s="72">
        <f t="shared" si="1038"/>
        <v>82</v>
      </c>
      <c r="BY230" s="71">
        <f t="shared" si="1039"/>
        <v>113</v>
      </c>
      <c r="BZ230" s="72">
        <f t="shared" si="1040"/>
        <v>117</v>
      </c>
      <c r="CA230" s="71">
        <f t="shared" si="1041"/>
        <v>153</v>
      </c>
      <c r="CB230" s="72">
        <f t="shared" si="1042"/>
        <v>161</v>
      </c>
      <c r="CC230" s="71">
        <f t="shared" si="1043"/>
        <v>198</v>
      </c>
      <c r="CD230" s="72">
        <f t="shared" si="1044"/>
        <v>206</v>
      </c>
      <c r="CE230" s="71">
        <f t="shared" si="1045"/>
        <v>249</v>
      </c>
      <c r="CF230" s="72">
        <f t="shared" si="1046"/>
        <v>293</v>
      </c>
      <c r="CG230" s="71">
        <f t="shared" si="1047"/>
        <v>322</v>
      </c>
      <c r="CH230" s="70">
        <f t="shared" si="1048"/>
        <v>77</v>
      </c>
      <c r="CI230" s="71">
        <f t="shared" si="1049"/>
        <v>81</v>
      </c>
      <c r="CJ230" s="72">
        <f t="shared" si="1050"/>
        <v>111</v>
      </c>
      <c r="CK230" s="72">
        <f t="shared" si="1051"/>
        <v>116</v>
      </c>
      <c r="CL230" s="72">
        <f t="shared" si="1052"/>
        <v>152</v>
      </c>
      <c r="CM230" s="72">
        <f t="shared" si="1053"/>
        <v>160</v>
      </c>
      <c r="CN230" s="72">
        <f t="shared" si="1054"/>
        <v>187</v>
      </c>
      <c r="CO230" s="72">
        <f t="shared" si="1055"/>
        <v>200</v>
      </c>
      <c r="CP230" s="72">
        <f t="shared" si="1056"/>
        <v>243</v>
      </c>
      <c r="CQ230" s="72">
        <f t="shared" si="1057"/>
        <v>287</v>
      </c>
      <c r="CR230" s="72">
        <f t="shared" si="1058"/>
        <v>321</v>
      </c>
      <c r="CS230" s="72">
        <f t="shared" si="1059"/>
        <v>335</v>
      </c>
      <c r="CT230" s="23">
        <f t="shared" si="1060"/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30" s="2" customFormat="1" x14ac:dyDescent="0.2">
      <c r="A231" s="3" t="str">
        <f t="shared" si="1061"/>
        <v>oprd_human_4RWD</v>
      </c>
      <c r="B231" s="1" t="s">
        <v>335</v>
      </c>
      <c r="C231" s="1" t="s">
        <v>1338</v>
      </c>
      <c r="D231" s="3" t="str">
        <f>IFERROR(MID(VLOOKUP($B231,Seqs!$A:$B,2,0),E231,1),"")</f>
        <v>A</v>
      </c>
      <c r="E231" s="3">
        <v>43</v>
      </c>
      <c r="F231" s="3" t="str">
        <f>IFERROR(MID(VLOOKUP($B231,Seqs!$A:$B,2,0),G231,1),"")</f>
        <v>Y</v>
      </c>
      <c r="G231" s="3">
        <v>77</v>
      </c>
      <c r="H231" s="3" t="str">
        <f>IFERROR(MID(VLOOKUP($B231,Seqs!$A:$B,2,0),I231,1),"")</f>
        <v>T</v>
      </c>
      <c r="I231" s="23">
        <v>78</v>
      </c>
      <c r="J231" s="3" t="str">
        <f>IFERROR(MID(VLOOKUP($B231,Seqs!$A:$B,2,0),K231,1),"")</f>
        <v>K</v>
      </c>
      <c r="K231" s="23">
        <v>81</v>
      </c>
      <c r="L231" s="3" t="str">
        <f>IFERROR(MID(VLOOKUP($B231,Seqs!$A:$B,2,0),M231,1),"")</f>
        <v>T</v>
      </c>
      <c r="M231" s="3">
        <v>82</v>
      </c>
      <c r="N231" s="3" t="str">
        <f>IFERROR(MID(VLOOKUP($B231,Seqs!$A:$B,2,0),O231,1),"")</f>
        <v>M</v>
      </c>
      <c r="O231" s="3">
        <v>111</v>
      </c>
      <c r="P231" s="3" t="str">
        <f>IFERROR(MID(VLOOKUP($B231,Seqs!$A:$B,2,0),Q231,1),"")</f>
        <v>T</v>
      </c>
      <c r="Q231" s="3">
        <v>113</v>
      </c>
      <c r="R231" s="3" t="str">
        <f>IFERROR(MID(VLOOKUP($B231,Seqs!$A:$B,2,0),S231,1),"")</f>
        <v>F</v>
      </c>
      <c r="S231" s="3">
        <v>116</v>
      </c>
      <c r="T231" s="3" t="str">
        <f>IFERROR(MID(VLOOKUP($B231,Seqs!$A:$B,2,0),U231,1),"")</f>
        <v>G</v>
      </c>
      <c r="U231" s="3">
        <v>117</v>
      </c>
      <c r="V231" s="3" t="str">
        <f>IFERROR(MID(VLOOKUP($B231,Seqs!$A:$B,2,0),W231,1),"")</f>
        <v>H</v>
      </c>
      <c r="W231" s="3">
        <v>152</v>
      </c>
      <c r="X231" s="3" t="str">
        <f>IFERROR(MID(VLOOKUP($B231,Seqs!$A:$B,2,0),Y231,1),"")</f>
        <v>P</v>
      </c>
      <c r="Y231" s="3">
        <v>153</v>
      </c>
      <c r="Z231" s="3" t="str">
        <f>IFERROR(MID(VLOOKUP($B231,Seqs!$A:$B,2,0),AA231,1),"")</f>
        <v>R</v>
      </c>
      <c r="AA231" s="3">
        <v>160</v>
      </c>
      <c r="AB231" s="3" t="str">
        <f>IFERROR(MID(VLOOKUP($B231,Seqs!$A:$B,2,0),AC231,1),"")</f>
        <v>T</v>
      </c>
      <c r="AC231" s="9">
        <v>161</v>
      </c>
      <c r="AD231" s="3" t="str">
        <f>IFERROR(MID(VLOOKUP($B231,Seqs!$A:$B,2,0),AE231,1),"")</f>
        <v>A</v>
      </c>
      <c r="AE231" s="3">
        <v>187</v>
      </c>
      <c r="AF231" s="3" t="str">
        <f>IFERROR(MID(VLOOKUP($B231,Seqs!$A:$B,2,0),AG231,1),"")</f>
        <v>C</v>
      </c>
      <c r="AG231" s="3">
        <v>198</v>
      </c>
      <c r="AH231" s="3" t="str">
        <f>IFERROR(MID(VLOOKUP($B231,Seqs!$A:$B,2,0),AI231,1),"")</f>
        <v>L</v>
      </c>
      <c r="AI231" s="3">
        <v>200</v>
      </c>
      <c r="AJ231" s="3" t="str">
        <f>IFERROR(MID(VLOOKUP($B231,Seqs!$A:$B,2,0),AK231,1),"")</f>
        <v>S</v>
      </c>
      <c r="AK231" s="3">
        <v>206</v>
      </c>
      <c r="AL231" s="3" t="str">
        <f>IFERROR(MID(VLOOKUP($B231,Seqs!$A:$B,2,0),AM231,1),"")</f>
        <v>V</v>
      </c>
      <c r="AM231" s="3">
        <v>243</v>
      </c>
      <c r="AN231" s="3" t="str">
        <f>IFERROR(MID(VLOOKUP($B231,Seqs!$A:$B,2,0),AO231,1),"")</f>
        <v>S</v>
      </c>
      <c r="AO231" s="3">
        <v>249</v>
      </c>
      <c r="AP231" s="3" t="str">
        <f>IFERROR(MID(VLOOKUP($B231,Seqs!$A:$B,2,0),AQ231,1),"")</f>
        <v>V</v>
      </c>
      <c r="AQ231" s="3">
        <v>287</v>
      </c>
      <c r="AR231" s="3" t="str">
        <f>IFERROR(MID(VLOOKUP($B231,Seqs!$A:$B,2,0),AS231,1),"")</f>
        <v>D</v>
      </c>
      <c r="AS231" s="3">
        <v>293</v>
      </c>
      <c r="AT231" s="3" t="str">
        <f>IFERROR(MID(VLOOKUP($B231,Seqs!$A:$B,2,0),AU231,1),"")</f>
        <v>L</v>
      </c>
      <c r="AU231" s="3">
        <v>321</v>
      </c>
      <c r="AV231" s="3" t="str">
        <f>IFERROR(MID(VLOOKUP($B231,Seqs!$A:$B,2,0),AW231,1),"")</f>
        <v>D</v>
      </c>
      <c r="AW231" s="3">
        <v>322</v>
      </c>
      <c r="AX231" s="3" t="str">
        <f>IFERROR(MID(VLOOKUP($B231,Seqs!$A:$B,2,0),AY231,1),"")</f>
        <v>C</v>
      </c>
      <c r="AY231" s="3">
        <v>333</v>
      </c>
      <c r="AZ231" s="77" t="str">
        <f>VLOOKUP(B231,Classification!A:D,2,0)</f>
        <v>A</v>
      </c>
      <c r="BA231" s="94" t="str">
        <f>VLOOKUP(B231,Classification!A:D,4,0)</f>
        <v>Opioid</v>
      </c>
      <c r="BB231" s="27" t="b">
        <f t="shared" si="1062"/>
        <v>1</v>
      </c>
      <c r="BC231" s="23">
        <f t="shared" si="1035"/>
        <v>265</v>
      </c>
      <c r="BD231" s="16" t="s">
        <v>23</v>
      </c>
      <c r="BE231" s="3" t="s">
        <v>1374</v>
      </c>
      <c r="BF231" s="119">
        <v>2.7</v>
      </c>
      <c r="BG231" s="49" t="s">
        <v>1377</v>
      </c>
      <c r="BH231" s="49" t="s">
        <v>1377</v>
      </c>
      <c r="BI231" s="3"/>
      <c r="BJ231" s="70" t="s">
        <v>1287</v>
      </c>
      <c r="BK231" s="57" t="s">
        <v>1287</v>
      </c>
      <c r="BL231" s="57" t="s">
        <v>1287</v>
      </c>
      <c r="BM231" s="57" t="s">
        <v>1287</v>
      </c>
      <c r="BN231" s="57" t="s">
        <v>1287</v>
      </c>
      <c r="BO231" s="57" t="s">
        <v>1287</v>
      </c>
      <c r="BP231" s="57" t="s">
        <v>1287</v>
      </c>
      <c r="BQ231" s="57" t="s">
        <v>1287</v>
      </c>
      <c r="BR231" s="57" t="s">
        <v>1287</v>
      </c>
      <c r="BS231" s="57" t="s">
        <v>1287</v>
      </c>
      <c r="BT231" s="57" t="s">
        <v>1287</v>
      </c>
      <c r="BU231" s="57" t="s">
        <v>1287</v>
      </c>
      <c r="BV231" s="70">
        <f t="shared" si="1036"/>
        <v>43</v>
      </c>
      <c r="BW231" s="71">
        <f t="shared" si="1037"/>
        <v>78</v>
      </c>
      <c r="BX231" s="72">
        <f t="shared" si="1038"/>
        <v>82</v>
      </c>
      <c r="BY231" s="71">
        <f t="shared" si="1039"/>
        <v>113</v>
      </c>
      <c r="BZ231" s="72">
        <f t="shared" si="1040"/>
        <v>117</v>
      </c>
      <c r="CA231" s="71">
        <f t="shared" si="1041"/>
        <v>153</v>
      </c>
      <c r="CB231" s="72">
        <f t="shared" si="1042"/>
        <v>161</v>
      </c>
      <c r="CC231" s="71">
        <f t="shared" si="1043"/>
        <v>198</v>
      </c>
      <c r="CD231" s="72">
        <f t="shared" si="1044"/>
        <v>206</v>
      </c>
      <c r="CE231" s="71">
        <f t="shared" si="1045"/>
        <v>249</v>
      </c>
      <c r="CF231" s="72">
        <f t="shared" si="1046"/>
        <v>293</v>
      </c>
      <c r="CG231" s="71">
        <f t="shared" si="1047"/>
        <v>322</v>
      </c>
      <c r="CH231" s="70">
        <f t="shared" si="1048"/>
        <v>77</v>
      </c>
      <c r="CI231" s="71">
        <f t="shared" si="1049"/>
        <v>81</v>
      </c>
      <c r="CJ231" s="72">
        <f t="shared" si="1050"/>
        <v>111</v>
      </c>
      <c r="CK231" s="72">
        <f t="shared" si="1051"/>
        <v>116</v>
      </c>
      <c r="CL231" s="72">
        <f t="shared" si="1052"/>
        <v>152</v>
      </c>
      <c r="CM231" s="72">
        <f t="shared" si="1053"/>
        <v>160</v>
      </c>
      <c r="CN231" s="72">
        <f t="shared" si="1054"/>
        <v>187</v>
      </c>
      <c r="CO231" s="72">
        <f t="shared" si="1055"/>
        <v>200</v>
      </c>
      <c r="CP231" s="72">
        <f t="shared" si="1056"/>
        <v>243</v>
      </c>
      <c r="CQ231" s="72">
        <f t="shared" si="1057"/>
        <v>287</v>
      </c>
      <c r="CR231" s="72">
        <f t="shared" si="1058"/>
        <v>321</v>
      </c>
      <c r="CS231" s="72">
        <f t="shared" si="1059"/>
        <v>333</v>
      </c>
      <c r="CT231" s="23">
        <f t="shared" si="1060"/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</row>
    <row r="232" spans="1:1030" s="2" customFormat="1" x14ac:dyDescent="0.2">
      <c r="A232" s="3" t="str">
        <f t="shared" si="1061"/>
        <v>oprd_mouse__wt</v>
      </c>
      <c r="B232" s="3" t="s">
        <v>915</v>
      </c>
      <c r="C232" s="3" t="s">
        <v>100</v>
      </c>
      <c r="D232" s="3" t="str">
        <f>IFERROR(MID(VLOOKUP($B232,Seqs!$A:$B,2,0),E232,1),"")</f>
        <v>R</v>
      </c>
      <c r="E232" s="3">
        <v>41</v>
      </c>
      <c r="F232" s="3" t="str">
        <f>IFERROR(MID(VLOOKUP($B232,Seqs!$A:$B,2,0),G232,1),"")</f>
        <v>Y</v>
      </c>
      <c r="G232" s="3">
        <v>77</v>
      </c>
      <c r="H232" s="3" t="str">
        <f>IFERROR(MID(VLOOKUP($B232,Seqs!$A:$B,2,0),I232,1),"")</f>
        <v>T</v>
      </c>
      <c r="I232" s="23">
        <v>78</v>
      </c>
      <c r="J232" s="3" t="str">
        <f>IFERROR(MID(VLOOKUP($B232,Seqs!$A:$B,2,0),K232,1),"")</f>
        <v>K</v>
      </c>
      <c r="K232" s="23">
        <v>81</v>
      </c>
      <c r="L232" s="3" t="str">
        <f>IFERROR(MID(VLOOKUP($B232,Seqs!$A:$B,2,0),M232,1),"")</f>
        <v>T</v>
      </c>
      <c r="M232" s="3">
        <v>82</v>
      </c>
      <c r="N232" s="3" t="str">
        <f>IFERROR(MID(VLOOKUP($B232,Seqs!$A:$B,2,0),O232,1),"")</f>
        <v>M</v>
      </c>
      <c r="O232" s="3">
        <v>111</v>
      </c>
      <c r="P232" s="3" t="str">
        <f>IFERROR(MID(VLOOKUP($B232,Seqs!$A:$B,2,0),Q232,1),"")</f>
        <v>T</v>
      </c>
      <c r="Q232" s="3">
        <v>113</v>
      </c>
      <c r="R232" s="3" t="str">
        <f>IFERROR(MID(VLOOKUP($B232,Seqs!$A:$B,2,0),S232,1),"")</f>
        <v>F</v>
      </c>
      <c r="S232" s="3">
        <v>116</v>
      </c>
      <c r="T232" s="3" t="str">
        <f>IFERROR(MID(VLOOKUP($B232,Seqs!$A:$B,2,0),U232,1),"")</f>
        <v>G</v>
      </c>
      <c r="U232" s="3">
        <v>117</v>
      </c>
      <c r="V232" s="3" t="str">
        <f>IFERROR(MID(VLOOKUP($B232,Seqs!$A:$B,2,0),W232,1),"")</f>
        <v>H</v>
      </c>
      <c r="W232" s="3">
        <v>152</v>
      </c>
      <c r="X232" s="3" t="str">
        <f>IFERROR(MID(VLOOKUP($B232,Seqs!$A:$B,2,0),Y232,1),"")</f>
        <v>P</v>
      </c>
      <c r="Y232" s="3">
        <v>153</v>
      </c>
      <c r="Z232" s="3" t="str">
        <f>IFERROR(MID(VLOOKUP($B232,Seqs!$A:$B,2,0),AA232,1),"")</f>
        <v>R</v>
      </c>
      <c r="AA232" s="3">
        <v>160</v>
      </c>
      <c r="AB232" s="3" t="str">
        <f>IFERROR(MID(VLOOKUP($B232,Seqs!$A:$B,2,0),AC232,1),"")</f>
        <v>T</v>
      </c>
      <c r="AC232" s="9">
        <v>161</v>
      </c>
      <c r="AD232" s="3" t="str">
        <f>IFERROR(MID(VLOOKUP($B232,Seqs!$A:$B,2,0),AE232,1),"")</f>
        <v>A</v>
      </c>
      <c r="AE232" s="3">
        <v>187</v>
      </c>
      <c r="AF232" s="3" t="str">
        <f>IFERROR(MID(VLOOKUP($B232,Seqs!$A:$B,2,0),AG232,1),"")</f>
        <v>C</v>
      </c>
      <c r="AG232" s="3">
        <v>198</v>
      </c>
      <c r="AH232" s="3" t="str">
        <f>IFERROR(MID(VLOOKUP($B232,Seqs!$A:$B,2,0),AI232,1),"")</f>
        <v>L</v>
      </c>
      <c r="AI232" s="3">
        <v>200</v>
      </c>
      <c r="AJ232" s="3" t="str">
        <f>IFERROR(MID(VLOOKUP($B232,Seqs!$A:$B,2,0),AK232,1),"")</f>
        <v>S</v>
      </c>
      <c r="AK232" s="3">
        <v>206</v>
      </c>
      <c r="AL232" s="3" t="str">
        <f>IFERROR(MID(VLOOKUP($B232,Seqs!$A:$B,2,0),AM232,1),"")</f>
        <v>V</v>
      </c>
      <c r="AM232" s="3">
        <v>243</v>
      </c>
      <c r="AN232" s="3" t="str">
        <f>IFERROR(MID(VLOOKUP($B232,Seqs!$A:$B,2,0),AO232,1),"")</f>
        <v>S</v>
      </c>
      <c r="AO232" s="3">
        <v>249</v>
      </c>
      <c r="AP232" s="3" t="str">
        <f>IFERROR(MID(VLOOKUP($B232,Seqs!$A:$B,2,0),AQ232,1),"")</f>
        <v>V</v>
      </c>
      <c r="AQ232" s="3">
        <v>287</v>
      </c>
      <c r="AR232" s="3" t="str">
        <f>IFERROR(MID(VLOOKUP($B232,Seqs!$A:$B,2,0),AS232,1),"")</f>
        <v>D</v>
      </c>
      <c r="AS232" s="3">
        <v>293</v>
      </c>
      <c r="AT232" s="3" t="str">
        <f>IFERROR(MID(VLOOKUP($B232,Seqs!$A:$B,2,0),AU232,1),"")</f>
        <v>L</v>
      </c>
      <c r="AU232" s="3">
        <v>321</v>
      </c>
      <c r="AV232" s="3" t="str">
        <f>IFERROR(MID(VLOOKUP($B232,Seqs!$A:$B,2,0),AW232,1),"")</f>
        <v>D</v>
      </c>
      <c r="AW232" s="3">
        <v>322</v>
      </c>
      <c r="AX232" s="3" t="str">
        <f>IFERROR(MID(VLOOKUP($B232,Seqs!$A:$B,2,0),AY232,1),"")</f>
        <v>T</v>
      </c>
      <c r="AY232" s="3">
        <v>335</v>
      </c>
      <c r="AZ232" s="77" t="str">
        <f>VLOOKUP(B232,Classification!A:D,2,0)</f>
        <v>A</v>
      </c>
      <c r="BA232" s="94" t="str">
        <f>VLOOKUP(B232,Classification!A:D,4,0)</f>
        <v>Opioid</v>
      </c>
      <c r="BB232" s="27" t="b">
        <f t="shared" si="1062"/>
        <v>1</v>
      </c>
      <c r="BC232" s="23">
        <f t="shared" si="1035"/>
        <v>269</v>
      </c>
      <c r="BD232" s="56" t="s">
        <v>23</v>
      </c>
      <c r="BE232" s="3" t="s">
        <v>23</v>
      </c>
      <c r="BF232" s="119" t="s">
        <v>23</v>
      </c>
      <c r="BG232" s="49" t="s">
        <v>1372</v>
      </c>
      <c r="BH232" s="49" t="s">
        <v>1377</v>
      </c>
      <c r="BI232" s="1"/>
      <c r="BJ232" s="70" t="s">
        <v>1287</v>
      </c>
      <c r="BK232" s="57" t="s">
        <v>1287</v>
      </c>
      <c r="BL232" s="57" t="s">
        <v>1287</v>
      </c>
      <c r="BM232" s="57" t="s">
        <v>1287</v>
      </c>
      <c r="BN232" s="57" t="s">
        <v>1287</v>
      </c>
      <c r="BO232" s="57" t="s">
        <v>1287</v>
      </c>
      <c r="BP232" s="57" t="s">
        <v>1287</v>
      </c>
      <c r="BQ232" s="57" t="s">
        <v>1287</v>
      </c>
      <c r="BR232" s="57" t="s">
        <v>1287</v>
      </c>
      <c r="BS232" s="57" t="s">
        <v>1287</v>
      </c>
      <c r="BT232" s="57" t="s">
        <v>1287</v>
      </c>
      <c r="BU232" s="57" t="s">
        <v>1287</v>
      </c>
      <c r="BV232" s="70">
        <f t="shared" si="1036"/>
        <v>41</v>
      </c>
      <c r="BW232" s="71">
        <f t="shared" si="1037"/>
        <v>78</v>
      </c>
      <c r="BX232" s="72">
        <f t="shared" si="1038"/>
        <v>82</v>
      </c>
      <c r="BY232" s="71">
        <f t="shared" si="1039"/>
        <v>113</v>
      </c>
      <c r="BZ232" s="72">
        <f t="shared" si="1040"/>
        <v>117</v>
      </c>
      <c r="CA232" s="71">
        <f t="shared" si="1041"/>
        <v>153</v>
      </c>
      <c r="CB232" s="72">
        <f t="shared" si="1042"/>
        <v>161</v>
      </c>
      <c r="CC232" s="71">
        <f t="shared" si="1043"/>
        <v>198</v>
      </c>
      <c r="CD232" s="72">
        <f t="shared" si="1044"/>
        <v>206</v>
      </c>
      <c r="CE232" s="71">
        <f t="shared" si="1045"/>
        <v>249</v>
      </c>
      <c r="CF232" s="72">
        <f t="shared" si="1046"/>
        <v>293</v>
      </c>
      <c r="CG232" s="71">
        <f t="shared" si="1047"/>
        <v>322</v>
      </c>
      <c r="CH232" s="70">
        <f t="shared" si="1048"/>
        <v>77</v>
      </c>
      <c r="CI232" s="71">
        <f t="shared" si="1049"/>
        <v>81</v>
      </c>
      <c r="CJ232" s="72">
        <f t="shared" si="1050"/>
        <v>111</v>
      </c>
      <c r="CK232" s="72">
        <f t="shared" si="1051"/>
        <v>116</v>
      </c>
      <c r="CL232" s="72">
        <f t="shared" si="1052"/>
        <v>152</v>
      </c>
      <c r="CM232" s="72">
        <f t="shared" si="1053"/>
        <v>160</v>
      </c>
      <c r="CN232" s="72">
        <f t="shared" si="1054"/>
        <v>187</v>
      </c>
      <c r="CO232" s="72">
        <f t="shared" si="1055"/>
        <v>200</v>
      </c>
      <c r="CP232" s="72">
        <f t="shared" si="1056"/>
        <v>243</v>
      </c>
      <c r="CQ232" s="72">
        <f t="shared" si="1057"/>
        <v>287</v>
      </c>
      <c r="CR232" s="72">
        <f t="shared" si="1058"/>
        <v>321</v>
      </c>
      <c r="CS232" s="72">
        <f t="shared" si="1059"/>
        <v>335</v>
      </c>
      <c r="CT232" s="23">
        <f t="shared" si="1060"/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  <c r="AMP232" s="1"/>
    </row>
    <row r="233" spans="1:1030" s="2" customFormat="1" x14ac:dyDescent="0.2">
      <c r="A233" s="3" t="str">
        <f t="shared" si="1061"/>
        <v>oprd_mouse_4EJ4</v>
      </c>
      <c r="B233" s="3" t="s">
        <v>915</v>
      </c>
      <c r="C233" s="3" t="s">
        <v>64</v>
      </c>
      <c r="D233" s="3" t="str">
        <f>IFERROR(MID(VLOOKUP($B233,Seqs!$A:$B,2,0),E233,1),"")</f>
        <v>R</v>
      </c>
      <c r="E233" s="3">
        <v>41</v>
      </c>
      <c r="F233" s="3" t="str">
        <f>IFERROR(MID(VLOOKUP($B233,Seqs!$A:$B,2,0),G233,1),"")</f>
        <v>Y</v>
      </c>
      <c r="G233" s="3">
        <v>77</v>
      </c>
      <c r="H233" s="3" t="str">
        <f>IFERROR(MID(VLOOKUP($B233,Seqs!$A:$B,2,0),I233,1),"")</f>
        <v>T</v>
      </c>
      <c r="I233" s="23">
        <v>78</v>
      </c>
      <c r="J233" s="3" t="str">
        <f>IFERROR(MID(VLOOKUP($B233,Seqs!$A:$B,2,0),K233,1),"")</f>
        <v>K</v>
      </c>
      <c r="K233" s="23">
        <v>81</v>
      </c>
      <c r="L233" s="3" t="str">
        <f>IFERROR(MID(VLOOKUP($B233,Seqs!$A:$B,2,0),M233,1),"")</f>
        <v>T</v>
      </c>
      <c r="M233" s="3">
        <v>82</v>
      </c>
      <c r="N233" s="3" t="str">
        <f>IFERROR(MID(VLOOKUP($B233,Seqs!$A:$B,2,0),O233,1),"")</f>
        <v>M</v>
      </c>
      <c r="O233" s="3">
        <v>111</v>
      </c>
      <c r="P233" s="3" t="str">
        <f>IFERROR(MID(VLOOKUP($B233,Seqs!$A:$B,2,0),Q233,1),"")</f>
        <v>T</v>
      </c>
      <c r="Q233" s="3">
        <v>113</v>
      </c>
      <c r="R233" s="3" t="str">
        <f>IFERROR(MID(VLOOKUP($B233,Seqs!$A:$B,2,0),S233,1),"")</f>
        <v>F</v>
      </c>
      <c r="S233" s="3">
        <v>116</v>
      </c>
      <c r="T233" s="3" t="str">
        <f>IFERROR(MID(VLOOKUP($B233,Seqs!$A:$B,2,0),U233,1),"")</f>
        <v>G</v>
      </c>
      <c r="U233" s="3">
        <v>117</v>
      </c>
      <c r="V233" s="3" t="str">
        <f>IFERROR(MID(VLOOKUP($B233,Seqs!$A:$B,2,0),W233,1),"")</f>
        <v>H</v>
      </c>
      <c r="W233" s="3">
        <v>152</v>
      </c>
      <c r="X233" s="3" t="str">
        <f>IFERROR(MID(VLOOKUP($B233,Seqs!$A:$B,2,0),Y233,1),"")</f>
        <v>P</v>
      </c>
      <c r="Y233" s="3">
        <v>153</v>
      </c>
      <c r="Z233" s="3" t="str">
        <f>IFERROR(MID(VLOOKUP($B233,Seqs!$A:$B,2,0),AA233,1),"")</f>
        <v>R</v>
      </c>
      <c r="AA233" s="3">
        <v>160</v>
      </c>
      <c r="AB233" s="3" t="str">
        <f>IFERROR(MID(VLOOKUP($B233,Seqs!$A:$B,2,0),AC233,1),"")</f>
        <v>T</v>
      </c>
      <c r="AC233" s="9">
        <v>161</v>
      </c>
      <c r="AD233" s="3" t="str">
        <f>IFERROR(MID(VLOOKUP($B233,Seqs!$A:$B,2,0),AE233,1),"")</f>
        <v>A</v>
      </c>
      <c r="AE233" s="3">
        <v>187</v>
      </c>
      <c r="AF233" s="3" t="str">
        <f>IFERROR(MID(VLOOKUP($B233,Seqs!$A:$B,2,0),AG233,1),"")</f>
        <v>C</v>
      </c>
      <c r="AG233" s="3">
        <v>198</v>
      </c>
      <c r="AH233" s="3" t="str">
        <f>IFERROR(MID(VLOOKUP($B233,Seqs!$A:$B,2,0),AI233,1),"")</f>
        <v>L</v>
      </c>
      <c r="AI233" s="3">
        <v>200</v>
      </c>
      <c r="AJ233" s="3" t="str">
        <f>IFERROR(MID(VLOOKUP($B233,Seqs!$A:$B,2,0),AK233,1),"")</f>
        <v>S</v>
      </c>
      <c r="AK233" s="3">
        <v>206</v>
      </c>
      <c r="AL233" s="3" t="str">
        <f>IFERROR(MID(VLOOKUP($B233,Seqs!$A:$B,2,0),AM233,1),"")</f>
        <v>L</v>
      </c>
      <c r="AM233" s="3">
        <v>238</v>
      </c>
      <c r="AN233" s="3" t="str">
        <f>IFERROR(MID(VLOOKUP($B233,Seqs!$A:$B,2,0),AO233,1),"")</f>
        <v>R</v>
      </c>
      <c r="AO233" s="3">
        <v>258</v>
      </c>
      <c r="AP233" s="3" t="str">
        <f>IFERROR(MID(VLOOKUP($B233,Seqs!$A:$B,2,0),AQ233,1),"")</f>
        <v>V</v>
      </c>
      <c r="AQ233" s="3">
        <v>287</v>
      </c>
      <c r="AR233" s="3" t="str">
        <f>IFERROR(MID(VLOOKUP($B233,Seqs!$A:$B,2,0),AS233,1),"")</f>
        <v>D</v>
      </c>
      <c r="AS233" s="3">
        <v>293</v>
      </c>
      <c r="AT233" s="3" t="str">
        <f>IFERROR(MID(VLOOKUP($B233,Seqs!$A:$B,2,0),AU233,1),"")</f>
        <v>L</v>
      </c>
      <c r="AU233" s="3">
        <v>321</v>
      </c>
      <c r="AV233" s="3" t="str">
        <f>IFERROR(MID(VLOOKUP($B233,Seqs!$A:$B,2,0),AW233,1),"")</f>
        <v>D</v>
      </c>
      <c r="AW233" s="3">
        <v>322</v>
      </c>
      <c r="AX233" s="3" t="str">
        <f>IFERROR(MID(VLOOKUP($B233,Seqs!$A:$B,2,0),AY233,1),"")</f>
        <v>C</v>
      </c>
      <c r="AY233" s="3">
        <v>328</v>
      </c>
      <c r="AZ233" s="77" t="str">
        <f>VLOOKUP(B233,Classification!A:D,2,0)</f>
        <v>A</v>
      </c>
      <c r="BA233" s="94" t="str">
        <f>VLOOKUP(B233,Classification!A:D,4,0)</f>
        <v>Opioid</v>
      </c>
      <c r="BB233" s="27" t="b">
        <f t="shared" si="1062"/>
        <v>1</v>
      </c>
      <c r="BC233" s="23">
        <f t="shared" si="1035"/>
        <v>248</v>
      </c>
      <c r="BD233" s="2" t="s">
        <v>1376</v>
      </c>
      <c r="BE233" s="3" t="s">
        <v>1374</v>
      </c>
      <c r="BF233" s="119">
        <v>3.4</v>
      </c>
      <c r="BG233" s="49" t="s">
        <v>1377</v>
      </c>
      <c r="BH233" s="49" t="s">
        <v>1377</v>
      </c>
      <c r="BI233" s="1"/>
      <c r="BJ233" s="70" t="s">
        <v>1287</v>
      </c>
      <c r="BK233" s="57" t="s">
        <v>1287</v>
      </c>
      <c r="BL233" s="57" t="s">
        <v>1287</v>
      </c>
      <c r="BM233" s="57" t="s">
        <v>1287</v>
      </c>
      <c r="BN233" s="57" t="s">
        <v>1287</v>
      </c>
      <c r="BO233" s="57" t="s">
        <v>1287</v>
      </c>
      <c r="BP233" s="57" t="s">
        <v>1287</v>
      </c>
      <c r="BQ233" s="57" t="s">
        <v>1287</v>
      </c>
      <c r="BR233" s="57" t="s">
        <v>1287</v>
      </c>
      <c r="BS233" s="57" t="s">
        <v>1287</v>
      </c>
      <c r="BT233" s="57" t="s">
        <v>1287</v>
      </c>
      <c r="BU233" s="57" t="s">
        <v>1287</v>
      </c>
      <c r="BV233" s="70">
        <f t="shared" si="1036"/>
        <v>41</v>
      </c>
      <c r="BW233" s="71">
        <f t="shared" si="1037"/>
        <v>78</v>
      </c>
      <c r="BX233" s="72">
        <f t="shared" si="1038"/>
        <v>82</v>
      </c>
      <c r="BY233" s="71">
        <f t="shared" si="1039"/>
        <v>113</v>
      </c>
      <c r="BZ233" s="72">
        <f t="shared" si="1040"/>
        <v>117</v>
      </c>
      <c r="CA233" s="71">
        <f t="shared" si="1041"/>
        <v>153</v>
      </c>
      <c r="CB233" s="72">
        <f t="shared" si="1042"/>
        <v>161</v>
      </c>
      <c r="CC233" s="71">
        <f t="shared" si="1043"/>
        <v>198</v>
      </c>
      <c r="CD233" s="72">
        <f t="shared" si="1044"/>
        <v>206</v>
      </c>
      <c r="CE233" s="71">
        <f t="shared" si="1045"/>
        <v>258</v>
      </c>
      <c r="CF233" s="72">
        <f t="shared" si="1046"/>
        <v>293</v>
      </c>
      <c r="CG233" s="71">
        <f t="shared" si="1047"/>
        <v>322</v>
      </c>
      <c r="CH233" s="70">
        <f t="shared" si="1048"/>
        <v>77</v>
      </c>
      <c r="CI233" s="71">
        <f t="shared" si="1049"/>
        <v>81</v>
      </c>
      <c r="CJ233" s="72">
        <f t="shared" si="1050"/>
        <v>111</v>
      </c>
      <c r="CK233" s="72">
        <f t="shared" si="1051"/>
        <v>116</v>
      </c>
      <c r="CL233" s="72">
        <f t="shared" si="1052"/>
        <v>152</v>
      </c>
      <c r="CM233" s="72">
        <f t="shared" si="1053"/>
        <v>160</v>
      </c>
      <c r="CN233" s="72">
        <f t="shared" si="1054"/>
        <v>187</v>
      </c>
      <c r="CO233" s="72">
        <f t="shared" si="1055"/>
        <v>200</v>
      </c>
      <c r="CP233" s="72">
        <f t="shared" si="1056"/>
        <v>238</v>
      </c>
      <c r="CQ233" s="72">
        <f t="shared" si="1057"/>
        <v>287</v>
      </c>
      <c r="CR233" s="72">
        <f t="shared" si="1058"/>
        <v>321</v>
      </c>
      <c r="CS233" s="72">
        <f t="shared" si="1059"/>
        <v>328</v>
      </c>
      <c r="CT233" s="23">
        <f t="shared" si="1060"/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</row>
    <row r="234" spans="1:1030" x14ac:dyDescent="0.2">
      <c r="A234" s="3" t="str">
        <f t="shared" si="1061"/>
        <v>oprk_human__wt</v>
      </c>
      <c r="B234" s="3" t="s">
        <v>336</v>
      </c>
      <c r="C234" s="3" t="s">
        <v>100</v>
      </c>
      <c r="D234" s="3" t="str">
        <f>IFERROR(MID(VLOOKUP($B234,Seqs!$A:$B,2,0),E234,1),"")</f>
        <v>A</v>
      </c>
      <c r="E234" s="3">
        <v>57</v>
      </c>
      <c r="F234" s="3" t="str">
        <f>IFERROR(MID(VLOOKUP($B234,Seqs!$A:$B,2,0),G234,1),"")</f>
        <v>Y</v>
      </c>
      <c r="G234" s="3">
        <v>87</v>
      </c>
      <c r="H234" s="3" t="str">
        <f>IFERROR(MID(VLOOKUP($B234,Seqs!$A:$B,2,0),I234,1),"")</f>
        <v>T</v>
      </c>
      <c r="I234" s="23">
        <v>88</v>
      </c>
      <c r="J234" s="3" t="str">
        <f>IFERROR(MID(VLOOKUP($B234,Seqs!$A:$B,2,0),K234,1),"")</f>
        <v>K</v>
      </c>
      <c r="K234" s="23">
        <v>91</v>
      </c>
      <c r="L234" s="3" t="str">
        <f>IFERROR(MID(VLOOKUP($B234,Seqs!$A:$B,2,0),M234,1),"")</f>
        <v>T</v>
      </c>
      <c r="M234" s="3">
        <v>92</v>
      </c>
      <c r="N234" s="3" t="str">
        <f>IFERROR(MID(VLOOKUP($B234,Seqs!$A:$B,2,0),O234,1),"")</f>
        <v>N</v>
      </c>
      <c r="O234" s="105">
        <v>122</v>
      </c>
      <c r="P234" s="3" t="str">
        <f>IFERROR(MID(VLOOKUP($B234,Seqs!$A:$B,2,0),Q234,1),"")</f>
        <v>S</v>
      </c>
      <c r="Q234" s="3">
        <v>123</v>
      </c>
      <c r="R234" s="3" t="str">
        <f>IFERROR(MID(VLOOKUP($B234,Seqs!$A:$B,2,0),S234,1),"")</f>
        <v>F</v>
      </c>
      <c r="S234" s="3">
        <v>126</v>
      </c>
      <c r="T234" s="3" t="str">
        <f>IFERROR(MID(VLOOKUP($B234,Seqs!$A:$B,2,0),U234,1),"")</f>
        <v>G</v>
      </c>
      <c r="U234" s="3">
        <v>127</v>
      </c>
      <c r="V234" s="3" t="str">
        <f>IFERROR(MID(VLOOKUP($B234,Seqs!$A:$B,2,0),W234,1),"")</f>
        <v>H</v>
      </c>
      <c r="W234" s="3">
        <v>162</v>
      </c>
      <c r="X234" s="3" t="str">
        <f>IFERROR(MID(VLOOKUP($B234,Seqs!$A:$B,2,0),Y234,1),"")</f>
        <v>P</v>
      </c>
      <c r="Y234" s="3">
        <v>163</v>
      </c>
      <c r="Z234" s="3" t="str">
        <f>IFERROR(MID(VLOOKUP($B234,Seqs!$A:$B,2,0),AA234,1),"")</f>
        <v>R</v>
      </c>
      <c r="AA234" s="3">
        <v>170</v>
      </c>
      <c r="AB234" s="3" t="str">
        <f>IFERROR(MID(VLOOKUP($B234,Seqs!$A:$B,2,0),AC234,1),"")</f>
        <v>T</v>
      </c>
      <c r="AC234" s="9">
        <v>171</v>
      </c>
      <c r="AD234" s="3" t="str">
        <f>IFERROR(MID(VLOOKUP($B234,Seqs!$A:$B,2,0),AE234,1),"")</f>
        <v>G</v>
      </c>
      <c r="AE234" s="3">
        <v>197</v>
      </c>
      <c r="AF234" s="3" t="str">
        <f>IFERROR(MID(VLOOKUP($B234,Seqs!$A:$B,2,0),AG234,1),"")</f>
        <v>C</v>
      </c>
      <c r="AG234" s="3">
        <v>210</v>
      </c>
      <c r="AH234" s="3" t="str">
        <f>IFERROR(MID(VLOOKUP($B234,Seqs!$A:$B,2,0),AI234,1),"")</f>
        <v>L</v>
      </c>
      <c r="AI234" s="3">
        <v>212</v>
      </c>
      <c r="AJ234" s="3" t="str">
        <f>IFERROR(MID(VLOOKUP($B234,Seqs!$A:$B,2,0),AK234,1),"")</f>
        <v>D</v>
      </c>
      <c r="AK234" s="105">
        <v>218</v>
      </c>
      <c r="AL234" s="3" t="str">
        <f>IFERROR(MID(VLOOKUP($B234,Seqs!$A:$B,2,0),AM234,1),"")</f>
        <v>V</v>
      </c>
      <c r="AM234" s="3">
        <v>256</v>
      </c>
      <c r="AN234" s="3" t="str">
        <f>IFERROR(MID(VLOOKUP($B234,Seqs!$A:$B,2,0),AO234,1),"")</f>
        <v>S</v>
      </c>
      <c r="AO234" s="3">
        <v>262</v>
      </c>
      <c r="AP234" s="3" t="str">
        <f>IFERROR(MID(VLOOKUP($B234,Seqs!$A:$B,2,0),AQ234,1),"")</f>
        <v>G</v>
      </c>
      <c r="AQ234" s="3">
        <v>300</v>
      </c>
      <c r="AR234" s="3" t="str">
        <f>IFERROR(MID(VLOOKUP($B234,Seqs!$A:$B,2,0),AS234,1),"")</f>
        <v>S</v>
      </c>
      <c r="AS234" s="3">
        <v>305</v>
      </c>
      <c r="AT234" s="3" t="str">
        <f>IFERROR(MID(VLOOKUP($B234,Seqs!$A:$B,2,0),AU234,1),"")</f>
        <v>L</v>
      </c>
      <c r="AU234" s="3">
        <v>333</v>
      </c>
      <c r="AV234" s="3" t="str">
        <f>IFERROR(MID(VLOOKUP($B234,Seqs!$A:$B,2,0),AW234,1),"")</f>
        <v>D</v>
      </c>
      <c r="AW234" s="3">
        <v>334</v>
      </c>
      <c r="AX234" s="3" t="str">
        <f>IFERROR(MID(VLOOKUP($B234,Seqs!$A:$B,2,0),AY234,1),"")</f>
        <v>F</v>
      </c>
      <c r="AY234" s="3">
        <v>346</v>
      </c>
      <c r="AZ234" s="77" t="str">
        <f>VLOOKUP(B234,Classification!A:D,2,0)</f>
        <v>A</v>
      </c>
      <c r="BA234" s="94" t="str">
        <f>VLOOKUP(B234,Classification!A:D,4,0)</f>
        <v>Opioid</v>
      </c>
      <c r="BB234" s="27" t="b">
        <f t="shared" si="1062"/>
        <v>1</v>
      </c>
      <c r="BC234" s="23">
        <f t="shared" si="1035"/>
        <v>264</v>
      </c>
      <c r="BD234" s="56" t="s">
        <v>23</v>
      </c>
      <c r="BE234" s="3" t="s">
        <v>23</v>
      </c>
      <c r="BF234" s="119" t="s">
        <v>23</v>
      </c>
      <c r="BG234" s="49" t="s">
        <v>1372</v>
      </c>
      <c r="BH234" s="49" t="s">
        <v>1377</v>
      </c>
      <c r="BI234" s="1"/>
      <c r="BJ234" s="70" t="s">
        <v>1287</v>
      </c>
      <c r="BK234" s="57" t="s">
        <v>1287</v>
      </c>
      <c r="BL234" s="57" t="s">
        <v>1287</v>
      </c>
      <c r="BM234" s="57" t="s">
        <v>1287</v>
      </c>
      <c r="BN234" s="57" t="s">
        <v>1287</v>
      </c>
      <c r="BO234" s="57" t="s">
        <v>1287</v>
      </c>
      <c r="BP234" s="57" t="s">
        <v>1287</v>
      </c>
      <c r="BQ234" s="57" t="s">
        <v>1287</v>
      </c>
      <c r="BR234" s="57" t="s">
        <v>1287</v>
      </c>
      <c r="BS234" s="57" t="s">
        <v>1287</v>
      </c>
      <c r="BT234" s="57" t="s">
        <v>1287</v>
      </c>
      <c r="BU234" s="57" t="s">
        <v>1287</v>
      </c>
      <c r="BV234" s="70">
        <f t="shared" si="1036"/>
        <v>57</v>
      </c>
      <c r="BW234" s="71">
        <f t="shared" si="1037"/>
        <v>88</v>
      </c>
      <c r="BX234" s="72">
        <f t="shared" si="1038"/>
        <v>92</v>
      </c>
      <c r="BY234" s="71">
        <f t="shared" si="1039"/>
        <v>123</v>
      </c>
      <c r="BZ234" s="72">
        <f t="shared" si="1040"/>
        <v>127</v>
      </c>
      <c r="CA234" s="71">
        <f t="shared" si="1041"/>
        <v>163</v>
      </c>
      <c r="CB234" s="72">
        <f t="shared" si="1042"/>
        <v>171</v>
      </c>
      <c r="CC234" s="71">
        <f t="shared" si="1043"/>
        <v>210</v>
      </c>
      <c r="CD234" s="72">
        <f t="shared" si="1044"/>
        <v>218</v>
      </c>
      <c r="CE234" s="71">
        <f t="shared" si="1045"/>
        <v>262</v>
      </c>
      <c r="CF234" s="72">
        <f t="shared" si="1046"/>
        <v>305</v>
      </c>
      <c r="CG234" s="71">
        <f t="shared" si="1047"/>
        <v>334</v>
      </c>
      <c r="CH234" s="70">
        <f t="shared" si="1048"/>
        <v>87</v>
      </c>
      <c r="CI234" s="71">
        <f t="shared" si="1049"/>
        <v>91</v>
      </c>
      <c r="CJ234" s="72">
        <f t="shared" si="1050"/>
        <v>122</v>
      </c>
      <c r="CK234" s="72">
        <f t="shared" si="1051"/>
        <v>126</v>
      </c>
      <c r="CL234" s="72">
        <f t="shared" si="1052"/>
        <v>162</v>
      </c>
      <c r="CM234" s="72">
        <f t="shared" si="1053"/>
        <v>170</v>
      </c>
      <c r="CN234" s="72">
        <f t="shared" si="1054"/>
        <v>197</v>
      </c>
      <c r="CO234" s="72">
        <f t="shared" si="1055"/>
        <v>212</v>
      </c>
      <c r="CP234" s="72">
        <f t="shared" si="1056"/>
        <v>256</v>
      </c>
      <c r="CQ234" s="72">
        <f t="shared" si="1057"/>
        <v>300</v>
      </c>
      <c r="CR234" s="72">
        <f t="shared" si="1058"/>
        <v>333</v>
      </c>
      <c r="CS234" s="72">
        <f t="shared" si="1059"/>
        <v>346</v>
      </c>
      <c r="CT234" s="23">
        <f t="shared" si="1060"/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30" x14ac:dyDescent="0.2">
      <c r="A235" s="3" t="str">
        <f t="shared" si="1061"/>
        <v>oprk_human_4DJH</v>
      </c>
      <c r="B235" s="3" t="s">
        <v>336</v>
      </c>
      <c r="C235" s="3" t="s">
        <v>88</v>
      </c>
      <c r="D235" s="3" t="str">
        <f>IFERROR(MID(VLOOKUP($B235,Seqs!$A:$B,2,0),E235,1),"")</f>
        <v>A</v>
      </c>
      <c r="E235" s="3">
        <v>57</v>
      </c>
      <c r="F235" s="3" t="str">
        <f>IFERROR(MID(VLOOKUP($B235,Seqs!$A:$B,2,0),G235,1),"")</f>
        <v>Y</v>
      </c>
      <c r="G235" s="3">
        <v>87</v>
      </c>
      <c r="H235" s="3" t="str">
        <f>IFERROR(MID(VLOOKUP($B235,Seqs!$A:$B,2,0),I235,1),"")</f>
        <v>T</v>
      </c>
      <c r="I235" s="23">
        <v>88</v>
      </c>
      <c r="J235" s="3" t="str">
        <f>IFERROR(MID(VLOOKUP($B235,Seqs!$A:$B,2,0),K235,1),"")</f>
        <v>K</v>
      </c>
      <c r="K235" s="23">
        <v>91</v>
      </c>
      <c r="L235" s="3" t="str">
        <f>IFERROR(MID(VLOOKUP($B235,Seqs!$A:$B,2,0),M235,1),"")</f>
        <v>T</v>
      </c>
      <c r="M235" s="3">
        <v>92</v>
      </c>
      <c r="N235" s="3" t="str">
        <f>IFERROR(MID(VLOOKUP($B235,Seqs!$A:$B,2,0),O235,1),"")</f>
        <v>N</v>
      </c>
      <c r="O235" s="3">
        <v>122</v>
      </c>
      <c r="P235" s="3" t="str">
        <f>IFERROR(MID(VLOOKUP($B235,Seqs!$A:$B,2,0),Q235,1),"")</f>
        <v>S</v>
      </c>
      <c r="Q235" s="3">
        <v>123</v>
      </c>
      <c r="R235" s="3" t="str">
        <f>IFERROR(MID(VLOOKUP($B235,Seqs!$A:$B,2,0),S235,1),"")</f>
        <v>F</v>
      </c>
      <c r="S235" s="3">
        <v>126</v>
      </c>
      <c r="T235" s="3" t="str">
        <f>IFERROR(MID(VLOOKUP($B235,Seqs!$A:$B,2,0),U235,1),"")</f>
        <v>G</v>
      </c>
      <c r="U235" s="3">
        <v>127</v>
      </c>
      <c r="V235" s="3" t="str">
        <f>IFERROR(MID(VLOOKUP($B235,Seqs!$A:$B,2,0),W235,1),"")</f>
        <v>H</v>
      </c>
      <c r="W235" s="3">
        <v>162</v>
      </c>
      <c r="X235" s="3" t="str">
        <f>IFERROR(MID(VLOOKUP($B235,Seqs!$A:$B,2,0),Y235,1),"")</f>
        <v/>
      </c>
      <c r="Y235" s="3" t="s">
        <v>23</v>
      </c>
      <c r="Z235" s="3" t="str">
        <f>IFERROR(MID(VLOOKUP($B235,Seqs!$A:$B,2,0),AA235,1),"")</f>
        <v/>
      </c>
      <c r="AA235" s="3" t="s">
        <v>23</v>
      </c>
      <c r="AB235" s="3" t="str">
        <f>IFERROR(MID(VLOOKUP($B235,Seqs!$A:$B,2,0),AC235,1),"")</f>
        <v>R</v>
      </c>
      <c r="AC235" s="9">
        <v>170</v>
      </c>
      <c r="AD235" s="3" t="str">
        <f>IFERROR(MID(VLOOKUP($B235,Seqs!$A:$B,2,0),AE235,1),"")</f>
        <v>G</v>
      </c>
      <c r="AE235" s="3">
        <v>197</v>
      </c>
      <c r="AF235" s="3" t="str">
        <f>IFERROR(MID(VLOOKUP($B235,Seqs!$A:$B,2,0),AG235,1),"")</f>
        <v>C</v>
      </c>
      <c r="AG235" s="3">
        <v>210</v>
      </c>
      <c r="AH235" s="3" t="str">
        <f>IFERROR(MID(VLOOKUP($B235,Seqs!$A:$B,2,0),AI235,1),"")</f>
        <v>L</v>
      </c>
      <c r="AI235" s="3">
        <v>212</v>
      </c>
      <c r="AJ235" s="3" t="str">
        <f>IFERROR(MID(VLOOKUP($B235,Seqs!$A:$B,2,0),AK235,1),"")</f>
        <v>D</v>
      </c>
      <c r="AK235" s="3">
        <v>218</v>
      </c>
      <c r="AL235" s="3" t="str">
        <f>IFERROR(MID(VLOOKUP($B235,Seqs!$A:$B,2,0),AM235,1),"")</f>
        <v>V</v>
      </c>
      <c r="AM235" s="3">
        <v>256</v>
      </c>
      <c r="AN235" s="3" t="str">
        <f>IFERROR(MID(VLOOKUP($B235,Seqs!$A:$B,2,0),AO235,1),"")</f>
        <v>R</v>
      </c>
      <c r="AO235" s="3">
        <v>267</v>
      </c>
      <c r="AP235" s="3" t="str">
        <f>IFERROR(MID(VLOOKUP($B235,Seqs!$A:$B,2,0),AQ235,1),"")</f>
        <v>G</v>
      </c>
      <c r="AQ235" s="3">
        <v>300</v>
      </c>
      <c r="AR235" s="3" t="str">
        <f>IFERROR(MID(VLOOKUP($B235,Seqs!$A:$B,2,0),AS235,1),"")</f>
        <v>A</v>
      </c>
      <c r="AS235" s="3">
        <v>308</v>
      </c>
      <c r="AT235" s="3" t="str">
        <f>IFERROR(MID(VLOOKUP($B235,Seqs!$A:$B,2,0),AU235,1),"")</f>
        <v>L</v>
      </c>
      <c r="AU235" s="3">
        <v>333</v>
      </c>
      <c r="AV235" s="3" t="str">
        <f>IFERROR(MID(VLOOKUP($B235,Seqs!$A:$B,2,0),AW235,1),"")</f>
        <v>D</v>
      </c>
      <c r="AW235" s="3">
        <v>334</v>
      </c>
      <c r="AX235" s="3" t="str">
        <f>IFERROR(MID(VLOOKUP($B235,Seqs!$A:$B,2,0),AY235,1),"")</f>
        <v>F</v>
      </c>
      <c r="AY235" s="3">
        <v>346</v>
      </c>
      <c r="AZ235" s="77" t="str">
        <f>VLOOKUP(B235,Classification!A:D,2,0)</f>
        <v>A</v>
      </c>
      <c r="BA235" s="94" t="str">
        <f>VLOOKUP(B235,Classification!A:D,4,0)</f>
        <v>Opioid</v>
      </c>
      <c r="BB235" s="27" t="b">
        <f t="shared" si="1062"/>
        <v>1</v>
      </c>
      <c r="BC235" s="23">
        <f t="shared" si="1035"/>
        <v>250</v>
      </c>
      <c r="BD235" s="2" t="s">
        <v>1376</v>
      </c>
      <c r="BE235" s="3" t="s">
        <v>1374</v>
      </c>
      <c r="BF235" s="119">
        <v>2.9</v>
      </c>
      <c r="BG235" s="49" t="s">
        <v>1377</v>
      </c>
      <c r="BH235" s="49" t="s">
        <v>1377</v>
      </c>
      <c r="BI235" s="1"/>
      <c r="BJ235" s="70" t="s">
        <v>1287</v>
      </c>
      <c r="BK235" s="57" t="s">
        <v>1287</v>
      </c>
      <c r="BL235" s="57" t="s">
        <v>1287</v>
      </c>
      <c r="BM235" s="57" t="s">
        <v>1287</v>
      </c>
      <c r="BN235" s="57" t="s">
        <v>1287</v>
      </c>
      <c r="BO235" s="57" t="s">
        <v>1287</v>
      </c>
      <c r="BP235" s="57" t="s">
        <v>1287</v>
      </c>
      <c r="BQ235" s="57" t="s">
        <v>1287</v>
      </c>
      <c r="BR235" s="57" t="s">
        <v>1287</v>
      </c>
      <c r="BS235" s="57" t="s">
        <v>1287</v>
      </c>
      <c r="BT235" s="57" t="s">
        <v>1287</v>
      </c>
      <c r="BU235" s="57" t="s">
        <v>1287</v>
      </c>
      <c r="BV235" s="70">
        <f t="shared" si="1036"/>
        <v>57</v>
      </c>
      <c r="BW235" s="71">
        <f t="shared" si="1037"/>
        <v>88</v>
      </c>
      <c r="BX235" s="72">
        <f t="shared" si="1038"/>
        <v>92</v>
      </c>
      <c r="BY235" s="71">
        <f t="shared" si="1039"/>
        <v>123</v>
      </c>
      <c r="BZ235" s="72">
        <f t="shared" si="1040"/>
        <v>127</v>
      </c>
      <c r="CA235" s="71" t="str">
        <f t="shared" si="1041"/>
        <v>-</v>
      </c>
      <c r="CB235" s="72">
        <f t="shared" si="1042"/>
        <v>170</v>
      </c>
      <c r="CC235" s="71">
        <f t="shared" si="1043"/>
        <v>210</v>
      </c>
      <c r="CD235" s="72">
        <f t="shared" si="1044"/>
        <v>218</v>
      </c>
      <c r="CE235" s="71">
        <f t="shared" si="1045"/>
        <v>267</v>
      </c>
      <c r="CF235" s="72">
        <f t="shared" si="1046"/>
        <v>308</v>
      </c>
      <c r="CG235" s="71">
        <f t="shared" si="1047"/>
        <v>334</v>
      </c>
      <c r="CH235" s="70">
        <f t="shared" si="1048"/>
        <v>87</v>
      </c>
      <c r="CI235" s="71">
        <f t="shared" si="1049"/>
        <v>91</v>
      </c>
      <c r="CJ235" s="72">
        <f t="shared" si="1050"/>
        <v>122</v>
      </c>
      <c r="CK235" s="72">
        <f t="shared" si="1051"/>
        <v>126</v>
      </c>
      <c r="CL235" s="72">
        <f t="shared" si="1052"/>
        <v>162</v>
      </c>
      <c r="CM235" s="72" t="str">
        <f t="shared" si="1053"/>
        <v>-</v>
      </c>
      <c r="CN235" s="72">
        <f t="shared" si="1054"/>
        <v>197</v>
      </c>
      <c r="CO235" s="72">
        <f t="shared" si="1055"/>
        <v>212</v>
      </c>
      <c r="CP235" s="72">
        <f t="shared" si="1056"/>
        <v>256</v>
      </c>
      <c r="CQ235" s="72">
        <f t="shared" si="1057"/>
        <v>300</v>
      </c>
      <c r="CR235" s="72">
        <f t="shared" si="1058"/>
        <v>333</v>
      </c>
      <c r="CS235" s="72">
        <f t="shared" si="1059"/>
        <v>346</v>
      </c>
      <c r="CT235" s="23">
        <f t="shared" si="1060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30" x14ac:dyDescent="0.2">
      <c r="A236" s="3" t="str">
        <f>CONCATENATE(B236,"_",C236)</f>
        <v>oprk_human_6B73</v>
      </c>
      <c r="B236" s="3" t="s">
        <v>336</v>
      </c>
      <c r="C236" s="3" t="s">
        <v>1463</v>
      </c>
      <c r="D236" s="3" t="str">
        <f>IFERROR(MID(VLOOKUP($B236,Seqs!$A:$B,2,0),E236,1),"")</f>
        <v>A</v>
      </c>
      <c r="E236" s="3">
        <v>57</v>
      </c>
      <c r="F236" s="3" t="str">
        <f>IFERROR(MID(VLOOKUP($B236,Seqs!$A:$B,2,0),G236,1),"")</f>
        <v>Y</v>
      </c>
      <c r="G236" s="3">
        <v>87</v>
      </c>
      <c r="H236" s="3" t="str">
        <f>IFERROR(MID(VLOOKUP($B236,Seqs!$A:$B,2,0),I236,1),"")</f>
        <v/>
      </c>
      <c r="I236" s="23" t="s">
        <v>23</v>
      </c>
      <c r="J236" s="3" t="str">
        <f>IFERROR(MID(VLOOKUP($B236,Seqs!$A:$B,2,0),K236,1),"")</f>
        <v/>
      </c>
      <c r="K236" s="23" t="s">
        <v>23</v>
      </c>
      <c r="L236" s="3" t="str">
        <f>IFERROR(MID(VLOOKUP($B236,Seqs!$A:$B,2,0),M236,1),"")</f>
        <v>T</v>
      </c>
      <c r="M236" s="3">
        <v>92</v>
      </c>
      <c r="N236" s="3" t="str">
        <f>IFERROR(MID(VLOOKUP($B236,Seqs!$A:$B,2,0),O236,1),"")</f>
        <v>N</v>
      </c>
      <c r="O236" s="3">
        <v>122</v>
      </c>
      <c r="P236" s="3" t="str">
        <f>IFERROR(MID(VLOOKUP($B236,Seqs!$A:$B,2,0),Q236,1),"")</f>
        <v>S</v>
      </c>
      <c r="Q236" s="3">
        <v>123</v>
      </c>
      <c r="R236" s="3" t="str">
        <f>IFERROR(MID(VLOOKUP($B236,Seqs!$A:$B,2,0),S236,1),"")</f>
        <v>F</v>
      </c>
      <c r="S236" s="3">
        <v>126</v>
      </c>
      <c r="T236" s="3" t="str">
        <f>IFERROR(MID(VLOOKUP($B236,Seqs!$A:$B,2,0),U236,1),"")</f>
        <v>G</v>
      </c>
      <c r="U236" s="3">
        <v>127</v>
      </c>
      <c r="V236" s="3" t="str">
        <f>IFERROR(MID(VLOOKUP($B236,Seqs!$A:$B,2,0),W236,1),"")</f>
        <v>H</v>
      </c>
      <c r="W236" s="3">
        <v>162</v>
      </c>
      <c r="X236" s="3" t="str">
        <f>IFERROR(MID(VLOOKUP($B236,Seqs!$A:$B,2,0),Y236,1),"")</f>
        <v>P</v>
      </c>
      <c r="Y236" s="3">
        <v>163</v>
      </c>
      <c r="Z236" s="3" t="str">
        <f>IFERROR(MID(VLOOKUP($B236,Seqs!$A:$B,2,0),AA236,1),"")</f>
        <v>R</v>
      </c>
      <c r="AA236" s="3">
        <v>170</v>
      </c>
      <c r="AB236" s="3" t="str">
        <f>IFERROR(MID(VLOOKUP($B236,Seqs!$A:$B,2,0),AC236,1),"")</f>
        <v>T</v>
      </c>
      <c r="AC236" s="3">
        <v>171</v>
      </c>
      <c r="AD236" s="3" t="str">
        <f>IFERROR(MID(VLOOKUP($B236,Seqs!$A:$B,2,0),AE236,1),"")</f>
        <v>G</v>
      </c>
      <c r="AE236" s="3">
        <v>197</v>
      </c>
      <c r="AF236" s="3" t="str">
        <f>IFERROR(MID(VLOOKUP($B236,Seqs!$A:$B,2,0),AG236,1),"")</f>
        <v>C</v>
      </c>
      <c r="AG236" s="3">
        <v>210</v>
      </c>
      <c r="AH236" s="3" t="str">
        <f>IFERROR(MID(VLOOKUP($B236,Seqs!$A:$B,2,0),AI236,1),"")</f>
        <v>L</v>
      </c>
      <c r="AI236" s="3">
        <v>212</v>
      </c>
      <c r="AJ236" s="3" t="str">
        <f>IFERROR(MID(VLOOKUP($B236,Seqs!$A:$B,2,0),AK236,1),"")</f>
        <v>W</v>
      </c>
      <c r="AK236" s="3">
        <v>221</v>
      </c>
      <c r="AL236" s="3" t="str">
        <f>IFERROR(MID(VLOOKUP($B236,Seqs!$A:$B,2,0),AM236,1),"")</f>
        <v>S</v>
      </c>
      <c r="AM236" s="3">
        <v>255</v>
      </c>
      <c r="AN236" s="3" t="str">
        <f>IFERROR(MID(VLOOKUP($B236,Seqs!$A:$B,2,0),AO236,1),"")</f>
        <v>S</v>
      </c>
      <c r="AO236" s="3">
        <v>262</v>
      </c>
      <c r="AP236" s="3" t="str">
        <f>IFERROR(MID(VLOOKUP($B236,Seqs!$A:$B,2,0),AQ236,1),"")</f>
        <v>G</v>
      </c>
      <c r="AQ236" s="3">
        <v>300</v>
      </c>
      <c r="AR236" s="3" t="str">
        <f>IFERROR(MID(VLOOKUP($B236,Seqs!$A:$B,2,0),AS236,1),"")</f>
        <v>S</v>
      </c>
      <c r="AS236" s="3">
        <v>305</v>
      </c>
      <c r="AT236" s="3" t="str">
        <f>IFERROR(MID(VLOOKUP($B236,Seqs!$A:$B,2,0),AU236,1),"")</f>
        <v>I</v>
      </c>
      <c r="AU236" s="3">
        <v>328</v>
      </c>
      <c r="AV236" s="3" t="str">
        <f>IFERROR(MID(VLOOKUP($B236,Seqs!$A:$B,2,0),AW236,1),"")</f>
        <v/>
      </c>
      <c r="AW236" s="3" t="s">
        <v>23</v>
      </c>
      <c r="AX236" s="3" t="str">
        <f>IFERROR(MID(VLOOKUP($B236,Seqs!$A:$B,2,0),AY236,1),"")</f>
        <v/>
      </c>
      <c r="AY236" s="3" t="s">
        <v>23</v>
      </c>
      <c r="AZ236" s="77" t="str">
        <f>VLOOKUP(B236,Classification!A:D,2,0)</f>
        <v>A</v>
      </c>
      <c r="BA236" s="94" t="str">
        <f>VLOOKUP(B236,Classification!A:D,4,0)</f>
        <v>Opioid</v>
      </c>
      <c r="BB236" s="27" t="b">
        <f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23">
        <f>_xlfn.AGGREGATE(9,6,CH236:CS236)-_xlfn.AGGREGATE(9,6,BV236:CG236)+12</f>
        <v>240</v>
      </c>
      <c r="BD236" s="2" t="s">
        <v>1375</v>
      </c>
      <c r="BE236" s="3" t="s">
        <v>1291</v>
      </c>
      <c r="BF236" s="119">
        <v>3.1</v>
      </c>
      <c r="BG236" s="49" t="s">
        <v>1</v>
      </c>
      <c r="BH236" s="49" t="s">
        <v>1</v>
      </c>
      <c r="BI236" s="1"/>
      <c r="BJ236" s="70" t="s">
        <v>1287</v>
      </c>
      <c r="BK236" s="57" t="s">
        <v>1287</v>
      </c>
      <c r="BL236" s="57" t="s">
        <v>1287</v>
      </c>
      <c r="BM236" s="57" t="s">
        <v>1287</v>
      </c>
      <c r="BN236" s="57" t="s">
        <v>1287</v>
      </c>
      <c r="BO236" s="57" t="s">
        <v>1287</v>
      </c>
      <c r="BP236" s="57" t="s">
        <v>1287</v>
      </c>
      <c r="BQ236" s="57" t="s">
        <v>1287</v>
      </c>
      <c r="BR236" s="57" t="s">
        <v>1287</v>
      </c>
      <c r="BS236" s="57" t="s">
        <v>1287</v>
      </c>
      <c r="BT236" s="57" t="s">
        <v>1287</v>
      </c>
      <c r="BU236" s="57" t="s">
        <v>1287</v>
      </c>
      <c r="BV236" s="70">
        <f>E236</f>
        <v>57</v>
      </c>
      <c r="BW236" s="71" t="str">
        <f>I236</f>
        <v>-</v>
      </c>
      <c r="BX236" s="72">
        <f>M236</f>
        <v>92</v>
      </c>
      <c r="BY236" s="71">
        <f>Q236</f>
        <v>123</v>
      </c>
      <c r="BZ236" s="72">
        <f>U236</f>
        <v>127</v>
      </c>
      <c r="CA236" s="71">
        <f>Y236</f>
        <v>163</v>
      </c>
      <c r="CB236" s="72">
        <f>AC236</f>
        <v>171</v>
      </c>
      <c r="CC236" s="71">
        <f>AG236</f>
        <v>210</v>
      </c>
      <c r="CD236" s="72">
        <f>AK236</f>
        <v>221</v>
      </c>
      <c r="CE236" s="71">
        <f>AO236</f>
        <v>262</v>
      </c>
      <c r="CF236" s="72">
        <f>AS236</f>
        <v>305</v>
      </c>
      <c r="CG236" s="71" t="str">
        <f>AW236</f>
        <v>-</v>
      </c>
      <c r="CH236" s="70">
        <f>G236</f>
        <v>87</v>
      </c>
      <c r="CI236" s="71" t="str">
        <f>K236</f>
        <v>-</v>
      </c>
      <c r="CJ236" s="72">
        <f>O236</f>
        <v>122</v>
      </c>
      <c r="CK236" s="72">
        <f>S236</f>
        <v>126</v>
      </c>
      <c r="CL236" s="72">
        <f>W236</f>
        <v>162</v>
      </c>
      <c r="CM236" s="72">
        <f>AA236</f>
        <v>170</v>
      </c>
      <c r="CN236" s="72">
        <f>AE236</f>
        <v>197</v>
      </c>
      <c r="CO236" s="72">
        <f>AI236</f>
        <v>212</v>
      </c>
      <c r="CP236" s="72">
        <f>AM236</f>
        <v>255</v>
      </c>
      <c r="CQ236" s="72">
        <f>AQ236</f>
        <v>300</v>
      </c>
      <c r="CR236" s="72">
        <f>AU236</f>
        <v>328</v>
      </c>
      <c r="CS236" s="72" t="str">
        <f>AY236</f>
        <v>-</v>
      </c>
      <c r="CT236" s="23" t="e">
        <f>M236-K236</f>
        <v>#VALUE!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30" x14ac:dyDescent="0.2">
      <c r="A237" s="3" t="str">
        <f t="shared" si="1061"/>
        <v>oprm_mouse__wt</v>
      </c>
      <c r="B237" s="3" t="s">
        <v>917</v>
      </c>
      <c r="C237" s="3" t="s">
        <v>100</v>
      </c>
      <c r="D237" s="3" t="str">
        <f>IFERROR(MID(VLOOKUP($B237,Seqs!$A:$B,2,0),E237,1),"")</f>
        <v>M</v>
      </c>
      <c r="E237" s="3">
        <v>65</v>
      </c>
      <c r="F237" s="3" t="str">
        <f>IFERROR(MID(VLOOKUP($B237,Seqs!$A:$B,2,0),G237,1),"")</f>
        <v>Y</v>
      </c>
      <c r="G237" s="3">
        <v>96</v>
      </c>
      <c r="H237" s="3" t="str">
        <f>IFERROR(MID(VLOOKUP($B237,Seqs!$A:$B,2,0),I237,1),"")</f>
        <v>T</v>
      </c>
      <c r="I237" s="23">
        <v>97</v>
      </c>
      <c r="J237" s="3" t="str">
        <f>IFERROR(MID(VLOOKUP($B237,Seqs!$A:$B,2,0),K237,1),"")</f>
        <v>K</v>
      </c>
      <c r="K237" s="23">
        <v>100</v>
      </c>
      <c r="L237" s="3" t="str">
        <f>IFERROR(MID(VLOOKUP($B237,Seqs!$A:$B,2,0),M237,1),"")</f>
        <v>T</v>
      </c>
      <c r="M237" s="3">
        <v>101</v>
      </c>
      <c r="N237" s="3" t="str">
        <f>IFERROR(MID(VLOOKUP($B237,Seqs!$A:$B,2,0),O237,1),"")</f>
        <v>M</v>
      </c>
      <c r="O237" s="3">
        <v>130</v>
      </c>
      <c r="P237" s="3" t="str">
        <f>IFERROR(MID(VLOOKUP($B237,Seqs!$A:$B,2,0),Q237,1),"")</f>
        <v>T</v>
      </c>
      <c r="Q237" s="3">
        <v>132</v>
      </c>
      <c r="R237" s="3" t="str">
        <f>IFERROR(MID(VLOOKUP($B237,Seqs!$A:$B,2,0),S237,1),"")</f>
        <v>F</v>
      </c>
      <c r="S237" s="3">
        <v>135</v>
      </c>
      <c r="T237" s="3" t="str">
        <f>IFERROR(MID(VLOOKUP($B237,Seqs!$A:$B,2,0),U237,1),"")</f>
        <v>G</v>
      </c>
      <c r="U237" s="3">
        <v>136</v>
      </c>
      <c r="V237" s="3" t="str">
        <f>IFERROR(MID(VLOOKUP($B237,Seqs!$A:$B,2,0),W237,1),"")</f>
        <v>H</v>
      </c>
      <c r="W237" s="3">
        <v>171</v>
      </c>
      <c r="X237" s="3" t="str">
        <f>IFERROR(MID(VLOOKUP($B237,Seqs!$A:$B,2,0),Y237,1),"")</f>
        <v>P</v>
      </c>
      <c r="Y237" s="3">
        <v>172</v>
      </c>
      <c r="Z237" s="3" t="str">
        <f>IFERROR(MID(VLOOKUP($B237,Seqs!$A:$B,2,0),AA237,1),"")</f>
        <v>R</v>
      </c>
      <c r="AA237" s="3">
        <v>179</v>
      </c>
      <c r="AB237" s="3" t="str">
        <f>IFERROR(MID(VLOOKUP($B237,Seqs!$A:$B,2,0),AC237,1),"")</f>
        <v>T</v>
      </c>
      <c r="AC237" s="3">
        <v>180</v>
      </c>
      <c r="AD237" s="3" t="str">
        <f>IFERROR(MID(VLOOKUP($B237,Seqs!$A:$B,2,0),AE237,1),"")</f>
        <v>A</v>
      </c>
      <c r="AE237" s="3">
        <v>206</v>
      </c>
      <c r="AF237" s="3" t="str">
        <f>IFERROR(MID(VLOOKUP($B237,Seqs!$A:$B,2,0),AG237,1),"")</f>
        <v>C</v>
      </c>
      <c r="AG237" s="3">
        <v>217</v>
      </c>
      <c r="AH237" s="3" t="str">
        <f>IFERROR(MID(VLOOKUP($B237,Seqs!$A:$B,2,0),AI237,1),"")</f>
        <v>L</v>
      </c>
      <c r="AI237" s="3">
        <v>219</v>
      </c>
      <c r="AJ237" s="3" t="str">
        <f>IFERROR(MID(VLOOKUP($B237,Seqs!$A:$B,2,0),AK237,1),"")</f>
        <v>T</v>
      </c>
      <c r="AK237" s="3">
        <v>225</v>
      </c>
      <c r="AL237" s="3" t="str">
        <f>IFERROR(MID(VLOOKUP($B237,Seqs!$A:$B,2,0),AM237,1),"")</f>
        <v>V</v>
      </c>
      <c r="AM237" s="3">
        <v>262</v>
      </c>
      <c r="AN237" s="3" t="str">
        <f>IFERROR(MID(VLOOKUP($B237,Seqs!$A:$B,2,0),AO237,1),"")</f>
        <v>S</v>
      </c>
      <c r="AO237" s="3">
        <v>268</v>
      </c>
      <c r="AP237" s="3" t="str">
        <f>IFERROR(MID(VLOOKUP($B237,Seqs!$A:$B,2,0),AQ237,1),"")</f>
        <v>I</v>
      </c>
      <c r="AQ237" s="3">
        <v>306</v>
      </c>
      <c r="AR237" s="3" t="str">
        <f>IFERROR(MID(VLOOKUP($B237,Seqs!$A:$B,2,0),AS237,1),"")</f>
        <v>T</v>
      </c>
      <c r="AS237" s="3">
        <v>311</v>
      </c>
      <c r="AT237" s="3" t="str">
        <f>IFERROR(MID(VLOOKUP($B237,Seqs!$A:$B,2,0),AU237,1),"")</f>
        <v>L</v>
      </c>
      <c r="AU237" s="3">
        <v>339</v>
      </c>
      <c r="AV237" s="3" t="str">
        <f>IFERROR(MID(VLOOKUP($B237,Seqs!$A:$B,2,0),AW237,1),"")</f>
        <v>D</v>
      </c>
      <c r="AW237" s="3">
        <v>340</v>
      </c>
      <c r="AX237" s="3" t="str">
        <f>IFERROR(MID(VLOOKUP($B237,Seqs!$A:$B,2,0),AY237,1),"")</f>
        <v>I</v>
      </c>
      <c r="AY237" s="3">
        <v>352</v>
      </c>
      <c r="AZ237" s="77" t="str">
        <f>VLOOKUP(B237,Classification!A:D,2,0)</f>
        <v>A</v>
      </c>
      <c r="BA237" s="94" t="str">
        <f>VLOOKUP(B237,Classification!A:D,4,0)</f>
        <v>Opioid</v>
      </c>
      <c r="BB237" s="27" t="b">
        <f t="shared" si="1062"/>
        <v>1</v>
      </c>
      <c r="BC237" s="23">
        <f t="shared" si="1035"/>
        <v>263</v>
      </c>
      <c r="BD237" s="56" t="s">
        <v>23</v>
      </c>
      <c r="BE237" s="3" t="s">
        <v>23</v>
      </c>
      <c r="BF237" s="119" t="s">
        <v>23</v>
      </c>
      <c r="BG237" s="49" t="s">
        <v>1372</v>
      </c>
      <c r="BH237" s="49" t="s">
        <v>1377</v>
      </c>
      <c r="BI237" s="1"/>
      <c r="BJ237" s="70" t="s">
        <v>1287</v>
      </c>
      <c r="BK237" s="57" t="s">
        <v>1287</v>
      </c>
      <c r="BL237" s="57" t="s">
        <v>1287</v>
      </c>
      <c r="BM237" s="57" t="s">
        <v>1287</v>
      </c>
      <c r="BN237" s="57" t="s">
        <v>1287</v>
      </c>
      <c r="BO237" s="57" t="s">
        <v>1287</v>
      </c>
      <c r="BP237" s="57" t="s">
        <v>1287</v>
      </c>
      <c r="BQ237" s="57" t="s">
        <v>1287</v>
      </c>
      <c r="BR237" s="57" t="s">
        <v>1287</v>
      </c>
      <c r="BS237" s="57" t="s">
        <v>1287</v>
      </c>
      <c r="BT237" s="57" t="s">
        <v>1287</v>
      </c>
      <c r="BU237" s="57" t="s">
        <v>1287</v>
      </c>
      <c r="BV237" s="70">
        <f t="shared" si="1036"/>
        <v>65</v>
      </c>
      <c r="BW237" s="71">
        <f t="shared" si="1037"/>
        <v>97</v>
      </c>
      <c r="BX237" s="72">
        <f t="shared" si="1038"/>
        <v>101</v>
      </c>
      <c r="BY237" s="71">
        <f t="shared" si="1039"/>
        <v>132</v>
      </c>
      <c r="BZ237" s="72">
        <f t="shared" si="1040"/>
        <v>136</v>
      </c>
      <c r="CA237" s="71">
        <f t="shared" si="1041"/>
        <v>172</v>
      </c>
      <c r="CB237" s="72">
        <f t="shared" si="1042"/>
        <v>180</v>
      </c>
      <c r="CC237" s="71">
        <f t="shared" si="1043"/>
        <v>217</v>
      </c>
      <c r="CD237" s="72">
        <f t="shared" si="1044"/>
        <v>225</v>
      </c>
      <c r="CE237" s="71">
        <f t="shared" si="1045"/>
        <v>268</v>
      </c>
      <c r="CF237" s="72">
        <f t="shared" si="1046"/>
        <v>311</v>
      </c>
      <c r="CG237" s="71">
        <f t="shared" si="1047"/>
        <v>340</v>
      </c>
      <c r="CH237" s="70">
        <f t="shared" si="1048"/>
        <v>96</v>
      </c>
      <c r="CI237" s="71">
        <f t="shared" si="1049"/>
        <v>100</v>
      </c>
      <c r="CJ237" s="72">
        <f t="shared" si="1050"/>
        <v>130</v>
      </c>
      <c r="CK237" s="72">
        <f t="shared" si="1051"/>
        <v>135</v>
      </c>
      <c r="CL237" s="72">
        <f t="shared" si="1052"/>
        <v>171</v>
      </c>
      <c r="CM237" s="72">
        <f t="shared" si="1053"/>
        <v>179</v>
      </c>
      <c r="CN237" s="72">
        <f t="shared" si="1054"/>
        <v>206</v>
      </c>
      <c r="CO237" s="72">
        <f t="shared" si="1055"/>
        <v>219</v>
      </c>
      <c r="CP237" s="72">
        <f t="shared" si="1056"/>
        <v>262</v>
      </c>
      <c r="CQ237" s="72">
        <f t="shared" si="1057"/>
        <v>306</v>
      </c>
      <c r="CR237" s="72">
        <f t="shared" si="1058"/>
        <v>339</v>
      </c>
      <c r="CS237" s="72">
        <f t="shared" si="1059"/>
        <v>352</v>
      </c>
      <c r="CT237" s="23">
        <f t="shared" si="1060"/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30" x14ac:dyDescent="0.2">
      <c r="A238" s="3" t="str">
        <f t="shared" si="1061"/>
        <v>oprm_mouse_4DKL</v>
      </c>
      <c r="B238" s="3" t="s">
        <v>917</v>
      </c>
      <c r="C238" s="3" t="s">
        <v>65</v>
      </c>
      <c r="D238" s="3" t="str">
        <f>IFERROR(MID(VLOOKUP($B238,Seqs!$A:$B,2,0),E238,1),"")</f>
        <v>M</v>
      </c>
      <c r="E238" s="3">
        <v>65</v>
      </c>
      <c r="F238" s="3" t="str">
        <f>IFERROR(MID(VLOOKUP($B238,Seqs!$A:$B,2,0),G238,1),"")</f>
        <v>Y</v>
      </c>
      <c r="G238" s="3">
        <v>96</v>
      </c>
      <c r="H238" s="3" t="str">
        <f>IFERROR(MID(VLOOKUP($B238,Seqs!$A:$B,2,0),I238,1),"")</f>
        <v>T</v>
      </c>
      <c r="I238" s="23">
        <v>97</v>
      </c>
      <c r="J238" s="3" t="str">
        <f>IFERROR(MID(VLOOKUP($B238,Seqs!$A:$B,2,0),K238,1),"")</f>
        <v>K</v>
      </c>
      <c r="K238" s="23">
        <v>100</v>
      </c>
      <c r="L238" s="3" t="str">
        <f>IFERROR(MID(VLOOKUP($B238,Seqs!$A:$B,2,0),M238,1),"")</f>
        <v>T</v>
      </c>
      <c r="M238" s="3">
        <v>101</v>
      </c>
      <c r="N238" s="3" t="str">
        <f>IFERROR(MID(VLOOKUP($B238,Seqs!$A:$B,2,0),O238,1),"")</f>
        <v>M</v>
      </c>
      <c r="O238" s="3">
        <v>130</v>
      </c>
      <c r="P238" s="3" t="str">
        <f>IFERROR(MID(VLOOKUP($B238,Seqs!$A:$B,2,0),Q238,1),"")</f>
        <v>T</v>
      </c>
      <c r="Q238" s="3">
        <v>132</v>
      </c>
      <c r="R238" s="3" t="str">
        <f>IFERROR(MID(VLOOKUP($B238,Seqs!$A:$B,2,0),S238,1),"")</f>
        <v>F</v>
      </c>
      <c r="S238" s="3">
        <v>135</v>
      </c>
      <c r="T238" s="3" t="str">
        <f>IFERROR(MID(VLOOKUP($B238,Seqs!$A:$B,2,0),U238,1),"")</f>
        <v>G</v>
      </c>
      <c r="U238" s="3">
        <v>136</v>
      </c>
      <c r="V238" s="3" t="str">
        <f>IFERROR(MID(VLOOKUP($B238,Seqs!$A:$B,2,0),W238,1),"")</f>
        <v>H</v>
      </c>
      <c r="W238" s="3">
        <v>171</v>
      </c>
      <c r="X238" s="3" t="str">
        <f>IFERROR(MID(VLOOKUP($B238,Seqs!$A:$B,2,0),Y238,1),"")</f>
        <v>P</v>
      </c>
      <c r="Y238" s="3">
        <v>172</v>
      </c>
      <c r="Z238" s="3" t="str">
        <f>IFERROR(MID(VLOOKUP($B238,Seqs!$A:$B,2,0),AA238,1),"")</f>
        <v>R</v>
      </c>
      <c r="AA238" s="3">
        <v>179</v>
      </c>
      <c r="AB238" s="3" t="str">
        <f>IFERROR(MID(VLOOKUP($B238,Seqs!$A:$B,2,0),AC238,1),"")</f>
        <v>T</v>
      </c>
      <c r="AC238" s="3">
        <v>180</v>
      </c>
      <c r="AD238" s="3" t="str">
        <f>IFERROR(MID(VLOOKUP($B238,Seqs!$A:$B,2,0),AE238,1),"")</f>
        <v>A</v>
      </c>
      <c r="AE238" s="3">
        <v>206</v>
      </c>
      <c r="AF238" s="3" t="str">
        <f>IFERROR(MID(VLOOKUP($B238,Seqs!$A:$B,2,0),AG238,1),"")</f>
        <v>C</v>
      </c>
      <c r="AG238" s="3">
        <v>217</v>
      </c>
      <c r="AH238" s="3" t="str">
        <f>IFERROR(MID(VLOOKUP($B238,Seqs!$A:$B,2,0),AI238,1),"")</f>
        <v>L</v>
      </c>
      <c r="AI238" s="3">
        <v>219</v>
      </c>
      <c r="AJ238" s="3" t="str">
        <f>IFERROR(MID(VLOOKUP($B238,Seqs!$A:$B,2,0),AK238,1),"")</f>
        <v>T</v>
      </c>
      <c r="AK238" s="3">
        <v>225</v>
      </c>
      <c r="AL238" s="3" t="str">
        <f>IFERROR(MID(VLOOKUP($B238,Seqs!$A:$B,2,0),AM238,1),"")</f>
        <v>L</v>
      </c>
      <c r="AM238" s="3">
        <v>257</v>
      </c>
      <c r="AN238" s="3" t="str">
        <f>IFERROR(MID(VLOOKUP($B238,Seqs!$A:$B,2,0),AO238,1),"")</f>
        <v>N</v>
      </c>
      <c r="AO238" s="3">
        <v>274</v>
      </c>
      <c r="AP238" s="3" t="str">
        <f>IFERROR(MID(VLOOKUP($B238,Seqs!$A:$B,2,0),AQ238,1),"")</f>
        <v>I</v>
      </c>
      <c r="AQ238" s="3">
        <v>306</v>
      </c>
      <c r="AR238" s="3" t="str">
        <f>IFERROR(MID(VLOOKUP($B238,Seqs!$A:$B,2,0),AS238,1),"")</f>
        <v>T</v>
      </c>
      <c r="AS238" s="3">
        <v>311</v>
      </c>
      <c r="AT238" s="3" t="str">
        <f>IFERROR(MID(VLOOKUP($B238,Seqs!$A:$B,2,0),AU238,1),"")</f>
        <v>L</v>
      </c>
      <c r="AU238" s="3">
        <v>339</v>
      </c>
      <c r="AV238" s="3" t="str">
        <f>IFERROR(MID(VLOOKUP($B238,Seqs!$A:$B,2,0),AW238,1),"")</f>
        <v>D</v>
      </c>
      <c r="AW238" s="3">
        <v>340</v>
      </c>
      <c r="AX238" s="3" t="str">
        <f>IFERROR(MID(VLOOKUP($B238,Seqs!$A:$B,2,0),AY238,1),"")</f>
        <v>I</v>
      </c>
      <c r="AY238" s="3">
        <v>352</v>
      </c>
      <c r="AZ238" s="77" t="str">
        <f>VLOOKUP(B238,Classification!A:D,2,0)</f>
        <v>A</v>
      </c>
      <c r="BA238" s="94" t="str">
        <f>VLOOKUP(B238,Classification!A:D,4,0)</f>
        <v>Opioid</v>
      </c>
      <c r="BB238" s="27" t="b">
        <f t="shared" si="1062"/>
        <v>1</v>
      </c>
      <c r="BC238" s="23">
        <f t="shared" si="1035"/>
        <v>252</v>
      </c>
      <c r="BD238" s="2" t="s">
        <v>1376</v>
      </c>
      <c r="BE238" s="3" t="s">
        <v>1374</v>
      </c>
      <c r="BF238" s="119">
        <v>2.8</v>
      </c>
      <c r="BG238" s="49" t="s">
        <v>1377</v>
      </c>
      <c r="BH238" s="49" t="s">
        <v>1377</v>
      </c>
      <c r="BI238" s="1"/>
      <c r="BJ238" s="70" t="s">
        <v>1287</v>
      </c>
      <c r="BK238" s="57" t="s">
        <v>1287</v>
      </c>
      <c r="BL238" s="57" t="s">
        <v>1287</v>
      </c>
      <c r="BM238" s="57" t="s">
        <v>1287</v>
      </c>
      <c r="BN238" s="57" t="s">
        <v>1287</v>
      </c>
      <c r="BO238" s="57" t="s">
        <v>1287</v>
      </c>
      <c r="BP238" s="57" t="s">
        <v>1287</v>
      </c>
      <c r="BQ238" s="57" t="s">
        <v>1287</v>
      </c>
      <c r="BR238" s="57" t="s">
        <v>1287</v>
      </c>
      <c r="BS238" s="57" t="s">
        <v>1287</v>
      </c>
      <c r="BT238" s="57" t="s">
        <v>1287</v>
      </c>
      <c r="BU238" s="57" t="s">
        <v>1287</v>
      </c>
      <c r="BV238" s="70">
        <f t="shared" si="1036"/>
        <v>65</v>
      </c>
      <c r="BW238" s="71">
        <f t="shared" si="1037"/>
        <v>97</v>
      </c>
      <c r="BX238" s="72">
        <f t="shared" si="1038"/>
        <v>101</v>
      </c>
      <c r="BY238" s="71">
        <f t="shared" si="1039"/>
        <v>132</v>
      </c>
      <c r="BZ238" s="72">
        <f t="shared" si="1040"/>
        <v>136</v>
      </c>
      <c r="CA238" s="71">
        <f t="shared" si="1041"/>
        <v>172</v>
      </c>
      <c r="CB238" s="72">
        <f t="shared" si="1042"/>
        <v>180</v>
      </c>
      <c r="CC238" s="71">
        <f t="shared" si="1043"/>
        <v>217</v>
      </c>
      <c r="CD238" s="72">
        <f t="shared" si="1044"/>
        <v>225</v>
      </c>
      <c r="CE238" s="71">
        <f t="shared" si="1045"/>
        <v>274</v>
      </c>
      <c r="CF238" s="72">
        <f t="shared" si="1046"/>
        <v>311</v>
      </c>
      <c r="CG238" s="71">
        <f t="shared" si="1047"/>
        <v>340</v>
      </c>
      <c r="CH238" s="70">
        <f t="shared" si="1048"/>
        <v>96</v>
      </c>
      <c r="CI238" s="71">
        <f t="shared" si="1049"/>
        <v>100</v>
      </c>
      <c r="CJ238" s="72">
        <f t="shared" si="1050"/>
        <v>130</v>
      </c>
      <c r="CK238" s="72">
        <f t="shared" si="1051"/>
        <v>135</v>
      </c>
      <c r="CL238" s="72">
        <f t="shared" si="1052"/>
        <v>171</v>
      </c>
      <c r="CM238" s="72">
        <f t="shared" si="1053"/>
        <v>179</v>
      </c>
      <c r="CN238" s="72">
        <f t="shared" si="1054"/>
        <v>206</v>
      </c>
      <c r="CO238" s="72">
        <f t="shared" si="1055"/>
        <v>219</v>
      </c>
      <c r="CP238" s="72">
        <f t="shared" si="1056"/>
        <v>257</v>
      </c>
      <c r="CQ238" s="72">
        <f t="shared" si="1057"/>
        <v>306</v>
      </c>
      <c r="CR238" s="72">
        <f t="shared" si="1058"/>
        <v>339</v>
      </c>
      <c r="CS238" s="72">
        <f t="shared" si="1059"/>
        <v>352</v>
      </c>
      <c r="CT238" s="23">
        <f t="shared" si="1060"/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30" x14ac:dyDescent="0.2">
      <c r="A239" s="3" t="str">
        <f t="shared" si="1061"/>
        <v>oprm_mouse_5C1M</v>
      </c>
      <c r="B239" s="3" t="s">
        <v>917</v>
      </c>
      <c r="C239" s="3" t="s">
        <v>84</v>
      </c>
      <c r="D239" s="3" t="str">
        <f>IFERROR(MID(VLOOKUP($B239,Seqs!$A:$B,2,0),E239,1),"")</f>
        <v>M</v>
      </c>
      <c r="E239" s="3">
        <v>65</v>
      </c>
      <c r="F239" s="3" t="str">
        <f>IFERROR(MID(VLOOKUP($B239,Seqs!$A:$B,2,0),G239,1),"")</f>
        <v>Y</v>
      </c>
      <c r="G239" s="3">
        <v>96</v>
      </c>
      <c r="H239" s="3" t="str">
        <f>IFERROR(MID(VLOOKUP($B239,Seqs!$A:$B,2,0),I239,1),"")</f>
        <v/>
      </c>
      <c r="I239" s="23" t="s">
        <v>23</v>
      </c>
      <c r="J239" s="3" t="str">
        <f>IFERROR(MID(VLOOKUP($B239,Seqs!$A:$B,2,0),K239,1),"")</f>
        <v/>
      </c>
      <c r="K239" s="23" t="s">
        <v>23</v>
      </c>
      <c r="L239" s="3" t="str">
        <f>IFERROR(MID(VLOOKUP($B239,Seqs!$A:$B,2,0),M239,1),"")</f>
        <v>T</v>
      </c>
      <c r="M239" s="3">
        <v>101</v>
      </c>
      <c r="N239" s="3" t="str">
        <f>IFERROR(MID(VLOOKUP($B239,Seqs!$A:$B,2,0),O239,1),"")</f>
        <v>M</v>
      </c>
      <c r="O239" s="3">
        <v>130</v>
      </c>
      <c r="P239" s="3" t="str">
        <f>IFERROR(MID(VLOOKUP($B239,Seqs!$A:$B,2,0),Q239,1),"")</f>
        <v>T</v>
      </c>
      <c r="Q239" s="3">
        <v>132</v>
      </c>
      <c r="R239" s="3" t="str">
        <f>IFERROR(MID(VLOOKUP($B239,Seqs!$A:$B,2,0),S239,1),"")</f>
        <v>F</v>
      </c>
      <c r="S239" s="3">
        <v>135</v>
      </c>
      <c r="T239" s="3" t="str">
        <f>IFERROR(MID(VLOOKUP($B239,Seqs!$A:$B,2,0),U239,1),"")</f>
        <v>G</v>
      </c>
      <c r="U239" s="3">
        <v>136</v>
      </c>
      <c r="V239" s="3" t="str">
        <f>IFERROR(MID(VLOOKUP($B239,Seqs!$A:$B,2,0),W239,1),"")</f>
        <v>H</v>
      </c>
      <c r="W239" s="3">
        <v>171</v>
      </c>
      <c r="X239" s="3" t="str">
        <f>IFERROR(MID(VLOOKUP($B239,Seqs!$A:$B,2,0),Y239,1),"")</f>
        <v>P</v>
      </c>
      <c r="Y239" s="3">
        <v>172</v>
      </c>
      <c r="Z239" s="3" t="str">
        <f>IFERROR(MID(VLOOKUP($B239,Seqs!$A:$B,2,0),AA239,1),"")</f>
        <v>R</v>
      </c>
      <c r="AA239" s="3">
        <v>179</v>
      </c>
      <c r="AB239" s="3" t="str">
        <f>IFERROR(MID(VLOOKUP($B239,Seqs!$A:$B,2,0),AC239,1),"")</f>
        <v>T</v>
      </c>
      <c r="AC239" s="3">
        <v>180</v>
      </c>
      <c r="AD239" s="3" t="str">
        <f>IFERROR(MID(VLOOKUP($B239,Seqs!$A:$B,2,0),AE239,1),"")</f>
        <v>A</v>
      </c>
      <c r="AE239" s="3">
        <v>206</v>
      </c>
      <c r="AF239" s="3" t="str">
        <f>IFERROR(MID(VLOOKUP($B239,Seqs!$A:$B,2,0),AG239,1),"")</f>
        <v>C</v>
      </c>
      <c r="AG239" s="3">
        <v>217</v>
      </c>
      <c r="AH239" s="3" t="str">
        <f>IFERROR(MID(VLOOKUP($B239,Seqs!$A:$B,2,0),AI239,1),"")</f>
        <v>L</v>
      </c>
      <c r="AI239" s="3">
        <v>219</v>
      </c>
      <c r="AJ239" s="3" t="str">
        <f>IFERROR(MID(VLOOKUP($B239,Seqs!$A:$B,2,0),AK239,1),"")</f>
        <v>T</v>
      </c>
      <c r="AK239" s="3">
        <v>225</v>
      </c>
      <c r="AL239" s="3" t="str">
        <f>IFERROR(MID(VLOOKUP($B239,Seqs!$A:$B,2,0),AM239,1),"")</f>
        <v>V</v>
      </c>
      <c r="AM239" s="3">
        <v>262</v>
      </c>
      <c r="AN239" s="3" t="str">
        <f>IFERROR(MID(VLOOKUP($B239,Seqs!$A:$B,2,0),AO239,1),"")</f>
        <v>S</v>
      </c>
      <c r="AO239" s="3">
        <v>268</v>
      </c>
      <c r="AP239" s="3" t="str">
        <f>IFERROR(MID(VLOOKUP($B239,Seqs!$A:$B,2,0),AQ239,1),"")</f>
        <v>I</v>
      </c>
      <c r="AQ239" s="3">
        <v>306</v>
      </c>
      <c r="AR239" s="3" t="str">
        <f>IFERROR(MID(VLOOKUP($B239,Seqs!$A:$B,2,0),AS239,1),"")</f>
        <v>T</v>
      </c>
      <c r="AS239" s="3">
        <v>311</v>
      </c>
      <c r="AT239" s="3" t="str">
        <f>IFERROR(MID(VLOOKUP($B239,Seqs!$A:$B,2,0),AU239,1),"")</f>
        <v>P</v>
      </c>
      <c r="AU239" s="3">
        <v>333</v>
      </c>
      <c r="AV239" s="3" t="str">
        <f>IFERROR(MID(VLOOKUP($B239,Seqs!$A:$B,2,0),AW239,1),"")</f>
        <v/>
      </c>
      <c r="AW239" s="3" t="s">
        <v>23</v>
      </c>
      <c r="AX239" s="3" t="str">
        <f>IFERROR(MID(VLOOKUP($B239,Seqs!$A:$B,2,0),AY239,1),"")</f>
        <v/>
      </c>
      <c r="AY239" s="3" t="s">
        <v>23</v>
      </c>
      <c r="AZ239" s="77" t="str">
        <f>VLOOKUP(B239,Classification!A:D,2,0)</f>
        <v>A</v>
      </c>
      <c r="BA239" s="94" t="str">
        <f>VLOOKUP(B239,Classification!A:D,4,0)</f>
        <v>Opioid</v>
      </c>
      <c r="BB239" s="27" t="b">
        <f t="shared" si="1062"/>
        <v>1</v>
      </c>
      <c r="BC239" s="23">
        <f t="shared" si="1035"/>
        <v>242</v>
      </c>
      <c r="BD239" s="5" t="s">
        <v>1375</v>
      </c>
      <c r="BE239" s="3" t="s">
        <v>1291</v>
      </c>
      <c r="BF239" s="119">
        <v>2.1</v>
      </c>
      <c r="BG239" s="49" t="s">
        <v>1377</v>
      </c>
      <c r="BH239" s="49" t="s">
        <v>1377</v>
      </c>
      <c r="BI239" s="1"/>
      <c r="BJ239" s="70" t="s">
        <v>1287</v>
      </c>
      <c r="BK239" s="57" t="s">
        <v>1287</v>
      </c>
      <c r="BL239" s="57" t="s">
        <v>1287</v>
      </c>
      <c r="BM239" s="57" t="s">
        <v>1287</v>
      </c>
      <c r="BN239" s="57" t="s">
        <v>1287</v>
      </c>
      <c r="BO239" s="57" t="s">
        <v>1287</v>
      </c>
      <c r="BP239" s="57" t="s">
        <v>1287</v>
      </c>
      <c r="BQ239" s="57" t="s">
        <v>1287</v>
      </c>
      <c r="BR239" s="57" t="s">
        <v>1287</v>
      </c>
      <c r="BS239" s="57" t="s">
        <v>1287</v>
      </c>
      <c r="BT239" s="57" t="s">
        <v>1287</v>
      </c>
      <c r="BU239" s="57" t="s">
        <v>1287</v>
      </c>
      <c r="BV239" s="70">
        <f t="shared" si="1036"/>
        <v>65</v>
      </c>
      <c r="BW239" s="71" t="str">
        <f t="shared" si="1037"/>
        <v>-</v>
      </c>
      <c r="BX239" s="72">
        <f t="shared" si="1038"/>
        <v>101</v>
      </c>
      <c r="BY239" s="71">
        <f t="shared" si="1039"/>
        <v>132</v>
      </c>
      <c r="BZ239" s="72">
        <f t="shared" si="1040"/>
        <v>136</v>
      </c>
      <c r="CA239" s="71">
        <f t="shared" si="1041"/>
        <v>172</v>
      </c>
      <c r="CB239" s="72">
        <f t="shared" si="1042"/>
        <v>180</v>
      </c>
      <c r="CC239" s="71">
        <f t="shared" si="1043"/>
        <v>217</v>
      </c>
      <c r="CD239" s="72">
        <f t="shared" si="1044"/>
        <v>225</v>
      </c>
      <c r="CE239" s="71">
        <f t="shared" si="1045"/>
        <v>268</v>
      </c>
      <c r="CF239" s="72">
        <f t="shared" si="1046"/>
        <v>311</v>
      </c>
      <c r="CG239" s="71" t="str">
        <f t="shared" si="1047"/>
        <v>-</v>
      </c>
      <c r="CH239" s="70">
        <f t="shared" si="1048"/>
        <v>96</v>
      </c>
      <c r="CI239" s="71" t="str">
        <f t="shared" si="1049"/>
        <v>-</v>
      </c>
      <c r="CJ239" s="72">
        <f t="shared" si="1050"/>
        <v>130</v>
      </c>
      <c r="CK239" s="72">
        <f t="shared" si="1051"/>
        <v>135</v>
      </c>
      <c r="CL239" s="72">
        <f t="shared" si="1052"/>
        <v>171</v>
      </c>
      <c r="CM239" s="72">
        <f t="shared" si="1053"/>
        <v>179</v>
      </c>
      <c r="CN239" s="72">
        <f t="shared" si="1054"/>
        <v>206</v>
      </c>
      <c r="CO239" s="72">
        <f t="shared" si="1055"/>
        <v>219</v>
      </c>
      <c r="CP239" s="72">
        <f t="shared" si="1056"/>
        <v>262</v>
      </c>
      <c r="CQ239" s="72">
        <f t="shared" si="1057"/>
        <v>306</v>
      </c>
      <c r="CR239" s="72">
        <f t="shared" si="1058"/>
        <v>333</v>
      </c>
      <c r="CS239" s="72" t="str">
        <f t="shared" si="1059"/>
        <v>-</v>
      </c>
      <c r="CT239" s="23" t="e">
        <f t="shared" si="1060"/>
        <v>#VALUE!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30" x14ac:dyDescent="0.2">
      <c r="A240" s="3" t="str">
        <f>CONCATENATE(B240,"_",C240)</f>
        <v>oprm_mouse_6DDE</v>
      </c>
      <c r="B240" s="3" t="s">
        <v>917</v>
      </c>
      <c r="C240" s="3" t="s">
        <v>1500</v>
      </c>
      <c r="D240" s="3" t="str">
        <f>IFERROR(MID(VLOOKUP($B240,Seqs!$A:$B,2,0),E240,1),"")</f>
        <v>T</v>
      </c>
      <c r="E240" s="3">
        <v>67</v>
      </c>
      <c r="F240" s="3" t="str">
        <f>IFERROR(MID(VLOOKUP($B240,Seqs!$A:$B,2,0),G240,1),"")</f>
        <v>K</v>
      </c>
      <c r="G240" s="3">
        <v>98</v>
      </c>
      <c r="H240" s="3" t="str">
        <f>IFERROR(MID(VLOOKUP($B240,Seqs!$A:$B,2,0),I240,1),"")</f>
        <v/>
      </c>
      <c r="I240" s="23" t="s">
        <v>23</v>
      </c>
      <c r="J240" s="3" t="str">
        <f>IFERROR(MID(VLOOKUP($B240,Seqs!$A:$B,2,0),K240,1),"")</f>
        <v/>
      </c>
      <c r="K240" s="23" t="s">
        <v>23</v>
      </c>
      <c r="L240" s="3" t="str">
        <f>IFERROR(MID(VLOOKUP($B240,Seqs!$A:$B,2,0),M240,1),"")</f>
        <v>A</v>
      </c>
      <c r="M240" s="3">
        <v>102</v>
      </c>
      <c r="N240" s="3" t="str">
        <f>IFERROR(MID(VLOOKUP($B240,Seqs!$A:$B,2,0),O240,1),"")</f>
        <v>G</v>
      </c>
      <c r="O240" s="3">
        <v>131</v>
      </c>
      <c r="P240" s="3" t="str">
        <f>IFERROR(MID(VLOOKUP($B240,Seqs!$A:$B,2,0),Q240,1),"")</f>
        <v>T</v>
      </c>
      <c r="Q240" s="3">
        <v>132</v>
      </c>
      <c r="R240" s="3" t="str">
        <f>IFERROR(MID(VLOOKUP($B240,Seqs!$A:$B,2,0),S240,1),"")</f>
        <v>F</v>
      </c>
      <c r="S240" s="3">
        <v>135</v>
      </c>
      <c r="T240" s="3" t="str">
        <f>IFERROR(MID(VLOOKUP($B240,Seqs!$A:$B,2,0),U240,1),"")</f>
        <v>G</v>
      </c>
      <c r="U240" s="3">
        <v>136</v>
      </c>
      <c r="V240" s="3" t="str">
        <f>IFERROR(MID(VLOOKUP($B240,Seqs!$A:$B,2,0),W240,1),"")</f>
        <v>H</v>
      </c>
      <c r="W240" s="3">
        <v>171</v>
      </c>
      <c r="X240" s="3" t="str">
        <f>IFERROR(MID(VLOOKUP($B240,Seqs!$A:$B,2,0),Y240,1),"")</f>
        <v>P</v>
      </c>
      <c r="Y240" s="3">
        <v>172</v>
      </c>
      <c r="Z240" s="3" t="str">
        <f>IFERROR(MID(VLOOKUP($B240,Seqs!$A:$B,2,0),AA240,1),"")</f>
        <v>R</v>
      </c>
      <c r="AA240" s="3">
        <v>179</v>
      </c>
      <c r="AB240" s="3" t="str">
        <f>IFERROR(MID(VLOOKUP($B240,Seqs!$A:$B,2,0),AC240,1),"")</f>
        <v>T</v>
      </c>
      <c r="AC240" s="3">
        <v>180</v>
      </c>
      <c r="AD240" s="3" t="str">
        <f>IFERROR(MID(VLOOKUP($B240,Seqs!$A:$B,2,0),AE240,1),"")</f>
        <v>F</v>
      </c>
      <c r="AE240" s="3">
        <v>204</v>
      </c>
      <c r="AF240" s="3" t="str">
        <f>IFERROR(MID(VLOOKUP($B240,Seqs!$A:$B,2,0),AG240,1),"")</f>
        <v>C</v>
      </c>
      <c r="AG240" s="3">
        <v>217</v>
      </c>
      <c r="AH240" s="3" t="str">
        <f>IFERROR(MID(VLOOKUP($B240,Seqs!$A:$B,2,0),AI240,1),"")</f>
        <v>L</v>
      </c>
      <c r="AI240" s="3">
        <v>219</v>
      </c>
      <c r="AJ240" s="3" t="str">
        <f>IFERROR(MID(VLOOKUP($B240,Seqs!$A:$B,2,0),AK240,1),"")</f>
        <v>Y</v>
      </c>
      <c r="AK240" s="3">
        <v>227</v>
      </c>
      <c r="AL240" s="3" t="str">
        <f>IFERROR(MID(VLOOKUP($B240,Seqs!$A:$B,2,0),AM240,1),"")</f>
        <v>V</v>
      </c>
      <c r="AM240" s="3">
        <v>262</v>
      </c>
      <c r="AN240" s="3" t="str">
        <f>IFERROR(MID(VLOOKUP($B240,Seqs!$A:$B,2,0),AO240,1),"")</f>
        <v>S</v>
      </c>
      <c r="AO240" s="3">
        <v>268</v>
      </c>
      <c r="AP240" s="3" t="str">
        <f>IFERROR(MID(VLOOKUP($B240,Seqs!$A:$B,2,0),AQ240,1),"")</f>
        <v>I</v>
      </c>
      <c r="AQ240" s="3">
        <v>306</v>
      </c>
      <c r="AR240" s="3" t="str">
        <f>IFERROR(MID(VLOOKUP($B240,Seqs!$A:$B,2,0),AS240,1),"")</f>
        <v>F</v>
      </c>
      <c r="AS240" s="3">
        <v>313</v>
      </c>
      <c r="AT240" s="3" t="str">
        <f>IFERROR(MID(VLOOKUP($B240,Seqs!$A:$B,2,0),AU240,1),"")</f>
        <v>Y</v>
      </c>
      <c r="AU240" s="3">
        <v>336</v>
      </c>
      <c r="AV240" s="3" t="str">
        <f>IFERROR(MID(VLOOKUP($B240,Seqs!$A:$B,2,0),AW240,1),"")</f>
        <v/>
      </c>
      <c r="AW240" s="3" t="s">
        <v>23</v>
      </c>
      <c r="AX240" s="3" t="str">
        <f>IFERROR(MID(VLOOKUP($B240,Seqs!$A:$B,2,0),AY240,1),"")</f>
        <v/>
      </c>
      <c r="AY240" s="3" t="s">
        <v>23</v>
      </c>
      <c r="AZ240" s="77" t="str">
        <f>VLOOKUP(B240,Classification!A:D,2,0)</f>
        <v>A</v>
      </c>
      <c r="BA240" s="94" t="str">
        <f>VLOOKUP(B240,Classification!A:D,4,0)</f>
        <v>Opioid</v>
      </c>
      <c r="BB240" s="27" t="b">
        <f>AND(E240&lt;G240,OR(G240&lt;I240,I240="-"),OR(I240&lt;K240,I240="-"),OR(K240&lt;M240,K240="-"),M240&lt;O240,OR(O240&lt;Q240,Q240="-"),OR(Q240&lt;S240,Q240="-"),OR(S240&lt;U240,S240="-"),U240&lt;W240,OR(W240&lt;Y240,Y240="-"),OR(Y240&lt;AA240,Y240="-"),OR(AA240&lt;AC240,AA240="-"),AC240&lt;AE240,OR(AE240&lt;AG240,AG240="-"),OR(AG240&lt;AI240,AG240="-"),OR(AI240&lt;AK240,AI240="-"),AK240&lt;AM240,AM240&lt;AO240,AO240&lt;AQ240,AQ240&lt;AS240,AS240&lt;AU240,OR(AU240&lt;AW240,AW240="-"),OR(AW240&lt;AY240,AW240="-"))</f>
        <v>1</v>
      </c>
      <c r="BC240" s="23">
        <f>_xlfn.AGGREGATE(9,6,CH240:CS240)-_xlfn.AGGREGATE(9,6,BV240:CG240)+12</f>
        <v>239</v>
      </c>
      <c r="BD240" s="5" t="s">
        <v>23</v>
      </c>
      <c r="BE240" s="3" t="s">
        <v>1291</v>
      </c>
      <c r="BF240" s="119">
        <v>3.5</v>
      </c>
      <c r="BG240" s="49" t="s">
        <v>1422</v>
      </c>
      <c r="BH240" s="49" t="s">
        <v>1422</v>
      </c>
      <c r="BI240" s="1"/>
      <c r="BJ240" s="70" t="s">
        <v>1287</v>
      </c>
      <c r="BK240" s="57" t="s">
        <v>1287</v>
      </c>
      <c r="BL240" s="57" t="s">
        <v>1287</v>
      </c>
      <c r="BM240" s="57" t="s">
        <v>1287</v>
      </c>
      <c r="BN240" s="57" t="s">
        <v>1287</v>
      </c>
      <c r="BO240" s="57" t="s">
        <v>1287</v>
      </c>
      <c r="BP240" s="57" t="s">
        <v>1287</v>
      </c>
      <c r="BQ240" s="57" t="s">
        <v>1287</v>
      </c>
      <c r="BR240" s="57" t="s">
        <v>1287</v>
      </c>
      <c r="BS240" s="57" t="s">
        <v>1287</v>
      </c>
      <c r="BT240" s="57" t="s">
        <v>1287</v>
      </c>
      <c r="BU240" s="57" t="s">
        <v>1287</v>
      </c>
      <c r="BV240" s="70">
        <f>E240</f>
        <v>67</v>
      </c>
      <c r="BW240" s="71" t="str">
        <f>I240</f>
        <v>-</v>
      </c>
      <c r="BX240" s="72">
        <f>M240</f>
        <v>102</v>
      </c>
      <c r="BY240" s="71">
        <f>Q240</f>
        <v>132</v>
      </c>
      <c r="BZ240" s="72">
        <f>U240</f>
        <v>136</v>
      </c>
      <c r="CA240" s="71">
        <f>Y240</f>
        <v>172</v>
      </c>
      <c r="CB240" s="72">
        <f>AC240</f>
        <v>180</v>
      </c>
      <c r="CC240" s="71">
        <f>AG240</f>
        <v>217</v>
      </c>
      <c r="CD240" s="72">
        <f>AK240</f>
        <v>227</v>
      </c>
      <c r="CE240" s="71">
        <f>AO240</f>
        <v>268</v>
      </c>
      <c r="CF240" s="72">
        <f>AS240</f>
        <v>313</v>
      </c>
      <c r="CG240" s="71" t="str">
        <f>AW240</f>
        <v>-</v>
      </c>
      <c r="CH240" s="70">
        <f>G240</f>
        <v>98</v>
      </c>
      <c r="CI240" s="71" t="str">
        <f>K240</f>
        <v>-</v>
      </c>
      <c r="CJ240" s="72">
        <f>O240</f>
        <v>131</v>
      </c>
      <c r="CK240" s="72">
        <f>S240</f>
        <v>135</v>
      </c>
      <c r="CL240" s="72">
        <f>W240</f>
        <v>171</v>
      </c>
      <c r="CM240" s="72">
        <f>AA240</f>
        <v>179</v>
      </c>
      <c r="CN240" s="72">
        <f>AE240</f>
        <v>204</v>
      </c>
      <c r="CO240" s="72">
        <f>AI240</f>
        <v>219</v>
      </c>
      <c r="CP240" s="72">
        <f>AM240</f>
        <v>262</v>
      </c>
      <c r="CQ240" s="72">
        <f>AQ240</f>
        <v>306</v>
      </c>
      <c r="CR240" s="72">
        <f>AU240</f>
        <v>336</v>
      </c>
      <c r="CS240" s="72" t="str">
        <f>AY240</f>
        <v>-</v>
      </c>
      <c r="CT240" s="23" t="e">
        <f>M240-K240</f>
        <v>#VALUE!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30" x14ac:dyDescent="0.2">
      <c r="A241" s="3" t="str">
        <f>CONCATENATE(B241,"_",C241)</f>
        <v>oprm_mouse_6DDF</v>
      </c>
      <c r="B241" s="3" t="s">
        <v>917</v>
      </c>
      <c r="C241" s="3" t="s">
        <v>1501</v>
      </c>
      <c r="D241" s="3" t="str">
        <f>IFERROR(MID(VLOOKUP($B241,Seqs!$A:$B,2,0),E241,1),"")</f>
        <v>T</v>
      </c>
      <c r="E241" s="3">
        <v>67</v>
      </c>
      <c r="F241" s="3" t="str">
        <f>IFERROR(MID(VLOOKUP($B241,Seqs!$A:$B,2,0),G241,1),"")</f>
        <v>K</v>
      </c>
      <c r="G241" s="3">
        <v>98</v>
      </c>
      <c r="H241" s="3" t="str">
        <f>IFERROR(MID(VLOOKUP($B241,Seqs!$A:$B,2,0),I241,1),"")</f>
        <v/>
      </c>
      <c r="I241" s="23" t="s">
        <v>23</v>
      </c>
      <c r="J241" s="3" t="str">
        <f>IFERROR(MID(VLOOKUP($B241,Seqs!$A:$B,2,0),K241,1),"")</f>
        <v/>
      </c>
      <c r="K241" s="23" t="s">
        <v>23</v>
      </c>
      <c r="L241" s="3" t="str">
        <f>IFERROR(MID(VLOOKUP($B241,Seqs!$A:$B,2,0),M241,1),"")</f>
        <v>A</v>
      </c>
      <c r="M241" s="3">
        <v>102</v>
      </c>
      <c r="N241" s="3" t="str">
        <f>IFERROR(MID(VLOOKUP($B241,Seqs!$A:$B,2,0),O241,1),"")</f>
        <v>G</v>
      </c>
      <c r="O241" s="3">
        <v>131</v>
      </c>
      <c r="P241" s="3" t="str">
        <f>IFERROR(MID(VLOOKUP($B241,Seqs!$A:$B,2,0),Q241,1),"")</f>
        <v>T</v>
      </c>
      <c r="Q241" s="3">
        <v>132</v>
      </c>
      <c r="R241" s="3" t="str">
        <f>IFERROR(MID(VLOOKUP($B241,Seqs!$A:$B,2,0),S241,1),"")</f>
        <v>F</v>
      </c>
      <c r="S241" s="3">
        <v>135</v>
      </c>
      <c r="T241" s="3" t="str">
        <f>IFERROR(MID(VLOOKUP($B241,Seqs!$A:$B,2,0),U241,1),"")</f>
        <v>G</v>
      </c>
      <c r="U241" s="3">
        <v>136</v>
      </c>
      <c r="V241" s="3" t="str">
        <f>IFERROR(MID(VLOOKUP($B241,Seqs!$A:$B,2,0),W241,1),"")</f>
        <v>H</v>
      </c>
      <c r="W241" s="3">
        <v>171</v>
      </c>
      <c r="X241" s="3" t="str">
        <f>IFERROR(MID(VLOOKUP($B241,Seqs!$A:$B,2,0),Y241,1),"")</f>
        <v>P</v>
      </c>
      <c r="Y241" s="3">
        <v>172</v>
      </c>
      <c r="Z241" s="3" t="str">
        <f>IFERROR(MID(VLOOKUP($B241,Seqs!$A:$B,2,0),AA241,1),"")</f>
        <v>R</v>
      </c>
      <c r="AA241" s="3">
        <v>179</v>
      </c>
      <c r="AB241" s="3" t="str">
        <f>IFERROR(MID(VLOOKUP($B241,Seqs!$A:$B,2,0),AC241,1),"")</f>
        <v>T</v>
      </c>
      <c r="AC241" s="3">
        <v>180</v>
      </c>
      <c r="AD241" s="3" t="str">
        <f>IFERROR(MID(VLOOKUP($B241,Seqs!$A:$B,2,0),AE241,1),"")</f>
        <v>F</v>
      </c>
      <c r="AE241" s="3">
        <v>204</v>
      </c>
      <c r="AF241" s="3" t="str">
        <f>IFERROR(MID(VLOOKUP($B241,Seqs!$A:$B,2,0),AG241,1),"")</f>
        <v>C</v>
      </c>
      <c r="AG241" s="3">
        <v>217</v>
      </c>
      <c r="AH241" s="3" t="str">
        <f>IFERROR(MID(VLOOKUP($B241,Seqs!$A:$B,2,0),AI241,1),"")</f>
        <v>L</v>
      </c>
      <c r="AI241" s="3">
        <v>219</v>
      </c>
      <c r="AJ241" s="3" t="str">
        <f>IFERROR(MID(VLOOKUP($B241,Seqs!$A:$B,2,0),AK241,1),"")</f>
        <v>Y</v>
      </c>
      <c r="AK241" s="3">
        <v>227</v>
      </c>
      <c r="AL241" s="3" t="str">
        <f>IFERROR(MID(VLOOKUP($B241,Seqs!$A:$B,2,0),AM241,1),"")</f>
        <v>V</v>
      </c>
      <c r="AM241" s="3">
        <v>262</v>
      </c>
      <c r="AN241" s="3" t="str">
        <f>IFERROR(MID(VLOOKUP($B241,Seqs!$A:$B,2,0),AO241,1),"")</f>
        <v>S</v>
      </c>
      <c r="AO241" s="3">
        <v>268</v>
      </c>
      <c r="AP241" s="3" t="str">
        <f>IFERROR(MID(VLOOKUP($B241,Seqs!$A:$B,2,0),AQ241,1),"")</f>
        <v>I</v>
      </c>
      <c r="AQ241" s="3">
        <v>306</v>
      </c>
      <c r="AR241" s="3" t="str">
        <f>IFERROR(MID(VLOOKUP($B241,Seqs!$A:$B,2,0),AS241,1),"")</f>
        <v>F</v>
      </c>
      <c r="AS241" s="3">
        <v>313</v>
      </c>
      <c r="AT241" s="3" t="str">
        <f>IFERROR(MID(VLOOKUP($B241,Seqs!$A:$B,2,0),AU241,1),"")</f>
        <v>Y</v>
      </c>
      <c r="AU241" s="3">
        <v>336</v>
      </c>
      <c r="AV241" s="3" t="str">
        <f>IFERROR(MID(VLOOKUP($B241,Seqs!$A:$B,2,0),AW241,1),"")</f>
        <v/>
      </c>
      <c r="AW241" s="3" t="s">
        <v>23</v>
      </c>
      <c r="AX241" s="3" t="str">
        <f>IFERROR(MID(VLOOKUP($B241,Seqs!$A:$B,2,0),AY241,1),"")</f>
        <v/>
      </c>
      <c r="AY241" s="3" t="s">
        <v>23</v>
      </c>
      <c r="AZ241" s="77" t="str">
        <f>VLOOKUP(B241,Classification!A:D,2,0)</f>
        <v>A</v>
      </c>
      <c r="BA241" s="94" t="str">
        <f>VLOOKUP(B241,Classification!A:D,4,0)</f>
        <v>Opioid</v>
      </c>
      <c r="BB241" s="27" t="b">
        <f>AND(E241&lt;G241,OR(G241&lt;I241,I241="-"),OR(I241&lt;K241,I241="-"),OR(K241&lt;M241,K241="-"),M241&lt;O241,OR(O241&lt;Q241,Q241="-"),OR(Q241&lt;S241,Q241="-"),OR(S241&lt;U241,S241="-"),U241&lt;W241,OR(W241&lt;Y241,Y241="-"),OR(Y241&lt;AA241,Y241="-"),OR(AA241&lt;AC241,AA241="-"),AC241&lt;AE241,OR(AE241&lt;AG241,AG241="-"),OR(AG241&lt;AI241,AG241="-"),OR(AI241&lt;AK241,AI241="-"),AK241&lt;AM241,AM241&lt;AO241,AO241&lt;AQ241,AQ241&lt;AS241,AS241&lt;AU241,OR(AU241&lt;AW241,AW241="-"),OR(AW241&lt;AY241,AW241="-"))</f>
        <v>1</v>
      </c>
      <c r="BC241" s="23">
        <f>_xlfn.AGGREGATE(9,6,CH241:CS241)-_xlfn.AGGREGATE(9,6,BV241:CG241)+12</f>
        <v>239</v>
      </c>
      <c r="BD241" s="5" t="s">
        <v>23</v>
      </c>
      <c r="BE241" s="3" t="s">
        <v>1291</v>
      </c>
      <c r="BF241" s="119">
        <v>4.5</v>
      </c>
      <c r="BG241" s="49" t="s">
        <v>1422</v>
      </c>
      <c r="BH241" s="49" t="s">
        <v>1422</v>
      </c>
      <c r="BI241" s="1"/>
      <c r="BJ241" s="70" t="s">
        <v>1287</v>
      </c>
      <c r="BK241" s="57" t="s">
        <v>1287</v>
      </c>
      <c r="BL241" s="57" t="s">
        <v>1287</v>
      </c>
      <c r="BM241" s="57" t="s">
        <v>1287</v>
      </c>
      <c r="BN241" s="57" t="s">
        <v>1287</v>
      </c>
      <c r="BO241" s="57" t="s">
        <v>1287</v>
      </c>
      <c r="BP241" s="57" t="s">
        <v>1287</v>
      </c>
      <c r="BQ241" s="57" t="s">
        <v>1287</v>
      </c>
      <c r="BR241" s="57" t="s">
        <v>1287</v>
      </c>
      <c r="BS241" s="57" t="s">
        <v>1287</v>
      </c>
      <c r="BT241" s="57" t="s">
        <v>1287</v>
      </c>
      <c r="BU241" s="57" t="s">
        <v>1287</v>
      </c>
      <c r="BV241" s="70">
        <f>E241</f>
        <v>67</v>
      </c>
      <c r="BW241" s="71" t="str">
        <f>I241</f>
        <v>-</v>
      </c>
      <c r="BX241" s="72">
        <f>M241</f>
        <v>102</v>
      </c>
      <c r="BY241" s="71">
        <f>Q241</f>
        <v>132</v>
      </c>
      <c r="BZ241" s="72">
        <f>U241</f>
        <v>136</v>
      </c>
      <c r="CA241" s="71">
        <f>Y241</f>
        <v>172</v>
      </c>
      <c r="CB241" s="72">
        <f>AC241</f>
        <v>180</v>
      </c>
      <c r="CC241" s="71">
        <f>AG241</f>
        <v>217</v>
      </c>
      <c r="CD241" s="72">
        <f>AK241</f>
        <v>227</v>
      </c>
      <c r="CE241" s="71">
        <f>AO241</f>
        <v>268</v>
      </c>
      <c r="CF241" s="72">
        <f>AS241</f>
        <v>313</v>
      </c>
      <c r="CG241" s="71" t="str">
        <f>AW241</f>
        <v>-</v>
      </c>
      <c r="CH241" s="70">
        <f>G241</f>
        <v>98</v>
      </c>
      <c r="CI241" s="71" t="str">
        <f>K241</f>
        <v>-</v>
      </c>
      <c r="CJ241" s="72">
        <f>O241</f>
        <v>131</v>
      </c>
      <c r="CK241" s="72">
        <f>S241</f>
        <v>135</v>
      </c>
      <c r="CL241" s="72">
        <f>W241</f>
        <v>171</v>
      </c>
      <c r="CM241" s="72">
        <f>AA241</f>
        <v>179</v>
      </c>
      <c r="CN241" s="72">
        <f>AE241</f>
        <v>204</v>
      </c>
      <c r="CO241" s="72">
        <f>AI241</f>
        <v>219</v>
      </c>
      <c r="CP241" s="72">
        <f>AM241</f>
        <v>262</v>
      </c>
      <c r="CQ241" s="72">
        <f>AQ241</f>
        <v>306</v>
      </c>
      <c r="CR241" s="72">
        <f>AU241</f>
        <v>336</v>
      </c>
      <c r="CS241" s="72" t="str">
        <f>AY241</f>
        <v>-</v>
      </c>
      <c r="CT241" s="23" t="e">
        <f>M241-K241</f>
        <v>#VALUE!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30" x14ac:dyDescent="0.2">
      <c r="A242" s="3" t="str">
        <f t="shared" si="1061"/>
        <v>oprx_human__wt</v>
      </c>
      <c r="B242" s="3" t="s">
        <v>1173</v>
      </c>
      <c r="C242" s="3" t="s">
        <v>100</v>
      </c>
      <c r="D242" s="3" t="str">
        <f>IFERROR(MID(VLOOKUP($B242,Seqs!$A:$B,2,0),E242,1),"")</f>
        <v>L</v>
      </c>
      <c r="E242" s="3">
        <v>48</v>
      </c>
      <c r="F242" s="3" t="str">
        <f>IFERROR(MID(VLOOKUP($B242,Seqs!$A:$B,2,0),G242,1),"")</f>
        <v>H</v>
      </c>
      <c r="G242" s="3">
        <v>79</v>
      </c>
      <c r="H242" s="3" t="str">
        <f>IFERROR(MID(VLOOKUP($B242,Seqs!$A:$B,2,0),I242,1),"")</f>
        <v>T</v>
      </c>
      <c r="I242" s="23">
        <v>80</v>
      </c>
      <c r="J242" s="3" t="str">
        <f>IFERROR(MID(VLOOKUP($B242,Seqs!$A:$B,2,0),K242,1),"")</f>
        <v>K</v>
      </c>
      <c r="K242" s="23">
        <v>83</v>
      </c>
      <c r="L242" s="3" t="str">
        <f>IFERROR(MID(VLOOKUP($B242,Seqs!$A:$B,2,0),M242,1),"")</f>
        <v>T</v>
      </c>
      <c r="M242" s="3">
        <v>84</v>
      </c>
      <c r="N242" s="3" t="str">
        <f>IFERROR(MID(VLOOKUP($B242,Seqs!$A:$B,2,0),O242,1),"")</f>
        <v>L</v>
      </c>
      <c r="O242" s="3">
        <v>113</v>
      </c>
      <c r="P242" s="3" t="str">
        <f>IFERROR(MID(VLOOKUP($B242,Seqs!$A:$B,2,0),Q242,1),"")</f>
        <v>F</v>
      </c>
      <c r="Q242" s="3">
        <v>115</v>
      </c>
      <c r="R242" s="3" t="str">
        <f>IFERROR(MID(VLOOKUP($B242,Seqs!$A:$B,2,0),S242,1),"")</f>
        <v>F</v>
      </c>
      <c r="S242" s="3">
        <v>118</v>
      </c>
      <c r="T242" s="3" t="str">
        <f>IFERROR(MID(VLOOKUP($B242,Seqs!$A:$B,2,0),U242,1),"")</f>
        <v>G</v>
      </c>
      <c r="U242" s="3">
        <v>119</v>
      </c>
      <c r="V242" s="3" t="str">
        <f>IFERROR(MID(VLOOKUP($B242,Seqs!$A:$B,2,0),W242,1),"")</f>
        <v>H</v>
      </c>
      <c r="W242" s="3">
        <v>154</v>
      </c>
      <c r="X242" s="3" t="str">
        <f>IFERROR(MID(VLOOKUP($B242,Seqs!$A:$B,2,0),Y242,1),"")</f>
        <v>P</v>
      </c>
      <c r="Y242" s="3">
        <v>155</v>
      </c>
      <c r="Z242" s="3" t="str">
        <f>IFERROR(MID(VLOOKUP($B242,Seqs!$A:$B,2,0),AA242,1),"")</f>
        <v>R</v>
      </c>
      <c r="AA242" s="3">
        <v>162</v>
      </c>
      <c r="AB242" s="3" t="str">
        <f>IFERROR(MID(VLOOKUP($B242,Seqs!$A:$B,2,0),AC242,1),"")</f>
        <v>T</v>
      </c>
      <c r="AC242" s="9">
        <v>163</v>
      </c>
      <c r="AD242" s="3" t="str">
        <f>IFERROR(MID(VLOOKUP($B242,Seqs!$A:$B,2,0),AE242,1),"")</f>
        <v>G</v>
      </c>
      <c r="AE242" s="3">
        <v>189</v>
      </c>
      <c r="AF242" s="3" t="str">
        <f>IFERROR(MID(VLOOKUP($B242,Seqs!$A:$B,2,0),AG242,1),"")</f>
        <v>C</v>
      </c>
      <c r="AG242" s="3">
        <v>200</v>
      </c>
      <c r="AH242" s="3" t="str">
        <f>IFERROR(MID(VLOOKUP($B242,Seqs!$A:$B,2,0),AI242,1),"")</f>
        <v>V</v>
      </c>
      <c r="AI242" s="3">
        <v>202</v>
      </c>
      <c r="AJ242" s="3" t="str">
        <f>IFERROR(MID(VLOOKUP($B242,Seqs!$A:$B,2,0),AK242,1),"")</f>
        <v>Q</v>
      </c>
      <c r="AK242" s="3">
        <v>208</v>
      </c>
      <c r="AL242" s="3" t="str">
        <f>IFERROR(MID(VLOOKUP($B242,Seqs!$A:$B,2,0),AM242,1),"")</f>
        <v>V</v>
      </c>
      <c r="AM242" s="3">
        <v>245</v>
      </c>
      <c r="AN242" s="3" t="str">
        <f>IFERROR(MID(VLOOKUP($B242,Seqs!$A:$B,2,0),AO242,1),"")</f>
        <v>S</v>
      </c>
      <c r="AO242" s="3">
        <v>251</v>
      </c>
      <c r="AP242" s="3" t="str">
        <f>IFERROR(MID(VLOOKUP($B242,Seqs!$A:$B,2,0),AQ242,1),"")</f>
        <v>G</v>
      </c>
      <c r="AQ242" s="3">
        <v>289</v>
      </c>
      <c r="AR242" s="3" t="str">
        <f>IFERROR(MID(VLOOKUP($B242,Seqs!$A:$B,2,0),AS242,1),"")</f>
        <v>S</v>
      </c>
      <c r="AS242" s="3">
        <v>294</v>
      </c>
      <c r="AT242" s="3" t="str">
        <f>IFERROR(MID(VLOOKUP($B242,Seqs!$A:$B,2,0),AU242,1),"")</f>
        <v>L</v>
      </c>
      <c r="AU242" s="3">
        <v>322</v>
      </c>
      <c r="AV242" s="3" t="str">
        <f>IFERROR(MID(VLOOKUP($B242,Seqs!$A:$B,2,0),AW242,1),"")</f>
        <v>D</v>
      </c>
      <c r="AW242" s="3">
        <v>323</v>
      </c>
      <c r="AX242" s="3" t="str">
        <f>IFERROR(MID(VLOOKUP($B242,Seqs!$A:$B,2,0),AY242,1),"")</f>
        <v>C</v>
      </c>
      <c r="AY242" s="3">
        <v>335</v>
      </c>
      <c r="AZ242" s="77" t="str">
        <f>VLOOKUP(B242,Classification!A:D,2,0)</f>
        <v>A</v>
      </c>
      <c r="BA242" s="94" t="str">
        <f>VLOOKUP(B242,Classification!A:D,4,0)</f>
        <v>Opioid</v>
      </c>
      <c r="BB242" s="27" t="b">
        <f t="shared" si="1062"/>
        <v>1</v>
      </c>
      <c r="BC242" s="23">
        <f t="shared" si="1035"/>
        <v>263</v>
      </c>
      <c r="BD242" s="56" t="s">
        <v>23</v>
      </c>
      <c r="BE242" s="3" t="s">
        <v>23</v>
      </c>
      <c r="BF242" s="119" t="s">
        <v>23</v>
      </c>
      <c r="BG242" s="49" t="s">
        <v>1372</v>
      </c>
      <c r="BH242" s="49" t="s">
        <v>1377</v>
      </c>
      <c r="BI242" s="1"/>
      <c r="BJ242" s="70" t="s">
        <v>1287</v>
      </c>
      <c r="BK242" s="57" t="s">
        <v>1287</v>
      </c>
      <c r="BL242" s="57" t="s">
        <v>1287</v>
      </c>
      <c r="BM242" s="57" t="s">
        <v>1287</v>
      </c>
      <c r="BN242" s="57" t="s">
        <v>1287</v>
      </c>
      <c r="BO242" s="57" t="s">
        <v>1287</v>
      </c>
      <c r="BP242" s="57" t="s">
        <v>1287</v>
      </c>
      <c r="BQ242" s="57" t="s">
        <v>1287</v>
      </c>
      <c r="BR242" s="57" t="s">
        <v>1287</v>
      </c>
      <c r="BS242" s="57" t="s">
        <v>1287</v>
      </c>
      <c r="BT242" s="57" t="s">
        <v>1287</v>
      </c>
      <c r="BU242" s="57" t="s">
        <v>1287</v>
      </c>
      <c r="BV242" s="70">
        <f t="shared" si="1036"/>
        <v>48</v>
      </c>
      <c r="BW242" s="71">
        <f t="shared" si="1037"/>
        <v>80</v>
      </c>
      <c r="BX242" s="72">
        <f t="shared" si="1038"/>
        <v>84</v>
      </c>
      <c r="BY242" s="71">
        <f t="shared" si="1039"/>
        <v>115</v>
      </c>
      <c r="BZ242" s="72">
        <f t="shared" si="1040"/>
        <v>119</v>
      </c>
      <c r="CA242" s="71">
        <f t="shared" si="1041"/>
        <v>155</v>
      </c>
      <c r="CB242" s="72">
        <f t="shared" si="1042"/>
        <v>163</v>
      </c>
      <c r="CC242" s="71">
        <f t="shared" si="1043"/>
        <v>200</v>
      </c>
      <c r="CD242" s="72">
        <f t="shared" si="1044"/>
        <v>208</v>
      </c>
      <c r="CE242" s="71">
        <f t="shared" si="1045"/>
        <v>251</v>
      </c>
      <c r="CF242" s="72">
        <f t="shared" si="1046"/>
        <v>294</v>
      </c>
      <c r="CG242" s="71">
        <f t="shared" si="1047"/>
        <v>323</v>
      </c>
      <c r="CH242" s="70">
        <f t="shared" si="1048"/>
        <v>79</v>
      </c>
      <c r="CI242" s="71">
        <f t="shared" si="1049"/>
        <v>83</v>
      </c>
      <c r="CJ242" s="72">
        <f t="shared" si="1050"/>
        <v>113</v>
      </c>
      <c r="CK242" s="72">
        <f t="shared" si="1051"/>
        <v>118</v>
      </c>
      <c r="CL242" s="72">
        <f t="shared" si="1052"/>
        <v>154</v>
      </c>
      <c r="CM242" s="72">
        <f t="shared" si="1053"/>
        <v>162</v>
      </c>
      <c r="CN242" s="72">
        <f t="shared" si="1054"/>
        <v>189</v>
      </c>
      <c r="CO242" s="72">
        <f t="shared" si="1055"/>
        <v>202</v>
      </c>
      <c r="CP242" s="72">
        <f t="shared" si="1056"/>
        <v>245</v>
      </c>
      <c r="CQ242" s="72">
        <f t="shared" si="1057"/>
        <v>289</v>
      </c>
      <c r="CR242" s="72">
        <f t="shared" si="1058"/>
        <v>322</v>
      </c>
      <c r="CS242" s="72">
        <f t="shared" si="1059"/>
        <v>335</v>
      </c>
      <c r="CT242" s="23">
        <f t="shared" si="1060"/>
        <v>1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30" x14ac:dyDescent="0.2">
      <c r="A243" s="3" t="str">
        <f t="shared" si="1061"/>
        <v>oprx_human_4EA3</v>
      </c>
      <c r="B243" s="3" t="s">
        <v>1173</v>
      </c>
      <c r="C243" s="3" t="s">
        <v>67</v>
      </c>
      <c r="D243" s="3" t="str">
        <f>IFERROR(MID(VLOOKUP($B243,Seqs!$A:$B,2,0),E243,1),"")</f>
        <v>L</v>
      </c>
      <c r="E243" s="3">
        <v>48</v>
      </c>
      <c r="F243" s="3" t="str">
        <f>IFERROR(MID(VLOOKUP($B243,Seqs!$A:$B,2,0),G243,1),"")</f>
        <v>H</v>
      </c>
      <c r="G243" s="3">
        <v>79</v>
      </c>
      <c r="H243" s="3" t="str">
        <f>IFERROR(MID(VLOOKUP($B243,Seqs!$A:$B,2,0),I243,1),"")</f>
        <v/>
      </c>
      <c r="I243" s="23" t="s">
        <v>23</v>
      </c>
      <c r="J243" s="3" t="str">
        <f>IFERROR(MID(VLOOKUP($B243,Seqs!$A:$B,2,0),K243,1),"")</f>
        <v/>
      </c>
      <c r="K243" s="23" t="s">
        <v>23</v>
      </c>
      <c r="L243" s="3" t="str">
        <f>IFERROR(MID(VLOOKUP($B243,Seqs!$A:$B,2,0),M243,1),"")</f>
        <v>T</v>
      </c>
      <c r="M243" s="3">
        <v>84</v>
      </c>
      <c r="N243" s="3" t="str">
        <f>IFERROR(MID(VLOOKUP($B243,Seqs!$A:$B,2,0),O243,1),"")</f>
        <v>L</v>
      </c>
      <c r="O243" s="3">
        <v>113</v>
      </c>
      <c r="P243" s="3" t="str">
        <f>IFERROR(MID(VLOOKUP($B243,Seqs!$A:$B,2,0),Q243,1),"")</f>
        <v>F</v>
      </c>
      <c r="Q243" s="3">
        <v>115</v>
      </c>
      <c r="R243" s="3" t="str">
        <f>IFERROR(MID(VLOOKUP($B243,Seqs!$A:$B,2,0),S243,1),"")</f>
        <v>F</v>
      </c>
      <c r="S243" s="3">
        <v>118</v>
      </c>
      <c r="T243" s="3" t="str">
        <f>IFERROR(MID(VLOOKUP($B243,Seqs!$A:$B,2,0),U243,1),"")</f>
        <v>G</v>
      </c>
      <c r="U243" s="3">
        <v>119</v>
      </c>
      <c r="V243" s="3" t="str">
        <f>IFERROR(MID(VLOOKUP($B243,Seqs!$A:$B,2,0),W243,1),"")</f>
        <v>H</v>
      </c>
      <c r="W243" s="3">
        <v>154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T</v>
      </c>
      <c r="AC243" s="9">
        <v>163</v>
      </c>
      <c r="AD243" s="3" t="str">
        <f>IFERROR(MID(VLOOKUP($B243,Seqs!$A:$B,2,0),AE243,1),"")</f>
        <v>G</v>
      </c>
      <c r="AE243" s="3">
        <v>189</v>
      </c>
      <c r="AF243" s="3" t="str">
        <f>IFERROR(MID(VLOOKUP($B243,Seqs!$A:$B,2,0),AG243,1),"")</f>
        <v>C</v>
      </c>
      <c r="AG243" s="3">
        <v>200</v>
      </c>
      <c r="AH243" s="3" t="str">
        <f>IFERROR(MID(VLOOKUP($B243,Seqs!$A:$B,2,0),AI243,1),"")</f>
        <v>V</v>
      </c>
      <c r="AI243" s="3">
        <v>202</v>
      </c>
      <c r="AJ243" s="3" t="str">
        <f>IFERROR(MID(VLOOKUP($B243,Seqs!$A:$B,2,0),AK243,1),"")</f>
        <v>Q</v>
      </c>
      <c r="AK243" s="3">
        <v>208</v>
      </c>
      <c r="AL243" s="3" t="str">
        <f>IFERROR(MID(VLOOKUP($B243,Seqs!$A:$B,2,0),AM243,1),"")</f>
        <v>L</v>
      </c>
      <c r="AM243" s="3">
        <v>242</v>
      </c>
      <c r="AN243" s="3" t="str">
        <f>IFERROR(MID(VLOOKUP($B243,Seqs!$A:$B,2,0),AO243,1),"")</f>
        <v>S</v>
      </c>
      <c r="AO243" s="3">
        <v>251</v>
      </c>
      <c r="AP243" s="3" t="str">
        <f>IFERROR(MID(VLOOKUP($B243,Seqs!$A:$B,2,0),AQ243,1),"")</f>
        <v>G</v>
      </c>
      <c r="AQ243" s="3">
        <v>289</v>
      </c>
      <c r="AR243" s="3" t="str">
        <f>IFERROR(MID(VLOOKUP($B243,Seqs!$A:$B,2,0),AS243,1),"")</f>
        <v>S</v>
      </c>
      <c r="AS243" s="3">
        <v>294</v>
      </c>
      <c r="AT243" s="3" t="str">
        <f>IFERROR(MID(VLOOKUP($B243,Seqs!$A:$B,2,0),AU243,1),"")</f>
        <v>L</v>
      </c>
      <c r="AU243" s="3">
        <v>322</v>
      </c>
      <c r="AV243" s="3" t="str">
        <f>IFERROR(MID(VLOOKUP($B243,Seqs!$A:$B,2,0),AW243,1),"")</f>
        <v>D</v>
      </c>
      <c r="AW243" s="3">
        <v>323</v>
      </c>
      <c r="AX243" s="3" t="str">
        <f>IFERROR(MID(VLOOKUP($B243,Seqs!$A:$B,2,0),AY243,1),"")</f>
        <v>R</v>
      </c>
      <c r="AY243" s="3">
        <v>331</v>
      </c>
      <c r="AZ243" s="77" t="str">
        <f>VLOOKUP(B243,Classification!A:D,2,0)</f>
        <v>A</v>
      </c>
      <c r="BA243" s="94" t="str">
        <f>VLOOKUP(B243,Classification!A:D,4,0)</f>
        <v>Opioid</v>
      </c>
      <c r="BB243" s="27" t="b">
        <f t="shared" si="1062"/>
        <v>1</v>
      </c>
      <c r="BC243" s="23">
        <f t="shared" si="1035"/>
        <v>246</v>
      </c>
      <c r="BD243" s="5" t="s">
        <v>23</v>
      </c>
      <c r="BE243" s="3" t="s">
        <v>1374</v>
      </c>
      <c r="BF243" s="119">
        <v>3.01</v>
      </c>
      <c r="BG243" s="49" t="s">
        <v>1377</v>
      </c>
      <c r="BH243" s="49" t="s">
        <v>1377</v>
      </c>
      <c r="BI243" s="1"/>
      <c r="BJ243" s="70" t="s">
        <v>1287</v>
      </c>
      <c r="BK243" s="57" t="s">
        <v>1287</v>
      </c>
      <c r="BL243" s="57" t="s">
        <v>1287</v>
      </c>
      <c r="BM243" s="57" t="s">
        <v>1287</v>
      </c>
      <c r="BN243" s="57" t="s">
        <v>1287</v>
      </c>
      <c r="BO243" s="57" t="s">
        <v>1287</v>
      </c>
      <c r="BP243" s="57" t="s">
        <v>1287</v>
      </c>
      <c r="BQ243" s="57" t="s">
        <v>1287</v>
      </c>
      <c r="BR243" s="57" t="s">
        <v>1287</v>
      </c>
      <c r="BS243" s="57" t="s">
        <v>1287</v>
      </c>
      <c r="BT243" s="57" t="s">
        <v>1287</v>
      </c>
      <c r="BU243" s="57" t="s">
        <v>1287</v>
      </c>
      <c r="BV243" s="70">
        <f t="shared" si="1036"/>
        <v>48</v>
      </c>
      <c r="BW243" s="71" t="str">
        <f t="shared" si="1037"/>
        <v>-</v>
      </c>
      <c r="BX243" s="72">
        <f t="shared" si="1038"/>
        <v>84</v>
      </c>
      <c r="BY243" s="71">
        <f t="shared" si="1039"/>
        <v>115</v>
      </c>
      <c r="BZ243" s="72">
        <f t="shared" si="1040"/>
        <v>119</v>
      </c>
      <c r="CA243" s="71" t="str">
        <f t="shared" si="1041"/>
        <v>-</v>
      </c>
      <c r="CB243" s="72">
        <f t="shared" si="1042"/>
        <v>163</v>
      </c>
      <c r="CC243" s="71">
        <f t="shared" si="1043"/>
        <v>200</v>
      </c>
      <c r="CD243" s="72">
        <f t="shared" si="1044"/>
        <v>208</v>
      </c>
      <c r="CE243" s="71">
        <f t="shared" si="1045"/>
        <v>251</v>
      </c>
      <c r="CF243" s="72">
        <f t="shared" si="1046"/>
        <v>294</v>
      </c>
      <c r="CG243" s="71">
        <f t="shared" si="1047"/>
        <v>323</v>
      </c>
      <c r="CH243" s="70">
        <f t="shared" si="1048"/>
        <v>79</v>
      </c>
      <c r="CI243" s="71" t="str">
        <f t="shared" si="1049"/>
        <v>-</v>
      </c>
      <c r="CJ243" s="72">
        <f t="shared" si="1050"/>
        <v>113</v>
      </c>
      <c r="CK243" s="72">
        <f t="shared" si="1051"/>
        <v>118</v>
      </c>
      <c r="CL243" s="72">
        <f t="shared" si="1052"/>
        <v>154</v>
      </c>
      <c r="CM243" s="72" t="str">
        <f t="shared" si="1053"/>
        <v>-</v>
      </c>
      <c r="CN243" s="72">
        <f t="shared" si="1054"/>
        <v>189</v>
      </c>
      <c r="CO243" s="72">
        <f t="shared" si="1055"/>
        <v>202</v>
      </c>
      <c r="CP243" s="72">
        <f t="shared" si="1056"/>
        <v>242</v>
      </c>
      <c r="CQ243" s="72">
        <f t="shared" si="1057"/>
        <v>289</v>
      </c>
      <c r="CR243" s="72">
        <f t="shared" si="1058"/>
        <v>322</v>
      </c>
      <c r="CS243" s="72">
        <f t="shared" si="1059"/>
        <v>331</v>
      </c>
      <c r="CT243" s="23" t="e">
        <f t="shared" si="1060"/>
        <v>#VALUE!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30" x14ac:dyDescent="0.2">
      <c r="A244" s="3" t="str">
        <f t="shared" si="1061"/>
        <v>oprx_human_5DHG</v>
      </c>
      <c r="B244" s="3" t="s">
        <v>1173</v>
      </c>
      <c r="C244" s="3" t="s">
        <v>1355</v>
      </c>
      <c r="D244" s="3" t="str">
        <f>IFERROR(MID(VLOOKUP($B244,Seqs!$A:$B,2,0),E244,1),"")</f>
        <v>L</v>
      </c>
      <c r="E244" s="3">
        <v>48</v>
      </c>
      <c r="F244" s="3" t="str">
        <f>IFERROR(MID(VLOOKUP($B244,Seqs!$A:$B,2,0),G244,1),"")</f>
        <v>H</v>
      </c>
      <c r="G244" s="3">
        <v>79</v>
      </c>
      <c r="H244" s="3" t="str">
        <f>IFERROR(MID(VLOOKUP($B244,Seqs!$A:$B,2,0),I244,1),"")</f>
        <v/>
      </c>
      <c r="I244" s="23" t="s">
        <v>23</v>
      </c>
      <c r="J244" s="3" t="str">
        <f>IFERROR(MID(VLOOKUP($B244,Seqs!$A:$B,2,0),K244,1),"")</f>
        <v/>
      </c>
      <c r="K244" s="23" t="s">
        <v>23</v>
      </c>
      <c r="L244" s="3" t="str">
        <f>IFERROR(MID(VLOOKUP($B244,Seqs!$A:$B,2,0),M244,1),"")</f>
        <v>T</v>
      </c>
      <c r="M244" s="3">
        <v>84</v>
      </c>
      <c r="N244" s="3" t="str">
        <f>IFERROR(MID(VLOOKUP($B244,Seqs!$A:$B,2,0),O244,1),"")</f>
        <v>L</v>
      </c>
      <c r="O244" s="3">
        <v>113</v>
      </c>
      <c r="P244" s="3" t="str">
        <f>IFERROR(MID(VLOOKUP($B244,Seqs!$A:$B,2,0),Q244,1),"")</f>
        <v>F</v>
      </c>
      <c r="Q244" s="3">
        <v>115</v>
      </c>
      <c r="R244" s="3" t="str">
        <f>IFERROR(MID(VLOOKUP($B244,Seqs!$A:$B,2,0),S244,1),"")</f>
        <v>F</v>
      </c>
      <c r="S244" s="3">
        <v>118</v>
      </c>
      <c r="T244" s="3" t="str">
        <f>IFERROR(MID(VLOOKUP($B244,Seqs!$A:$B,2,0),U244,1),"")</f>
        <v>G</v>
      </c>
      <c r="U244" s="3">
        <v>119</v>
      </c>
      <c r="V244" s="3" t="str">
        <f>IFERROR(MID(VLOOKUP($B244,Seqs!$A:$B,2,0),W244,1),"")</f>
        <v>H</v>
      </c>
      <c r="W244" s="3">
        <v>154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T</v>
      </c>
      <c r="AC244" s="9">
        <v>163</v>
      </c>
      <c r="AD244" s="3" t="str">
        <f>IFERROR(MID(VLOOKUP($B244,Seqs!$A:$B,2,0),AE244,1),"")</f>
        <v>G</v>
      </c>
      <c r="AE244" s="3">
        <v>189</v>
      </c>
      <c r="AF244" s="3" t="str">
        <f>IFERROR(MID(VLOOKUP($B244,Seqs!$A:$B,2,0),AG244,1),"")</f>
        <v>C</v>
      </c>
      <c r="AG244" s="3">
        <v>200</v>
      </c>
      <c r="AH244" s="3" t="str">
        <f>IFERROR(MID(VLOOKUP($B244,Seqs!$A:$B,2,0),AI244,1),"")</f>
        <v>V</v>
      </c>
      <c r="AI244" s="3">
        <v>202</v>
      </c>
      <c r="AJ244" s="3" t="str">
        <f>IFERROR(MID(VLOOKUP($B244,Seqs!$A:$B,2,0),AK244,1),"")</f>
        <v>Q</v>
      </c>
      <c r="AK244" s="3">
        <v>208</v>
      </c>
      <c r="AL244" s="3" t="str">
        <f>IFERROR(MID(VLOOKUP($B244,Seqs!$A:$B,2,0),AM244,1),"")</f>
        <v>L</v>
      </c>
      <c r="AM244" s="3">
        <v>242</v>
      </c>
      <c r="AN244" s="3" t="str">
        <f>IFERROR(MID(VLOOKUP($B244,Seqs!$A:$B,2,0),AO244,1),"")</f>
        <v>S</v>
      </c>
      <c r="AO244" s="3">
        <v>251</v>
      </c>
      <c r="AP244" s="3" t="str">
        <f>IFERROR(MID(VLOOKUP($B244,Seqs!$A:$B,2,0),AQ244,1),"")</f>
        <v>G</v>
      </c>
      <c r="AQ244" s="3">
        <v>289</v>
      </c>
      <c r="AR244" s="3" t="str">
        <f>IFERROR(MID(VLOOKUP($B244,Seqs!$A:$B,2,0),AS244,1),"")</f>
        <v>S</v>
      </c>
      <c r="AS244" s="3">
        <v>294</v>
      </c>
      <c r="AT244" s="3" t="str">
        <f>IFERROR(MID(VLOOKUP($B244,Seqs!$A:$B,2,0),AU244,1),"")</f>
        <v>L</v>
      </c>
      <c r="AU244" s="3">
        <v>322</v>
      </c>
      <c r="AV244" s="3" t="str">
        <f>IFERROR(MID(VLOOKUP($B244,Seqs!$A:$B,2,0),AW244,1),"")</f>
        <v>D</v>
      </c>
      <c r="AW244" s="3">
        <v>323</v>
      </c>
      <c r="AX244" s="3" t="str">
        <f>IFERROR(MID(VLOOKUP($B244,Seqs!$A:$B,2,0),AY244,1),"")</f>
        <v>F</v>
      </c>
      <c r="AY244" s="3">
        <v>333</v>
      </c>
      <c r="AZ244" s="77" t="str">
        <f>VLOOKUP(B244,Classification!A:D,2,0)</f>
        <v>A</v>
      </c>
      <c r="BA244" s="94" t="str">
        <f>VLOOKUP(B244,Classification!A:D,4,0)</f>
        <v>Opioid</v>
      </c>
      <c r="BB244" s="27" t="b">
        <f t="shared" si="1062"/>
        <v>1</v>
      </c>
      <c r="BC244" s="23">
        <f t="shared" si="1035"/>
        <v>248</v>
      </c>
      <c r="BD244" s="16" t="s">
        <v>1376</v>
      </c>
      <c r="BE244" s="3" t="s">
        <v>1374</v>
      </c>
      <c r="BF244" s="119">
        <v>3</v>
      </c>
      <c r="BG244" s="49" t="s">
        <v>1281</v>
      </c>
      <c r="BH244" s="49" t="s">
        <v>1377</v>
      </c>
      <c r="BI244" s="1"/>
      <c r="BJ244" s="70" t="s">
        <v>1287</v>
      </c>
      <c r="BK244" s="57" t="s">
        <v>1287</v>
      </c>
      <c r="BL244" s="57" t="s">
        <v>1287</v>
      </c>
      <c r="BM244" s="57" t="s">
        <v>1287</v>
      </c>
      <c r="BN244" s="57" t="s">
        <v>1287</v>
      </c>
      <c r="BO244" s="57" t="s">
        <v>1287</v>
      </c>
      <c r="BP244" s="57" t="s">
        <v>1287</v>
      </c>
      <c r="BQ244" s="57" t="s">
        <v>1287</v>
      </c>
      <c r="BR244" s="57" t="s">
        <v>1287</v>
      </c>
      <c r="BS244" s="57" t="s">
        <v>1287</v>
      </c>
      <c r="BT244" s="57" t="s">
        <v>1287</v>
      </c>
      <c r="BU244" s="57" t="s">
        <v>1287</v>
      </c>
      <c r="BV244" s="70">
        <f t="shared" si="1036"/>
        <v>48</v>
      </c>
      <c r="BW244" s="71" t="str">
        <f t="shared" si="1037"/>
        <v>-</v>
      </c>
      <c r="BX244" s="72">
        <f t="shared" si="1038"/>
        <v>84</v>
      </c>
      <c r="BY244" s="71">
        <f t="shared" si="1039"/>
        <v>115</v>
      </c>
      <c r="BZ244" s="72">
        <f t="shared" si="1040"/>
        <v>119</v>
      </c>
      <c r="CA244" s="71" t="str">
        <f t="shared" si="1041"/>
        <v>-</v>
      </c>
      <c r="CB244" s="72">
        <f t="shared" si="1042"/>
        <v>163</v>
      </c>
      <c r="CC244" s="71">
        <f t="shared" si="1043"/>
        <v>200</v>
      </c>
      <c r="CD244" s="72">
        <f t="shared" si="1044"/>
        <v>208</v>
      </c>
      <c r="CE244" s="71">
        <f t="shared" si="1045"/>
        <v>251</v>
      </c>
      <c r="CF244" s="72">
        <f t="shared" si="1046"/>
        <v>294</v>
      </c>
      <c r="CG244" s="71">
        <f t="shared" si="1047"/>
        <v>323</v>
      </c>
      <c r="CH244" s="70">
        <f t="shared" si="1048"/>
        <v>79</v>
      </c>
      <c r="CI244" s="71" t="str">
        <f t="shared" si="1049"/>
        <v>-</v>
      </c>
      <c r="CJ244" s="72">
        <f t="shared" si="1050"/>
        <v>113</v>
      </c>
      <c r="CK244" s="72">
        <f t="shared" si="1051"/>
        <v>118</v>
      </c>
      <c r="CL244" s="72">
        <f t="shared" si="1052"/>
        <v>154</v>
      </c>
      <c r="CM244" s="72" t="str">
        <f t="shared" si="1053"/>
        <v>-</v>
      </c>
      <c r="CN244" s="72">
        <f t="shared" si="1054"/>
        <v>189</v>
      </c>
      <c r="CO244" s="72">
        <f t="shared" si="1055"/>
        <v>202</v>
      </c>
      <c r="CP244" s="72">
        <f t="shared" si="1056"/>
        <v>242</v>
      </c>
      <c r="CQ244" s="72">
        <f t="shared" si="1057"/>
        <v>289</v>
      </c>
      <c r="CR244" s="72">
        <f t="shared" si="1058"/>
        <v>322</v>
      </c>
      <c r="CS244" s="72">
        <f t="shared" si="1059"/>
        <v>333</v>
      </c>
      <c r="CT244" s="23" t="e">
        <f t="shared" si="1060"/>
        <v>#VALUE!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30" x14ac:dyDescent="0.2">
      <c r="A245" s="3" t="str">
        <f t="shared" si="1061"/>
        <v>oprx_human_5DHH</v>
      </c>
      <c r="B245" s="3" t="s">
        <v>1173</v>
      </c>
      <c r="C245" s="3" t="s">
        <v>1356</v>
      </c>
      <c r="D245" s="3" t="str">
        <f>IFERROR(MID(VLOOKUP($B245,Seqs!$A:$B,2,0),E245,1),"")</f>
        <v>L</v>
      </c>
      <c r="E245" s="3">
        <v>48</v>
      </c>
      <c r="F245" s="3" t="str">
        <f>IFERROR(MID(VLOOKUP($B245,Seqs!$A:$B,2,0),G245,1),"")</f>
        <v>H</v>
      </c>
      <c r="G245" s="3">
        <v>79</v>
      </c>
      <c r="H245" s="3" t="str">
        <f>IFERROR(MID(VLOOKUP($B245,Seqs!$A:$B,2,0),I245,1),"")</f>
        <v/>
      </c>
      <c r="I245" s="23" t="s">
        <v>23</v>
      </c>
      <c r="J245" s="3" t="str">
        <f>IFERROR(MID(VLOOKUP($B245,Seqs!$A:$B,2,0),K245,1),"")</f>
        <v/>
      </c>
      <c r="K245" s="23" t="s">
        <v>23</v>
      </c>
      <c r="L245" s="3" t="str">
        <f>IFERROR(MID(VLOOKUP($B245,Seqs!$A:$B,2,0),M245,1),"")</f>
        <v>T</v>
      </c>
      <c r="M245" s="3">
        <v>84</v>
      </c>
      <c r="N245" s="3" t="str">
        <f>IFERROR(MID(VLOOKUP($B245,Seqs!$A:$B,2,0),O245,1),"")</f>
        <v>L</v>
      </c>
      <c r="O245" s="3">
        <v>113</v>
      </c>
      <c r="P245" s="3" t="str">
        <f>IFERROR(MID(VLOOKUP($B245,Seqs!$A:$B,2,0),Q245,1),"")</f>
        <v>F</v>
      </c>
      <c r="Q245" s="3">
        <v>115</v>
      </c>
      <c r="R245" s="3" t="str">
        <f>IFERROR(MID(VLOOKUP($B245,Seqs!$A:$B,2,0),S245,1),"")</f>
        <v>F</v>
      </c>
      <c r="S245" s="3">
        <v>118</v>
      </c>
      <c r="T245" s="3" t="str">
        <f>IFERROR(MID(VLOOKUP($B245,Seqs!$A:$B,2,0),U245,1),"")</f>
        <v>G</v>
      </c>
      <c r="U245" s="3">
        <v>119</v>
      </c>
      <c r="V245" s="3" t="str">
        <f>IFERROR(MID(VLOOKUP($B245,Seqs!$A:$B,2,0),W245,1),"")</f>
        <v>H</v>
      </c>
      <c r="W245" s="3">
        <v>154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T</v>
      </c>
      <c r="AC245" s="9">
        <v>163</v>
      </c>
      <c r="AD245" s="3" t="str">
        <f>IFERROR(MID(VLOOKUP($B245,Seqs!$A:$B,2,0),AE245,1),"")</f>
        <v>G</v>
      </c>
      <c r="AE245" s="3">
        <v>189</v>
      </c>
      <c r="AF245" s="3" t="str">
        <f>IFERROR(MID(VLOOKUP($B245,Seqs!$A:$B,2,0),AG245,1),"")</f>
        <v>C</v>
      </c>
      <c r="AG245" s="3">
        <v>200</v>
      </c>
      <c r="AH245" s="3" t="str">
        <f>IFERROR(MID(VLOOKUP($B245,Seqs!$A:$B,2,0),AI245,1),"")</f>
        <v>V</v>
      </c>
      <c r="AI245" s="3">
        <v>202</v>
      </c>
      <c r="AJ245" s="3" t="str">
        <f>IFERROR(MID(VLOOKUP($B245,Seqs!$A:$B,2,0),AK245,1),"")</f>
        <v>Q</v>
      </c>
      <c r="AK245" s="3">
        <v>208</v>
      </c>
      <c r="AL245" s="3" t="str">
        <f>IFERROR(MID(VLOOKUP($B245,Seqs!$A:$B,2,0),AM245,1),"")</f>
        <v>L</v>
      </c>
      <c r="AM245" s="3">
        <v>242</v>
      </c>
      <c r="AN245" s="3" t="str">
        <f>IFERROR(MID(VLOOKUP($B245,Seqs!$A:$B,2,0),AO245,1),"")</f>
        <v>S</v>
      </c>
      <c r="AO245" s="3">
        <v>251</v>
      </c>
      <c r="AP245" s="3" t="str">
        <f>IFERROR(MID(VLOOKUP($B245,Seqs!$A:$B,2,0),AQ245,1),"")</f>
        <v>G</v>
      </c>
      <c r="AQ245" s="3">
        <v>289</v>
      </c>
      <c r="AR245" s="3" t="str">
        <f>IFERROR(MID(VLOOKUP($B245,Seqs!$A:$B,2,0),AS245,1),"")</f>
        <v>S</v>
      </c>
      <c r="AS245" s="3">
        <v>294</v>
      </c>
      <c r="AT245" s="3" t="str">
        <f>IFERROR(MID(VLOOKUP($B245,Seqs!$A:$B,2,0),AU245,1),"")</f>
        <v>L</v>
      </c>
      <c r="AU245" s="3">
        <v>322</v>
      </c>
      <c r="AV245" s="3" t="str">
        <f>IFERROR(MID(VLOOKUP($B245,Seqs!$A:$B,2,0),AW245,1),"")</f>
        <v>D</v>
      </c>
      <c r="AW245" s="3">
        <v>323</v>
      </c>
      <c r="AX245" s="3" t="str">
        <f>IFERROR(MID(VLOOKUP($B245,Seqs!$A:$B,2,0),AY245,1),"")</f>
        <v>R</v>
      </c>
      <c r="AY245" s="3">
        <v>331</v>
      </c>
      <c r="AZ245" s="77" t="str">
        <f>VLOOKUP(B245,Classification!A:D,2,0)</f>
        <v>A</v>
      </c>
      <c r="BA245" s="94" t="str">
        <f>VLOOKUP(B245,Classification!A:D,4,0)</f>
        <v>Opioid</v>
      </c>
      <c r="BB245" s="27" t="b">
        <f t="shared" si="1062"/>
        <v>1</v>
      </c>
      <c r="BC245" s="23">
        <f t="shared" si="1035"/>
        <v>246</v>
      </c>
      <c r="BD245" s="5" t="s">
        <v>23</v>
      </c>
      <c r="BE245" s="3" t="s">
        <v>1374</v>
      </c>
      <c r="BF245" s="119">
        <v>3</v>
      </c>
      <c r="BG245" s="49" t="s">
        <v>1</v>
      </c>
      <c r="BH245" s="49" t="s">
        <v>1377</v>
      </c>
      <c r="BI245" s="1" t="s">
        <v>1360</v>
      </c>
      <c r="BJ245" s="70" t="s">
        <v>1287</v>
      </c>
      <c r="BK245" s="57" t="s">
        <v>1287</v>
      </c>
      <c r="BL245" s="57" t="s">
        <v>1287</v>
      </c>
      <c r="BM245" s="57" t="s">
        <v>1287</v>
      </c>
      <c r="BN245" s="57" t="s">
        <v>1287</v>
      </c>
      <c r="BO245" s="57" t="s">
        <v>1287</v>
      </c>
      <c r="BP245" s="57" t="s">
        <v>1287</v>
      </c>
      <c r="BQ245" s="57" t="s">
        <v>1287</v>
      </c>
      <c r="BR245" s="57" t="s">
        <v>1287</v>
      </c>
      <c r="BS245" s="57" t="s">
        <v>1287</v>
      </c>
      <c r="BT245" s="57" t="s">
        <v>1287</v>
      </c>
      <c r="BU245" s="57" t="s">
        <v>1287</v>
      </c>
      <c r="BV245" s="70">
        <f t="shared" si="1036"/>
        <v>48</v>
      </c>
      <c r="BW245" s="71" t="str">
        <f t="shared" si="1037"/>
        <v>-</v>
      </c>
      <c r="BX245" s="72">
        <f t="shared" si="1038"/>
        <v>84</v>
      </c>
      <c r="BY245" s="71">
        <f t="shared" si="1039"/>
        <v>115</v>
      </c>
      <c r="BZ245" s="72">
        <f t="shared" si="1040"/>
        <v>119</v>
      </c>
      <c r="CA245" s="71" t="str">
        <f t="shared" si="1041"/>
        <v>-</v>
      </c>
      <c r="CB245" s="72">
        <f t="shared" si="1042"/>
        <v>163</v>
      </c>
      <c r="CC245" s="71">
        <f t="shared" si="1043"/>
        <v>200</v>
      </c>
      <c r="CD245" s="72">
        <f t="shared" si="1044"/>
        <v>208</v>
      </c>
      <c r="CE245" s="71">
        <f t="shared" si="1045"/>
        <v>251</v>
      </c>
      <c r="CF245" s="72">
        <f t="shared" si="1046"/>
        <v>294</v>
      </c>
      <c r="CG245" s="71">
        <f t="shared" si="1047"/>
        <v>323</v>
      </c>
      <c r="CH245" s="70">
        <f t="shared" si="1048"/>
        <v>79</v>
      </c>
      <c r="CI245" s="71" t="str">
        <f t="shared" si="1049"/>
        <v>-</v>
      </c>
      <c r="CJ245" s="72">
        <f t="shared" si="1050"/>
        <v>113</v>
      </c>
      <c r="CK245" s="72">
        <f t="shared" si="1051"/>
        <v>118</v>
      </c>
      <c r="CL245" s="72">
        <f t="shared" si="1052"/>
        <v>154</v>
      </c>
      <c r="CM245" s="72" t="str">
        <f t="shared" si="1053"/>
        <v>-</v>
      </c>
      <c r="CN245" s="72">
        <f t="shared" si="1054"/>
        <v>189</v>
      </c>
      <c r="CO245" s="72">
        <f t="shared" si="1055"/>
        <v>202</v>
      </c>
      <c r="CP245" s="72">
        <f t="shared" si="1056"/>
        <v>242</v>
      </c>
      <c r="CQ245" s="72">
        <f t="shared" si="1057"/>
        <v>289</v>
      </c>
      <c r="CR245" s="72">
        <f t="shared" si="1058"/>
        <v>322</v>
      </c>
      <c r="CS245" s="72">
        <f t="shared" si="1059"/>
        <v>331</v>
      </c>
      <c r="CT245" s="23" t="e">
        <f t="shared" si="1060"/>
        <v>#VALUE!</v>
      </c>
    </row>
    <row r="246" spans="1:1030" x14ac:dyDescent="0.2">
      <c r="A246" s="3" t="str">
        <f t="shared" si="1061"/>
        <v>opsd_bovin__wt</v>
      </c>
      <c r="B246" s="3" t="s">
        <v>919</v>
      </c>
      <c r="C246" s="3" t="s">
        <v>100</v>
      </c>
      <c r="D246" s="3" t="str">
        <f>IFERROR(MID(VLOOKUP($B246,Seqs!$A:$B,2,0),E246,1),"")</f>
        <v>E</v>
      </c>
      <c r="E246" s="105">
        <v>33</v>
      </c>
      <c r="F246" s="3" t="str">
        <f>IFERROR(MID(VLOOKUP($B246,Seqs!$A:$B,2,0),G246,1),"")</f>
        <v>H</v>
      </c>
      <c r="G246" s="3">
        <v>65</v>
      </c>
      <c r="H246" s="3" t="str">
        <f>IFERROR(MID(VLOOKUP($B246,Seqs!$A:$B,2,0),I246,1),"")</f>
        <v>K</v>
      </c>
      <c r="I246" s="23">
        <v>66</v>
      </c>
      <c r="J246" s="3" t="str">
        <f>IFERROR(MID(VLOOKUP($B246,Seqs!$A:$B,2,0),K246,1),"")</f>
        <v>R</v>
      </c>
      <c r="K246" s="23">
        <v>69</v>
      </c>
      <c r="L246" s="3" t="str">
        <f>IFERROR(MID(VLOOKUP($B246,Seqs!$A:$B,2,0),M246,1),"")</f>
        <v>T</v>
      </c>
      <c r="M246" s="3">
        <v>70</v>
      </c>
      <c r="N246" s="3" t="str">
        <f>IFERROR(MID(VLOOKUP($B246,Seqs!$A:$B,2,0),O246,1),"")</f>
        <v>H</v>
      </c>
      <c r="O246" s="3">
        <v>100</v>
      </c>
      <c r="P246" s="3" t="str">
        <f>IFERROR(MID(VLOOKUP($B246,Seqs!$A:$B,2,0),Q246,1),"")</f>
        <v>Y</v>
      </c>
      <c r="Q246" s="3">
        <v>102</v>
      </c>
      <c r="R246" s="3" t="str">
        <f>IFERROR(MID(VLOOKUP($B246,Seqs!$A:$B,2,0),S246,1),"")</f>
        <v>F</v>
      </c>
      <c r="S246" s="3">
        <v>105</v>
      </c>
      <c r="T246" s="3" t="str">
        <f>IFERROR(MID(VLOOKUP($B246,Seqs!$A:$B,2,0),U246,1),"")</f>
        <v>G</v>
      </c>
      <c r="U246" s="3">
        <v>106</v>
      </c>
      <c r="V246" s="3" t="str">
        <f>IFERROR(MID(VLOOKUP($B246,Seqs!$A:$B,2,0),W246,1),"")</f>
        <v>K</v>
      </c>
      <c r="W246" s="3">
        <v>141</v>
      </c>
      <c r="X246" s="3" t="str">
        <f>IFERROR(MID(VLOOKUP($B246,Seqs!$A:$B,2,0),Y246,1),"")</f>
        <v>P</v>
      </c>
      <c r="Y246" s="3">
        <v>142</v>
      </c>
      <c r="Z246" s="3" t="str">
        <f>IFERROR(MID(VLOOKUP($B246,Seqs!$A:$B,2,0),AA246,1),"")</f>
        <v>F</v>
      </c>
      <c r="AA246" s="105">
        <v>148</v>
      </c>
      <c r="AB246" s="3" t="str">
        <f>IFERROR(MID(VLOOKUP($B246,Seqs!$A:$B,2,0),AC246,1),"")</f>
        <v>G</v>
      </c>
      <c r="AC246" s="105">
        <v>149</v>
      </c>
      <c r="AD246" s="3" t="str">
        <f>IFERROR(MID(VLOOKUP($B246,Seqs!$A:$B,2,0),AE246,1),"")</f>
        <v>V</v>
      </c>
      <c r="AE246" s="3">
        <v>173</v>
      </c>
      <c r="AF246" s="3" t="str">
        <f>IFERROR(MID(VLOOKUP($B246,Seqs!$A:$B,2,0),AG246,1),"")</f>
        <v>C</v>
      </c>
      <c r="AG246" s="3">
        <v>187</v>
      </c>
      <c r="AH246" s="3" t="str">
        <f>IFERROR(MID(VLOOKUP($B246,Seqs!$A:$B,2,0),AI246,1),"")</f>
        <v>I</v>
      </c>
      <c r="AI246" s="3">
        <v>189</v>
      </c>
      <c r="AJ246" s="3" t="str">
        <f>IFERROR(MID(VLOOKUP($B246,Seqs!$A:$B,2,0),AK246,1),"")</f>
        <v>N</v>
      </c>
      <c r="AK246" s="3">
        <v>199</v>
      </c>
      <c r="AL246" s="3" t="str">
        <f>IFERROR(MID(VLOOKUP($B246,Seqs!$A:$B,2,0),AM246,1),"")</f>
        <v>Q</v>
      </c>
      <c r="AM246" s="3">
        <v>237</v>
      </c>
      <c r="AN246" s="3" t="str">
        <f>IFERROR(MID(VLOOKUP($B246,Seqs!$A:$B,2,0),AO246,1),"")</f>
        <v>S</v>
      </c>
      <c r="AO246" s="105">
        <v>240</v>
      </c>
      <c r="AP246" s="3" t="str">
        <f>IFERROR(MID(VLOOKUP($B246,Seqs!$A:$B,2,0),AQ246,1),"")</f>
        <v>H</v>
      </c>
      <c r="AQ246" s="3">
        <v>278</v>
      </c>
      <c r="AR246" s="3" t="str">
        <f>IFERROR(MID(VLOOKUP($B246,Seqs!$A:$B,2,0),AS246,1),"")</f>
        <v>G</v>
      </c>
      <c r="AS246" s="3">
        <v>284</v>
      </c>
      <c r="AT246" s="3" t="str">
        <f>IFERROR(MID(VLOOKUP($B246,Seqs!$A:$B,2,0),AU246,1),"")</f>
        <v>M</v>
      </c>
      <c r="AU246" s="3">
        <v>309</v>
      </c>
      <c r="AV246" s="3" t="str">
        <f>IFERROR(MID(VLOOKUP($B246,Seqs!$A:$B,2,0),AW246,1),"")</f>
        <v>N</v>
      </c>
      <c r="AW246" s="3">
        <v>310</v>
      </c>
      <c r="AX246" s="3" t="str">
        <f>IFERROR(MID(VLOOKUP($B246,Seqs!$A:$B,2,0),AY246,1),"")</f>
        <v>C</v>
      </c>
      <c r="AY246" s="3">
        <v>322</v>
      </c>
      <c r="AZ246" s="77" t="str">
        <f>VLOOKUP(B246,Classification!A:D,2,0)</f>
        <v>A</v>
      </c>
      <c r="BA246" s="94" t="str">
        <f>VLOOKUP(B246,Classification!A:D,4,0)</f>
        <v>Opsins</v>
      </c>
      <c r="BB246" s="27" t="b">
        <f t="shared" si="1062"/>
        <v>1</v>
      </c>
      <c r="BC246" s="23">
        <f t="shared" si="1035"/>
        <v>260</v>
      </c>
      <c r="BD246" s="34" t="s">
        <v>23</v>
      </c>
      <c r="BE246" s="3" t="s">
        <v>23</v>
      </c>
      <c r="BF246" s="119" t="s">
        <v>23</v>
      </c>
      <c r="BG246" s="49" t="s">
        <v>1372</v>
      </c>
      <c r="BH246" s="49" t="s">
        <v>1377</v>
      </c>
      <c r="BI246" s="1"/>
      <c r="BJ246" s="70" t="s">
        <v>1287</v>
      </c>
      <c r="BK246" s="57" t="s">
        <v>1287</v>
      </c>
      <c r="BL246" s="57" t="s">
        <v>1287</v>
      </c>
      <c r="BM246" s="57" t="s">
        <v>1287</v>
      </c>
      <c r="BN246" s="57" t="s">
        <v>1287</v>
      </c>
      <c r="BO246" s="57" t="s">
        <v>1287</v>
      </c>
      <c r="BP246" s="57" t="s">
        <v>1287</v>
      </c>
      <c r="BQ246" s="57" t="s">
        <v>1287</v>
      </c>
      <c r="BR246" s="57" t="s">
        <v>1287</v>
      </c>
      <c r="BS246" s="57" t="s">
        <v>1287</v>
      </c>
      <c r="BT246" s="57" t="s">
        <v>1287</v>
      </c>
      <c r="BU246" s="57" t="s">
        <v>1287</v>
      </c>
      <c r="BV246" s="70">
        <f t="shared" si="1036"/>
        <v>33</v>
      </c>
      <c r="BW246" s="71">
        <f t="shared" si="1037"/>
        <v>66</v>
      </c>
      <c r="BX246" s="72">
        <f t="shared" si="1038"/>
        <v>70</v>
      </c>
      <c r="BY246" s="71">
        <f t="shared" si="1039"/>
        <v>102</v>
      </c>
      <c r="BZ246" s="72">
        <f t="shared" si="1040"/>
        <v>106</v>
      </c>
      <c r="CA246" s="71">
        <f t="shared" si="1041"/>
        <v>142</v>
      </c>
      <c r="CB246" s="72">
        <f t="shared" si="1042"/>
        <v>149</v>
      </c>
      <c r="CC246" s="71">
        <f t="shared" si="1043"/>
        <v>187</v>
      </c>
      <c r="CD246" s="72">
        <f t="shared" si="1044"/>
        <v>199</v>
      </c>
      <c r="CE246" s="71">
        <f t="shared" si="1045"/>
        <v>240</v>
      </c>
      <c r="CF246" s="72">
        <f t="shared" si="1046"/>
        <v>284</v>
      </c>
      <c r="CG246" s="71">
        <f t="shared" si="1047"/>
        <v>310</v>
      </c>
      <c r="CH246" s="70">
        <f t="shared" si="1048"/>
        <v>65</v>
      </c>
      <c r="CI246" s="71">
        <f t="shared" si="1049"/>
        <v>69</v>
      </c>
      <c r="CJ246" s="72">
        <f t="shared" si="1050"/>
        <v>100</v>
      </c>
      <c r="CK246" s="72">
        <f t="shared" si="1051"/>
        <v>105</v>
      </c>
      <c r="CL246" s="72">
        <f t="shared" si="1052"/>
        <v>141</v>
      </c>
      <c r="CM246" s="72">
        <f t="shared" si="1053"/>
        <v>148</v>
      </c>
      <c r="CN246" s="72">
        <f t="shared" si="1054"/>
        <v>173</v>
      </c>
      <c r="CO246" s="72">
        <f t="shared" si="1055"/>
        <v>189</v>
      </c>
      <c r="CP246" s="72">
        <f t="shared" si="1056"/>
        <v>237</v>
      </c>
      <c r="CQ246" s="72">
        <f t="shared" si="1057"/>
        <v>278</v>
      </c>
      <c r="CR246" s="72">
        <f t="shared" si="1058"/>
        <v>309</v>
      </c>
      <c r="CS246" s="72">
        <f t="shared" si="1059"/>
        <v>322</v>
      </c>
      <c r="CT246" s="23">
        <f t="shared" si="1060"/>
        <v>1</v>
      </c>
    </row>
    <row r="247" spans="1:1030" x14ac:dyDescent="0.2">
      <c r="A247" s="3" t="str">
        <f t="shared" si="1061"/>
        <v>opsd_bovin_1GZM</v>
      </c>
      <c r="B247" s="3" t="s">
        <v>919</v>
      </c>
      <c r="C247" s="3" t="s">
        <v>1337</v>
      </c>
      <c r="D247" s="3" t="str">
        <f>IFERROR(MID(VLOOKUP($B247,Seqs!$A:$B,2,0),E247,1),"")</f>
        <v>E</v>
      </c>
      <c r="E247" s="105">
        <v>33</v>
      </c>
      <c r="F247" s="3" t="str">
        <f>IFERROR(MID(VLOOKUP($B247,Seqs!$A:$B,2,0),G247,1),"")</f>
        <v>H</v>
      </c>
      <c r="G247" s="3">
        <v>65</v>
      </c>
      <c r="H247" s="3" t="str">
        <f>IFERROR(MID(VLOOKUP($B247,Seqs!$A:$B,2,0),I247,1),"")</f>
        <v>K</v>
      </c>
      <c r="I247" s="23">
        <v>66</v>
      </c>
      <c r="J247" s="3" t="str">
        <f>IFERROR(MID(VLOOKUP($B247,Seqs!$A:$B,2,0),K247,1),"")</f>
        <v>R</v>
      </c>
      <c r="K247" s="23">
        <v>69</v>
      </c>
      <c r="L247" s="3" t="str">
        <f>IFERROR(MID(VLOOKUP($B247,Seqs!$A:$B,2,0),M247,1),"")</f>
        <v>T</v>
      </c>
      <c r="M247" s="3">
        <v>70</v>
      </c>
      <c r="N247" s="3" t="str">
        <f>IFERROR(MID(VLOOKUP($B247,Seqs!$A:$B,2,0),O247,1),"")</f>
        <v>H</v>
      </c>
      <c r="O247" s="3">
        <v>100</v>
      </c>
      <c r="P247" s="3" t="str">
        <f>IFERROR(MID(VLOOKUP($B247,Seqs!$A:$B,2,0),Q247,1),"")</f>
        <v>Y</v>
      </c>
      <c r="Q247" s="3">
        <v>102</v>
      </c>
      <c r="R247" s="3" t="str">
        <f>IFERROR(MID(VLOOKUP($B247,Seqs!$A:$B,2,0),S247,1),"")</f>
        <v>F</v>
      </c>
      <c r="S247" s="3">
        <v>105</v>
      </c>
      <c r="T247" s="3" t="str">
        <f>IFERROR(MID(VLOOKUP($B247,Seqs!$A:$B,2,0),U247,1),"")</f>
        <v>G</v>
      </c>
      <c r="U247" s="3">
        <v>106</v>
      </c>
      <c r="V247" s="3" t="str">
        <f>IFERROR(MID(VLOOKUP($B247,Seqs!$A:$B,2,0),W247,1),"")</f>
        <v>K</v>
      </c>
      <c r="W247" s="3">
        <v>141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G</v>
      </c>
      <c r="AC247" s="9">
        <v>149</v>
      </c>
      <c r="AD247" s="3" t="str">
        <f>IFERROR(MID(VLOOKUP($B247,Seqs!$A:$B,2,0),AE247,1),"")</f>
        <v>V</v>
      </c>
      <c r="AE247" s="3">
        <v>173</v>
      </c>
      <c r="AF247" s="3" t="str">
        <f>IFERROR(MID(VLOOKUP($B247,Seqs!$A:$B,2,0),AG247,1),"")</f>
        <v>C</v>
      </c>
      <c r="AG247" s="3">
        <v>187</v>
      </c>
      <c r="AH247" s="3" t="str">
        <f>IFERROR(MID(VLOOKUP($B247,Seqs!$A:$B,2,0),AI247,1),"")</f>
        <v>I</v>
      </c>
      <c r="AI247" s="3">
        <v>189</v>
      </c>
      <c r="AJ247" s="3" t="str">
        <f>IFERROR(MID(VLOOKUP($B247,Seqs!$A:$B,2,0),AK247,1),"")</f>
        <v>N</v>
      </c>
      <c r="AK247" s="3">
        <v>199</v>
      </c>
      <c r="AL247" s="3" t="str">
        <f>IFERROR(MID(VLOOKUP($B247,Seqs!$A:$B,2,0),AM247,1),"")</f>
        <v>A</v>
      </c>
      <c r="AM247" s="3">
        <v>233</v>
      </c>
      <c r="AN247" s="3" t="str">
        <f>IFERROR(MID(VLOOKUP($B247,Seqs!$A:$B,2,0),AO247,1),"")</f>
        <v>A</v>
      </c>
      <c r="AO247" s="3">
        <v>241</v>
      </c>
      <c r="AP247" s="3" t="str">
        <f>IFERROR(MID(VLOOKUP($B247,Seqs!$A:$B,2,0),AQ247,1),"")</f>
        <v>H</v>
      </c>
      <c r="AQ247" s="3">
        <v>278</v>
      </c>
      <c r="AR247" s="3" t="str">
        <f>IFERROR(MID(VLOOKUP($B247,Seqs!$A:$B,2,0),AS247,1),"")</f>
        <v>G</v>
      </c>
      <c r="AS247" s="3">
        <v>284</v>
      </c>
      <c r="AT247" s="3" t="str">
        <f>IFERROR(MID(VLOOKUP($B247,Seqs!$A:$B,2,0),AU247,1),"")</f>
        <v>M</v>
      </c>
      <c r="AU247" s="3">
        <v>309</v>
      </c>
      <c r="AV247" s="3" t="str">
        <f>IFERROR(MID(VLOOKUP($B247,Seqs!$A:$B,2,0),AW247,1),"")</f>
        <v>N</v>
      </c>
      <c r="AW247" s="3">
        <v>310</v>
      </c>
      <c r="AX247" s="3" t="str">
        <f>IFERROR(MID(VLOOKUP($B247,Seqs!$A:$B,2,0),AY247,1),"")</f>
        <v>C</v>
      </c>
      <c r="AY247" s="3">
        <v>322</v>
      </c>
      <c r="AZ247" s="77" t="str">
        <f>VLOOKUP(B247,Classification!A:D,2,0)</f>
        <v>A</v>
      </c>
      <c r="BA247" s="94" t="str">
        <f>VLOOKUP(B247,Classification!A:D,4,0)</f>
        <v>Opsins</v>
      </c>
      <c r="BB247" s="27" t="b">
        <f t="shared" si="1062"/>
        <v>1</v>
      </c>
      <c r="BC247" s="23">
        <f t="shared" si="1035"/>
        <v>249</v>
      </c>
      <c r="BD247" s="56" t="s">
        <v>1376</v>
      </c>
      <c r="BE247" s="3" t="s">
        <v>1374</v>
      </c>
      <c r="BF247" s="119">
        <v>2.65</v>
      </c>
      <c r="BG247" s="49" t="s">
        <v>1377</v>
      </c>
      <c r="BH247" s="49" t="s">
        <v>1377</v>
      </c>
      <c r="BI247" s="1"/>
      <c r="BJ247" s="70" t="s">
        <v>1287</v>
      </c>
      <c r="BK247" s="57" t="s">
        <v>1287</v>
      </c>
      <c r="BL247" s="57" t="s">
        <v>1287</v>
      </c>
      <c r="BM247" s="57" t="s">
        <v>1287</v>
      </c>
      <c r="BN247" s="57" t="s">
        <v>1287</v>
      </c>
      <c r="BO247" s="57" t="s">
        <v>1287</v>
      </c>
      <c r="BP247" s="57" t="s">
        <v>1287</v>
      </c>
      <c r="BQ247" s="57" t="s">
        <v>1287</v>
      </c>
      <c r="BR247" s="57" t="s">
        <v>1287</v>
      </c>
      <c r="BS247" s="57" t="s">
        <v>1287</v>
      </c>
      <c r="BT247" s="57" t="s">
        <v>1287</v>
      </c>
      <c r="BU247" s="57" t="s">
        <v>1287</v>
      </c>
      <c r="BV247" s="70">
        <f t="shared" si="1036"/>
        <v>33</v>
      </c>
      <c r="BW247" s="71">
        <f t="shared" si="1037"/>
        <v>66</v>
      </c>
      <c r="BX247" s="72">
        <f t="shared" si="1038"/>
        <v>70</v>
      </c>
      <c r="BY247" s="71">
        <f t="shared" si="1039"/>
        <v>102</v>
      </c>
      <c r="BZ247" s="72">
        <f t="shared" si="1040"/>
        <v>106</v>
      </c>
      <c r="CA247" s="71" t="str">
        <f t="shared" si="1041"/>
        <v>-</v>
      </c>
      <c r="CB247" s="72">
        <f t="shared" si="1042"/>
        <v>149</v>
      </c>
      <c r="CC247" s="71">
        <f t="shared" si="1043"/>
        <v>187</v>
      </c>
      <c r="CD247" s="72">
        <f t="shared" si="1044"/>
        <v>199</v>
      </c>
      <c r="CE247" s="71">
        <f t="shared" si="1045"/>
        <v>241</v>
      </c>
      <c r="CF247" s="72">
        <f t="shared" si="1046"/>
        <v>284</v>
      </c>
      <c r="CG247" s="71">
        <f t="shared" si="1047"/>
        <v>310</v>
      </c>
      <c r="CH247" s="70">
        <f t="shared" si="1048"/>
        <v>65</v>
      </c>
      <c r="CI247" s="71">
        <f t="shared" si="1049"/>
        <v>69</v>
      </c>
      <c r="CJ247" s="72">
        <f t="shared" si="1050"/>
        <v>100</v>
      </c>
      <c r="CK247" s="72">
        <f t="shared" si="1051"/>
        <v>105</v>
      </c>
      <c r="CL247" s="72">
        <f t="shared" si="1052"/>
        <v>141</v>
      </c>
      <c r="CM247" s="72" t="str">
        <f t="shared" si="1053"/>
        <v>-</v>
      </c>
      <c r="CN247" s="72">
        <f t="shared" si="1054"/>
        <v>173</v>
      </c>
      <c r="CO247" s="72">
        <f t="shared" si="1055"/>
        <v>189</v>
      </c>
      <c r="CP247" s="72">
        <f t="shared" si="1056"/>
        <v>233</v>
      </c>
      <c r="CQ247" s="72">
        <f t="shared" si="1057"/>
        <v>278</v>
      </c>
      <c r="CR247" s="72">
        <f t="shared" si="1058"/>
        <v>309</v>
      </c>
      <c r="CS247" s="72">
        <f t="shared" si="1059"/>
        <v>322</v>
      </c>
      <c r="CT247" s="23">
        <f t="shared" si="1060"/>
        <v>1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30" x14ac:dyDescent="0.2">
      <c r="A248" s="3" t="str">
        <f t="shared" si="1061"/>
        <v>opsd_bovin_1U19</v>
      </c>
      <c r="B248" s="3" t="s">
        <v>919</v>
      </c>
      <c r="C248" s="3" t="s">
        <v>53</v>
      </c>
      <c r="D248" s="3" t="str">
        <f>IFERROR(MID(VLOOKUP($B248,Seqs!$A:$B,2,0),E248,1),"")</f>
        <v>E</v>
      </c>
      <c r="E248" s="105">
        <v>33</v>
      </c>
      <c r="F248" s="3" t="str">
        <f>IFERROR(MID(VLOOKUP($B248,Seqs!$A:$B,2,0),G248,1),"")</f>
        <v>H</v>
      </c>
      <c r="G248" s="3">
        <v>65</v>
      </c>
      <c r="H248" s="3" t="str">
        <f>IFERROR(MID(VLOOKUP($B248,Seqs!$A:$B,2,0),I248,1),"")</f>
        <v>K</v>
      </c>
      <c r="I248" s="23">
        <v>66</v>
      </c>
      <c r="J248" s="3" t="str">
        <f>IFERROR(MID(VLOOKUP($B248,Seqs!$A:$B,2,0),K248,1),"")</f>
        <v>R</v>
      </c>
      <c r="K248" s="23">
        <v>69</v>
      </c>
      <c r="L248" s="3" t="str">
        <f>IFERROR(MID(VLOOKUP($B248,Seqs!$A:$B,2,0),M248,1),"")</f>
        <v>T</v>
      </c>
      <c r="M248" s="3">
        <v>70</v>
      </c>
      <c r="N248" s="3" t="str">
        <f>IFERROR(MID(VLOOKUP($B248,Seqs!$A:$B,2,0),O248,1),"")</f>
        <v>H</v>
      </c>
      <c r="O248" s="3">
        <v>100</v>
      </c>
      <c r="P248" s="3" t="str">
        <f>IFERROR(MID(VLOOKUP($B248,Seqs!$A:$B,2,0),Q248,1),"")</f>
        <v>Y</v>
      </c>
      <c r="Q248" s="3">
        <v>102</v>
      </c>
      <c r="R248" s="3" t="str">
        <f>IFERROR(MID(VLOOKUP($B248,Seqs!$A:$B,2,0),S248,1),"")</f>
        <v>F</v>
      </c>
      <c r="S248" s="3">
        <v>105</v>
      </c>
      <c r="T248" s="3" t="str">
        <f>IFERROR(MID(VLOOKUP($B248,Seqs!$A:$B,2,0),U248,1),"")</f>
        <v>G</v>
      </c>
      <c r="U248" s="3">
        <v>106</v>
      </c>
      <c r="V248" s="3" t="str">
        <f>IFERROR(MID(VLOOKUP($B248,Seqs!$A:$B,2,0),W248,1),"")</f>
        <v>K</v>
      </c>
      <c r="W248" s="3">
        <v>141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G</v>
      </c>
      <c r="AC248" s="9">
        <v>149</v>
      </c>
      <c r="AD248" s="3" t="str">
        <f>IFERROR(MID(VLOOKUP($B248,Seqs!$A:$B,2,0),AE248,1),"")</f>
        <v>V</v>
      </c>
      <c r="AE248" s="3">
        <v>173</v>
      </c>
      <c r="AF248" s="3" t="str">
        <f>IFERROR(MID(VLOOKUP($B248,Seqs!$A:$B,2,0),AG248,1),"")</f>
        <v>C</v>
      </c>
      <c r="AG248" s="3">
        <v>187</v>
      </c>
      <c r="AH248" s="3" t="str">
        <f>IFERROR(MID(VLOOKUP($B248,Seqs!$A:$B,2,0),AI248,1),"")</f>
        <v>I</v>
      </c>
      <c r="AI248" s="3">
        <v>189</v>
      </c>
      <c r="AJ248" s="3" t="str">
        <f>IFERROR(MID(VLOOKUP($B248,Seqs!$A:$B,2,0),AK248,1),"")</f>
        <v>N</v>
      </c>
      <c r="AK248" s="3">
        <v>199</v>
      </c>
      <c r="AL248" s="3" t="str">
        <f>IFERROR(MID(VLOOKUP($B248,Seqs!$A:$B,2,0),AM248,1),"")</f>
        <v>Q</v>
      </c>
      <c r="AM248" s="3">
        <v>225</v>
      </c>
      <c r="AN248" s="3" t="str">
        <f>IFERROR(MID(VLOOKUP($B248,Seqs!$A:$B,2,0),AO248,1),"")</f>
        <v>T</v>
      </c>
      <c r="AO248" s="3">
        <v>243</v>
      </c>
      <c r="AP248" s="3" t="str">
        <f>IFERROR(MID(VLOOKUP($B248,Seqs!$A:$B,2,0),AQ248,1),"")</f>
        <v>H</v>
      </c>
      <c r="AQ248" s="3">
        <v>278</v>
      </c>
      <c r="AR248" s="3" t="str">
        <f>IFERROR(MID(VLOOKUP($B248,Seqs!$A:$B,2,0),AS248,1),"")</f>
        <v>G</v>
      </c>
      <c r="AS248" s="3">
        <v>284</v>
      </c>
      <c r="AT248" s="3" t="str">
        <f>IFERROR(MID(VLOOKUP($B248,Seqs!$A:$B,2,0),AU248,1),"")</f>
        <v>M</v>
      </c>
      <c r="AU248" s="3">
        <v>309</v>
      </c>
      <c r="AV248" s="3" t="str">
        <f>IFERROR(MID(VLOOKUP($B248,Seqs!$A:$B,2,0),AW248,1),"")</f>
        <v>N</v>
      </c>
      <c r="AW248" s="3">
        <v>310</v>
      </c>
      <c r="AX248" s="3" t="str">
        <f>IFERROR(MID(VLOOKUP($B248,Seqs!$A:$B,2,0),AY248,1),"")</f>
        <v>C</v>
      </c>
      <c r="AY248" s="3">
        <v>322</v>
      </c>
      <c r="AZ248" s="77" t="str">
        <f>VLOOKUP(B248,Classification!A:D,2,0)</f>
        <v>A</v>
      </c>
      <c r="BA248" s="94" t="str">
        <f>VLOOKUP(B248,Classification!A:D,4,0)</f>
        <v>Opsins</v>
      </c>
      <c r="BB248" s="27" t="b">
        <f t="shared" si="1062"/>
        <v>1</v>
      </c>
      <c r="BC248" s="23">
        <f t="shared" si="1035"/>
        <v>239</v>
      </c>
      <c r="BD248" s="74" t="s">
        <v>23</v>
      </c>
      <c r="BE248" s="3" t="s">
        <v>1374</v>
      </c>
      <c r="BF248" s="119">
        <v>2.2000000000000002</v>
      </c>
      <c r="BG248" s="49" t="s">
        <v>1</v>
      </c>
      <c r="BH248" s="49" t="s">
        <v>1377</v>
      </c>
      <c r="BI248" s="1"/>
      <c r="BJ248" s="70" t="s">
        <v>1287</v>
      </c>
      <c r="BK248" s="57" t="s">
        <v>1287</v>
      </c>
      <c r="BL248" s="57" t="s">
        <v>1287</v>
      </c>
      <c r="BM248" s="57" t="s">
        <v>1287</v>
      </c>
      <c r="BN248" s="57" t="s">
        <v>1287</v>
      </c>
      <c r="BO248" s="57" t="s">
        <v>1287</v>
      </c>
      <c r="BP248" s="57" t="s">
        <v>1287</v>
      </c>
      <c r="BQ248" s="57" t="s">
        <v>1287</v>
      </c>
      <c r="BR248" s="57" t="s">
        <v>1287</v>
      </c>
      <c r="BS248" s="57" t="s">
        <v>1287</v>
      </c>
      <c r="BT248" s="57" t="s">
        <v>1287</v>
      </c>
      <c r="BU248" s="57" t="s">
        <v>1287</v>
      </c>
      <c r="BV248" s="70">
        <f t="shared" si="1036"/>
        <v>33</v>
      </c>
      <c r="BW248" s="71">
        <f t="shared" si="1037"/>
        <v>66</v>
      </c>
      <c r="BX248" s="72">
        <f t="shared" si="1038"/>
        <v>70</v>
      </c>
      <c r="BY248" s="71">
        <f t="shared" si="1039"/>
        <v>102</v>
      </c>
      <c r="BZ248" s="72">
        <f t="shared" si="1040"/>
        <v>106</v>
      </c>
      <c r="CA248" s="71" t="str">
        <f t="shared" si="1041"/>
        <v>-</v>
      </c>
      <c r="CB248" s="72">
        <f t="shared" si="1042"/>
        <v>149</v>
      </c>
      <c r="CC248" s="71">
        <f t="shared" si="1043"/>
        <v>187</v>
      </c>
      <c r="CD248" s="72">
        <f t="shared" si="1044"/>
        <v>199</v>
      </c>
      <c r="CE248" s="71">
        <f t="shared" si="1045"/>
        <v>243</v>
      </c>
      <c r="CF248" s="72">
        <f t="shared" si="1046"/>
        <v>284</v>
      </c>
      <c r="CG248" s="71">
        <f t="shared" si="1047"/>
        <v>310</v>
      </c>
      <c r="CH248" s="70">
        <f t="shared" si="1048"/>
        <v>65</v>
      </c>
      <c r="CI248" s="71">
        <f t="shared" si="1049"/>
        <v>69</v>
      </c>
      <c r="CJ248" s="72">
        <f t="shared" si="1050"/>
        <v>100</v>
      </c>
      <c r="CK248" s="72">
        <f t="shared" si="1051"/>
        <v>105</v>
      </c>
      <c r="CL248" s="72">
        <f t="shared" si="1052"/>
        <v>141</v>
      </c>
      <c r="CM248" s="72" t="str">
        <f t="shared" si="1053"/>
        <v>-</v>
      </c>
      <c r="CN248" s="72">
        <f t="shared" si="1054"/>
        <v>173</v>
      </c>
      <c r="CO248" s="72">
        <f t="shared" si="1055"/>
        <v>189</v>
      </c>
      <c r="CP248" s="72">
        <f t="shared" si="1056"/>
        <v>225</v>
      </c>
      <c r="CQ248" s="72">
        <f t="shared" si="1057"/>
        <v>278</v>
      </c>
      <c r="CR248" s="72">
        <f t="shared" si="1058"/>
        <v>309</v>
      </c>
      <c r="CS248" s="72">
        <f t="shared" si="1059"/>
        <v>322</v>
      </c>
      <c r="CT248" s="23">
        <f t="shared" si="1060"/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30" x14ac:dyDescent="0.2">
      <c r="A249" s="3" t="str">
        <f t="shared" si="1061"/>
        <v>opsd_bovin_2X72</v>
      </c>
      <c r="B249" s="2" t="s">
        <v>919</v>
      </c>
      <c r="C249" s="3" t="s">
        <v>1369</v>
      </c>
      <c r="D249" s="3" t="str">
        <f>IFERROR(MID(VLOOKUP($B249,Seqs!$A:$B,2,0),E249,1),"")</f>
        <v>E</v>
      </c>
      <c r="E249" s="105">
        <v>33</v>
      </c>
      <c r="F249" s="3" t="str">
        <f>IFERROR(MID(VLOOKUP($B249,Seqs!$A:$B,2,0),G249,1),"")</f>
        <v>H</v>
      </c>
      <c r="G249" s="3">
        <v>65</v>
      </c>
      <c r="H249" s="3" t="str">
        <f>IFERROR(MID(VLOOKUP($B249,Seqs!$A:$B,2,0),I249,1),"")</f>
        <v>K</v>
      </c>
      <c r="I249" s="23">
        <v>66</v>
      </c>
      <c r="J249" s="3" t="str">
        <f>IFERROR(MID(VLOOKUP($B249,Seqs!$A:$B,2,0),K249,1),"")</f>
        <v>R</v>
      </c>
      <c r="K249" s="23">
        <v>69</v>
      </c>
      <c r="L249" s="3" t="str">
        <f>IFERROR(MID(VLOOKUP($B249,Seqs!$A:$B,2,0),M249,1),"")</f>
        <v>T</v>
      </c>
      <c r="M249" s="3">
        <v>70</v>
      </c>
      <c r="N249" s="3" t="str">
        <f>IFERROR(MID(VLOOKUP($B249,Seqs!$A:$B,2,0),O249,1),"")</f>
        <v>H</v>
      </c>
      <c r="O249" s="3">
        <v>100</v>
      </c>
      <c r="P249" s="3" t="str">
        <f>IFERROR(MID(VLOOKUP($B249,Seqs!$A:$B,2,0),Q249,1),"")</f>
        <v>Y</v>
      </c>
      <c r="Q249" s="3">
        <v>102</v>
      </c>
      <c r="R249" s="3" t="str">
        <f>IFERROR(MID(VLOOKUP($B249,Seqs!$A:$B,2,0),S249,1),"")</f>
        <v>F</v>
      </c>
      <c r="S249" s="3">
        <v>105</v>
      </c>
      <c r="T249" s="3" t="str">
        <f>IFERROR(MID(VLOOKUP($B249,Seqs!$A:$B,2,0),U249,1),"")</f>
        <v>G</v>
      </c>
      <c r="U249" s="3">
        <v>106</v>
      </c>
      <c r="V249" s="3" t="str">
        <f>IFERROR(MID(VLOOKUP($B249,Seqs!$A:$B,2,0),W249,1),"")</f>
        <v>K</v>
      </c>
      <c r="W249" s="3">
        <v>141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G</v>
      </c>
      <c r="AC249" s="9">
        <v>149</v>
      </c>
      <c r="AD249" s="3" t="str">
        <f>IFERROR(MID(VLOOKUP($B249,Seqs!$A:$B,2,0),AE249,1),"")</f>
        <v>V</v>
      </c>
      <c r="AE249" s="3">
        <v>173</v>
      </c>
      <c r="AF249" s="3" t="str">
        <f>IFERROR(MID(VLOOKUP($B249,Seqs!$A:$B,2,0),AG249,1),"")</f>
        <v>C</v>
      </c>
      <c r="AG249" s="3">
        <v>187</v>
      </c>
      <c r="AH249" s="3" t="str">
        <f>IFERROR(MID(VLOOKUP($B249,Seqs!$A:$B,2,0),AI249,1),"")</f>
        <v>I</v>
      </c>
      <c r="AI249" s="3">
        <v>189</v>
      </c>
      <c r="AJ249" s="3" t="str">
        <f>IFERROR(MID(VLOOKUP($B249,Seqs!$A:$B,2,0),AK249,1),"")</f>
        <v>N</v>
      </c>
      <c r="AK249" s="3">
        <v>199</v>
      </c>
      <c r="AL249" s="3" t="str">
        <f>IFERROR(MID(VLOOKUP($B249,Seqs!$A:$B,2,0),AM249,1),"")</f>
        <v>Q</v>
      </c>
      <c r="AM249" s="3">
        <v>237</v>
      </c>
      <c r="AN249" s="3" t="str">
        <f>IFERROR(MID(VLOOKUP($B249,Seqs!$A:$B,2,0),AO249,1),"")</f>
        <v>A</v>
      </c>
      <c r="AO249" s="3">
        <v>241</v>
      </c>
      <c r="AP249" s="3" t="str">
        <f>IFERROR(MID(VLOOKUP($B249,Seqs!$A:$B,2,0),AQ249,1),"")</f>
        <v>H</v>
      </c>
      <c r="AQ249" s="3">
        <v>278</v>
      </c>
      <c r="AR249" s="3" t="str">
        <f>IFERROR(MID(VLOOKUP($B249,Seqs!$A:$B,2,0),AS249,1),"")</f>
        <v>G</v>
      </c>
      <c r="AS249" s="3">
        <v>284</v>
      </c>
      <c r="AT249" s="3" t="str">
        <f>IFERROR(MID(VLOOKUP($B249,Seqs!$A:$B,2,0),AU249,1),"")</f>
        <v>M</v>
      </c>
      <c r="AU249" s="3">
        <v>309</v>
      </c>
      <c r="AV249" s="3" t="str">
        <f>IFERROR(MID(VLOOKUP($B249,Seqs!$A:$B,2,0),AW249,1),"")</f>
        <v>N</v>
      </c>
      <c r="AW249" s="3">
        <v>310</v>
      </c>
      <c r="AX249" s="3" t="str">
        <f>IFERROR(MID(VLOOKUP($B249,Seqs!$A:$B,2,0),AY249,1),"")</f>
        <v>C</v>
      </c>
      <c r="AY249" s="3">
        <v>322</v>
      </c>
      <c r="AZ249" s="77" t="str">
        <f>VLOOKUP(B249,Classification!A:D,2,0)</f>
        <v>A</v>
      </c>
      <c r="BA249" s="94" t="str">
        <f>VLOOKUP(B249,Classification!A:D,4,0)</f>
        <v>Opsins</v>
      </c>
      <c r="BB249" s="27" t="b">
        <f>AND(E249&lt;G249,OR(G249&lt;I249,I249="-"),OR(I249&lt;K249,I249="-"),OR(K249&lt;M249,K249="-"),M249&lt;O249,OR(O249&lt;Q249,Q249="-"),OR(Q249&lt;S249,Q249="-"),OR(S249&lt;U249,S249="-"),U249&lt;W249,OR(W249&lt;Y249,Y249="-"),OR(Y249&lt;AA249,Y249="-"),OR(AA249&lt;AC249,AA249="-"),AC249&lt;AE249,OR(AE249&lt;AG249,AG249="-"),OR(AG249&lt;AI249,AG249="-"),OR(AI249&lt;AK249,AI249="-"),AK249&lt;AM249,AM249&lt;AO249,AO249&lt;AQ249,AQ249&lt;AS249,AS249&lt;AU249,OR(AU249&lt;AW249,AW249="-"),OR(AW249&lt;AY249,AW249="-"))</f>
        <v>1</v>
      </c>
      <c r="BC249" s="23">
        <f>_xlfn.AGGREGATE(9,6,CH249:CS249)-_xlfn.AGGREGATE(9,6,BV249:CG249)+12</f>
        <v>253</v>
      </c>
      <c r="BD249" s="56" t="s">
        <v>23</v>
      </c>
      <c r="BE249" s="3" t="s">
        <v>1291</v>
      </c>
      <c r="BF249" s="119">
        <v>3</v>
      </c>
      <c r="BG249" s="49" t="s">
        <v>1377</v>
      </c>
      <c r="BH249" s="49" t="s">
        <v>1377</v>
      </c>
      <c r="BI249" s="1"/>
      <c r="BJ249" s="70" t="s">
        <v>1287</v>
      </c>
      <c r="BK249" s="57" t="s">
        <v>1287</v>
      </c>
      <c r="BL249" s="57" t="s">
        <v>1287</v>
      </c>
      <c r="BM249" s="57" t="s">
        <v>1287</v>
      </c>
      <c r="BN249" s="57" t="s">
        <v>1287</v>
      </c>
      <c r="BO249" s="57" t="s">
        <v>1287</v>
      </c>
      <c r="BP249" s="57" t="s">
        <v>1287</v>
      </c>
      <c r="BQ249" s="57" t="s">
        <v>1287</v>
      </c>
      <c r="BR249" s="57" t="s">
        <v>1287</v>
      </c>
      <c r="BS249" s="57" t="s">
        <v>1287</v>
      </c>
      <c r="BT249" s="57" t="s">
        <v>1287</v>
      </c>
      <c r="BU249" s="57" t="s">
        <v>1287</v>
      </c>
      <c r="BV249" s="70">
        <f>E249</f>
        <v>33</v>
      </c>
      <c r="BW249" s="71">
        <f>I249</f>
        <v>66</v>
      </c>
      <c r="BX249" s="72">
        <f>M249</f>
        <v>70</v>
      </c>
      <c r="BY249" s="71">
        <f>Q249</f>
        <v>102</v>
      </c>
      <c r="BZ249" s="72">
        <f>U249</f>
        <v>106</v>
      </c>
      <c r="CA249" s="71" t="str">
        <f>Y249</f>
        <v>-</v>
      </c>
      <c r="CB249" s="72">
        <f>AC249</f>
        <v>149</v>
      </c>
      <c r="CC249" s="71">
        <f>AG249</f>
        <v>187</v>
      </c>
      <c r="CD249" s="72">
        <f>AK249</f>
        <v>199</v>
      </c>
      <c r="CE249" s="71">
        <f>AO249</f>
        <v>241</v>
      </c>
      <c r="CF249" s="72">
        <f>AS249</f>
        <v>284</v>
      </c>
      <c r="CG249" s="71">
        <f>AW249</f>
        <v>310</v>
      </c>
      <c r="CH249" s="70">
        <f>G249</f>
        <v>65</v>
      </c>
      <c r="CI249" s="71">
        <f>K249</f>
        <v>69</v>
      </c>
      <c r="CJ249" s="72">
        <f>O249</f>
        <v>100</v>
      </c>
      <c r="CK249" s="72">
        <f>S249</f>
        <v>105</v>
      </c>
      <c r="CL249" s="72">
        <f>W249</f>
        <v>141</v>
      </c>
      <c r="CM249" s="72" t="str">
        <f>AA249</f>
        <v>-</v>
      </c>
      <c r="CN249" s="72">
        <f>AE249</f>
        <v>173</v>
      </c>
      <c r="CO249" s="72">
        <f>AI249</f>
        <v>189</v>
      </c>
      <c r="CP249" s="72">
        <f>AM249</f>
        <v>237</v>
      </c>
      <c r="CQ249" s="72">
        <f>AQ249</f>
        <v>278</v>
      </c>
      <c r="CR249" s="72">
        <f>AU249</f>
        <v>309</v>
      </c>
      <c r="CS249" s="72">
        <f>AY249</f>
        <v>322</v>
      </c>
      <c r="CT249" s="23">
        <f>M249-K249</f>
        <v>1</v>
      </c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  <c r="IW249" s="6"/>
      <c r="IX249" s="6"/>
      <c r="IY249" s="6"/>
      <c r="IZ249" s="6"/>
      <c r="JA249" s="6"/>
      <c r="JB249" s="6"/>
      <c r="JC249" s="6"/>
      <c r="JD249" s="6"/>
      <c r="JE249" s="6"/>
      <c r="JF249" s="6"/>
      <c r="JG249" s="6"/>
      <c r="JH249" s="6"/>
      <c r="JI249" s="6"/>
      <c r="JJ249" s="6"/>
      <c r="JK249" s="6"/>
      <c r="JL249" s="6"/>
      <c r="JM249" s="6"/>
      <c r="JN249" s="6"/>
      <c r="JO249" s="6"/>
      <c r="JP249" s="6"/>
      <c r="JQ249" s="6"/>
      <c r="JR249" s="6"/>
      <c r="JS249" s="6"/>
      <c r="JT249" s="6"/>
      <c r="JU249" s="6"/>
      <c r="JV249" s="6"/>
      <c r="JW249" s="6"/>
      <c r="JX249" s="6"/>
      <c r="JY249" s="6"/>
      <c r="JZ249" s="6"/>
      <c r="KA249" s="6"/>
      <c r="KB249" s="6"/>
      <c r="KC249" s="6"/>
      <c r="KD249" s="6"/>
      <c r="KE249" s="6"/>
      <c r="KF249" s="6"/>
      <c r="KG249" s="6"/>
      <c r="KH249" s="6"/>
      <c r="KI249" s="6"/>
      <c r="KJ249" s="6"/>
      <c r="KK249" s="6"/>
      <c r="KL249" s="6"/>
      <c r="KM249" s="6"/>
      <c r="KN249" s="6"/>
      <c r="KO249" s="6"/>
      <c r="KP249" s="6"/>
      <c r="KQ249" s="6"/>
      <c r="KR249" s="6"/>
      <c r="KS249" s="6"/>
      <c r="KT249" s="6"/>
      <c r="KU249" s="6"/>
      <c r="KV249" s="6"/>
      <c r="KW249" s="6"/>
      <c r="KX249" s="6"/>
      <c r="KY249" s="6"/>
      <c r="KZ249" s="6"/>
      <c r="LA249" s="6"/>
      <c r="LB249" s="6"/>
      <c r="LC249" s="6"/>
      <c r="LD249" s="6"/>
      <c r="LE249" s="6"/>
      <c r="LF249" s="6"/>
      <c r="LG249" s="6"/>
      <c r="LH249" s="6"/>
      <c r="LI249" s="6"/>
      <c r="LJ249" s="6"/>
      <c r="LK249" s="6"/>
      <c r="LL249" s="6"/>
      <c r="LM249" s="6"/>
      <c r="LN249" s="6"/>
      <c r="LO249" s="6"/>
      <c r="LP249" s="6"/>
      <c r="LQ249" s="6"/>
      <c r="LR249" s="6"/>
      <c r="LS249" s="6"/>
      <c r="LT249" s="6"/>
      <c r="LU249" s="6"/>
      <c r="LV249" s="6"/>
      <c r="LW249" s="6"/>
      <c r="LX249" s="6"/>
      <c r="LY249" s="6"/>
      <c r="LZ249" s="6"/>
      <c r="MA249" s="6"/>
      <c r="MB249" s="6"/>
      <c r="MC249" s="6"/>
      <c r="MD249" s="6"/>
      <c r="ME249" s="6"/>
      <c r="MF249" s="6"/>
      <c r="MG249" s="6"/>
      <c r="MH249" s="6"/>
      <c r="MI249" s="6"/>
      <c r="MJ249" s="6"/>
      <c r="MK249" s="6"/>
      <c r="ML249" s="6"/>
      <c r="MM249" s="6"/>
      <c r="MN249" s="6"/>
      <c r="MO249" s="6"/>
      <c r="MP249" s="6"/>
      <c r="MQ249" s="6"/>
      <c r="MR249" s="6"/>
      <c r="MS249" s="6"/>
      <c r="MT249" s="6"/>
      <c r="MU249" s="6"/>
      <c r="MV249" s="6"/>
      <c r="MW249" s="6"/>
      <c r="MX249" s="6"/>
      <c r="MY249" s="6"/>
      <c r="MZ249" s="6"/>
      <c r="NA249" s="6"/>
      <c r="NB249" s="6"/>
      <c r="NC249" s="6"/>
      <c r="ND249" s="6"/>
      <c r="NE249" s="6"/>
      <c r="NF249" s="6"/>
      <c r="NG249" s="6"/>
      <c r="NH249" s="6"/>
      <c r="NI249" s="6"/>
      <c r="NJ249" s="6"/>
      <c r="NK249" s="6"/>
      <c r="NL249" s="6"/>
      <c r="NM249" s="6"/>
      <c r="NN249" s="6"/>
      <c r="NO249" s="6"/>
      <c r="NP249" s="6"/>
      <c r="NQ249" s="6"/>
      <c r="NR249" s="6"/>
      <c r="NS249" s="6"/>
      <c r="NT249" s="6"/>
      <c r="NU249" s="6"/>
      <c r="NV249" s="6"/>
      <c r="NW249" s="6"/>
      <c r="NX249" s="6"/>
      <c r="NY249" s="6"/>
      <c r="NZ249" s="6"/>
      <c r="OA249" s="6"/>
      <c r="OB249" s="6"/>
      <c r="OC249" s="6"/>
      <c r="OD249" s="6"/>
      <c r="OE249" s="6"/>
      <c r="OF249" s="6"/>
      <c r="OG249" s="6"/>
      <c r="OH249" s="6"/>
      <c r="OI249" s="6"/>
      <c r="OJ249" s="6"/>
      <c r="OK249" s="6"/>
      <c r="OL249" s="6"/>
      <c r="OM249" s="6"/>
      <c r="ON249" s="6"/>
      <c r="OO249" s="6"/>
      <c r="OP249" s="6"/>
      <c r="OQ249" s="6"/>
      <c r="OR249" s="6"/>
      <c r="OS249" s="6"/>
      <c r="OT249" s="6"/>
      <c r="OU249" s="6"/>
      <c r="OV249" s="6"/>
      <c r="OW249" s="6"/>
      <c r="OX249" s="6"/>
      <c r="OY249" s="6"/>
      <c r="OZ249" s="6"/>
      <c r="PA249" s="6"/>
      <c r="PB249" s="6"/>
      <c r="PC249" s="6"/>
      <c r="PD249" s="6"/>
      <c r="PE249" s="6"/>
      <c r="PF249" s="6"/>
      <c r="PG249" s="6"/>
      <c r="PH249" s="6"/>
      <c r="PI249" s="6"/>
      <c r="PJ249" s="6"/>
      <c r="PK249" s="6"/>
      <c r="PL249" s="6"/>
      <c r="PM249" s="6"/>
      <c r="PN249" s="6"/>
      <c r="PO249" s="6"/>
      <c r="PP249" s="6"/>
      <c r="PQ249" s="6"/>
      <c r="PR249" s="6"/>
      <c r="PS249" s="6"/>
      <c r="PT249" s="6"/>
      <c r="PU249" s="6"/>
      <c r="PV249" s="6"/>
      <c r="PW249" s="6"/>
      <c r="PX249" s="6"/>
      <c r="PY249" s="6"/>
      <c r="PZ249" s="6"/>
      <c r="QA249" s="6"/>
      <c r="QB249" s="6"/>
      <c r="QC249" s="6"/>
      <c r="QD249" s="6"/>
      <c r="QE249" s="6"/>
      <c r="QF249" s="6"/>
      <c r="QG249" s="6"/>
      <c r="QH249" s="6"/>
      <c r="QI249" s="6"/>
      <c r="QJ249" s="6"/>
      <c r="QK249" s="6"/>
      <c r="QL249" s="6"/>
      <c r="QM249" s="6"/>
      <c r="QN249" s="6"/>
      <c r="QO249" s="6"/>
      <c r="QP249" s="6"/>
      <c r="QQ249" s="6"/>
      <c r="QR249" s="6"/>
      <c r="QS249" s="6"/>
      <c r="QT249" s="6"/>
      <c r="QU249" s="6"/>
      <c r="QV249" s="6"/>
      <c r="QW249" s="6"/>
      <c r="QX249" s="6"/>
      <c r="QY249" s="6"/>
      <c r="QZ249" s="6"/>
      <c r="RA249" s="6"/>
      <c r="RB249" s="6"/>
      <c r="RC249" s="6"/>
      <c r="RD249" s="6"/>
      <c r="RE249" s="6"/>
      <c r="RF249" s="6"/>
      <c r="RG249" s="6"/>
      <c r="RH249" s="6"/>
      <c r="RI249" s="6"/>
      <c r="RJ249" s="6"/>
      <c r="RK249" s="6"/>
      <c r="RL249" s="6"/>
      <c r="RM249" s="6"/>
      <c r="RN249" s="6"/>
      <c r="RO249" s="6"/>
      <c r="RP249" s="6"/>
      <c r="RQ249" s="6"/>
      <c r="RR249" s="6"/>
      <c r="RS249" s="6"/>
      <c r="RT249" s="6"/>
      <c r="RU249" s="6"/>
      <c r="RV249" s="6"/>
      <c r="RW249" s="6"/>
      <c r="RX249" s="6"/>
      <c r="RY249" s="6"/>
      <c r="RZ249" s="6"/>
      <c r="SA249" s="6"/>
      <c r="SB249" s="6"/>
      <c r="SC249" s="6"/>
      <c r="SD249" s="6"/>
      <c r="SE249" s="6"/>
      <c r="SF249" s="6"/>
      <c r="SG249" s="6"/>
      <c r="SH249" s="6"/>
      <c r="SI249" s="6"/>
      <c r="SJ249" s="6"/>
      <c r="SK249" s="6"/>
      <c r="SL249" s="6"/>
      <c r="SM249" s="6"/>
      <c r="SN249" s="6"/>
      <c r="SO249" s="6"/>
      <c r="SP249" s="6"/>
      <c r="SQ249" s="6"/>
      <c r="SR249" s="6"/>
      <c r="SS249" s="6"/>
      <c r="ST249" s="6"/>
      <c r="SU249" s="6"/>
      <c r="SV249" s="6"/>
      <c r="SW249" s="6"/>
      <c r="SX249" s="6"/>
      <c r="SY249" s="6"/>
      <c r="SZ249" s="6"/>
      <c r="TA249" s="6"/>
      <c r="TB249" s="6"/>
      <c r="TC249" s="6"/>
      <c r="TD249" s="6"/>
      <c r="TE249" s="6"/>
      <c r="TF249" s="6"/>
      <c r="TG249" s="6"/>
      <c r="TH249" s="6"/>
      <c r="TI249" s="6"/>
      <c r="TJ249" s="6"/>
      <c r="TK249" s="6"/>
      <c r="TL249" s="6"/>
      <c r="TM249" s="6"/>
      <c r="TN249" s="6"/>
      <c r="TO249" s="6"/>
      <c r="TP249" s="6"/>
      <c r="TQ249" s="6"/>
      <c r="TR249" s="6"/>
      <c r="TS249" s="6"/>
      <c r="TT249" s="6"/>
      <c r="TU249" s="6"/>
      <c r="TV249" s="6"/>
      <c r="TW249" s="6"/>
      <c r="TX249" s="6"/>
      <c r="TY249" s="6"/>
      <c r="TZ249" s="6"/>
      <c r="UA249" s="6"/>
      <c r="UB249" s="6"/>
      <c r="UC249" s="6"/>
      <c r="UD249" s="6"/>
      <c r="UE249" s="6"/>
      <c r="UF249" s="6"/>
      <c r="UG249" s="6"/>
      <c r="UH249" s="6"/>
      <c r="UI249" s="6"/>
      <c r="UJ249" s="6"/>
      <c r="UK249" s="6"/>
      <c r="UL249" s="6"/>
      <c r="UM249" s="6"/>
      <c r="UN249" s="6"/>
      <c r="UO249" s="6"/>
      <c r="UP249" s="6"/>
      <c r="UQ249" s="6"/>
      <c r="UR249" s="6"/>
      <c r="US249" s="6"/>
      <c r="UT249" s="6"/>
      <c r="UU249" s="6"/>
      <c r="UV249" s="6"/>
      <c r="UW249" s="6"/>
      <c r="UX249" s="6"/>
      <c r="UY249" s="6"/>
      <c r="UZ249" s="6"/>
      <c r="VA249" s="6"/>
      <c r="VB249" s="6"/>
      <c r="VC249" s="6"/>
      <c r="VD249" s="6"/>
      <c r="VE249" s="6"/>
      <c r="VF249" s="6"/>
      <c r="VG249" s="6"/>
      <c r="VH249" s="6"/>
      <c r="VI249" s="6"/>
      <c r="VJ249" s="6"/>
      <c r="VK249" s="6"/>
      <c r="VL249" s="6"/>
      <c r="VM249" s="6"/>
      <c r="VN249" s="6"/>
      <c r="VO249" s="6"/>
      <c r="VP249" s="6"/>
      <c r="VQ249" s="6"/>
      <c r="VR249" s="6"/>
      <c r="VS249" s="6"/>
      <c r="VT249" s="6"/>
      <c r="VU249" s="6"/>
      <c r="VV249" s="6"/>
      <c r="VW249" s="6"/>
      <c r="VX249" s="6"/>
      <c r="VY249" s="6"/>
      <c r="VZ249" s="6"/>
      <c r="WA249" s="6"/>
      <c r="WB249" s="6"/>
      <c r="WC249" s="6"/>
      <c r="WD249" s="6"/>
      <c r="WE249" s="6"/>
      <c r="WF249" s="6"/>
      <c r="WG249" s="6"/>
      <c r="WH249" s="6"/>
      <c r="WI249" s="6"/>
      <c r="WJ249" s="6"/>
      <c r="WK249" s="6"/>
      <c r="WL249" s="6"/>
      <c r="WM249" s="6"/>
      <c r="WN249" s="6"/>
      <c r="WO249" s="6"/>
      <c r="WP249" s="6"/>
      <c r="WQ249" s="6"/>
      <c r="WR249" s="6"/>
      <c r="WS249" s="6"/>
      <c r="WT249" s="6"/>
      <c r="WU249" s="6"/>
      <c r="WV249" s="6"/>
      <c r="WW249" s="6"/>
      <c r="WX249" s="6"/>
      <c r="WY249" s="6"/>
      <c r="WZ249" s="6"/>
      <c r="XA249" s="6"/>
      <c r="XB249" s="6"/>
      <c r="XC249" s="6"/>
      <c r="XD249" s="6"/>
      <c r="XE249" s="6"/>
      <c r="XF249" s="6"/>
      <c r="XG249" s="6"/>
      <c r="XH249" s="6"/>
      <c r="XI249" s="6"/>
      <c r="XJ249" s="6"/>
      <c r="XK249" s="6"/>
      <c r="XL249" s="6"/>
      <c r="XM249" s="6"/>
      <c r="XN249" s="6"/>
      <c r="XO249" s="6"/>
      <c r="XP249" s="6"/>
      <c r="XQ249" s="6"/>
      <c r="XR249" s="6"/>
      <c r="XS249" s="6"/>
      <c r="XT249" s="6"/>
      <c r="XU249" s="6"/>
      <c r="XV249" s="6"/>
      <c r="XW249" s="6"/>
      <c r="XX249" s="6"/>
      <c r="XY249" s="6"/>
      <c r="XZ249" s="6"/>
      <c r="YA249" s="6"/>
      <c r="YB249" s="6"/>
      <c r="YC249" s="6"/>
      <c r="YD249" s="6"/>
      <c r="YE249" s="6"/>
      <c r="YF249" s="6"/>
      <c r="YG249" s="6"/>
      <c r="YH249" s="6"/>
      <c r="YI249" s="6"/>
      <c r="YJ249" s="6"/>
      <c r="YK249" s="6"/>
      <c r="YL249" s="6"/>
      <c r="YM249" s="6"/>
      <c r="YN249" s="6"/>
      <c r="YO249" s="6"/>
      <c r="YP249" s="6"/>
      <c r="YQ249" s="6"/>
      <c r="YR249" s="6"/>
      <c r="YS249" s="6"/>
      <c r="YT249" s="6"/>
      <c r="YU249" s="6"/>
      <c r="YV249" s="6"/>
      <c r="YW249" s="6"/>
      <c r="YX249" s="6"/>
      <c r="YY249" s="6"/>
      <c r="YZ249" s="6"/>
      <c r="ZA249" s="6"/>
      <c r="ZB249" s="6"/>
      <c r="ZC249" s="6"/>
      <c r="ZD249" s="6"/>
      <c r="ZE249" s="6"/>
      <c r="ZF249" s="6"/>
      <c r="ZG249" s="6"/>
      <c r="ZH249" s="6"/>
      <c r="ZI249" s="6"/>
      <c r="ZJ249" s="6"/>
      <c r="ZK249" s="6"/>
      <c r="ZL249" s="6"/>
      <c r="ZM249" s="6"/>
      <c r="ZN249" s="6"/>
      <c r="ZO249" s="6"/>
      <c r="ZP249" s="6"/>
      <c r="ZQ249" s="6"/>
      <c r="ZR249" s="6"/>
      <c r="ZS249" s="6"/>
      <c r="ZT249" s="6"/>
      <c r="ZU249" s="6"/>
      <c r="ZV249" s="6"/>
      <c r="ZW249" s="6"/>
      <c r="ZX249" s="6"/>
      <c r="ZY249" s="6"/>
      <c r="ZZ249" s="6"/>
      <c r="AAA249" s="6"/>
      <c r="AAB249" s="6"/>
      <c r="AAC249" s="6"/>
      <c r="AAD249" s="6"/>
      <c r="AAE249" s="6"/>
      <c r="AAF249" s="6"/>
      <c r="AAG249" s="6"/>
      <c r="AAH249" s="6"/>
      <c r="AAI249" s="6"/>
      <c r="AAJ249" s="6"/>
      <c r="AAK249" s="6"/>
      <c r="AAL249" s="6"/>
      <c r="AAM249" s="6"/>
      <c r="AAN249" s="6"/>
      <c r="AAO249" s="6"/>
      <c r="AAP249" s="6"/>
      <c r="AAQ249" s="6"/>
      <c r="AAR249" s="6"/>
      <c r="AAS249" s="6"/>
      <c r="AAT249" s="6"/>
      <c r="AAU249" s="6"/>
      <c r="AAV249" s="6"/>
      <c r="AAW249" s="6"/>
      <c r="AAX249" s="6"/>
      <c r="AAY249" s="6"/>
      <c r="AAZ249" s="6"/>
      <c r="ABA249" s="6"/>
      <c r="ABB249" s="6"/>
      <c r="ABC249" s="6"/>
      <c r="ABD249" s="6"/>
      <c r="ABE249" s="6"/>
      <c r="ABF249" s="6"/>
      <c r="ABG249" s="6"/>
      <c r="ABH249" s="6"/>
      <c r="ABI249" s="6"/>
      <c r="ABJ249" s="6"/>
      <c r="ABK249" s="6"/>
      <c r="ABL249" s="6"/>
      <c r="ABM249" s="6"/>
      <c r="ABN249" s="6"/>
      <c r="ABO249" s="6"/>
      <c r="ABP249" s="6"/>
      <c r="ABQ249" s="6"/>
      <c r="ABR249" s="6"/>
      <c r="ABS249" s="6"/>
      <c r="ABT249" s="6"/>
      <c r="ABU249" s="6"/>
      <c r="ABV249" s="6"/>
      <c r="ABW249" s="6"/>
      <c r="ABX249" s="6"/>
      <c r="ABY249" s="6"/>
      <c r="ABZ249" s="6"/>
      <c r="ACA249" s="6"/>
      <c r="ACB249" s="6"/>
      <c r="ACC249" s="6"/>
      <c r="ACD249" s="6"/>
      <c r="ACE249" s="6"/>
      <c r="ACF249" s="6"/>
      <c r="ACG249" s="6"/>
      <c r="ACH249" s="6"/>
      <c r="ACI249" s="6"/>
      <c r="ACJ249" s="6"/>
      <c r="ACK249" s="6"/>
      <c r="ACL249" s="6"/>
      <c r="ACM249" s="6"/>
      <c r="ACN249" s="6"/>
      <c r="ACO249" s="6"/>
      <c r="ACP249" s="6"/>
      <c r="ACQ249" s="6"/>
      <c r="ACR249" s="6"/>
      <c r="ACS249" s="6"/>
      <c r="ACT249" s="6"/>
      <c r="ACU249" s="6"/>
      <c r="ACV249" s="6"/>
      <c r="ACW249" s="6"/>
      <c r="ACX249" s="6"/>
      <c r="ACY249" s="6"/>
      <c r="ACZ249" s="6"/>
      <c r="ADA249" s="6"/>
      <c r="ADB249" s="6"/>
      <c r="ADC249" s="6"/>
      <c r="ADD249" s="6"/>
      <c r="ADE249" s="6"/>
      <c r="ADF249" s="6"/>
      <c r="ADG249" s="6"/>
      <c r="ADH249" s="6"/>
      <c r="ADI249" s="6"/>
      <c r="ADJ249" s="6"/>
      <c r="ADK249" s="6"/>
      <c r="ADL249" s="6"/>
      <c r="ADM249" s="6"/>
      <c r="ADN249" s="6"/>
      <c r="ADO249" s="6"/>
      <c r="ADP249" s="6"/>
      <c r="ADQ249" s="6"/>
      <c r="ADR249" s="6"/>
      <c r="ADS249" s="6"/>
      <c r="ADT249" s="6"/>
      <c r="ADU249" s="6"/>
      <c r="ADV249" s="6"/>
      <c r="ADW249" s="6"/>
      <c r="ADX249" s="6"/>
      <c r="ADY249" s="6"/>
      <c r="ADZ249" s="6"/>
      <c r="AEA249" s="6"/>
      <c r="AEB249" s="6"/>
      <c r="AEC249" s="6"/>
      <c r="AED249" s="6"/>
      <c r="AEE249" s="6"/>
      <c r="AEF249" s="6"/>
      <c r="AEG249" s="6"/>
      <c r="AEH249" s="6"/>
      <c r="AEI249" s="6"/>
      <c r="AEJ249" s="6"/>
      <c r="AEK249" s="6"/>
      <c r="AEL249" s="6"/>
      <c r="AEM249" s="6"/>
      <c r="AEN249" s="6"/>
      <c r="AEO249" s="6"/>
      <c r="AEP249" s="6"/>
      <c r="AEQ249" s="6"/>
      <c r="AER249" s="6"/>
      <c r="AES249" s="6"/>
      <c r="AET249" s="6"/>
      <c r="AEU249" s="6"/>
      <c r="AEV249" s="6"/>
      <c r="AEW249" s="6"/>
      <c r="AEX249" s="6"/>
      <c r="AEY249" s="6"/>
      <c r="AEZ249" s="6"/>
      <c r="AFA249" s="6"/>
      <c r="AFB249" s="6"/>
      <c r="AFC249" s="6"/>
      <c r="AFD249" s="6"/>
      <c r="AFE249" s="6"/>
      <c r="AFF249" s="6"/>
      <c r="AFG249" s="6"/>
      <c r="AFH249" s="6"/>
      <c r="AFI249" s="6"/>
      <c r="AFJ249" s="6"/>
      <c r="AFK249" s="6"/>
      <c r="AFL249" s="6"/>
      <c r="AFM249" s="6"/>
      <c r="AFN249" s="6"/>
      <c r="AFO249" s="6"/>
      <c r="AFP249" s="6"/>
      <c r="AFQ249" s="6"/>
      <c r="AFR249" s="6"/>
      <c r="AFS249" s="6"/>
      <c r="AFT249" s="6"/>
      <c r="AFU249" s="6"/>
      <c r="AFV249" s="6"/>
      <c r="AFW249" s="6"/>
      <c r="AFX249" s="6"/>
      <c r="AFY249" s="6"/>
      <c r="AFZ249" s="6"/>
      <c r="AGA249" s="6"/>
      <c r="AGB249" s="6"/>
      <c r="AGC249" s="6"/>
      <c r="AGD249" s="6"/>
      <c r="AGE249" s="6"/>
      <c r="AGF249" s="6"/>
      <c r="AGG249" s="6"/>
      <c r="AGH249" s="6"/>
      <c r="AGI249" s="6"/>
      <c r="AGJ249" s="6"/>
      <c r="AGK249" s="6"/>
      <c r="AGL249" s="6"/>
      <c r="AGM249" s="6"/>
      <c r="AGN249" s="6"/>
      <c r="AGO249" s="6"/>
      <c r="AGP249" s="6"/>
      <c r="AGQ249" s="6"/>
      <c r="AGR249" s="6"/>
      <c r="AGS249" s="6"/>
      <c r="AGT249" s="6"/>
      <c r="AGU249" s="6"/>
      <c r="AGV249" s="6"/>
      <c r="AGW249" s="6"/>
      <c r="AGX249" s="6"/>
      <c r="AGY249" s="6"/>
      <c r="AGZ249" s="6"/>
      <c r="AHA249" s="6"/>
      <c r="AHB249" s="6"/>
      <c r="AHC249" s="6"/>
      <c r="AHD249" s="6"/>
      <c r="AHE249" s="6"/>
      <c r="AHF249" s="6"/>
      <c r="AHG249" s="6"/>
      <c r="AHH249" s="6"/>
      <c r="AHI249" s="6"/>
      <c r="AHJ249" s="6"/>
      <c r="AHK249" s="6"/>
      <c r="AHL249" s="6"/>
      <c r="AHM249" s="6"/>
      <c r="AHN249" s="6"/>
      <c r="AHO249" s="6"/>
      <c r="AHP249" s="6"/>
      <c r="AHQ249" s="6"/>
      <c r="AHR249" s="6"/>
      <c r="AHS249" s="6"/>
      <c r="AHT249" s="6"/>
      <c r="AHU249" s="6"/>
      <c r="AHV249" s="6"/>
      <c r="AHW249" s="6"/>
      <c r="AHX249" s="6"/>
      <c r="AHY249" s="6"/>
      <c r="AHZ249" s="6"/>
      <c r="AIA249" s="6"/>
      <c r="AIB249" s="6"/>
      <c r="AIC249" s="6"/>
      <c r="AID249" s="6"/>
      <c r="AIE249" s="6"/>
      <c r="AIF249" s="6"/>
      <c r="AIG249" s="6"/>
      <c r="AIH249" s="6"/>
      <c r="AII249" s="6"/>
      <c r="AIJ249" s="6"/>
      <c r="AIK249" s="6"/>
      <c r="AIL249" s="6"/>
      <c r="AIM249" s="6"/>
      <c r="AIN249" s="6"/>
      <c r="AIO249" s="6"/>
      <c r="AIP249" s="6"/>
      <c r="AIQ249" s="6"/>
      <c r="AIR249" s="6"/>
      <c r="AIS249" s="6"/>
      <c r="AIT249" s="6"/>
      <c r="AIU249" s="6"/>
      <c r="AIV249" s="6"/>
      <c r="AIW249" s="6"/>
      <c r="AIX249" s="6"/>
      <c r="AIY249" s="6"/>
      <c r="AIZ249" s="6"/>
      <c r="AJA249" s="6"/>
      <c r="AJB249" s="6"/>
      <c r="AJC249" s="6"/>
      <c r="AJD249" s="6"/>
      <c r="AJE249" s="6"/>
      <c r="AJF249" s="6"/>
      <c r="AJG249" s="6"/>
      <c r="AJH249" s="6"/>
      <c r="AJI249" s="6"/>
      <c r="AJJ249" s="6"/>
      <c r="AJK249" s="6"/>
      <c r="AJL249" s="6"/>
      <c r="AJM249" s="6"/>
      <c r="AJN249" s="6"/>
      <c r="AJO249" s="6"/>
      <c r="AJP249" s="6"/>
      <c r="AJQ249" s="6"/>
      <c r="AJR249" s="6"/>
      <c r="AJS249" s="6"/>
      <c r="AJT249" s="6"/>
      <c r="AJU249" s="6"/>
      <c r="AJV249" s="6"/>
      <c r="AJW249" s="6"/>
      <c r="AJX249" s="6"/>
      <c r="AJY249" s="6"/>
      <c r="AJZ249" s="6"/>
      <c r="AKA249" s="6"/>
      <c r="AKB249" s="6"/>
      <c r="AKC249" s="6"/>
      <c r="AKD249" s="6"/>
      <c r="AKE249" s="6"/>
      <c r="AKF249" s="6"/>
      <c r="AKG249" s="6"/>
      <c r="AKH249" s="6"/>
      <c r="AKI249" s="6"/>
      <c r="AKJ249" s="6"/>
      <c r="AKK249" s="6"/>
      <c r="AKL249" s="6"/>
      <c r="AKM249" s="6"/>
      <c r="AKN249" s="6"/>
      <c r="AKO249" s="6"/>
      <c r="AKP249" s="6"/>
      <c r="AKQ249" s="6"/>
      <c r="AKR249" s="6"/>
      <c r="AKS249" s="6"/>
      <c r="AKT249" s="6"/>
      <c r="AKU249" s="6"/>
      <c r="AKV249" s="6"/>
      <c r="AKW249" s="6"/>
      <c r="AKX249" s="6"/>
      <c r="AKY249" s="6"/>
      <c r="AKZ249" s="6"/>
      <c r="ALA249" s="6"/>
      <c r="ALB249" s="6"/>
      <c r="ALC249" s="6"/>
      <c r="ALD249" s="6"/>
      <c r="ALE249" s="6"/>
      <c r="ALF249" s="6"/>
      <c r="ALG249" s="6"/>
      <c r="ALH249" s="6"/>
      <c r="ALI249" s="6"/>
      <c r="ALJ249" s="6"/>
      <c r="ALK249" s="6"/>
      <c r="ALL249" s="6"/>
      <c r="ALM249" s="6"/>
      <c r="ALN249" s="6"/>
      <c r="ALO249" s="6"/>
      <c r="ALP249" s="6"/>
      <c r="ALQ249" s="6"/>
      <c r="ALR249" s="6"/>
      <c r="ALS249" s="6"/>
      <c r="ALT249" s="6"/>
      <c r="ALU249" s="6"/>
      <c r="ALV249" s="6"/>
      <c r="ALW249" s="6"/>
      <c r="ALX249" s="6"/>
      <c r="ALY249" s="6"/>
      <c r="ALZ249" s="6"/>
      <c r="AMA249" s="6"/>
      <c r="AMB249" s="6"/>
      <c r="AMC249" s="6"/>
      <c r="AMD249" s="6"/>
      <c r="AME249" s="6"/>
      <c r="AMF249" s="6"/>
      <c r="AMG249" s="6"/>
      <c r="AMH249" s="6"/>
      <c r="AMI249" s="6"/>
      <c r="AMJ249" s="6"/>
      <c r="AMK249" s="6"/>
      <c r="AML249" s="6"/>
      <c r="AMM249" s="6"/>
      <c r="AMN249" s="6"/>
      <c r="AMO249" s="6"/>
      <c r="AMP249" s="6"/>
    </row>
    <row r="250" spans="1:1030" x14ac:dyDescent="0.2">
      <c r="A250" s="3" t="str">
        <f t="shared" si="1061"/>
        <v>opsd_bovin_3DQB</v>
      </c>
      <c r="B250" s="3" t="s">
        <v>919</v>
      </c>
      <c r="C250" s="3" t="s">
        <v>54</v>
      </c>
      <c r="D250" s="3" t="str">
        <f>IFERROR(MID(VLOOKUP($B250,Seqs!$A:$B,2,0),E250,1),"")</f>
        <v>E</v>
      </c>
      <c r="E250" s="105">
        <v>33</v>
      </c>
      <c r="F250" s="3" t="str">
        <f>IFERROR(MID(VLOOKUP($B250,Seqs!$A:$B,2,0),G250,1),"")</f>
        <v>H</v>
      </c>
      <c r="G250" s="3">
        <v>65</v>
      </c>
      <c r="H250" s="3" t="str">
        <f>IFERROR(MID(VLOOKUP($B250,Seqs!$A:$B,2,0),I250,1),"")</f>
        <v>K</v>
      </c>
      <c r="I250" s="23">
        <v>66</v>
      </c>
      <c r="J250" s="3" t="str">
        <f>IFERROR(MID(VLOOKUP($B250,Seqs!$A:$B,2,0),K250,1),"")</f>
        <v>R</v>
      </c>
      <c r="K250" s="23">
        <v>69</v>
      </c>
      <c r="L250" s="3" t="str">
        <f>IFERROR(MID(VLOOKUP($B250,Seqs!$A:$B,2,0),M250,1),"")</f>
        <v>T</v>
      </c>
      <c r="M250" s="3">
        <v>70</v>
      </c>
      <c r="N250" s="3" t="str">
        <f>IFERROR(MID(VLOOKUP($B250,Seqs!$A:$B,2,0),O250,1),"")</f>
        <v>H</v>
      </c>
      <c r="O250" s="3">
        <v>100</v>
      </c>
      <c r="P250" s="3" t="str">
        <f>IFERROR(MID(VLOOKUP($B250,Seqs!$A:$B,2,0),Q250,1),"")</f>
        <v>Y</v>
      </c>
      <c r="Q250" s="3">
        <v>102</v>
      </c>
      <c r="R250" s="3" t="str">
        <f>IFERROR(MID(VLOOKUP($B250,Seqs!$A:$B,2,0),S250,1),"")</f>
        <v>F</v>
      </c>
      <c r="S250" s="3">
        <v>105</v>
      </c>
      <c r="T250" s="3" t="str">
        <f>IFERROR(MID(VLOOKUP($B250,Seqs!$A:$B,2,0),U250,1),"")</f>
        <v>G</v>
      </c>
      <c r="U250" s="3">
        <v>106</v>
      </c>
      <c r="V250" s="3" t="str">
        <f>IFERROR(MID(VLOOKUP($B250,Seqs!$A:$B,2,0),W250,1),"")</f>
        <v>K</v>
      </c>
      <c r="W250" s="3">
        <v>141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G</v>
      </c>
      <c r="AC250" s="9">
        <v>149</v>
      </c>
      <c r="AD250" s="3" t="str">
        <f>IFERROR(MID(VLOOKUP($B250,Seqs!$A:$B,2,0),AE250,1),"")</f>
        <v>V</v>
      </c>
      <c r="AE250" s="3">
        <v>173</v>
      </c>
      <c r="AF250" s="3" t="str">
        <f>IFERROR(MID(VLOOKUP($B250,Seqs!$A:$B,2,0),AG250,1),"")</f>
        <v>C</v>
      </c>
      <c r="AG250" s="3">
        <v>187</v>
      </c>
      <c r="AH250" s="3" t="str">
        <f>IFERROR(MID(VLOOKUP($B250,Seqs!$A:$B,2,0),AI250,1),"")</f>
        <v>I</v>
      </c>
      <c r="AI250" s="3">
        <v>189</v>
      </c>
      <c r="AJ250" s="3" t="str">
        <f>IFERROR(MID(VLOOKUP($B250,Seqs!$A:$B,2,0),AK250,1),"")</f>
        <v>N</v>
      </c>
      <c r="AK250" s="3">
        <v>199</v>
      </c>
      <c r="AL250" s="3" t="str">
        <f>IFERROR(MID(VLOOKUP($B250,Seqs!$A:$B,2,0),AM250,1),"")</f>
        <v>Q</v>
      </c>
      <c r="AM250" s="3">
        <v>237</v>
      </c>
      <c r="AN250" s="3" t="str">
        <f>IFERROR(MID(VLOOKUP($B250,Seqs!$A:$B,2,0),AO250,1),"")</f>
        <v>A</v>
      </c>
      <c r="AO250" s="3">
        <v>241</v>
      </c>
      <c r="AP250" s="3" t="str">
        <f>IFERROR(MID(VLOOKUP($B250,Seqs!$A:$B,2,0),AQ250,1),"")</f>
        <v>H</v>
      </c>
      <c r="AQ250" s="3">
        <v>278</v>
      </c>
      <c r="AR250" s="3" t="str">
        <f>IFERROR(MID(VLOOKUP($B250,Seqs!$A:$B,2,0),AS250,1),"")</f>
        <v>G</v>
      </c>
      <c r="AS250" s="3">
        <v>284</v>
      </c>
      <c r="AT250" s="3" t="str">
        <f>IFERROR(MID(VLOOKUP($B250,Seqs!$A:$B,2,0),AU250,1),"")</f>
        <v>M</v>
      </c>
      <c r="AU250" s="3">
        <v>309</v>
      </c>
      <c r="AV250" s="3" t="str">
        <f>IFERROR(MID(VLOOKUP($B250,Seqs!$A:$B,2,0),AW250,1),"")</f>
        <v>N</v>
      </c>
      <c r="AW250" s="3">
        <v>310</v>
      </c>
      <c r="AX250" s="3" t="str">
        <f>IFERROR(MID(VLOOKUP($B250,Seqs!$A:$B,2,0),AY250,1),"")</f>
        <v>C</v>
      </c>
      <c r="AY250" s="3">
        <v>322</v>
      </c>
      <c r="AZ250" s="77" t="str">
        <f>VLOOKUP(B250,Classification!A:D,2,0)</f>
        <v>A</v>
      </c>
      <c r="BA250" s="94" t="str">
        <f>VLOOKUP(B250,Classification!A:D,4,0)</f>
        <v>Opsins</v>
      </c>
      <c r="BB250" s="27" t="b">
        <f t="shared" si="1062"/>
        <v>1</v>
      </c>
      <c r="BC250" s="23">
        <f>_xlfn.AGGREGATE(9,6,CH250:CS250)-_xlfn.AGGREGATE(9,6,BV250:CG250)+12</f>
        <v>253</v>
      </c>
      <c r="BD250" s="74" t="s">
        <v>23</v>
      </c>
      <c r="BE250" s="3" t="s">
        <v>1291</v>
      </c>
      <c r="BF250" s="119">
        <v>3.2</v>
      </c>
      <c r="BG250" s="49" t="s">
        <v>1377</v>
      </c>
      <c r="BH250" s="49" t="s">
        <v>1377</v>
      </c>
      <c r="BI250" s="1"/>
      <c r="BJ250" s="70" t="s">
        <v>1287</v>
      </c>
      <c r="BK250" s="57" t="s">
        <v>1287</v>
      </c>
      <c r="BL250" s="57" t="s">
        <v>1287</v>
      </c>
      <c r="BM250" s="57" t="s">
        <v>1287</v>
      </c>
      <c r="BN250" s="57" t="s">
        <v>1287</v>
      </c>
      <c r="BO250" s="57" t="s">
        <v>1287</v>
      </c>
      <c r="BP250" s="57" t="s">
        <v>1287</v>
      </c>
      <c r="BQ250" s="57" t="s">
        <v>1287</v>
      </c>
      <c r="BR250" s="57" t="s">
        <v>1287</v>
      </c>
      <c r="BS250" s="57" t="s">
        <v>1287</v>
      </c>
      <c r="BT250" s="57" t="s">
        <v>1287</v>
      </c>
      <c r="BU250" s="57" t="s">
        <v>1287</v>
      </c>
      <c r="BV250" s="70">
        <f>E250</f>
        <v>33</v>
      </c>
      <c r="BW250" s="71">
        <f>I250</f>
        <v>66</v>
      </c>
      <c r="BX250" s="72">
        <f>M250</f>
        <v>70</v>
      </c>
      <c r="BY250" s="71">
        <f>Q250</f>
        <v>102</v>
      </c>
      <c r="BZ250" s="72">
        <f>U250</f>
        <v>106</v>
      </c>
      <c r="CA250" s="71" t="str">
        <f>Y250</f>
        <v>-</v>
      </c>
      <c r="CB250" s="72">
        <f>AC250</f>
        <v>149</v>
      </c>
      <c r="CC250" s="71">
        <f>AG250</f>
        <v>187</v>
      </c>
      <c r="CD250" s="72">
        <f>AK250</f>
        <v>199</v>
      </c>
      <c r="CE250" s="71">
        <f>AO250</f>
        <v>241</v>
      </c>
      <c r="CF250" s="72">
        <f>AS250</f>
        <v>284</v>
      </c>
      <c r="CG250" s="71">
        <f>AW250</f>
        <v>310</v>
      </c>
      <c r="CH250" s="70">
        <f>G250</f>
        <v>65</v>
      </c>
      <c r="CI250" s="71">
        <f>K250</f>
        <v>69</v>
      </c>
      <c r="CJ250" s="72">
        <f>O250</f>
        <v>100</v>
      </c>
      <c r="CK250" s="72">
        <f>S250</f>
        <v>105</v>
      </c>
      <c r="CL250" s="72">
        <f>W250</f>
        <v>141</v>
      </c>
      <c r="CM250" s="72" t="str">
        <f>AA250</f>
        <v>-</v>
      </c>
      <c r="CN250" s="72">
        <f>AE250</f>
        <v>173</v>
      </c>
      <c r="CO250" s="72">
        <f>AI250</f>
        <v>189</v>
      </c>
      <c r="CP250" s="72">
        <f>AM250</f>
        <v>237</v>
      </c>
      <c r="CQ250" s="72">
        <f>AQ250</f>
        <v>278</v>
      </c>
      <c r="CR250" s="72">
        <f>AU250</f>
        <v>309</v>
      </c>
      <c r="CS250" s="72">
        <f>AY250</f>
        <v>322</v>
      </c>
      <c r="CT250" s="23">
        <f>M250-K250</f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30" x14ac:dyDescent="0.2">
      <c r="A251" s="3" t="str">
        <f t="shared" si="1061"/>
        <v>opsd_bovin_3PQR</v>
      </c>
      <c r="B251" s="3" t="s">
        <v>919</v>
      </c>
      <c r="C251" s="3" t="s">
        <v>1032</v>
      </c>
      <c r="D251" s="3" t="str">
        <f>IFERROR(MID(VLOOKUP($B251,Seqs!$A:$B,2,0),E251,1),"")</f>
        <v>E</v>
      </c>
      <c r="E251" s="105">
        <v>33</v>
      </c>
      <c r="F251" s="3" t="str">
        <f>IFERROR(MID(VLOOKUP($B251,Seqs!$A:$B,2,0),G251,1),"")</f>
        <v>H</v>
      </c>
      <c r="G251" s="3">
        <v>65</v>
      </c>
      <c r="H251" s="3" t="str">
        <f>IFERROR(MID(VLOOKUP($B251,Seqs!$A:$B,2,0),I251,1),"")</f>
        <v>K</v>
      </c>
      <c r="I251" s="23">
        <v>66</v>
      </c>
      <c r="J251" s="3" t="str">
        <f>IFERROR(MID(VLOOKUP($B251,Seqs!$A:$B,2,0),K251,1),"")</f>
        <v>R</v>
      </c>
      <c r="K251" s="23">
        <v>69</v>
      </c>
      <c r="L251" s="3" t="str">
        <f>IFERROR(MID(VLOOKUP($B251,Seqs!$A:$B,2,0),M251,1),"")</f>
        <v>T</v>
      </c>
      <c r="M251" s="3">
        <v>70</v>
      </c>
      <c r="N251" s="3" t="str">
        <f>IFERROR(MID(VLOOKUP($B251,Seqs!$A:$B,2,0),O251,1),"")</f>
        <v>H</v>
      </c>
      <c r="O251" s="3">
        <v>100</v>
      </c>
      <c r="P251" s="3" t="str">
        <f>IFERROR(MID(VLOOKUP($B251,Seqs!$A:$B,2,0),Q251,1),"")</f>
        <v>Y</v>
      </c>
      <c r="Q251" s="3">
        <v>102</v>
      </c>
      <c r="R251" s="3" t="str">
        <f>IFERROR(MID(VLOOKUP($B251,Seqs!$A:$B,2,0),S251,1),"")</f>
        <v>F</v>
      </c>
      <c r="S251" s="3">
        <v>105</v>
      </c>
      <c r="T251" s="3" t="str">
        <f>IFERROR(MID(VLOOKUP($B251,Seqs!$A:$B,2,0),U251,1),"")</f>
        <v>G</v>
      </c>
      <c r="U251" s="3">
        <v>106</v>
      </c>
      <c r="V251" s="3" t="str">
        <f>IFERROR(MID(VLOOKUP($B251,Seqs!$A:$B,2,0),W251,1),"")</f>
        <v>K</v>
      </c>
      <c r="W251" s="3">
        <v>141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G</v>
      </c>
      <c r="AC251" s="9">
        <v>149</v>
      </c>
      <c r="AD251" s="3" t="str">
        <f>IFERROR(MID(VLOOKUP($B251,Seqs!$A:$B,2,0),AE251,1),"")</f>
        <v>V</v>
      </c>
      <c r="AE251" s="3">
        <v>173</v>
      </c>
      <c r="AF251" s="3" t="str">
        <f>IFERROR(MID(VLOOKUP($B251,Seqs!$A:$B,2,0),AG251,1),"")</f>
        <v>C</v>
      </c>
      <c r="AG251" s="3">
        <v>187</v>
      </c>
      <c r="AH251" s="3" t="str">
        <f>IFERROR(MID(VLOOKUP($B251,Seqs!$A:$B,2,0),AI251,1),"")</f>
        <v>I</v>
      </c>
      <c r="AI251" s="3">
        <v>189</v>
      </c>
      <c r="AJ251" s="3" t="str">
        <f>IFERROR(MID(VLOOKUP($B251,Seqs!$A:$B,2,0),AK251,1),"")</f>
        <v>N</v>
      </c>
      <c r="AK251" s="3">
        <v>199</v>
      </c>
      <c r="AL251" s="3" t="str">
        <f>IFERROR(MID(VLOOKUP($B251,Seqs!$A:$B,2,0),AM251,1),"")</f>
        <v>Q</v>
      </c>
      <c r="AM251" s="3">
        <v>237</v>
      </c>
      <c r="AN251" s="3" t="str">
        <f>IFERROR(MID(VLOOKUP($B251,Seqs!$A:$B,2,0),AO251,1),"")</f>
        <v>A</v>
      </c>
      <c r="AO251" s="3">
        <v>241</v>
      </c>
      <c r="AP251" s="3" t="str">
        <f>IFERROR(MID(VLOOKUP($B251,Seqs!$A:$B,2,0),AQ251,1),"")</f>
        <v>H</v>
      </c>
      <c r="AQ251" s="3">
        <v>278</v>
      </c>
      <c r="AR251" s="3" t="str">
        <f>IFERROR(MID(VLOOKUP($B251,Seqs!$A:$B,2,0),AS251,1),"")</f>
        <v>G</v>
      </c>
      <c r="AS251" s="3">
        <v>284</v>
      </c>
      <c r="AT251" s="3" t="str">
        <f>IFERROR(MID(VLOOKUP($B251,Seqs!$A:$B,2,0),AU251,1),"")</f>
        <v>M</v>
      </c>
      <c r="AU251" s="3">
        <v>309</v>
      </c>
      <c r="AV251" s="3" t="str">
        <f>IFERROR(MID(VLOOKUP($B251,Seqs!$A:$B,2,0),AW251,1),"")</f>
        <v>N</v>
      </c>
      <c r="AW251" s="3">
        <v>310</v>
      </c>
      <c r="AX251" s="3" t="str">
        <f>IFERROR(MID(VLOOKUP($B251,Seqs!$A:$B,2,0),AY251,1),"")</f>
        <v>C</v>
      </c>
      <c r="AY251" s="3">
        <v>322</v>
      </c>
      <c r="AZ251" s="77" t="str">
        <f>VLOOKUP(B251,Classification!A:D,2,0)</f>
        <v>A</v>
      </c>
      <c r="BA251" s="94" t="str">
        <f>VLOOKUP(B251,Classification!A:D,4,0)</f>
        <v>Opsins</v>
      </c>
      <c r="BB251" s="27" t="b">
        <f t="shared" si="1062"/>
        <v>1</v>
      </c>
      <c r="BC251" s="23">
        <f>_xlfn.AGGREGATE(9,6,CH251:CS251)-_xlfn.AGGREGATE(9,6,BV251:CG251)+12</f>
        <v>253</v>
      </c>
      <c r="BD251" s="4" t="s">
        <v>23</v>
      </c>
      <c r="BE251" s="3" t="s">
        <v>1291</v>
      </c>
      <c r="BF251" s="119">
        <v>2.85</v>
      </c>
      <c r="BG251" s="49" t="s">
        <v>1377</v>
      </c>
      <c r="BH251" s="49" t="s">
        <v>1377</v>
      </c>
      <c r="BI251" s="1"/>
      <c r="BJ251" s="70" t="s">
        <v>1287</v>
      </c>
      <c r="BK251" s="57" t="s">
        <v>1287</v>
      </c>
      <c r="BL251" s="57" t="s">
        <v>1287</v>
      </c>
      <c r="BM251" s="57" t="s">
        <v>1287</v>
      </c>
      <c r="BN251" s="57" t="s">
        <v>1287</v>
      </c>
      <c r="BO251" s="57" t="s">
        <v>1287</v>
      </c>
      <c r="BP251" s="57" t="s">
        <v>1287</v>
      </c>
      <c r="BQ251" s="57" t="s">
        <v>1287</v>
      </c>
      <c r="BR251" s="57" t="s">
        <v>1287</v>
      </c>
      <c r="BS251" s="57" t="s">
        <v>1287</v>
      </c>
      <c r="BT251" s="57" t="s">
        <v>1287</v>
      </c>
      <c r="BU251" s="57" t="s">
        <v>1287</v>
      </c>
      <c r="BV251" s="70">
        <f>E251</f>
        <v>33</v>
      </c>
      <c r="BW251" s="71">
        <f>I251</f>
        <v>66</v>
      </c>
      <c r="BX251" s="72">
        <f>M251</f>
        <v>70</v>
      </c>
      <c r="BY251" s="71">
        <f>Q251</f>
        <v>102</v>
      </c>
      <c r="BZ251" s="72">
        <f>U251</f>
        <v>106</v>
      </c>
      <c r="CA251" s="71" t="str">
        <f>Y251</f>
        <v>-</v>
      </c>
      <c r="CB251" s="72">
        <f>AC251</f>
        <v>149</v>
      </c>
      <c r="CC251" s="71">
        <f>AG251</f>
        <v>187</v>
      </c>
      <c r="CD251" s="72">
        <f>AK251</f>
        <v>199</v>
      </c>
      <c r="CE251" s="71">
        <f>AO251</f>
        <v>241</v>
      </c>
      <c r="CF251" s="72">
        <f>AS251</f>
        <v>284</v>
      </c>
      <c r="CG251" s="71">
        <f>AW251</f>
        <v>310</v>
      </c>
      <c r="CH251" s="70">
        <f>G251</f>
        <v>65</v>
      </c>
      <c r="CI251" s="71">
        <f>K251</f>
        <v>69</v>
      </c>
      <c r="CJ251" s="72">
        <f>O251</f>
        <v>100</v>
      </c>
      <c r="CK251" s="72">
        <f>S251</f>
        <v>105</v>
      </c>
      <c r="CL251" s="72">
        <f>W251</f>
        <v>141</v>
      </c>
      <c r="CM251" s="72" t="str">
        <f>AA251</f>
        <v>-</v>
      </c>
      <c r="CN251" s="72">
        <f>AE251</f>
        <v>173</v>
      </c>
      <c r="CO251" s="72">
        <f>AI251</f>
        <v>189</v>
      </c>
      <c r="CP251" s="72">
        <f>AM251</f>
        <v>237</v>
      </c>
      <c r="CQ251" s="72">
        <f>AQ251</f>
        <v>278</v>
      </c>
      <c r="CR251" s="72">
        <f>AU251</f>
        <v>309</v>
      </c>
      <c r="CS251" s="72">
        <f>AY251</f>
        <v>322</v>
      </c>
      <c r="CT251" s="23">
        <f>M251-K251</f>
        <v>1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30" x14ac:dyDescent="0.2">
      <c r="A252" s="3" t="str">
        <f t="shared" si="1061"/>
        <v>opsd_bovin_4A4M</v>
      </c>
      <c r="B252" s="2" t="s">
        <v>919</v>
      </c>
      <c r="C252" s="3" t="s">
        <v>1370</v>
      </c>
      <c r="D252" s="3" t="str">
        <f>IFERROR(MID(VLOOKUP($B252,Seqs!$A:$B,2,0),E252,1),"")</f>
        <v>E</v>
      </c>
      <c r="E252" s="105">
        <v>33</v>
      </c>
      <c r="F252" s="3" t="str">
        <f>IFERROR(MID(VLOOKUP($B252,Seqs!$A:$B,2,0),G252,1),"")</f>
        <v>H</v>
      </c>
      <c r="G252" s="3">
        <v>65</v>
      </c>
      <c r="H252" s="3" t="str">
        <f>IFERROR(MID(VLOOKUP($B252,Seqs!$A:$B,2,0),I252,1),"")</f>
        <v>K</v>
      </c>
      <c r="I252" s="23">
        <v>66</v>
      </c>
      <c r="J252" s="3" t="str">
        <f>IFERROR(MID(VLOOKUP($B252,Seqs!$A:$B,2,0),K252,1),"")</f>
        <v>R</v>
      </c>
      <c r="K252" s="23">
        <v>69</v>
      </c>
      <c r="L252" s="3" t="str">
        <f>IFERROR(MID(VLOOKUP($B252,Seqs!$A:$B,2,0),M252,1),"")</f>
        <v>T</v>
      </c>
      <c r="M252" s="3">
        <v>70</v>
      </c>
      <c r="N252" s="3" t="str">
        <f>IFERROR(MID(VLOOKUP($B252,Seqs!$A:$B,2,0),O252,1),"")</f>
        <v>H</v>
      </c>
      <c r="O252" s="3">
        <v>100</v>
      </c>
      <c r="P252" s="3" t="str">
        <f>IFERROR(MID(VLOOKUP($B252,Seqs!$A:$B,2,0),Q252,1),"")</f>
        <v>Y</v>
      </c>
      <c r="Q252" s="3">
        <v>102</v>
      </c>
      <c r="R252" s="3" t="str">
        <f>IFERROR(MID(VLOOKUP($B252,Seqs!$A:$B,2,0),S252,1),"")</f>
        <v>F</v>
      </c>
      <c r="S252" s="3">
        <v>105</v>
      </c>
      <c r="T252" s="3" t="str">
        <f>IFERROR(MID(VLOOKUP($B252,Seqs!$A:$B,2,0),U252,1),"")</f>
        <v>G</v>
      </c>
      <c r="U252" s="3">
        <v>106</v>
      </c>
      <c r="V252" s="3" t="str">
        <f>IFERROR(MID(VLOOKUP($B252,Seqs!$A:$B,2,0),W252,1),"")</f>
        <v>K</v>
      </c>
      <c r="W252" s="3">
        <v>141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G</v>
      </c>
      <c r="AC252" s="9">
        <v>149</v>
      </c>
      <c r="AD252" s="3" t="str">
        <f>IFERROR(MID(VLOOKUP($B252,Seqs!$A:$B,2,0),AE252,1),"")</f>
        <v>V</v>
      </c>
      <c r="AE252" s="3">
        <v>173</v>
      </c>
      <c r="AF252" s="3" t="str">
        <f>IFERROR(MID(VLOOKUP($B252,Seqs!$A:$B,2,0),AG252,1),"")</f>
        <v>C</v>
      </c>
      <c r="AG252" s="3">
        <v>187</v>
      </c>
      <c r="AH252" s="3" t="str">
        <f>IFERROR(MID(VLOOKUP($B252,Seqs!$A:$B,2,0),AI252,1),"")</f>
        <v>I</v>
      </c>
      <c r="AI252" s="3">
        <v>189</v>
      </c>
      <c r="AJ252" s="3" t="str">
        <f>IFERROR(MID(VLOOKUP($B252,Seqs!$A:$B,2,0),AK252,1),"")</f>
        <v>N</v>
      </c>
      <c r="AK252" s="3">
        <v>199</v>
      </c>
      <c r="AL252" s="3" t="str">
        <f>IFERROR(MID(VLOOKUP($B252,Seqs!$A:$B,2,0),AM252,1),"")</f>
        <v>Q</v>
      </c>
      <c r="AM252" s="3">
        <v>237</v>
      </c>
      <c r="AN252" s="3" t="str">
        <f>IFERROR(MID(VLOOKUP($B252,Seqs!$A:$B,2,0),AO252,1),"")</f>
        <v>A</v>
      </c>
      <c r="AO252" s="3">
        <v>241</v>
      </c>
      <c r="AP252" s="3" t="str">
        <f>IFERROR(MID(VLOOKUP($B252,Seqs!$A:$B,2,0),AQ252,1),"")</f>
        <v>H</v>
      </c>
      <c r="AQ252" s="3">
        <v>278</v>
      </c>
      <c r="AR252" s="3" t="str">
        <f>IFERROR(MID(VLOOKUP($B252,Seqs!$A:$B,2,0),AS252,1),"")</f>
        <v>G</v>
      </c>
      <c r="AS252" s="3">
        <v>284</v>
      </c>
      <c r="AT252" s="3" t="str">
        <f>IFERROR(MID(VLOOKUP($B252,Seqs!$A:$B,2,0),AU252,1),"")</f>
        <v>M</v>
      </c>
      <c r="AU252" s="3">
        <v>309</v>
      </c>
      <c r="AV252" s="3" t="str">
        <f>IFERROR(MID(VLOOKUP($B252,Seqs!$A:$B,2,0),AW252,1),"")</f>
        <v>N</v>
      </c>
      <c r="AW252" s="3">
        <v>310</v>
      </c>
      <c r="AX252" s="3" t="str">
        <f>IFERROR(MID(VLOOKUP($B252,Seqs!$A:$B,2,0),AY252,1),"")</f>
        <v>C</v>
      </c>
      <c r="AY252" s="3">
        <v>322</v>
      </c>
      <c r="AZ252" s="77" t="str">
        <f>VLOOKUP(B252,Classification!A:D,2,0)</f>
        <v>A</v>
      </c>
      <c r="BA252" s="94" t="str">
        <f>VLOOKUP(B252,Classification!A:D,4,0)</f>
        <v>Opsins</v>
      </c>
      <c r="BB252" s="27" t="b">
        <f>AND(E252&lt;G252,OR(G252&lt;I252,I252="-"),OR(I252&lt;K252,I252="-"),OR(K252&lt;M252,K252="-"),M252&lt;O252,OR(O252&lt;Q252,Q252="-"),OR(Q252&lt;S252,Q252="-"),OR(S252&lt;U252,S252="-"),U252&lt;W252,OR(W252&lt;Y252,Y252="-"),OR(Y252&lt;AA252,Y252="-"),OR(AA252&lt;AC252,AA252="-"),AC252&lt;AE252,OR(AE252&lt;AG252,AG252="-"),OR(AG252&lt;AI252,AG252="-"),OR(AI252&lt;AK252,AI252="-"),AK252&lt;AM252,AM252&lt;AO252,AO252&lt;AQ252,AQ252&lt;AS252,AS252&lt;AU252,OR(AU252&lt;AW252,AW252="-"),OR(AW252&lt;AY252,AW252="-"))</f>
        <v>1</v>
      </c>
      <c r="BC252" s="23">
        <f>_xlfn.AGGREGATE(9,6,CH252:CS252)-_xlfn.AGGREGATE(9,6,BV252:CG252)+12</f>
        <v>253</v>
      </c>
      <c r="BD252" s="4" t="s">
        <v>23</v>
      </c>
      <c r="BE252" s="3" t="s">
        <v>1291</v>
      </c>
      <c r="BF252" s="119">
        <v>3.3</v>
      </c>
      <c r="BG252" s="49" t="s">
        <v>1377</v>
      </c>
      <c r="BH252" s="49" t="s">
        <v>1377</v>
      </c>
      <c r="BI252" s="1"/>
      <c r="BJ252" s="70" t="s">
        <v>1287</v>
      </c>
      <c r="BK252" s="57" t="s">
        <v>1287</v>
      </c>
      <c r="BL252" s="57" t="s">
        <v>1287</v>
      </c>
      <c r="BM252" s="57" t="s">
        <v>1287</v>
      </c>
      <c r="BN252" s="57" t="s">
        <v>1287</v>
      </c>
      <c r="BO252" s="57" t="s">
        <v>1287</v>
      </c>
      <c r="BP252" s="57" t="s">
        <v>1287</v>
      </c>
      <c r="BQ252" s="57" t="s">
        <v>1287</v>
      </c>
      <c r="BR252" s="57" t="s">
        <v>1287</v>
      </c>
      <c r="BS252" s="57" t="s">
        <v>1287</v>
      </c>
      <c r="BT252" s="57" t="s">
        <v>1287</v>
      </c>
      <c r="BU252" s="57" t="s">
        <v>1287</v>
      </c>
      <c r="BV252" s="70">
        <f>E252</f>
        <v>33</v>
      </c>
      <c r="BW252" s="71">
        <f>I252</f>
        <v>66</v>
      </c>
      <c r="BX252" s="72">
        <f>M252</f>
        <v>70</v>
      </c>
      <c r="BY252" s="71">
        <f>Q252</f>
        <v>102</v>
      </c>
      <c r="BZ252" s="72">
        <f>U252</f>
        <v>106</v>
      </c>
      <c r="CA252" s="71" t="str">
        <f>Y252</f>
        <v>-</v>
      </c>
      <c r="CB252" s="72">
        <f>AC252</f>
        <v>149</v>
      </c>
      <c r="CC252" s="71">
        <f>AG252</f>
        <v>187</v>
      </c>
      <c r="CD252" s="72">
        <f>AK252</f>
        <v>199</v>
      </c>
      <c r="CE252" s="71">
        <f>AO252</f>
        <v>241</v>
      </c>
      <c r="CF252" s="72">
        <f>AS252</f>
        <v>284</v>
      </c>
      <c r="CG252" s="71">
        <f>AW252</f>
        <v>310</v>
      </c>
      <c r="CH252" s="70">
        <f>G252</f>
        <v>65</v>
      </c>
      <c r="CI252" s="71">
        <f>K252</f>
        <v>69</v>
      </c>
      <c r="CJ252" s="72">
        <f>O252</f>
        <v>100</v>
      </c>
      <c r="CK252" s="72">
        <f>S252</f>
        <v>105</v>
      </c>
      <c r="CL252" s="72">
        <f>W252</f>
        <v>141</v>
      </c>
      <c r="CM252" s="72" t="str">
        <f>AA252</f>
        <v>-</v>
      </c>
      <c r="CN252" s="72">
        <f>AE252</f>
        <v>173</v>
      </c>
      <c r="CO252" s="72">
        <f>AI252</f>
        <v>189</v>
      </c>
      <c r="CP252" s="72">
        <f>AM252</f>
        <v>237</v>
      </c>
      <c r="CQ252" s="72">
        <f>AQ252</f>
        <v>278</v>
      </c>
      <c r="CR252" s="72">
        <f>AU252</f>
        <v>309</v>
      </c>
      <c r="CS252" s="72">
        <f>AY252</f>
        <v>322</v>
      </c>
      <c r="CT252" s="23">
        <f>M252-K252</f>
        <v>1</v>
      </c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  <c r="JH252" s="6"/>
      <c r="JI252" s="6"/>
      <c r="JJ252" s="6"/>
      <c r="JK252" s="6"/>
      <c r="JL252" s="6"/>
      <c r="JM252" s="6"/>
      <c r="JN252" s="6"/>
      <c r="JO252" s="6"/>
      <c r="JP252" s="6"/>
      <c r="JQ252" s="6"/>
      <c r="JR252" s="6"/>
      <c r="JS252" s="6"/>
      <c r="JT252" s="6"/>
      <c r="JU252" s="6"/>
      <c r="JV252" s="6"/>
      <c r="JW252" s="6"/>
      <c r="JX252" s="6"/>
      <c r="JY252" s="6"/>
      <c r="JZ252" s="6"/>
      <c r="KA252" s="6"/>
      <c r="KB252" s="6"/>
      <c r="KC252" s="6"/>
      <c r="KD252" s="6"/>
      <c r="KE252" s="6"/>
      <c r="KF252" s="6"/>
      <c r="KG252" s="6"/>
      <c r="KH252" s="6"/>
      <c r="KI252" s="6"/>
      <c r="KJ252" s="6"/>
      <c r="KK252" s="6"/>
      <c r="KL252" s="6"/>
      <c r="KM252" s="6"/>
      <c r="KN252" s="6"/>
      <c r="KO252" s="6"/>
      <c r="KP252" s="6"/>
      <c r="KQ252" s="6"/>
      <c r="KR252" s="6"/>
      <c r="KS252" s="6"/>
      <c r="KT252" s="6"/>
      <c r="KU252" s="6"/>
      <c r="KV252" s="6"/>
      <c r="KW252" s="6"/>
      <c r="KX252" s="6"/>
      <c r="KY252" s="6"/>
      <c r="KZ252" s="6"/>
      <c r="LA252" s="6"/>
      <c r="LB252" s="6"/>
      <c r="LC252" s="6"/>
      <c r="LD252" s="6"/>
      <c r="LE252" s="6"/>
      <c r="LF252" s="6"/>
      <c r="LG252" s="6"/>
      <c r="LH252" s="6"/>
      <c r="LI252" s="6"/>
      <c r="LJ252" s="6"/>
      <c r="LK252" s="6"/>
      <c r="LL252" s="6"/>
      <c r="LM252" s="6"/>
      <c r="LN252" s="6"/>
      <c r="LO252" s="6"/>
      <c r="LP252" s="6"/>
      <c r="LQ252" s="6"/>
      <c r="LR252" s="6"/>
      <c r="LS252" s="6"/>
      <c r="LT252" s="6"/>
      <c r="LU252" s="6"/>
      <c r="LV252" s="6"/>
      <c r="LW252" s="6"/>
      <c r="LX252" s="6"/>
      <c r="LY252" s="6"/>
      <c r="LZ252" s="6"/>
      <c r="MA252" s="6"/>
      <c r="MB252" s="6"/>
      <c r="MC252" s="6"/>
      <c r="MD252" s="6"/>
      <c r="ME252" s="6"/>
      <c r="MF252" s="6"/>
      <c r="MG252" s="6"/>
      <c r="MH252" s="6"/>
      <c r="MI252" s="6"/>
      <c r="MJ252" s="6"/>
      <c r="MK252" s="6"/>
      <c r="ML252" s="6"/>
      <c r="MM252" s="6"/>
      <c r="MN252" s="6"/>
      <c r="MO252" s="6"/>
      <c r="MP252" s="6"/>
      <c r="MQ252" s="6"/>
      <c r="MR252" s="6"/>
      <c r="MS252" s="6"/>
      <c r="MT252" s="6"/>
      <c r="MU252" s="6"/>
      <c r="MV252" s="6"/>
      <c r="MW252" s="6"/>
      <c r="MX252" s="6"/>
      <c r="MY252" s="6"/>
      <c r="MZ252" s="6"/>
      <c r="NA252" s="6"/>
      <c r="NB252" s="6"/>
      <c r="NC252" s="6"/>
      <c r="ND252" s="6"/>
      <c r="NE252" s="6"/>
      <c r="NF252" s="6"/>
      <c r="NG252" s="6"/>
      <c r="NH252" s="6"/>
      <c r="NI252" s="6"/>
      <c r="NJ252" s="6"/>
      <c r="NK252" s="6"/>
      <c r="NL252" s="6"/>
      <c r="NM252" s="6"/>
      <c r="NN252" s="6"/>
      <c r="NO252" s="6"/>
      <c r="NP252" s="6"/>
      <c r="NQ252" s="6"/>
      <c r="NR252" s="6"/>
      <c r="NS252" s="6"/>
      <c r="NT252" s="6"/>
      <c r="NU252" s="6"/>
      <c r="NV252" s="6"/>
      <c r="NW252" s="6"/>
      <c r="NX252" s="6"/>
      <c r="NY252" s="6"/>
      <c r="NZ252" s="6"/>
      <c r="OA252" s="6"/>
      <c r="OB252" s="6"/>
      <c r="OC252" s="6"/>
      <c r="OD252" s="6"/>
      <c r="OE252" s="6"/>
      <c r="OF252" s="6"/>
      <c r="OG252" s="6"/>
      <c r="OH252" s="6"/>
      <c r="OI252" s="6"/>
      <c r="OJ252" s="6"/>
      <c r="OK252" s="6"/>
      <c r="OL252" s="6"/>
      <c r="OM252" s="6"/>
      <c r="ON252" s="6"/>
      <c r="OO252" s="6"/>
      <c r="OP252" s="6"/>
      <c r="OQ252" s="6"/>
      <c r="OR252" s="6"/>
      <c r="OS252" s="6"/>
      <c r="OT252" s="6"/>
      <c r="OU252" s="6"/>
      <c r="OV252" s="6"/>
      <c r="OW252" s="6"/>
      <c r="OX252" s="6"/>
      <c r="OY252" s="6"/>
      <c r="OZ252" s="6"/>
      <c r="PA252" s="6"/>
      <c r="PB252" s="6"/>
      <c r="PC252" s="6"/>
      <c r="PD252" s="6"/>
      <c r="PE252" s="6"/>
      <c r="PF252" s="6"/>
      <c r="PG252" s="6"/>
      <c r="PH252" s="6"/>
      <c r="PI252" s="6"/>
      <c r="PJ252" s="6"/>
      <c r="PK252" s="6"/>
      <c r="PL252" s="6"/>
      <c r="PM252" s="6"/>
      <c r="PN252" s="6"/>
      <c r="PO252" s="6"/>
      <c r="PP252" s="6"/>
      <c r="PQ252" s="6"/>
      <c r="PR252" s="6"/>
      <c r="PS252" s="6"/>
      <c r="PT252" s="6"/>
      <c r="PU252" s="6"/>
      <c r="PV252" s="6"/>
      <c r="PW252" s="6"/>
      <c r="PX252" s="6"/>
      <c r="PY252" s="6"/>
      <c r="PZ252" s="6"/>
      <c r="QA252" s="6"/>
      <c r="QB252" s="6"/>
      <c r="QC252" s="6"/>
      <c r="QD252" s="6"/>
      <c r="QE252" s="6"/>
      <c r="QF252" s="6"/>
      <c r="QG252" s="6"/>
      <c r="QH252" s="6"/>
      <c r="QI252" s="6"/>
      <c r="QJ252" s="6"/>
      <c r="QK252" s="6"/>
      <c r="QL252" s="6"/>
      <c r="QM252" s="6"/>
      <c r="QN252" s="6"/>
      <c r="QO252" s="6"/>
      <c r="QP252" s="6"/>
      <c r="QQ252" s="6"/>
      <c r="QR252" s="6"/>
      <c r="QS252" s="6"/>
      <c r="QT252" s="6"/>
      <c r="QU252" s="6"/>
      <c r="QV252" s="6"/>
      <c r="QW252" s="6"/>
      <c r="QX252" s="6"/>
      <c r="QY252" s="6"/>
      <c r="QZ252" s="6"/>
      <c r="RA252" s="6"/>
      <c r="RB252" s="6"/>
      <c r="RC252" s="6"/>
      <c r="RD252" s="6"/>
      <c r="RE252" s="6"/>
      <c r="RF252" s="6"/>
      <c r="RG252" s="6"/>
      <c r="RH252" s="6"/>
      <c r="RI252" s="6"/>
      <c r="RJ252" s="6"/>
      <c r="RK252" s="6"/>
      <c r="RL252" s="6"/>
      <c r="RM252" s="6"/>
      <c r="RN252" s="6"/>
      <c r="RO252" s="6"/>
      <c r="RP252" s="6"/>
      <c r="RQ252" s="6"/>
      <c r="RR252" s="6"/>
      <c r="RS252" s="6"/>
      <c r="RT252" s="6"/>
      <c r="RU252" s="6"/>
      <c r="RV252" s="6"/>
      <c r="RW252" s="6"/>
      <c r="RX252" s="6"/>
      <c r="RY252" s="6"/>
      <c r="RZ252" s="6"/>
      <c r="SA252" s="6"/>
      <c r="SB252" s="6"/>
      <c r="SC252" s="6"/>
      <c r="SD252" s="6"/>
      <c r="SE252" s="6"/>
      <c r="SF252" s="6"/>
      <c r="SG252" s="6"/>
      <c r="SH252" s="6"/>
      <c r="SI252" s="6"/>
      <c r="SJ252" s="6"/>
      <c r="SK252" s="6"/>
      <c r="SL252" s="6"/>
      <c r="SM252" s="6"/>
      <c r="SN252" s="6"/>
      <c r="SO252" s="6"/>
      <c r="SP252" s="6"/>
      <c r="SQ252" s="6"/>
      <c r="SR252" s="6"/>
      <c r="SS252" s="6"/>
      <c r="ST252" s="6"/>
      <c r="SU252" s="6"/>
      <c r="SV252" s="6"/>
      <c r="SW252" s="6"/>
      <c r="SX252" s="6"/>
      <c r="SY252" s="6"/>
      <c r="SZ252" s="6"/>
      <c r="TA252" s="6"/>
      <c r="TB252" s="6"/>
      <c r="TC252" s="6"/>
      <c r="TD252" s="6"/>
      <c r="TE252" s="6"/>
      <c r="TF252" s="6"/>
      <c r="TG252" s="6"/>
      <c r="TH252" s="6"/>
      <c r="TI252" s="6"/>
      <c r="TJ252" s="6"/>
      <c r="TK252" s="6"/>
      <c r="TL252" s="6"/>
      <c r="TM252" s="6"/>
      <c r="TN252" s="6"/>
      <c r="TO252" s="6"/>
      <c r="TP252" s="6"/>
      <c r="TQ252" s="6"/>
      <c r="TR252" s="6"/>
      <c r="TS252" s="6"/>
      <c r="TT252" s="6"/>
      <c r="TU252" s="6"/>
      <c r="TV252" s="6"/>
      <c r="TW252" s="6"/>
      <c r="TX252" s="6"/>
      <c r="TY252" s="6"/>
      <c r="TZ252" s="6"/>
      <c r="UA252" s="6"/>
      <c r="UB252" s="6"/>
      <c r="UC252" s="6"/>
      <c r="UD252" s="6"/>
      <c r="UE252" s="6"/>
      <c r="UF252" s="6"/>
      <c r="UG252" s="6"/>
      <c r="UH252" s="6"/>
      <c r="UI252" s="6"/>
      <c r="UJ252" s="6"/>
      <c r="UK252" s="6"/>
      <c r="UL252" s="6"/>
      <c r="UM252" s="6"/>
      <c r="UN252" s="6"/>
      <c r="UO252" s="6"/>
      <c r="UP252" s="6"/>
      <c r="UQ252" s="6"/>
      <c r="UR252" s="6"/>
      <c r="US252" s="6"/>
      <c r="UT252" s="6"/>
      <c r="UU252" s="6"/>
      <c r="UV252" s="6"/>
      <c r="UW252" s="6"/>
      <c r="UX252" s="6"/>
      <c r="UY252" s="6"/>
      <c r="UZ252" s="6"/>
      <c r="VA252" s="6"/>
      <c r="VB252" s="6"/>
      <c r="VC252" s="6"/>
      <c r="VD252" s="6"/>
      <c r="VE252" s="6"/>
      <c r="VF252" s="6"/>
      <c r="VG252" s="6"/>
      <c r="VH252" s="6"/>
      <c r="VI252" s="6"/>
      <c r="VJ252" s="6"/>
      <c r="VK252" s="6"/>
      <c r="VL252" s="6"/>
      <c r="VM252" s="6"/>
      <c r="VN252" s="6"/>
      <c r="VO252" s="6"/>
      <c r="VP252" s="6"/>
      <c r="VQ252" s="6"/>
      <c r="VR252" s="6"/>
      <c r="VS252" s="6"/>
      <c r="VT252" s="6"/>
      <c r="VU252" s="6"/>
      <c r="VV252" s="6"/>
      <c r="VW252" s="6"/>
      <c r="VX252" s="6"/>
      <c r="VY252" s="6"/>
      <c r="VZ252" s="6"/>
      <c r="WA252" s="6"/>
      <c r="WB252" s="6"/>
      <c r="WC252" s="6"/>
      <c r="WD252" s="6"/>
      <c r="WE252" s="6"/>
      <c r="WF252" s="6"/>
      <c r="WG252" s="6"/>
      <c r="WH252" s="6"/>
      <c r="WI252" s="6"/>
      <c r="WJ252" s="6"/>
      <c r="WK252" s="6"/>
      <c r="WL252" s="6"/>
      <c r="WM252" s="6"/>
      <c r="WN252" s="6"/>
      <c r="WO252" s="6"/>
      <c r="WP252" s="6"/>
      <c r="WQ252" s="6"/>
      <c r="WR252" s="6"/>
      <c r="WS252" s="6"/>
      <c r="WT252" s="6"/>
      <c r="WU252" s="6"/>
      <c r="WV252" s="6"/>
      <c r="WW252" s="6"/>
      <c r="WX252" s="6"/>
      <c r="WY252" s="6"/>
      <c r="WZ252" s="6"/>
      <c r="XA252" s="6"/>
      <c r="XB252" s="6"/>
      <c r="XC252" s="6"/>
      <c r="XD252" s="6"/>
      <c r="XE252" s="6"/>
      <c r="XF252" s="6"/>
      <c r="XG252" s="6"/>
      <c r="XH252" s="6"/>
      <c r="XI252" s="6"/>
      <c r="XJ252" s="6"/>
      <c r="XK252" s="6"/>
      <c r="XL252" s="6"/>
      <c r="XM252" s="6"/>
      <c r="XN252" s="6"/>
      <c r="XO252" s="6"/>
      <c r="XP252" s="6"/>
      <c r="XQ252" s="6"/>
      <c r="XR252" s="6"/>
      <c r="XS252" s="6"/>
      <c r="XT252" s="6"/>
      <c r="XU252" s="6"/>
      <c r="XV252" s="6"/>
      <c r="XW252" s="6"/>
      <c r="XX252" s="6"/>
      <c r="XY252" s="6"/>
      <c r="XZ252" s="6"/>
      <c r="YA252" s="6"/>
      <c r="YB252" s="6"/>
      <c r="YC252" s="6"/>
      <c r="YD252" s="6"/>
      <c r="YE252" s="6"/>
      <c r="YF252" s="6"/>
      <c r="YG252" s="6"/>
      <c r="YH252" s="6"/>
      <c r="YI252" s="6"/>
      <c r="YJ252" s="6"/>
      <c r="YK252" s="6"/>
      <c r="YL252" s="6"/>
      <c r="YM252" s="6"/>
      <c r="YN252" s="6"/>
      <c r="YO252" s="6"/>
      <c r="YP252" s="6"/>
      <c r="YQ252" s="6"/>
      <c r="YR252" s="6"/>
      <c r="YS252" s="6"/>
      <c r="YT252" s="6"/>
      <c r="YU252" s="6"/>
      <c r="YV252" s="6"/>
      <c r="YW252" s="6"/>
      <c r="YX252" s="6"/>
      <c r="YY252" s="6"/>
      <c r="YZ252" s="6"/>
      <c r="ZA252" s="6"/>
      <c r="ZB252" s="6"/>
      <c r="ZC252" s="6"/>
      <c r="ZD252" s="6"/>
      <c r="ZE252" s="6"/>
      <c r="ZF252" s="6"/>
      <c r="ZG252" s="6"/>
      <c r="ZH252" s="6"/>
      <c r="ZI252" s="6"/>
      <c r="ZJ252" s="6"/>
      <c r="ZK252" s="6"/>
      <c r="ZL252" s="6"/>
      <c r="ZM252" s="6"/>
      <c r="ZN252" s="6"/>
      <c r="ZO252" s="6"/>
      <c r="ZP252" s="6"/>
      <c r="ZQ252" s="6"/>
      <c r="ZR252" s="6"/>
      <c r="ZS252" s="6"/>
      <c r="ZT252" s="6"/>
      <c r="ZU252" s="6"/>
      <c r="ZV252" s="6"/>
      <c r="ZW252" s="6"/>
      <c r="ZX252" s="6"/>
      <c r="ZY252" s="6"/>
      <c r="ZZ252" s="6"/>
      <c r="AAA252" s="6"/>
      <c r="AAB252" s="6"/>
      <c r="AAC252" s="6"/>
      <c r="AAD252" s="6"/>
      <c r="AAE252" s="6"/>
      <c r="AAF252" s="6"/>
      <c r="AAG252" s="6"/>
      <c r="AAH252" s="6"/>
      <c r="AAI252" s="6"/>
      <c r="AAJ252" s="6"/>
      <c r="AAK252" s="6"/>
      <c r="AAL252" s="6"/>
      <c r="AAM252" s="6"/>
      <c r="AAN252" s="6"/>
      <c r="AAO252" s="6"/>
      <c r="AAP252" s="6"/>
      <c r="AAQ252" s="6"/>
      <c r="AAR252" s="6"/>
      <c r="AAS252" s="6"/>
      <c r="AAT252" s="6"/>
      <c r="AAU252" s="6"/>
      <c r="AAV252" s="6"/>
      <c r="AAW252" s="6"/>
      <c r="AAX252" s="6"/>
      <c r="AAY252" s="6"/>
      <c r="AAZ252" s="6"/>
      <c r="ABA252" s="6"/>
      <c r="ABB252" s="6"/>
      <c r="ABC252" s="6"/>
      <c r="ABD252" s="6"/>
      <c r="ABE252" s="6"/>
      <c r="ABF252" s="6"/>
      <c r="ABG252" s="6"/>
      <c r="ABH252" s="6"/>
      <c r="ABI252" s="6"/>
      <c r="ABJ252" s="6"/>
      <c r="ABK252" s="6"/>
      <c r="ABL252" s="6"/>
      <c r="ABM252" s="6"/>
      <c r="ABN252" s="6"/>
      <c r="ABO252" s="6"/>
      <c r="ABP252" s="6"/>
      <c r="ABQ252" s="6"/>
      <c r="ABR252" s="6"/>
      <c r="ABS252" s="6"/>
      <c r="ABT252" s="6"/>
      <c r="ABU252" s="6"/>
      <c r="ABV252" s="6"/>
      <c r="ABW252" s="6"/>
      <c r="ABX252" s="6"/>
      <c r="ABY252" s="6"/>
      <c r="ABZ252" s="6"/>
      <c r="ACA252" s="6"/>
      <c r="ACB252" s="6"/>
      <c r="ACC252" s="6"/>
      <c r="ACD252" s="6"/>
      <c r="ACE252" s="6"/>
      <c r="ACF252" s="6"/>
      <c r="ACG252" s="6"/>
      <c r="ACH252" s="6"/>
      <c r="ACI252" s="6"/>
      <c r="ACJ252" s="6"/>
      <c r="ACK252" s="6"/>
      <c r="ACL252" s="6"/>
      <c r="ACM252" s="6"/>
      <c r="ACN252" s="6"/>
      <c r="ACO252" s="6"/>
      <c r="ACP252" s="6"/>
      <c r="ACQ252" s="6"/>
      <c r="ACR252" s="6"/>
      <c r="ACS252" s="6"/>
      <c r="ACT252" s="6"/>
      <c r="ACU252" s="6"/>
      <c r="ACV252" s="6"/>
      <c r="ACW252" s="6"/>
      <c r="ACX252" s="6"/>
      <c r="ACY252" s="6"/>
      <c r="ACZ252" s="6"/>
      <c r="ADA252" s="6"/>
      <c r="ADB252" s="6"/>
      <c r="ADC252" s="6"/>
      <c r="ADD252" s="6"/>
      <c r="ADE252" s="6"/>
      <c r="ADF252" s="6"/>
      <c r="ADG252" s="6"/>
      <c r="ADH252" s="6"/>
      <c r="ADI252" s="6"/>
      <c r="ADJ252" s="6"/>
      <c r="ADK252" s="6"/>
      <c r="ADL252" s="6"/>
      <c r="ADM252" s="6"/>
      <c r="ADN252" s="6"/>
      <c r="ADO252" s="6"/>
      <c r="ADP252" s="6"/>
      <c r="ADQ252" s="6"/>
      <c r="ADR252" s="6"/>
      <c r="ADS252" s="6"/>
      <c r="ADT252" s="6"/>
      <c r="ADU252" s="6"/>
      <c r="ADV252" s="6"/>
      <c r="ADW252" s="6"/>
      <c r="ADX252" s="6"/>
      <c r="ADY252" s="6"/>
      <c r="ADZ252" s="6"/>
      <c r="AEA252" s="6"/>
      <c r="AEB252" s="6"/>
      <c r="AEC252" s="6"/>
      <c r="AED252" s="6"/>
      <c r="AEE252" s="6"/>
      <c r="AEF252" s="6"/>
      <c r="AEG252" s="6"/>
      <c r="AEH252" s="6"/>
      <c r="AEI252" s="6"/>
      <c r="AEJ252" s="6"/>
      <c r="AEK252" s="6"/>
      <c r="AEL252" s="6"/>
      <c r="AEM252" s="6"/>
      <c r="AEN252" s="6"/>
      <c r="AEO252" s="6"/>
      <c r="AEP252" s="6"/>
      <c r="AEQ252" s="6"/>
      <c r="AER252" s="6"/>
      <c r="AES252" s="6"/>
      <c r="AET252" s="6"/>
      <c r="AEU252" s="6"/>
      <c r="AEV252" s="6"/>
      <c r="AEW252" s="6"/>
      <c r="AEX252" s="6"/>
      <c r="AEY252" s="6"/>
      <c r="AEZ252" s="6"/>
      <c r="AFA252" s="6"/>
      <c r="AFB252" s="6"/>
      <c r="AFC252" s="6"/>
      <c r="AFD252" s="6"/>
      <c r="AFE252" s="6"/>
      <c r="AFF252" s="6"/>
      <c r="AFG252" s="6"/>
      <c r="AFH252" s="6"/>
      <c r="AFI252" s="6"/>
      <c r="AFJ252" s="6"/>
      <c r="AFK252" s="6"/>
      <c r="AFL252" s="6"/>
      <c r="AFM252" s="6"/>
      <c r="AFN252" s="6"/>
      <c r="AFO252" s="6"/>
      <c r="AFP252" s="6"/>
      <c r="AFQ252" s="6"/>
      <c r="AFR252" s="6"/>
      <c r="AFS252" s="6"/>
      <c r="AFT252" s="6"/>
      <c r="AFU252" s="6"/>
      <c r="AFV252" s="6"/>
      <c r="AFW252" s="6"/>
      <c r="AFX252" s="6"/>
      <c r="AFY252" s="6"/>
      <c r="AFZ252" s="6"/>
      <c r="AGA252" s="6"/>
      <c r="AGB252" s="6"/>
      <c r="AGC252" s="6"/>
      <c r="AGD252" s="6"/>
      <c r="AGE252" s="6"/>
      <c r="AGF252" s="6"/>
      <c r="AGG252" s="6"/>
      <c r="AGH252" s="6"/>
      <c r="AGI252" s="6"/>
      <c r="AGJ252" s="6"/>
      <c r="AGK252" s="6"/>
      <c r="AGL252" s="6"/>
      <c r="AGM252" s="6"/>
      <c r="AGN252" s="6"/>
      <c r="AGO252" s="6"/>
      <c r="AGP252" s="6"/>
      <c r="AGQ252" s="6"/>
      <c r="AGR252" s="6"/>
      <c r="AGS252" s="6"/>
      <c r="AGT252" s="6"/>
      <c r="AGU252" s="6"/>
      <c r="AGV252" s="6"/>
      <c r="AGW252" s="6"/>
      <c r="AGX252" s="6"/>
      <c r="AGY252" s="6"/>
      <c r="AGZ252" s="6"/>
      <c r="AHA252" s="6"/>
      <c r="AHB252" s="6"/>
      <c r="AHC252" s="6"/>
      <c r="AHD252" s="6"/>
      <c r="AHE252" s="6"/>
      <c r="AHF252" s="6"/>
      <c r="AHG252" s="6"/>
      <c r="AHH252" s="6"/>
      <c r="AHI252" s="6"/>
      <c r="AHJ252" s="6"/>
      <c r="AHK252" s="6"/>
      <c r="AHL252" s="6"/>
      <c r="AHM252" s="6"/>
      <c r="AHN252" s="6"/>
      <c r="AHO252" s="6"/>
      <c r="AHP252" s="6"/>
      <c r="AHQ252" s="6"/>
      <c r="AHR252" s="6"/>
      <c r="AHS252" s="6"/>
      <c r="AHT252" s="6"/>
      <c r="AHU252" s="6"/>
      <c r="AHV252" s="6"/>
      <c r="AHW252" s="6"/>
      <c r="AHX252" s="6"/>
      <c r="AHY252" s="6"/>
      <c r="AHZ252" s="6"/>
      <c r="AIA252" s="6"/>
      <c r="AIB252" s="6"/>
      <c r="AIC252" s="6"/>
      <c r="AID252" s="6"/>
      <c r="AIE252" s="6"/>
      <c r="AIF252" s="6"/>
      <c r="AIG252" s="6"/>
      <c r="AIH252" s="6"/>
      <c r="AII252" s="6"/>
      <c r="AIJ252" s="6"/>
      <c r="AIK252" s="6"/>
      <c r="AIL252" s="6"/>
      <c r="AIM252" s="6"/>
      <c r="AIN252" s="6"/>
      <c r="AIO252" s="6"/>
      <c r="AIP252" s="6"/>
      <c r="AIQ252" s="6"/>
      <c r="AIR252" s="6"/>
      <c r="AIS252" s="6"/>
      <c r="AIT252" s="6"/>
      <c r="AIU252" s="6"/>
      <c r="AIV252" s="6"/>
      <c r="AIW252" s="6"/>
      <c r="AIX252" s="6"/>
      <c r="AIY252" s="6"/>
      <c r="AIZ252" s="6"/>
      <c r="AJA252" s="6"/>
      <c r="AJB252" s="6"/>
      <c r="AJC252" s="6"/>
      <c r="AJD252" s="6"/>
      <c r="AJE252" s="6"/>
      <c r="AJF252" s="6"/>
      <c r="AJG252" s="6"/>
      <c r="AJH252" s="6"/>
      <c r="AJI252" s="6"/>
      <c r="AJJ252" s="6"/>
      <c r="AJK252" s="6"/>
      <c r="AJL252" s="6"/>
      <c r="AJM252" s="6"/>
      <c r="AJN252" s="6"/>
      <c r="AJO252" s="6"/>
      <c r="AJP252" s="6"/>
      <c r="AJQ252" s="6"/>
      <c r="AJR252" s="6"/>
      <c r="AJS252" s="6"/>
      <c r="AJT252" s="6"/>
      <c r="AJU252" s="6"/>
      <c r="AJV252" s="6"/>
      <c r="AJW252" s="6"/>
      <c r="AJX252" s="6"/>
      <c r="AJY252" s="6"/>
      <c r="AJZ252" s="6"/>
      <c r="AKA252" s="6"/>
      <c r="AKB252" s="6"/>
      <c r="AKC252" s="6"/>
      <c r="AKD252" s="6"/>
      <c r="AKE252" s="6"/>
      <c r="AKF252" s="6"/>
      <c r="AKG252" s="6"/>
      <c r="AKH252" s="6"/>
      <c r="AKI252" s="6"/>
      <c r="AKJ252" s="6"/>
      <c r="AKK252" s="6"/>
      <c r="AKL252" s="6"/>
      <c r="AKM252" s="6"/>
      <c r="AKN252" s="6"/>
      <c r="AKO252" s="6"/>
      <c r="AKP252" s="6"/>
      <c r="AKQ252" s="6"/>
      <c r="AKR252" s="6"/>
      <c r="AKS252" s="6"/>
      <c r="AKT252" s="6"/>
      <c r="AKU252" s="6"/>
      <c r="AKV252" s="6"/>
      <c r="AKW252" s="6"/>
      <c r="AKX252" s="6"/>
      <c r="AKY252" s="6"/>
      <c r="AKZ252" s="6"/>
      <c r="ALA252" s="6"/>
      <c r="ALB252" s="6"/>
      <c r="ALC252" s="6"/>
      <c r="ALD252" s="6"/>
      <c r="ALE252" s="6"/>
      <c r="ALF252" s="6"/>
      <c r="ALG252" s="6"/>
      <c r="ALH252" s="6"/>
      <c r="ALI252" s="6"/>
      <c r="ALJ252" s="6"/>
      <c r="ALK252" s="6"/>
      <c r="ALL252" s="6"/>
      <c r="ALM252" s="6"/>
      <c r="ALN252" s="6"/>
      <c r="ALO252" s="6"/>
      <c r="ALP252" s="6"/>
      <c r="ALQ252" s="6"/>
      <c r="ALR252" s="6"/>
      <c r="ALS252" s="6"/>
      <c r="ALT252" s="6"/>
      <c r="ALU252" s="6"/>
      <c r="ALV252" s="6"/>
      <c r="ALW252" s="6"/>
      <c r="ALX252" s="6"/>
      <c r="ALY252" s="6"/>
      <c r="ALZ252" s="6"/>
      <c r="AMA252" s="6"/>
      <c r="AMB252" s="6"/>
      <c r="AMC252" s="6"/>
      <c r="AMD252" s="6"/>
      <c r="AME252" s="6"/>
      <c r="AMF252" s="6"/>
      <c r="AMG252" s="6"/>
      <c r="AMH252" s="6"/>
      <c r="AMI252" s="6"/>
      <c r="AMJ252" s="6"/>
      <c r="AMK252" s="6"/>
      <c r="AML252" s="6"/>
      <c r="AMM252" s="6"/>
      <c r="AMN252" s="6"/>
      <c r="AMO252" s="6"/>
      <c r="AMP252" s="6"/>
    </row>
    <row r="253" spans="1:1030" x14ac:dyDescent="0.2">
      <c r="A253" s="3" t="str">
        <f t="shared" si="1061"/>
        <v>opsd_bovin_4J4Q</v>
      </c>
      <c r="B253" s="3" t="s">
        <v>919</v>
      </c>
      <c r="C253" s="3" t="s">
        <v>1043</v>
      </c>
      <c r="D253" s="3" t="str">
        <f>IFERROR(MID(VLOOKUP($B253,Seqs!$A:$B,2,0),E253,1),"")</f>
        <v>E</v>
      </c>
      <c r="E253" s="105">
        <v>33</v>
      </c>
      <c r="F253" s="3" t="str">
        <f>IFERROR(MID(VLOOKUP($B253,Seqs!$A:$B,2,0),G253,1),"")</f>
        <v>H</v>
      </c>
      <c r="G253" s="3">
        <v>65</v>
      </c>
      <c r="H253" s="3" t="str">
        <f>IFERROR(MID(VLOOKUP($B253,Seqs!$A:$B,2,0),I253,1),"")</f>
        <v>K</v>
      </c>
      <c r="I253" s="23">
        <v>66</v>
      </c>
      <c r="J253" s="3" t="str">
        <f>IFERROR(MID(VLOOKUP($B253,Seqs!$A:$B,2,0),K253,1),"")</f>
        <v>R</v>
      </c>
      <c r="K253" s="23">
        <v>69</v>
      </c>
      <c r="L253" s="3" t="str">
        <f>IFERROR(MID(VLOOKUP($B253,Seqs!$A:$B,2,0),M253,1),"")</f>
        <v>T</v>
      </c>
      <c r="M253" s="3">
        <v>70</v>
      </c>
      <c r="N253" s="3" t="str">
        <f>IFERROR(MID(VLOOKUP($B253,Seqs!$A:$B,2,0),O253,1),"")</f>
        <v>H</v>
      </c>
      <c r="O253" s="3">
        <v>100</v>
      </c>
      <c r="P253" s="3" t="str">
        <f>IFERROR(MID(VLOOKUP($B253,Seqs!$A:$B,2,0),Q253,1),"")</f>
        <v>Y</v>
      </c>
      <c r="Q253" s="3">
        <v>102</v>
      </c>
      <c r="R253" s="3" t="str">
        <f>IFERROR(MID(VLOOKUP($B253,Seqs!$A:$B,2,0),S253,1),"")</f>
        <v>F</v>
      </c>
      <c r="S253" s="3">
        <v>105</v>
      </c>
      <c r="T253" s="3" t="str">
        <f>IFERROR(MID(VLOOKUP($B253,Seqs!$A:$B,2,0),U253,1),"")</f>
        <v>G</v>
      </c>
      <c r="U253" s="3">
        <v>106</v>
      </c>
      <c r="V253" s="3" t="str">
        <f>IFERROR(MID(VLOOKUP($B253,Seqs!$A:$B,2,0),W253,1),"")</f>
        <v>K</v>
      </c>
      <c r="W253" s="3">
        <v>141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G</v>
      </c>
      <c r="AC253" s="9">
        <v>149</v>
      </c>
      <c r="AD253" s="3" t="str">
        <f>IFERROR(MID(VLOOKUP($B253,Seqs!$A:$B,2,0),AE253,1),"")</f>
        <v>V</v>
      </c>
      <c r="AE253" s="3">
        <v>173</v>
      </c>
      <c r="AF253" s="3" t="str">
        <f>IFERROR(MID(VLOOKUP($B253,Seqs!$A:$B,2,0),AG253,1),"")</f>
        <v>C</v>
      </c>
      <c r="AG253" s="3">
        <v>187</v>
      </c>
      <c r="AH253" s="3" t="str">
        <f>IFERROR(MID(VLOOKUP($B253,Seqs!$A:$B,2,0),AI253,1),"")</f>
        <v>I</v>
      </c>
      <c r="AI253" s="3">
        <v>189</v>
      </c>
      <c r="AJ253" s="3" t="str">
        <f>IFERROR(MID(VLOOKUP($B253,Seqs!$A:$B,2,0),AK253,1),"")</f>
        <v>N</v>
      </c>
      <c r="AK253" s="3">
        <v>199</v>
      </c>
      <c r="AL253" s="3" t="str">
        <f>IFERROR(MID(VLOOKUP($B253,Seqs!$A:$B,2,0),AM253,1),"")</f>
        <v>Q</v>
      </c>
      <c r="AM253" s="3">
        <v>237</v>
      </c>
      <c r="AN253" s="3" t="str">
        <f>IFERROR(MID(VLOOKUP($B253,Seqs!$A:$B,2,0),AO253,1),"")</f>
        <v>A</v>
      </c>
      <c r="AO253" s="3">
        <v>241</v>
      </c>
      <c r="AP253" s="3" t="str">
        <f>IFERROR(MID(VLOOKUP($B253,Seqs!$A:$B,2,0),AQ253,1),"")</f>
        <v>H</v>
      </c>
      <c r="AQ253" s="3">
        <v>278</v>
      </c>
      <c r="AR253" s="3" t="str">
        <f>IFERROR(MID(VLOOKUP($B253,Seqs!$A:$B,2,0),AS253,1),"")</f>
        <v>G</v>
      </c>
      <c r="AS253" s="3">
        <v>284</v>
      </c>
      <c r="AT253" s="3" t="str">
        <f>IFERROR(MID(VLOOKUP($B253,Seqs!$A:$B,2,0),AU253,1),"")</f>
        <v>M</v>
      </c>
      <c r="AU253" s="3">
        <v>309</v>
      </c>
      <c r="AV253" s="3" t="str">
        <f>IFERROR(MID(VLOOKUP($B253,Seqs!$A:$B,2,0),AW253,1),"")</f>
        <v>N</v>
      </c>
      <c r="AW253" s="3">
        <v>310</v>
      </c>
      <c r="AX253" s="3" t="str">
        <f>IFERROR(MID(VLOOKUP($B253,Seqs!$A:$B,2,0),AY253,1),"")</f>
        <v>C</v>
      </c>
      <c r="AY253" s="3">
        <v>322</v>
      </c>
      <c r="AZ253" s="77" t="str">
        <f>VLOOKUP(B253,Classification!A:D,2,0)</f>
        <v>A</v>
      </c>
      <c r="BA253" s="94" t="str">
        <f>VLOOKUP(B253,Classification!A:D,4,0)</f>
        <v>Opsins</v>
      </c>
      <c r="BB253" s="27" t="b">
        <f t="shared" si="1062"/>
        <v>1</v>
      </c>
      <c r="BC253" s="23">
        <f t="shared" ref="BC253:BC317" si="1565">_xlfn.AGGREGATE(9,6,CH253:CS253)-_xlfn.AGGREGATE(9,6,BV253:CG253)+12</f>
        <v>253</v>
      </c>
      <c r="BD253" s="4" t="s">
        <v>23</v>
      </c>
      <c r="BE253" s="3" t="s">
        <v>1291</v>
      </c>
      <c r="BF253" s="119">
        <v>2.65</v>
      </c>
      <c r="BG253" s="49" t="s">
        <v>1377</v>
      </c>
      <c r="BH253" s="49" t="s">
        <v>1377</v>
      </c>
      <c r="BI253" s="1"/>
      <c r="BJ253" s="70" t="s">
        <v>1287</v>
      </c>
      <c r="BK253" s="57" t="s">
        <v>1287</v>
      </c>
      <c r="BL253" s="57" t="s">
        <v>1287</v>
      </c>
      <c r="BM253" s="57" t="s">
        <v>1287</v>
      </c>
      <c r="BN253" s="57" t="s">
        <v>1287</v>
      </c>
      <c r="BO253" s="57" t="s">
        <v>1287</v>
      </c>
      <c r="BP253" s="57" t="s">
        <v>1287</v>
      </c>
      <c r="BQ253" s="57" t="s">
        <v>1287</v>
      </c>
      <c r="BR253" s="57" t="s">
        <v>1287</v>
      </c>
      <c r="BS253" s="57" t="s">
        <v>1287</v>
      </c>
      <c r="BT253" s="57" t="s">
        <v>1287</v>
      </c>
      <c r="BU253" s="57" t="s">
        <v>1287</v>
      </c>
      <c r="BV253" s="70">
        <f t="shared" ref="BV253:BV317" si="1566">E253</f>
        <v>33</v>
      </c>
      <c r="BW253" s="71">
        <f t="shared" ref="BW253:BW317" si="1567">I253</f>
        <v>66</v>
      </c>
      <c r="BX253" s="72">
        <f t="shared" ref="BX253:BX317" si="1568">M253</f>
        <v>70</v>
      </c>
      <c r="BY253" s="71">
        <f t="shared" ref="BY253:BY317" si="1569">Q253</f>
        <v>102</v>
      </c>
      <c r="BZ253" s="72">
        <f t="shared" ref="BZ253:BZ317" si="1570">U253</f>
        <v>106</v>
      </c>
      <c r="CA253" s="71" t="str">
        <f t="shared" ref="CA253:CA317" si="1571">Y253</f>
        <v>-</v>
      </c>
      <c r="CB253" s="72">
        <f t="shared" ref="CB253:CB317" si="1572">AC253</f>
        <v>149</v>
      </c>
      <c r="CC253" s="71">
        <f t="shared" ref="CC253:CC317" si="1573">AG253</f>
        <v>187</v>
      </c>
      <c r="CD253" s="72">
        <f t="shared" ref="CD253:CD317" si="1574">AK253</f>
        <v>199</v>
      </c>
      <c r="CE253" s="71">
        <f t="shared" ref="CE253:CE317" si="1575">AO253</f>
        <v>241</v>
      </c>
      <c r="CF253" s="72">
        <f t="shared" ref="CF253:CF317" si="1576">AS253</f>
        <v>284</v>
      </c>
      <c r="CG253" s="71">
        <f t="shared" ref="CG253:CG317" si="1577">AW253</f>
        <v>310</v>
      </c>
      <c r="CH253" s="70">
        <f t="shared" ref="CH253:CH317" si="1578">G253</f>
        <v>65</v>
      </c>
      <c r="CI253" s="71">
        <f t="shared" ref="CI253:CI317" si="1579">K253</f>
        <v>69</v>
      </c>
      <c r="CJ253" s="72">
        <f t="shared" ref="CJ253:CJ317" si="1580">O253</f>
        <v>100</v>
      </c>
      <c r="CK253" s="72">
        <f t="shared" ref="CK253:CK317" si="1581">S253</f>
        <v>105</v>
      </c>
      <c r="CL253" s="72">
        <f t="shared" ref="CL253:CL317" si="1582">W253</f>
        <v>141</v>
      </c>
      <c r="CM253" s="72" t="str">
        <f t="shared" ref="CM253:CM317" si="1583">AA253</f>
        <v>-</v>
      </c>
      <c r="CN253" s="72">
        <f t="shared" ref="CN253:CN317" si="1584">AE253</f>
        <v>173</v>
      </c>
      <c r="CO253" s="72">
        <f t="shared" ref="CO253:CO317" si="1585">AI253</f>
        <v>189</v>
      </c>
      <c r="CP253" s="72">
        <f t="shared" ref="CP253:CP317" si="1586">AM253</f>
        <v>237</v>
      </c>
      <c r="CQ253" s="72">
        <f t="shared" ref="CQ253:CQ317" si="1587">AQ253</f>
        <v>278</v>
      </c>
      <c r="CR253" s="72">
        <f t="shared" ref="CR253:CR317" si="1588">AU253</f>
        <v>309</v>
      </c>
      <c r="CS253" s="72">
        <f t="shared" ref="CS253:CS317" si="1589">AY253</f>
        <v>322</v>
      </c>
      <c r="CT253" s="23">
        <f t="shared" ref="CT253:CT317" si="1590">M253-K253</f>
        <v>1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30" x14ac:dyDescent="0.2">
      <c r="A254" s="3" t="str">
        <f t="shared" si="1061"/>
        <v>opsd_bovin_5DYS</v>
      </c>
      <c r="B254" s="3" t="s">
        <v>919</v>
      </c>
      <c r="C254" s="3" t="s">
        <v>1357</v>
      </c>
      <c r="D254" s="3" t="str">
        <f>IFERROR(MID(VLOOKUP($B254,Seqs!$A:$B,2,0),E254,1),"")</f>
        <v>E</v>
      </c>
      <c r="E254" s="105">
        <v>33</v>
      </c>
      <c r="F254" s="3" t="str">
        <f>IFERROR(MID(VLOOKUP($B254,Seqs!$A:$B,2,0),G254,1),"")</f>
        <v>H</v>
      </c>
      <c r="G254" s="3">
        <v>65</v>
      </c>
      <c r="H254" s="3" t="str">
        <f>IFERROR(MID(VLOOKUP($B254,Seqs!$A:$B,2,0),I254,1),"")</f>
        <v>K</v>
      </c>
      <c r="I254" s="23">
        <v>66</v>
      </c>
      <c r="J254" s="3" t="str">
        <f>IFERROR(MID(VLOOKUP($B254,Seqs!$A:$B,2,0),K254,1),"")</f>
        <v>R</v>
      </c>
      <c r="K254" s="23">
        <v>69</v>
      </c>
      <c r="L254" s="3" t="str">
        <f>IFERROR(MID(VLOOKUP($B254,Seqs!$A:$B,2,0),M254,1),"")</f>
        <v>T</v>
      </c>
      <c r="M254" s="3">
        <v>70</v>
      </c>
      <c r="N254" s="3" t="str">
        <f>IFERROR(MID(VLOOKUP($B254,Seqs!$A:$B,2,0),O254,1),"")</f>
        <v>H</v>
      </c>
      <c r="O254" s="3">
        <v>100</v>
      </c>
      <c r="P254" s="3" t="str">
        <f>IFERROR(MID(VLOOKUP($B254,Seqs!$A:$B,2,0),Q254,1),"")</f>
        <v>Y</v>
      </c>
      <c r="Q254" s="3">
        <v>102</v>
      </c>
      <c r="R254" s="3" t="str">
        <f>IFERROR(MID(VLOOKUP($B254,Seqs!$A:$B,2,0),S254,1),"")</f>
        <v>F</v>
      </c>
      <c r="S254" s="3">
        <v>105</v>
      </c>
      <c r="T254" s="3" t="str">
        <f>IFERROR(MID(VLOOKUP($B254,Seqs!$A:$B,2,0),U254,1),"")</f>
        <v>G</v>
      </c>
      <c r="U254" s="3">
        <v>106</v>
      </c>
      <c r="V254" s="3" t="str">
        <f>IFERROR(MID(VLOOKUP($B254,Seqs!$A:$B,2,0),W254,1),"")</f>
        <v>K</v>
      </c>
      <c r="W254" s="3">
        <v>141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G</v>
      </c>
      <c r="AC254" s="9">
        <v>149</v>
      </c>
      <c r="AD254" s="3" t="str">
        <f>IFERROR(MID(VLOOKUP($B254,Seqs!$A:$B,2,0),AE254,1),"")</f>
        <v>V</v>
      </c>
      <c r="AE254" s="3">
        <v>173</v>
      </c>
      <c r="AF254" s="3" t="str">
        <f>IFERROR(MID(VLOOKUP($B254,Seqs!$A:$B,2,0),AG254,1),"")</f>
        <v>C</v>
      </c>
      <c r="AG254" s="3">
        <v>187</v>
      </c>
      <c r="AH254" s="3" t="str">
        <f>IFERROR(MID(VLOOKUP($B254,Seqs!$A:$B,2,0),AI254,1),"")</f>
        <v>I</v>
      </c>
      <c r="AI254" s="3">
        <v>189</v>
      </c>
      <c r="AJ254" s="3" t="str">
        <f>IFERROR(MID(VLOOKUP($B254,Seqs!$A:$B,2,0),AK254,1),"")</f>
        <v>N</v>
      </c>
      <c r="AK254" s="3">
        <v>199</v>
      </c>
      <c r="AL254" s="3" t="str">
        <f>IFERROR(MID(VLOOKUP($B254,Seqs!$A:$B,2,0),AM254,1),"")</f>
        <v>Q</v>
      </c>
      <c r="AM254" s="3">
        <v>237</v>
      </c>
      <c r="AN254" s="3" t="str">
        <f>IFERROR(MID(VLOOKUP($B254,Seqs!$A:$B,2,0),AO254,1),"")</f>
        <v>A</v>
      </c>
      <c r="AO254" s="3">
        <v>241</v>
      </c>
      <c r="AP254" s="3" t="str">
        <f>IFERROR(MID(VLOOKUP($B254,Seqs!$A:$B,2,0),AQ254,1),"")</f>
        <v>H</v>
      </c>
      <c r="AQ254" s="3">
        <v>278</v>
      </c>
      <c r="AR254" s="3" t="str">
        <f>IFERROR(MID(VLOOKUP($B254,Seqs!$A:$B,2,0),AS254,1),"")</f>
        <v>G</v>
      </c>
      <c r="AS254" s="3">
        <v>284</v>
      </c>
      <c r="AT254" s="3" t="str">
        <f>IFERROR(MID(VLOOKUP($B254,Seqs!$A:$B,2,0),AU254,1),"")</f>
        <v>M</v>
      </c>
      <c r="AU254" s="3">
        <v>309</v>
      </c>
      <c r="AV254" s="3" t="str">
        <f>IFERROR(MID(VLOOKUP($B254,Seqs!$A:$B,2,0),AW254,1),"")</f>
        <v>N</v>
      </c>
      <c r="AW254" s="3">
        <v>310</v>
      </c>
      <c r="AX254" s="3" t="str">
        <f>IFERROR(MID(VLOOKUP($B254,Seqs!$A:$B,2,0),AY254,1),"")</f>
        <v>C</v>
      </c>
      <c r="AY254" s="3">
        <v>322</v>
      </c>
      <c r="AZ254" s="77" t="str">
        <f>VLOOKUP(B254,Classification!A:D,2,0)</f>
        <v>A</v>
      </c>
      <c r="BA254" s="94" t="str">
        <f>VLOOKUP(B254,Classification!A:D,4,0)</f>
        <v>Opsins</v>
      </c>
      <c r="BB254" s="27" t="b">
        <f t="shared" si="1062"/>
        <v>1</v>
      </c>
      <c r="BC254" s="23">
        <f t="shared" si="1565"/>
        <v>253</v>
      </c>
      <c r="BD254" s="5" t="s">
        <v>1375</v>
      </c>
      <c r="BE254" s="3" t="s">
        <v>1291</v>
      </c>
      <c r="BF254" s="119">
        <v>2.2999999999999998</v>
      </c>
      <c r="BG254" s="49" t="s">
        <v>1377</v>
      </c>
      <c r="BH254" s="49" t="s">
        <v>1377</v>
      </c>
      <c r="BI254" s="1"/>
      <c r="BJ254" s="70" t="s">
        <v>1287</v>
      </c>
      <c r="BK254" s="57" t="s">
        <v>1287</v>
      </c>
      <c r="BL254" s="57" t="s">
        <v>1287</v>
      </c>
      <c r="BM254" s="57" t="s">
        <v>1287</v>
      </c>
      <c r="BN254" s="57" t="s">
        <v>1287</v>
      </c>
      <c r="BO254" s="57" t="s">
        <v>1287</v>
      </c>
      <c r="BP254" s="57" t="s">
        <v>1287</v>
      </c>
      <c r="BQ254" s="57" t="s">
        <v>1287</v>
      </c>
      <c r="BR254" s="57" t="s">
        <v>1287</v>
      </c>
      <c r="BS254" s="57" t="s">
        <v>1287</v>
      </c>
      <c r="BT254" s="57" t="s">
        <v>1287</v>
      </c>
      <c r="BU254" s="57" t="s">
        <v>1287</v>
      </c>
      <c r="BV254" s="70">
        <f t="shared" si="1566"/>
        <v>33</v>
      </c>
      <c r="BW254" s="71">
        <f t="shared" si="1567"/>
        <v>66</v>
      </c>
      <c r="BX254" s="72">
        <f t="shared" si="1568"/>
        <v>70</v>
      </c>
      <c r="BY254" s="71">
        <f t="shared" si="1569"/>
        <v>102</v>
      </c>
      <c r="BZ254" s="72">
        <f t="shared" si="1570"/>
        <v>106</v>
      </c>
      <c r="CA254" s="71" t="str">
        <f t="shared" si="1571"/>
        <v>-</v>
      </c>
      <c r="CB254" s="72">
        <f t="shared" si="1572"/>
        <v>149</v>
      </c>
      <c r="CC254" s="71">
        <f t="shared" si="1573"/>
        <v>187</v>
      </c>
      <c r="CD254" s="72">
        <f t="shared" si="1574"/>
        <v>199</v>
      </c>
      <c r="CE254" s="71">
        <f t="shared" si="1575"/>
        <v>241</v>
      </c>
      <c r="CF254" s="72">
        <f t="shared" si="1576"/>
        <v>284</v>
      </c>
      <c r="CG254" s="71">
        <f t="shared" si="1577"/>
        <v>310</v>
      </c>
      <c r="CH254" s="70">
        <f t="shared" si="1578"/>
        <v>65</v>
      </c>
      <c r="CI254" s="71">
        <f t="shared" si="1579"/>
        <v>69</v>
      </c>
      <c r="CJ254" s="72">
        <f t="shared" si="1580"/>
        <v>100</v>
      </c>
      <c r="CK254" s="72">
        <f t="shared" si="1581"/>
        <v>105</v>
      </c>
      <c r="CL254" s="72">
        <f t="shared" si="1582"/>
        <v>141</v>
      </c>
      <c r="CM254" s="72" t="str">
        <f t="shared" si="1583"/>
        <v>-</v>
      </c>
      <c r="CN254" s="72">
        <f t="shared" si="1584"/>
        <v>173</v>
      </c>
      <c r="CO254" s="72">
        <f t="shared" si="1585"/>
        <v>189</v>
      </c>
      <c r="CP254" s="72">
        <f t="shared" si="1586"/>
        <v>237</v>
      </c>
      <c r="CQ254" s="72">
        <f t="shared" si="1587"/>
        <v>278</v>
      </c>
      <c r="CR254" s="72">
        <f t="shared" si="1588"/>
        <v>309</v>
      </c>
      <c r="CS254" s="72">
        <f t="shared" si="1589"/>
        <v>322</v>
      </c>
      <c r="CT254" s="23">
        <f t="shared" si="1590"/>
        <v>1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30" x14ac:dyDescent="0.2">
      <c r="A255" s="3" t="str">
        <f t="shared" ref="A255:A337" si="1591">CONCATENATE(B255,"_",C255)</f>
        <v>opsd_bovin_5EN0</v>
      </c>
      <c r="B255" s="3" t="s">
        <v>919</v>
      </c>
      <c r="C255" s="3" t="s">
        <v>1358</v>
      </c>
      <c r="D255" s="3" t="str">
        <f>IFERROR(MID(VLOOKUP($B255,Seqs!$A:$B,2,0),E255,1),"")</f>
        <v>E</v>
      </c>
      <c r="E255" s="105">
        <v>33</v>
      </c>
      <c r="F255" s="3" t="str">
        <f>IFERROR(MID(VLOOKUP($B255,Seqs!$A:$B,2,0),G255,1),"")</f>
        <v>H</v>
      </c>
      <c r="G255" s="3">
        <v>65</v>
      </c>
      <c r="H255" s="3" t="str">
        <f>IFERROR(MID(VLOOKUP($B255,Seqs!$A:$B,2,0),I255,1),"")</f>
        <v>K</v>
      </c>
      <c r="I255" s="23">
        <v>66</v>
      </c>
      <c r="J255" s="3" t="str">
        <f>IFERROR(MID(VLOOKUP($B255,Seqs!$A:$B,2,0),K255,1),"")</f>
        <v>R</v>
      </c>
      <c r="K255" s="23">
        <v>69</v>
      </c>
      <c r="L255" s="3" t="str">
        <f>IFERROR(MID(VLOOKUP($B255,Seqs!$A:$B,2,0),M255,1),"")</f>
        <v>T</v>
      </c>
      <c r="M255" s="3">
        <v>70</v>
      </c>
      <c r="N255" s="3" t="str">
        <f>IFERROR(MID(VLOOKUP($B255,Seqs!$A:$B,2,0),O255,1),"")</f>
        <v>H</v>
      </c>
      <c r="O255" s="3">
        <v>100</v>
      </c>
      <c r="P255" s="3" t="str">
        <f>IFERROR(MID(VLOOKUP($B255,Seqs!$A:$B,2,0),Q255,1),"")</f>
        <v>Y</v>
      </c>
      <c r="Q255" s="3">
        <v>102</v>
      </c>
      <c r="R255" s="3" t="str">
        <f>IFERROR(MID(VLOOKUP($B255,Seqs!$A:$B,2,0),S255,1),"")</f>
        <v>F</v>
      </c>
      <c r="S255" s="3">
        <v>105</v>
      </c>
      <c r="T255" s="3" t="str">
        <f>IFERROR(MID(VLOOKUP($B255,Seqs!$A:$B,2,0),U255,1),"")</f>
        <v>G</v>
      </c>
      <c r="U255" s="3">
        <v>106</v>
      </c>
      <c r="V255" s="3" t="str">
        <f>IFERROR(MID(VLOOKUP($B255,Seqs!$A:$B,2,0),W255,1),"")</f>
        <v>K</v>
      </c>
      <c r="W255" s="3">
        <v>141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G</v>
      </c>
      <c r="AC255" s="9">
        <v>149</v>
      </c>
      <c r="AD255" s="3" t="str">
        <f>IFERROR(MID(VLOOKUP($B255,Seqs!$A:$B,2,0),AE255,1),"")</f>
        <v>V</v>
      </c>
      <c r="AE255" s="3">
        <v>173</v>
      </c>
      <c r="AF255" s="3" t="str">
        <f>IFERROR(MID(VLOOKUP($B255,Seqs!$A:$B,2,0),AG255,1),"")</f>
        <v>C</v>
      </c>
      <c r="AG255" s="3">
        <v>187</v>
      </c>
      <c r="AH255" s="3" t="str">
        <f>IFERROR(MID(VLOOKUP($B255,Seqs!$A:$B,2,0),AI255,1),"")</f>
        <v>I</v>
      </c>
      <c r="AI255" s="3">
        <v>189</v>
      </c>
      <c r="AJ255" s="3" t="str">
        <f>IFERROR(MID(VLOOKUP($B255,Seqs!$A:$B,2,0),AK255,1),"")</f>
        <v>N</v>
      </c>
      <c r="AK255" s="3">
        <v>199</v>
      </c>
      <c r="AL255" s="3" t="str">
        <f>IFERROR(MID(VLOOKUP($B255,Seqs!$A:$B,2,0),AM255,1),"")</f>
        <v>Q</v>
      </c>
      <c r="AM255" s="3">
        <v>237</v>
      </c>
      <c r="AN255" s="3" t="str">
        <f>IFERROR(MID(VLOOKUP($B255,Seqs!$A:$B,2,0),AO255,1),"")</f>
        <v>A</v>
      </c>
      <c r="AO255" s="3">
        <v>241</v>
      </c>
      <c r="AP255" s="3" t="str">
        <f>IFERROR(MID(VLOOKUP($B255,Seqs!$A:$B,2,0),AQ255,1),"")</f>
        <v>H</v>
      </c>
      <c r="AQ255" s="3">
        <v>278</v>
      </c>
      <c r="AR255" s="3" t="str">
        <f>IFERROR(MID(VLOOKUP($B255,Seqs!$A:$B,2,0),AS255,1),"")</f>
        <v>G</v>
      </c>
      <c r="AS255" s="3">
        <v>284</v>
      </c>
      <c r="AT255" s="3" t="str">
        <f>IFERROR(MID(VLOOKUP($B255,Seqs!$A:$B,2,0),AU255,1),"")</f>
        <v>M</v>
      </c>
      <c r="AU255" s="3">
        <v>309</v>
      </c>
      <c r="AV255" s="3" t="str">
        <f>IFERROR(MID(VLOOKUP($B255,Seqs!$A:$B,2,0),AW255,1),"")</f>
        <v>N</v>
      </c>
      <c r="AW255" s="3">
        <v>310</v>
      </c>
      <c r="AX255" s="3" t="str">
        <f>IFERROR(MID(VLOOKUP($B255,Seqs!$A:$B,2,0),AY255,1),"")</f>
        <v>C</v>
      </c>
      <c r="AY255" s="3">
        <v>322</v>
      </c>
      <c r="AZ255" s="77" t="str">
        <f>VLOOKUP(B255,Classification!A:D,2,0)</f>
        <v>A</v>
      </c>
      <c r="BA255" s="94" t="str">
        <f>VLOOKUP(B255,Classification!A:D,4,0)</f>
        <v>Opsins</v>
      </c>
      <c r="BB255" s="27" t="b">
        <f t="shared" ref="BB255:BB337" si="1592">AND(E255&lt;G255,OR(G255&lt;I255,I255="-"),OR(I255&lt;K255,I255="-"),OR(K255&lt;M255,K255="-"),M255&lt;O255,OR(O255&lt;Q255,Q255="-"),OR(Q255&lt;S255,Q255="-"),OR(S255&lt;U255,S255="-"),U255&lt;W255,OR(W255&lt;Y255,Y255="-"),OR(Y255&lt;AA255,Y255="-"),OR(AA255&lt;AC255,AA255="-"),AC255&lt;AE255,OR(AE255&lt;AG255,AG255="-"),OR(AG255&lt;AI255,AG255="-"),OR(AI255&lt;AK255,AI255="-"),AK255&lt;AM255,AM255&lt;AO255,AO255&lt;AQ255,AQ255&lt;AS255,AS255&lt;AU255,OR(AU255&lt;AW255,AW255="-"),OR(AW255&lt;AY255,AW255="-"))</f>
        <v>1</v>
      </c>
      <c r="BC255" s="23">
        <f t="shared" si="1565"/>
        <v>253</v>
      </c>
      <c r="BD255" s="4" t="s">
        <v>23</v>
      </c>
      <c r="BE255" s="3" t="s">
        <v>1291</v>
      </c>
      <c r="BF255" s="119">
        <v>2.81</v>
      </c>
      <c r="BG255" s="49" t="s">
        <v>1377</v>
      </c>
      <c r="BH255" s="49" t="s">
        <v>1377</v>
      </c>
      <c r="BI255" s="1"/>
      <c r="BJ255" s="70" t="s">
        <v>1287</v>
      </c>
      <c r="BK255" s="57" t="s">
        <v>1287</v>
      </c>
      <c r="BL255" s="57" t="s">
        <v>1287</v>
      </c>
      <c r="BM255" s="57" t="s">
        <v>1287</v>
      </c>
      <c r="BN255" s="57" t="s">
        <v>1287</v>
      </c>
      <c r="BO255" s="57" t="s">
        <v>1287</v>
      </c>
      <c r="BP255" s="57" t="s">
        <v>1287</v>
      </c>
      <c r="BQ255" s="57" t="s">
        <v>1287</v>
      </c>
      <c r="BR255" s="57" t="s">
        <v>1287</v>
      </c>
      <c r="BS255" s="57" t="s">
        <v>1287</v>
      </c>
      <c r="BT255" s="57" t="s">
        <v>1287</v>
      </c>
      <c r="BU255" s="57" t="s">
        <v>1287</v>
      </c>
      <c r="BV255" s="70">
        <f t="shared" si="1566"/>
        <v>33</v>
      </c>
      <c r="BW255" s="71">
        <f t="shared" si="1567"/>
        <v>66</v>
      </c>
      <c r="BX255" s="72">
        <f t="shared" si="1568"/>
        <v>70</v>
      </c>
      <c r="BY255" s="71">
        <f t="shared" si="1569"/>
        <v>102</v>
      </c>
      <c r="BZ255" s="72">
        <f t="shared" si="1570"/>
        <v>106</v>
      </c>
      <c r="CA255" s="71" t="str">
        <f t="shared" si="1571"/>
        <v>-</v>
      </c>
      <c r="CB255" s="72">
        <f t="shared" si="1572"/>
        <v>149</v>
      </c>
      <c r="CC255" s="71">
        <f t="shared" si="1573"/>
        <v>187</v>
      </c>
      <c r="CD255" s="72">
        <f t="shared" si="1574"/>
        <v>199</v>
      </c>
      <c r="CE255" s="71">
        <f t="shared" si="1575"/>
        <v>241</v>
      </c>
      <c r="CF255" s="72">
        <f t="shared" si="1576"/>
        <v>284</v>
      </c>
      <c r="CG255" s="71">
        <f t="shared" si="1577"/>
        <v>310</v>
      </c>
      <c r="CH255" s="70">
        <f t="shared" si="1578"/>
        <v>65</v>
      </c>
      <c r="CI255" s="71">
        <f t="shared" si="1579"/>
        <v>69</v>
      </c>
      <c r="CJ255" s="72">
        <f t="shared" si="1580"/>
        <v>100</v>
      </c>
      <c r="CK255" s="72">
        <f t="shared" si="1581"/>
        <v>105</v>
      </c>
      <c r="CL255" s="72">
        <f t="shared" si="1582"/>
        <v>141</v>
      </c>
      <c r="CM255" s="72" t="str">
        <f t="shared" si="1583"/>
        <v>-</v>
      </c>
      <c r="CN255" s="72">
        <f t="shared" si="1584"/>
        <v>173</v>
      </c>
      <c r="CO255" s="72">
        <f t="shared" si="1585"/>
        <v>189</v>
      </c>
      <c r="CP255" s="72">
        <f t="shared" si="1586"/>
        <v>237</v>
      </c>
      <c r="CQ255" s="72">
        <f t="shared" si="1587"/>
        <v>278</v>
      </c>
      <c r="CR255" s="72">
        <f t="shared" si="1588"/>
        <v>309</v>
      </c>
      <c r="CS255" s="72">
        <f t="shared" si="1589"/>
        <v>322</v>
      </c>
      <c r="CT255" s="23">
        <f t="shared" si="1590"/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30" x14ac:dyDescent="0.2">
      <c r="A256" s="3" t="str">
        <f t="shared" ref="A256:A266" si="1593">CONCATENATE(B256,"_",C256)</f>
        <v>opsd_bovin_5TE3</v>
      </c>
      <c r="B256" s="3" t="s">
        <v>919</v>
      </c>
      <c r="C256" s="3" t="s">
        <v>1399</v>
      </c>
      <c r="D256" s="3" t="str">
        <f>IFERROR(MID(VLOOKUP($B256,Seqs!$A:$B,2,0),E256,1),"")</f>
        <v>E</v>
      </c>
      <c r="E256" s="105">
        <v>33</v>
      </c>
      <c r="F256" s="3" t="str">
        <f>IFERROR(MID(VLOOKUP($B256,Seqs!$A:$B,2,0),G256,1),"")</f>
        <v>H</v>
      </c>
      <c r="G256" s="3">
        <v>65</v>
      </c>
      <c r="H256" s="3" t="str">
        <f>IFERROR(MID(VLOOKUP($B256,Seqs!$A:$B,2,0),I256,1),"")</f>
        <v>K</v>
      </c>
      <c r="I256" s="23">
        <v>66</v>
      </c>
      <c r="J256" s="3" t="str">
        <f>IFERROR(MID(VLOOKUP($B256,Seqs!$A:$B,2,0),K256,1),"")</f>
        <v>R</v>
      </c>
      <c r="K256" s="23">
        <v>69</v>
      </c>
      <c r="L256" s="3" t="str">
        <f>IFERROR(MID(VLOOKUP($B256,Seqs!$A:$B,2,0),M256,1),"")</f>
        <v>T</v>
      </c>
      <c r="M256" s="3">
        <v>70</v>
      </c>
      <c r="N256" s="3" t="str">
        <f>IFERROR(MID(VLOOKUP($B256,Seqs!$A:$B,2,0),O256,1),"")</f>
        <v>H</v>
      </c>
      <c r="O256" s="3">
        <v>100</v>
      </c>
      <c r="P256" s="3" t="str">
        <f>IFERROR(MID(VLOOKUP($B256,Seqs!$A:$B,2,0),Q256,1),"")</f>
        <v>Y</v>
      </c>
      <c r="Q256" s="3">
        <v>102</v>
      </c>
      <c r="R256" s="3" t="str">
        <f>IFERROR(MID(VLOOKUP($B256,Seqs!$A:$B,2,0),S256,1),"")</f>
        <v>F</v>
      </c>
      <c r="S256" s="3">
        <v>105</v>
      </c>
      <c r="T256" s="3" t="str">
        <f>IFERROR(MID(VLOOKUP($B256,Seqs!$A:$B,2,0),U256,1),"")</f>
        <v>G</v>
      </c>
      <c r="U256" s="3">
        <v>106</v>
      </c>
      <c r="V256" s="3" t="str">
        <f>IFERROR(MID(VLOOKUP($B256,Seqs!$A:$B,2,0),W256,1),"")</f>
        <v>K</v>
      </c>
      <c r="W256" s="3">
        <v>141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G</v>
      </c>
      <c r="AC256" s="3">
        <v>149</v>
      </c>
      <c r="AD256" s="3" t="str">
        <f>IFERROR(MID(VLOOKUP($B256,Seqs!$A:$B,2,0),AE256,1),"")</f>
        <v>V</v>
      </c>
      <c r="AE256" s="3">
        <v>173</v>
      </c>
      <c r="AF256" s="3" t="str">
        <f>IFERROR(MID(VLOOKUP($B256,Seqs!$A:$B,2,0),AG256,1),"")</f>
        <v>C</v>
      </c>
      <c r="AG256" s="3">
        <v>187</v>
      </c>
      <c r="AH256" s="3" t="str">
        <f>IFERROR(MID(VLOOKUP($B256,Seqs!$A:$B,2,0),AI256,1),"")</f>
        <v>I</v>
      </c>
      <c r="AI256" s="3">
        <v>189</v>
      </c>
      <c r="AJ256" s="3" t="str">
        <f>IFERROR(MID(VLOOKUP($B256,Seqs!$A:$B,2,0),AK256,1),"")</f>
        <v>N</v>
      </c>
      <c r="AK256" s="3">
        <v>199</v>
      </c>
      <c r="AL256" s="3" t="str">
        <f>IFERROR(MID(VLOOKUP($B256,Seqs!$A:$B,2,0),AM256,1),"")</f>
        <v>Q</v>
      </c>
      <c r="AM256" s="3">
        <v>237</v>
      </c>
      <c r="AN256" s="3" t="str">
        <f>IFERROR(MID(VLOOKUP($B256,Seqs!$A:$B,2,0),AO256,1),"")</f>
        <v>A</v>
      </c>
      <c r="AO256" s="3">
        <v>241</v>
      </c>
      <c r="AP256" s="3" t="str">
        <f>IFERROR(MID(VLOOKUP($B256,Seqs!$A:$B,2,0),AQ256,1),"")</f>
        <v>H</v>
      </c>
      <c r="AQ256" s="3">
        <v>278</v>
      </c>
      <c r="AR256" s="3" t="str">
        <f>IFERROR(MID(VLOOKUP($B256,Seqs!$A:$B,2,0),AS256,1),"")</f>
        <v>G</v>
      </c>
      <c r="AS256" s="3">
        <v>284</v>
      </c>
      <c r="AT256" s="3" t="str">
        <f>IFERROR(MID(VLOOKUP($B256,Seqs!$A:$B,2,0),AU256,1),"")</f>
        <v>M</v>
      </c>
      <c r="AU256" s="3">
        <v>309</v>
      </c>
      <c r="AV256" s="3" t="str">
        <f>IFERROR(MID(VLOOKUP($B256,Seqs!$A:$B,2,0),AW256,1),"")</f>
        <v>N</v>
      </c>
      <c r="AW256" s="3">
        <v>310</v>
      </c>
      <c r="AX256" s="3" t="str">
        <f>IFERROR(MID(VLOOKUP($B256,Seqs!$A:$B,2,0),AY256,1),"")</f>
        <v>C</v>
      </c>
      <c r="AY256" s="3">
        <v>322</v>
      </c>
      <c r="AZ256" s="77" t="str">
        <f>VLOOKUP(B256,Classification!A:D,2,0)</f>
        <v>A</v>
      </c>
      <c r="BA256" s="94" t="str">
        <f>VLOOKUP(B256,Classification!A:D,4,0)</f>
        <v>Opsins</v>
      </c>
      <c r="BB256" s="27" t="b">
        <f t="shared" ref="BB256:BB266" si="1594"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 t="shared" ref="BC256:BC266" si="1595">_xlfn.AGGREGATE(9,6,CH256:CS256)-_xlfn.AGGREGATE(9,6,BV256:CG256)+12</f>
        <v>253</v>
      </c>
      <c r="BD256" s="2" t="s">
        <v>23</v>
      </c>
      <c r="BE256" s="3" t="s">
        <v>1291</v>
      </c>
      <c r="BF256" s="119">
        <v>2.7</v>
      </c>
      <c r="BG256" s="49" t="s">
        <v>1</v>
      </c>
      <c r="BH256" s="49" t="s">
        <v>1377</v>
      </c>
      <c r="BI256" s="1"/>
      <c r="BJ256" s="70" t="s">
        <v>1287</v>
      </c>
      <c r="BK256" s="57" t="s">
        <v>1287</v>
      </c>
      <c r="BL256" s="57" t="s">
        <v>1287</v>
      </c>
      <c r="BM256" s="57" t="s">
        <v>1287</v>
      </c>
      <c r="BN256" s="57" t="s">
        <v>1287</v>
      </c>
      <c r="BO256" s="57" t="s">
        <v>1287</v>
      </c>
      <c r="BP256" s="57" t="s">
        <v>1287</v>
      </c>
      <c r="BQ256" s="57" t="s">
        <v>1287</v>
      </c>
      <c r="BR256" s="57" t="s">
        <v>1287</v>
      </c>
      <c r="BS256" s="57" t="s">
        <v>1287</v>
      </c>
      <c r="BT256" s="57" t="s">
        <v>1287</v>
      </c>
      <c r="BU256" s="57" t="s">
        <v>1287</v>
      </c>
      <c r="BV256" s="70">
        <f t="shared" ref="BV256:BV266" si="1596">E256</f>
        <v>33</v>
      </c>
      <c r="BW256" s="71">
        <f t="shared" ref="BW256:BW266" si="1597">I256</f>
        <v>66</v>
      </c>
      <c r="BX256" s="72">
        <f t="shared" ref="BX256:BX266" si="1598">M256</f>
        <v>70</v>
      </c>
      <c r="BY256" s="71">
        <f t="shared" ref="BY256:BY266" si="1599">Q256</f>
        <v>102</v>
      </c>
      <c r="BZ256" s="72">
        <f t="shared" ref="BZ256:BZ266" si="1600">U256</f>
        <v>106</v>
      </c>
      <c r="CA256" s="71" t="str">
        <f t="shared" ref="CA256:CA266" si="1601">Y256</f>
        <v>-</v>
      </c>
      <c r="CB256" s="72">
        <f t="shared" ref="CB256:CB266" si="1602">AC256</f>
        <v>149</v>
      </c>
      <c r="CC256" s="71">
        <f t="shared" ref="CC256:CC266" si="1603">AG256</f>
        <v>187</v>
      </c>
      <c r="CD256" s="72">
        <f t="shared" ref="CD256:CD266" si="1604">AK256</f>
        <v>199</v>
      </c>
      <c r="CE256" s="71">
        <f t="shared" ref="CE256:CE266" si="1605">AO256</f>
        <v>241</v>
      </c>
      <c r="CF256" s="72">
        <f t="shared" ref="CF256:CF266" si="1606">AS256</f>
        <v>284</v>
      </c>
      <c r="CG256" s="71">
        <f t="shared" ref="CG256:CG266" si="1607">AW256</f>
        <v>310</v>
      </c>
      <c r="CH256" s="70">
        <f t="shared" ref="CH256:CH266" si="1608">G256</f>
        <v>65</v>
      </c>
      <c r="CI256" s="71">
        <f t="shared" ref="CI256:CI266" si="1609">K256</f>
        <v>69</v>
      </c>
      <c r="CJ256" s="72">
        <f t="shared" ref="CJ256:CJ266" si="1610">O256</f>
        <v>100</v>
      </c>
      <c r="CK256" s="72">
        <f t="shared" ref="CK256:CK266" si="1611">S256</f>
        <v>105</v>
      </c>
      <c r="CL256" s="72">
        <f t="shared" ref="CL256:CL266" si="1612">W256</f>
        <v>141</v>
      </c>
      <c r="CM256" s="72" t="str">
        <f t="shared" ref="CM256:CM266" si="1613">AA256</f>
        <v>-</v>
      </c>
      <c r="CN256" s="72">
        <f t="shared" ref="CN256:CN266" si="1614">AE256</f>
        <v>173</v>
      </c>
      <c r="CO256" s="72">
        <f t="shared" ref="CO256:CO266" si="1615">AI256</f>
        <v>189</v>
      </c>
      <c r="CP256" s="72">
        <f t="shared" ref="CP256:CP266" si="1616">AM256</f>
        <v>237</v>
      </c>
      <c r="CQ256" s="72">
        <f t="shared" ref="CQ256:CQ266" si="1617">AQ256</f>
        <v>278</v>
      </c>
      <c r="CR256" s="72">
        <f t="shared" ref="CR256:CR266" si="1618">AU256</f>
        <v>309</v>
      </c>
      <c r="CS256" s="72">
        <f t="shared" ref="CS256:CS266" si="1619">AY256</f>
        <v>322</v>
      </c>
      <c r="CT256" s="23">
        <f t="shared" ref="CT256:CT266" si="1620">M256-K256</f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 t="shared" si="1593"/>
        <v>opsd_bovin_5TE5</v>
      </c>
      <c r="B257" s="3" t="s">
        <v>919</v>
      </c>
      <c r="C257" s="3" t="s">
        <v>1400</v>
      </c>
      <c r="D257" s="3" t="str">
        <f>IFERROR(MID(VLOOKUP($B257,Seqs!$A:$B,2,0),E257,1),"")</f>
        <v>Q</v>
      </c>
      <c r="E257" s="3">
        <v>36</v>
      </c>
      <c r="F257" s="3" t="str">
        <f>IFERROR(MID(VLOOKUP($B257,Seqs!$A:$B,2,0),G257,1),"")</f>
        <v>H</v>
      </c>
      <c r="G257" s="3">
        <v>65</v>
      </c>
      <c r="H257" s="3" t="str">
        <f>IFERROR(MID(VLOOKUP($B257,Seqs!$A:$B,2,0),I257,1),"")</f>
        <v>K</v>
      </c>
      <c r="I257" s="23">
        <v>66</v>
      </c>
      <c r="J257" s="3" t="str">
        <f>IFERROR(MID(VLOOKUP($B257,Seqs!$A:$B,2,0),K257,1),"")</f>
        <v>R</v>
      </c>
      <c r="K257" s="23">
        <v>69</v>
      </c>
      <c r="L257" s="3" t="str">
        <f>IFERROR(MID(VLOOKUP($B257,Seqs!$A:$B,2,0),M257,1),"")</f>
        <v>T</v>
      </c>
      <c r="M257" s="3">
        <v>70</v>
      </c>
      <c r="N257" s="3" t="str">
        <f>IFERROR(MID(VLOOKUP($B257,Seqs!$A:$B,2,0),O257,1),"")</f>
        <v>G</v>
      </c>
      <c r="O257" s="3">
        <v>101</v>
      </c>
      <c r="P257" s="3" t="str">
        <f>IFERROR(MID(VLOOKUP($B257,Seqs!$A:$B,2,0),Q257,1),"")</f>
        <v>Y</v>
      </c>
      <c r="Q257" s="3">
        <v>102</v>
      </c>
      <c r="R257" s="3" t="str">
        <f>IFERROR(MID(VLOOKUP($B257,Seqs!$A:$B,2,0),S257,1),"")</f>
        <v>F</v>
      </c>
      <c r="S257" s="3">
        <v>105</v>
      </c>
      <c r="T257" s="3" t="str">
        <f>IFERROR(MID(VLOOKUP($B257,Seqs!$A:$B,2,0),U257,1),"")</f>
        <v>G</v>
      </c>
      <c r="U257" s="3">
        <v>106</v>
      </c>
      <c r="V257" s="3" t="str">
        <f>IFERROR(MID(VLOOKUP($B257,Seqs!$A:$B,2,0),W257,1),"")</f>
        <v>K</v>
      </c>
      <c r="W257" s="3">
        <v>141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G</v>
      </c>
      <c r="AC257" s="3">
        <v>149</v>
      </c>
      <c r="AD257" s="3" t="str">
        <f>IFERROR(MID(VLOOKUP($B257,Seqs!$A:$B,2,0),AE257,1),"")</f>
        <v>V</v>
      </c>
      <c r="AE257" s="3">
        <v>173</v>
      </c>
      <c r="AF257" s="3" t="str">
        <f>IFERROR(MID(VLOOKUP($B257,Seqs!$A:$B,2,0),AG257,1),"")</f>
        <v>C</v>
      </c>
      <c r="AG257" s="3">
        <v>187</v>
      </c>
      <c r="AH257" s="3" t="str">
        <f>IFERROR(MID(VLOOKUP($B257,Seqs!$A:$B,2,0),AI257,1),"")</f>
        <v>I</v>
      </c>
      <c r="AI257" s="3">
        <v>189</v>
      </c>
      <c r="AJ257" s="3" t="str">
        <f>IFERROR(MID(VLOOKUP($B257,Seqs!$A:$B,2,0),AK257,1),"")</f>
        <v>S</v>
      </c>
      <c r="AK257" s="3">
        <v>202</v>
      </c>
      <c r="AL257" s="3" t="str">
        <f>IFERROR(MID(VLOOKUP($B257,Seqs!$A:$B,2,0),AM257,1),"")</f>
        <v>L</v>
      </c>
      <c r="AM257" s="3">
        <v>226</v>
      </c>
      <c r="AN257" s="3" t="str">
        <f>IFERROR(MID(VLOOKUP($B257,Seqs!$A:$B,2,0),AO257,1),"")</f>
        <v>T</v>
      </c>
      <c r="AO257" s="3">
        <v>243</v>
      </c>
      <c r="AP257" s="3" t="str">
        <f>IFERROR(MID(VLOOKUP($B257,Seqs!$A:$B,2,0),AQ257,1),"")</f>
        <v>H</v>
      </c>
      <c r="AQ257" s="3">
        <v>278</v>
      </c>
      <c r="AR257" s="3" t="str">
        <f>IFERROR(MID(VLOOKUP($B257,Seqs!$A:$B,2,0),AS257,1),"")</f>
        <v>P</v>
      </c>
      <c r="AS257" s="3">
        <v>285</v>
      </c>
      <c r="AT257" s="3" t="str">
        <f>IFERROR(MID(VLOOKUP($B257,Seqs!$A:$B,2,0),AU257,1),"")</f>
        <v>M</v>
      </c>
      <c r="AU257" s="3">
        <v>309</v>
      </c>
      <c r="AV257" s="3" t="str">
        <f>IFERROR(MID(VLOOKUP($B257,Seqs!$A:$B,2,0),AW257,1),"")</f>
        <v>N</v>
      </c>
      <c r="AW257" s="3">
        <v>310</v>
      </c>
      <c r="AX257" s="3" t="str">
        <f>IFERROR(MID(VLOOKUP($B257,Seqs!$A:$B,2,0),AY257,1),"")</f>
        <v>C</v>
      </c>
      <c r="AY257" s="3">
        <v>323</v>
      </c>
      <c r="AZ257" s="77" t="str">
        <f>VLOOKUP(B257,Classification!A:D,2,0)</f>
        <v>A</v>
      </c>
      <c r="BA257" s="94" t="str">
        <f>VLOOKUP(B257,Classification!A:D,4,0)</f>
        <v>Opsins</v>
      </c>
      <c r="BB257" s="27" t="b">
        <f t="shared" si="1594"/>
        <v>1</v>
      </c>
      <c r="BC257" s="23">
        <f t="shared" si="1595"/>
        <v>235</v>
      </c>
      <c r="BD257" s="2" t="s">
        <v>23</v>
      </c>
      <c r="BE257" s="3" t="s">
        <v>1374</v>
      </c>
      <c r="BF257" s="119">
        <v>4.01</v>
      </c>
      <c r="BG257" s="49" t="s">
        <v>1377</v>
      </c>
      <c r="BH257" s="49" t="s">
        <v>1377</v>
      </c>
      <c r="BI257" s="1"/>
      <c r="BJ257" s="70" t="s">
        <v>1287</v>
      </c>
      <c r="BK257" s="57" t="s">
        <v>1287</v>
      </c>
      <c r="BL257" s="57" t="s">
        <v>1287</v>
      </c>
      <c r="BM257" s="57" t="s">
        <v>1287</v>
      </c>
      <c r="BN257" s="57" t="s">
        <v>1287</v>
      </c>
      <c r="BO257" s="57" t="s">
        <v>1287</v>
      </c>
      <c r="BP257" s="57" t="s">
        <v>1287</v>
      </c>
      <c r="BQ257" s="57" t="s">
        <v>1287</v>
      </c>
      <c r="BR257" s="57" t="s">
        <v>1287</v>
      </c>
      <c r="BS257" s="57" t="s">
        <v>1287</v>
      </c>
      <c r="BT257" s="57" t="s">
        <v>1287</v>
      </c>
      <c r="BU257" s="57" t="s">
        <v>1287</v>
      </c>
      <c r="BV257" s="70">
        <f t="shared" si="1596"/>
        <v>36</v>
      </c>
      <c r="BW257" s="71">
        <f t="shared" si="1597"/>
        <v>66</v>
      </c>
      <c r="BX257" s="72">
        <f t="shared" si="1598"/>
        <v>70</v>
      </c>
      <c r="BY257" s="71">
        <f t="shared" si="1599"/>
        <v>102</v>
      </c>
      <c r="BZ257" s="72">
        <f t="shared" si="1600"/>
        <v>106</v>
      </c>
      <c r="CA257" s="71" t="str">
        <f t="shared" si="1601"/>
        <v>-</v>
      </c>
      <c r="CB257" s="72">
        <f t="shared" si="1602"/>
        <v>149</v>
      </c>
      <c r="CC257" s="71">
        <f t="shared" si="1603"/>
        <v>187</v>
      </c>
      <c r="CD257" s="72">
        <f t="shared" si="1604"/>
        <v>202</v>
      </c>
      <c r="CE257" s="71">
        <f t="shared" si="1605"/>
        <v>243</v>
      </c>
      <c r="CF257" s="72">
        <f t="shared" si="1606"/>
        <v>285</v>
      </c>
      <c r="CG257" s="71">
        <f t="shared" si="1607"/>
        <v>310</v>
      </c>
      <c r="CH257" s="70">
        <f t="shared" si="1608"/>
        <v>65</v>
      </c>
      <c r="CI257" s="71">
        <f t="shared" si="1609"/>
        <v>69</v>
      </c>
      <c r="CJ257" s="72">
        <f t="shared" si="1610"/>
        <v>101</v>
      </c>
      <c r="CK257" s="72">
        <f t="shared" si="1611"/>
        <v>105</v>
      </c>
      <c r="CL257" s="72">
        <f t="shared" si="1612"/>
        <v>141</v>
      </c>
      <c r="CM257" s="72" t="str">
        <f t="shared" si="1613"/>
        <v>-</v>
      </c>
      <c r="CN257" s="72">
        <f t="shared" si="1614"/>
        <v>173</v>
      </c>
      <c r="CO257" s="72">
        <f t="shared" si="1615"/>
        <v>189</v>
      </c>
      <c r="CP257" s="72">
        <f t="shared" si="1616"/>
        <v>226</v>
      </c>
      <c r="CQ257" s="72">
        <f t="shared" si="1617"/>
        <v>278</v>
      </c>
      <c r="CR257" s="72">
        <f t="shared" si="1618"/>
        <v>309</v>
      </c>
      <c r="CS257" s="72">
        <f t="shared" si="1619"/>
        <v>323</v>
      </c>
      <c r="CT257" s="23">
        <f t="shared" si="1620"/>
        <v>1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 t="shared" si="1593"/>
        <v>opsd_bovin_5WKT</v>
      </c>
      <c r="B258" s="3" t="s">
        <v>919</v>
      </c>
      <c r="C258" s="3" t="s">
        <v>1450</v>
      </c>
      <c r="D258" s="3" t="str">
        <f>IFERROR(MID(VLOOKUP($B258,Seqs!$A:$B,2,0),E258,1),"")</f>
        <v>E</v>
      </c>
      <c r="E258" s="3">
        <v>33</v>
      </c>
      <c r="F258" s="3" t="str">
        <f>IFERROR(MID(VLOOKUP($B258,Seqs!$A:$B,2,0),G258,1),"")</f>
        <v>Q</v>
      </c>
      <c r="G258" s="3">
        <v>64</v>
      </c>
      <c r="H258" s="3" t="str">
        <f>IFERROR(MID(VLOOKUP($B258,Seqs!$A:$B,2,0),I258,1),"")</f>
        <v>K</v>
      </c>
      <c r="I258" s="23">
        <v>66</v>
      </c>
      <c r="J258" s="3" t="str">
        <f>IFERROR(MID(VLOOKUP($B258,Seqs!$A:$B,2,0),K258,1),"")</f>
        <v>R</v>
      </c>
      <c r="K258" s="23">
        <v>69</v>
      </c>
      <c r="L258" s="3" t="str">
        <f>IFERROR(MID(VLOOKUP($B258,Seqs!$A:$B,2,0),M258,1),"")</f>
        <v>N</v>
      </c>
      <c r="M258" s="3">
        <v>73</v>
      </c>
      <c r="N258" s="3" t="str">
        <f>IFERROR(MID(VLOOKUP($B258,Seqs!$A:$B,2,0),O258,1),"")</f>
        <v>G</v>
      </c>
      <c r="O258" s="3">
        <v>101</v>
      </c>
      <c r="P258" s="3" t="str">
        <f>IFERROR(MID(VLOOKUP($B258,Seqs!$A:$B,2,0),Q258,1),"")</f>
        <v>Y</v>
      </c>
      <c r="Q258" s="3">
        <v>102</v>
      </c>
      <c r="R258" s="3" t="str">
        <f>IFERROR(MID(VLOOKUP($B258,Seqs!$A:$B,2,0),S258,1),"")</f>
        <v>F</v>
      </c>
      <c r="S258" s="3">
        <v>105</v>
      </c>
      <c r="T258" s="3" t="str">
        <f>IFERROR(MID(VLOOKUP($B258,Seqs!$A:$B,2,0),U258,1),"")</f>
        <v>G</v>
      </c>
      <c r="U258" s="3">
        <v>106</v>
      </c>
      <c r="V258" s="3" t="str">
        <f>IFERROR(MID(VLOOKUP($B258,Seqs!$A:$B,2,0),W258,1),"")</f>
        <v>K</v>
      </c>
      <c r="W258" s="3">
        <v>141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G</v>
      </c>
      <c r="AC258" s="3">
        <v>149</v>
      </c>
      <c r="AD258" s="3" t="str">
        <f>IFERROR(MID(VLOOKUP($B258,Seqs!$A:$B,2,0),AE258,1),"")</f>
        <v>V</v>
      </c>
      <c r="AE258" s="3">
        <v>173</v>
      </c>
      <c r="AF258" s="3" t="str">
        <f>IFERROR(MID(VLOOKUP($B258,Seqs!$A:$B,2,0),AG258,1),"")</f>
        <v>C</v>
      </c>
      <c r="AG258" s="3">
        <v>187</v>
      </c>
      <c r="AH258" s="3" t="str">
        <f>IFERROR(MID(VLOOKUP($B258,Seqs!$A:$B,2,0),AI258,1),"")</f>
        <v>I</v>
      </c>
      <c r="AI258" s="3">
        <v>189</v>
      </c>
      <c r="AJ258" s="3" t="str">
        <f>IFERROR(MID(VLOOKUP($B258,Seqs!$A:$B,2,0),AK258,1),"")</f>
        <v>N</v>
      </c>
      <c r="AK258" s="3">
        <v>199</v>
      </c>
      <c r="AL258" s="3" t="str">
        <f>IFERROR(MID(VLOOKUP($B258,Seqs!$A:$B,2,0),AM258,1),"")</f>
        <v>Q</v>
      </c>
      <c r="AM258" s="3">
        <v>236</v>
      </c>
      <c r="AN258" s="3" t="str">
        <f>IFERROR(MID(VLOOKUP($B258,Seqs!$A:$B,2,0),AO258,1),"")</f>
        <v>S</v>
      </c>
      <c r="AO258" s="3">
        <v>240</v>
      </c>
      <c r="AP258" s="3" t="str">
        <f>IFERROR(MID(VLOOKUP($B258,Seqs!$A:$B,2,0),AQ258,1),"")</f>
        <v>H</v>
      </c>
      <c r="AQ258" s="3">
        <v>278</v>
      </c>
      <c r="AR258" s="3" t="str">
        <f>IFERROR(MID(VLOOKUP($B258,Seqs!$A:$B,2,0),AS258,1),"")</f>
        <v>G</v>
      </c>
      <c r="AS258" s="3">
        <v>284</v>
      </c>
      <c r="AT258" s="3" t="str">
        <f>IFERROR(MID(VLOOKUP($B258,Seqs!$A:$B,2,0),AU258,1),"")</f>
        <v>M</v>
      </c>
      <c r="AU258" s="3">
        <v>309</v>
      </c>
      <c r="AV258" s="3" t="str">
        <f>IFERROR(MID(VLOOKUP($B258,Seqs!$A:$B,2,0),AW258,1),"")</f>
        <v>N</v>
      </c>
      <c r="AW258" s="3">
        <v>310</v>
      </c>
      <c r="AX258" s="3" t="str">
        <f>IFERROR(MID(VLOOKUP($B258,Seqs!$A:$B,2,0),AY258,1),"")</f>
        <v>C</v>
      </c>
      <c r="AY258" s="3">
        <v>322</v>
      </c>
      <c r="AZ258" s="77" t="str">
        <f>VLOOKUP(B258,Classification!A:D,2,0)</f>
        <v>A</v>
      </c>
      <c r="BA258" s="94" t="str">
        <f>VLOOKUP(B258,Classification!A:D,4,0)</f>
        <v>Opsins</v>
      </c>
      <c r="BB258" s="27" t="b">
        <f t="shared" si="1594"/>
        <v>1</v>
      </c>
      <c r="BC258" s="23">
        <f t="shared" si="1595"/>
        <v>250</v>
      </c>
      <c r="BD258" s="2" t="s">
        <v>23</v>
      </c>
      <c r="BE258" s="3" t="s">
        <v>1291</v>
      </c>
      <c r="BF258" s="119">
        <v>3.2</v>
      </c>
      <c r="BG258" s="49" t="s">
        <v>1</v>
      </c>
      <c r="BH258" s="49" t="s">
        <v>1</v>
      </c>
      <c r="BI258" s="1"/>
      <c r="BJ258" s="70" t="s">
        <v>1287</v>
      </c>
      <c r="BK258" s="57" t="s">
        <v>1287</v>
      </c>
      <c r="BL258" s="57" t="s">
        <v>1287</v>
      </c>
      <c r="BM258" s="57" t="s">
        <v>1287</v>
      </c>
      <c r="BN258" s="57" t="s">
        <v>1287</v>
      </c>
      <c r="BO258" s="57" t="s">
        <v>1287</v>
      </c>
      <c r="BP258" s="57" t="s">
        <v>1287</v>
      </c>
      <c r="BQ258" s="57" t="s">
        <v>1287</v>
      </c>
      <c r="BR258" s="57" t="s">
        <v>1287</v>
      </c>
      <c r="BS258" s="57" t="s">
        <v>1287</v>
      </c>
      <c r="BT258" s="57" t="s">
        <v>1287</v>
      </c>
      <c r="BU258" s="57" t="s">
        <v>1287</v>
      </c>
      <c r="BV258" s="70">
        <f t="shared" si="1596"/>
        <v>33</v>
      </c>
      <c r="BW258" s="71">
        <f t="shared" si="1597"/>
        <v>66</v>
      </c>
      <c r="BX258" s="72">
        <f t="shared" si="1598"/>
        <v>73</v>
      </c>
      <c r="BY258" s="71">
        <f t="shared" si="1599"/>
        <v>102</v>
      </c>
      <c r="BZ258" s="72">
        <f t="shared" si="1600"/>
        <v>106</v>
      </c>
      <c r="CA258" s="71" t="str">
        <f t="shared" si="1601"/>
        <v>-</v>
      </c>
      <c r="CB258" s="72">
        <f t="shared" si="1602"/>
        <v>149</v>
      </c>
      <c r="CC258" s="71">
        <f t="shared" si="1603"/>
        <v>187</v>
      </c>
      <c r="CD258" s="72">
        <f t="shared" si="1604"/>
        <v>199</v>
      </c>
      <c r="CE258" s="71">
        <f t="shared" si="1605"/>
        <v>240</v>
      </c>
      <c r="CF258" s="72">
        <f t="shared" si="1606"/>
        <v>284</v>
      </c>
      <c r="CG258" s="71">
        <f t="shared" si="1607"/>
        <v>310</v>
      </c>
      <c r="CH258" s="70">
        <f t="shared" si="1608"/>
        <v>64</v>
      </c>
      <c r="CI258" s="71">
        <f t="shared" si="1609"/>
        <v>69</v>
      </c>
      <c r="CJ258" s="72">
        <f t="shared" si="1610"/>
        <v>101</v>
      </c>
      <c r="CK258" s="72">
        <f t="shared" si="1611"/>
        <v>105</v>
      </c>
      <c r="CL258" s="72">
        <f t="shared" si="1612"/>
        <v>141</v>
      </c>
      <c r="CM258" s="72" t="str">
        <f t="shared" si="1613"/>
        <v>-</v>
      </c>
      <c r="CN258" s="72">
        <f t="shared" si="1614"/>
        <v>173</v>
      </c>
      <c r="CO258" s="72">
        <f t="shared" si="1615"/>
        <v>189</v>
      </c>
      <c r="CP258" s="72">
        <f t="shared" si="1616"/>
        <v>236</v>
      </c>
      <c r="CQ258" s="72">
        <f t="shared" si="1617"/>
        <v>278</v>
      </c>
      <c r="CR258" s="72">
        <f t="shared" si="1618"/>
        <v>309</v>
      </c>
      <c r="CS258" s="72">
        <f t="shared" si="1619"/>
        <v>322</v>
      </c>
      <c r="CT258" s="23">
        <f t="shared" si="1620"/>
        <v>4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x14ac:dyDescent="0.2">
      <c r="A259" s="3" t="str">
        <f t="shared" si="1593"/>
        <v>opsd_bovin_6FK6</v>
      </c>
      <c r="B259" s="3" t="s">
        <v>919</v>
      </c>
      <c r="C259" s="3" t="s">
        <v>1481</v>
      </c>
      <c r="D259" s="3" t="str">
        <f>IFERROR(MID(VLOOKUP($B259,Seqs!$A:$B,2,0),E259,1),"")</f>
        <v>E</v>
      </c>
      <c r="E259" s="3">
        <v>33</v>
      </c>
      <c r="F259" s="3" t="str">
        <f>IFERROR(MID(VLOOKUP($B259,Seqs!$A:$B,2,0),G259,1),"")</f>
        <v>Q</v>
      </c>
      <c r="G259" s="3">
        <v>64</v>
      </c>
      <c r="H259" s="3" t="str">
        <f>IFERROR(MID(VLOOKUP($B259,Seqs!$A:$B,2,0),I259,1),"")</f>
        <v>K</v>
      </c>
      <c r="I259" s="23">
        <v>66</v>
      </c>
      <c r="J259" s="3" t="str">
        <f>IFERROR(MID(VLOOKUP($B259,Seqs!$A:$B,2,0),K259,1),"")</f>
        <v>R</v>
      </c>
      <c r="K259" s="23">
        <v>69</v>
      </c>
      <c r="L259" s="3" t="str">
        <f>IFERROR(MID(VLOOKUP($B259,Seqs!$A:$B,2,0),M259,1),"")</f>
        <v>N</v>
      </c>
      <c r="M259" s="3">
        <v>73</v>
      </c>
      <c r="N259" s="3" t="str">
        <f>IFERROR(MID(VLOOKUP($B259,Seqs!$A:$B,2,0),O259,1),"")</f>
        <v>G</v>
      </c>
      <c r="O259" s="3">
        <v>101</v>
      </c>
      <c r="P259" s="3" t="str">
        <f>IFERROR(MID(VLOOKUP($B259,Seqs!$A:$B,2,0),Q259,1),"")</f>
        <v>Y</v>
      </c>
      <c r="Q259" s="3">
        <v>102</v>
      </c>
      <c r="R259" s="3" t="str">
        <f>IFERROR(MID(VLOOKUP($B259,Seqs!$A:$B,2,0),S259,1),"")</f>
        <v>F</v>
      </c>
      <c r="S259" s="3">
        <v>105</v>
      </c>
      <c r="T259" s="3" t="str">
        <f>IFERROR(MID(VLOOKUP($B259,Seqs!$A:$B,2,0),U259,1),"")</f>
        <v>G</v>
      </c>
      <c r="U259" s="3">
        <v>106</v>
      </c>
      <c r="V259" s="3" t="str">
        <f>IFERROR(MID(VLOOKUP($B259,Seqs!$A:$B,2,0),W259,1),"")</f>
        <v>K</v>
      </c>
      <c r="W259" s="3">
        <v>141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G</v>
      </c>
      <c r="AC259" s="3">
        <v>149</v>
      </c>
      <c r="AD259" s="3" t="str">
        <f>IFERROR(MID(VLOOKUP($B259,Seqs!$A:$B,2,0),AE259,1),"")</f>
        <v>V</v>
      </c>
      <c r="AE259" s="3">
        <v>173</v>
      </c>
      <c r="AF259" s="3" t="str">
        <f>IFERROR(MID(VLOOKUP($B259,Seqs!$A:$B,2,0),AG259,1),"")</f>
        <v>C</v>
      </c>
      <c r="AG259" s="3">
        <v>187</v>
      </c>
      <c r="AH259" s="3" t="str">
        <f>IFERROR(MID(VLOOKUP($B259,Seqs!$A:$B,2,0),AI259,1),"")</f>
        <v>I</v>
      </c>
      <c r="AI259" s="3">
        <v>189</v>
      </c>
      <c r="AJ259" s="3" t="str">
        <f>IFERROR(MID(VLOOKUP($B259,Seqs!$A:$B,2,0),AK259,1),"")</f>
        <v>N</v>
      </c>
      <c r="AK259" s="3">
        <v>199</v>
      </c>
      <c r="AL259" s="3" t="str">
        <f>IFERROR(MID(VLOOKUP($B259,Seqs!$A:$B,2,0),AM259,1),"")</f>
        <v>Q</v>
      </c>
      <c r="AM259" s="3">
        <v>236</v>
      </c>
      <c r="AN259" s="3" t="str">
        <f>IFERROR(MID(VLOOKUP($B259,Seqs!$A:$B,2,0),AO259,1),"")</f>
        <v>S</v>
      </c>
      <c r="AO259" s="3">
        <v>240</v>
      </c>
      <c r="AP259" s="3" t="str">
        <f>IFERROR(MID(VLOOKUP($B259,Seqs!$A:$B,2,0),AQ259,1),"")</f>
        <v>H</v>
      </c>
      <c r="AQ259" s="3">
        <v>278</v>
      </c>
      <c r="AR259" s="3" t="str">
        <f>IFERROR(MID(VLOOKUP($B259,Seqs!$A:$B,2,0),AS259,1),"")</f>
        <v>G</v>
      </c>
      <c r="AS259" s="3">
        <v>284</v>
      </c>
      <c r="AT259" s="3" t="str">
        <f>IFERROR(MID(VLOOKUP($B259,Seqs!$A:$B,2,0),AU259,1),"")</f>
        <v>M</v>
      </c>
      <c r="AU259" s="3">
        <v>309</v>
      </c>
      <c r="AV259" s="3" t="str">
        <f>IFERROR(MID(VLOOKUP($B259,Seqs!$A:$B,2,0),AW259,1),"")</f>
        <v>N</v>
      </c>
      <c r="AW259" s="3">
        <v>310</v>
      </c>
      <c r="AX259" s="3" t="str">
        <f>IFERROR(MID(VLOOKUP($B259,Seqs!$A:$B,2,0),AY259,1),"")</f>
        <v>C</v>
      </c>
      <c r="AY259" s="3">
        <v>322</v>
      </c>
      <c r="AZ259" s="77" t="str">
        <f>VLOOKUP(B259,Classification!A:D,2,0)</f>
        <v>A</v>
      </c>
      <c r="BA259" s="94" t="str">
        <f>VLOOKUP(B259,Classification!A:D,4,0)</f>
        <v>Opsins</v>
      </c>
      <c r="BB259" s="27" t="b">
        <f t="shared" si="1594"/>
        <v>1</v>
      </c>
      <c r="BC259" s="23">
        <f t="shared" si="1595"/>
        <v>250</v>
      </c>
      <c r="BD259" s="2" t="s">
        <v>23</v>
      </c>
      <c r="BE259" s="3" t="s">
        <v>1291</v>
      </c>
      <c r="BF259" s="119">
        <v>2.36</v>
      </c>
      <c r="BG259" s="49" t="s">
        <v>1</v>
      </c>
      <c r="BH259" s="49" t="s">
        <v>1</v>
      </c>
      <c r="BI259" s="1"/>
      <c r="BJ259" s="70" t="s">
        <v>1287</v>
      </c>
      <c r="BK259" s="57" t="s">
        <v>1287</v>
      </c>
      <c r="BL259" s="57" t="s">
        <v>1287</v>
      </c>
      <c r="BM259" s="57" t="s">
        <v>1287</v>
      </c>
      <c r="BN259" s="57" t="s">
        <v>1287</v>
      </c>
      <c r="BO259" s="57" t="s">
        <v>1287</v>
      </c>
      <c r="BP259" s="57" t="s">
        <v>1287</v>
      </c>
      <c r="BQ259" s="57" t="s">
        <v>1287</v>
      </c>
      <c r="BR259" s="57" t="s">
        <v>1287</v>
      </c>
      <c r="BS259" s="57" t="s">
        <v>1287</v>
      </c>
      <c r="BT259" s="57" t="s">
        <v>1287</v>
      </c>
      <c r="BU259" s="57" t="s">
        <v>1287</v>
      </c>
      <c r="BV259" s="70">
        <f t="shared" si="1596"/>
        <v>33</v>
      </c>
      <c r="BW259" s="71">
        <f t="shared" si="1597"/>
        <v>66</v>
      </c>
      <c r="BX259" s="72">
        <f t="shared" si="1598"/>
        <v>73</v>
      </c>
      <c r="BY259" s="71">
        <f t="shared" si="1599"/>
        <v>102</v>
      </c>
      <c r="BZ259" s="72">
        <f t="shared" si="1600"/>
        <v>106</v>
      </c>
      <c r="CA259" s="71" t="str">
        <f t="shared" si="1601"/>
        <v>-</v>
      </c>
      <c r="CB259" s="72">
        <f t="shared" si="1602"/>
        <v>149</v>
      </c>
      <c r="CC259" s="71">
        <f t="shared" si="1603"/>
        <v>187</v>
      </c>
      <c r="CD259" s="72">
        <f t="shared" si="1604"/>
        <v>199</v>
      </c>
      <c r="CE259" s="71">
        <f t="shared" si="1605"/>
        <v>240</v>
      </c>
      <c r="CF259" s="72">
        <f t="shared" si="1606"/>
        <v>284</v>
      </c>
      <c r="CG259" s="71">
        <f t="shared" si="1607"/>
        <v>310</v>
      </c>
      <c r="CH259" s="70">
        <f t="shared" si="1608"/>
        <v>64</v>
      </c>
      <c r="CI259" s="71">
        <f t="shared" si="1609"/>
        <v>69</v>
      </c>
      <c r="CJ259" s="72">
        <f t="shared" si="1610"/>
        <v>101</v>
      </c>
      <c r="CK259" s="72">
        <f t="shared" si="1611"/>
        <v>105</v>
      </c>
      <c r="CL259" s="72">
        <f t="shared" si="1612"/>
        <v>141</v>
      </c>
      <c r="CM259" s="72" t="str">
        <f t="shared" si="1613"/>
        <v>-</v>
      </c>
      <c r="CN259" s="72">
        <f t="shared" si="1614"/>
        <v>173</v>
      </c>
      <c r="CO259" s="72">
        <f t="shared" si="1615"/>
        <v>189</v>
      </c>
      <c r="CP259" s="72">
        <f t="shared" si="1616"/>
        <v>236</v>
      </c>
      <c r="CQ259" s="72">
        <f t="shared" si="1617"/>
        <v>278</v>
      </c>
      <c r="CR259" s="72">
        <f t="shared" si="1618"/>
        <v>309</v>
      </c>
      <c r="CS259" s="72">
        <f t="shared" si="1619"/>
        <v>322</v>
      </c>
      <c r="CT259" s="23">
        <f t="shared" si="1620"/>
        <v>4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29" x14ac:dyDescent="0.2">
      <c r="A260" s="3" t="str">
        <f t="shared" si="1593"/>
        <v>opsd_bovin_6FK7</v>
      </c>
      <c r="B260" s="3" t="s">
        <v>919</v>
      </c>
      <c r="C260" s="3" t="s">
        <v>1482</v>
      </c>
      <c r="D260" s="3" t="str">
        <f>IFERROR(MID(VLOOKUP($B260,Seqs!$A:$B,2,0),E260,1),"")</f>
        <v>E</v>
      </c>
      <c r="E260" s="3">
        <v>33</v>
      </c>
      <c r="F260" s="3" t="str">
        <f>IFERROR(MID(VLOOKUP($B260,Seqs!$A:$B,2,0),G260,1),"")</f>
        <v>Q</v>
      </c>
      <c r="G260" s="3">
        <v>64</v>
      </c>
      <c r="H260" s="3" t="str">
        <f>IFERROR(MID(VLOOKUP($B260,Seqs!$A:$B,2,0),I260,1),"")</f>
        <v>K</v>
      </c>
      <c r="I260" s="23">
        <v>66</v>
      </c>
      <c r="J260" s="3" t="str">
        <f>IFERROR(MID(VLOOKUP($B260,Seqs!$A:$B,2,0),K260,1),"")</f>
        <v>R</v>
      </c>
      <c r="K260" s="23">
        <v>69</v>
      </c>
      <c r="L260" s="3" t="str">
        <f>IFERROR(MID(VLOOKUP($B260,Seqs!$A:$B,2,0),M260,1),"")</f>
        <v>N</v>
      </c>
      <c r="M260" s="3">
        <v>73</v>
      </c>
      <c r="N260" s="3" t="str">
        <f>IFERROR(MID(VLOOKUP($B260,Seqs!$A:$B,2,0),O260,1),"")</f>
        <v>G</v>
      </c>
      <c r="O260" s="3">
        <v>101</v>
      </c>
      <c r="P260" s="3" t="str">
        <f>IFERROR(MID(VLOOKUP($B260,Seqs!$A:$B,2,0),Q260,1),"")</f>
        <v>Y</v>
      </c>
      <c r="Q260" s="3">
        <v>102</v>
      </c>
      <c r="R260" s="3" t="str">
        <f>IFERROR(MID(VLOOKUP($B260,Seqs!$A:$B,2,0),S260,1),"")</f>
        <v>F</v>
      </c>
      <c r="S260" s="3">
        <v>105</v>
      </c>
      <c r="T260" s="3" t="str">
        <f>IFERROR(MID(VLOOKUP($B260,Seqs!$A:$B,2,0),U260,1),"")</f>
        <v>G</v>
      </c>
      <c r="U260" s="3">
        <v>106</v>
      </c>
      <c r="V260" s="3" t="str">
        <f>IFERROR(MID(VLOOKUP($B260,Seqs!$A:$B,2,0),W260,1),"")</f>
        <v>K</v>
      </c>
      <c r="W260" s="3">
        <v>141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G</v>
      </c>
      <c r="AC260" s="3">
        <v>149</v>
      </c>
      <c r="AD260" s="3" t="str">
        <f>IFERROR(MID(VLOOKUP($B260,Seqs!$A:$B,2,0),AE260,1),"")</f>
        <v>V</v>
      </c>
      <c r="AE260" s="3">
        <v>173</v>
      </c>
      <c r="AF260" s="3" t="str">
        <f>IFERROR(MID(VLOOKUP($B260,Seqs!$A:$B,2,0),AG260,1),"")</f>
        <v>C</v>
      </c>
      <c r="AG260" s="3">
        <v>187</v>
      </c>
      <c r="AH260" s="3" t="str">
        <f>IFERROR(MID(VLOOKUP($B260,Seqs!$A:$B,2,0),AI260,1),"")</f>
        <v>I</v>
      </c>
      <c r="AI260" s="3">
        <v>189</v>
      </c>
      <c r="AJ260" s="3" t="str">
        <f>IFERROR(MID(VLOOKUP($B260,Seqs!$A:$B,2,0),AK260,1),"")</f>
        <v>N</v>
      </c>
      <c r="AK260" s="3">
        <v>199</v>
      </c>
      <c r="AL260" s="3" t="str">
        <f>IFERROR(MID(VLOOKUP($B260,Seqs!$A:$B,2,0),AM260,1),"")</f>
        <v>Q</v>
      </c>
      <c r="AM260" s="3">
        <v>236</v>
      </c>
      <c r="AN260" s="3" t="str">
        <f>IFERROR(MID(VLOOKUP($B260,Seqs!$A:$B,2,0),AO260,1),"")</f>
        <v>S</v>
      </c>
      <c r="AO260" s="3">
        <v>240</v>
      </c>
      <c r="AP260" s="3" t="str">
        <f>IFERROR(MID(VLOOKUP($B260,Seqs!$A:$B,2,0),AQ260,1),"")</f>
        <v>H</v>
      </c>
      <c r="AQ260" s="3">
        <v>278</v>
      </c>
      <c r="AR260" s="3" t="str">
        <f>IFERROR(MID(VLOOKUP($B260,Seqs!$A:$B,2,0),AS260,1),"")</f>
        <v>T</v>
      </c>
      <c r="AS260" s="3">
        <v>289</v>
      </c>
      <c r="AT260" s="3" t="str">
        <f>IFERROR(MID(VLOOKUP($B260,Seqs!$A:$B,2,0),AU260,1),"")</f>
        <v>M</v>
      </c>
      <c r="AU260" s="3">
        <v>309</v>
      </c>
      <c r="AV260" s="3" t="str">
        <f>IFERROR(MID(VLOOKUP($B260,Seqs!$A:$B,2,0),AW260,1),"")</f>
        <v>N</v>
      </c>
      <c r="AW260" s="3">
        <v>310</v>
      </c>
      <c r="AX260" s="3" t="str">
        <f>IFERROR(MID(VLOOKUP($B260,Seqs!$A:$B,2,0),AY260,1),"")</f>
        <v>C</v>
      </c>
      <c r="AY260" s="3">
        <v>322</v>
      </c>
      <c r="AZ260" s="77" t="str">
        <f>VLOOKUP(B260,Classification!A:D,2,0)</f>
        <v>A</v>
      </c>
      <c r="BA260" s="94" t="str">
        <f>VLOOKUP(B260,Classification!A:D,4,0)</f>
        <v>Opsins</v>
      </c>
      <c r="BB260" s="27" t="b">
        <f t="shared" si="1594"/>
        <v>1</v>
      </c>
      <c r="BC260" s="23">
        <f t="shared" si="1595"/>
        <v>245</v>
      </c>
      <c r="BD260" s="2" t="s">
        <v>23</v>
      </c>
      <c r="BE260" s="3" t="s">
        <v>1291</v>
      </c>
      <c r="BF260" s="119">
        <v>2.62</v>
      </c>
      <c r="BG260" s="49" t="s">
        <v>1</v>
      </c>
      <c r="BH260" s="49" t="s">
        <v>1</v>
      </c>
      <c r="BI260" s="1"/>
      <c r="BJ260" s="70" t="s">
        <v>1287</v>
      </c>
      <c r="BK260" s="57" t="s">
        <v>1287</v>
      </c>
      <c r="BL260" s="57" t="s">
        <v>1287</v>
      </c>
      <c r="BM260" s="57" t="s">
        <v>1287</v>
      </c>
      <c r="BN260" s="57" t="s">
        <v>1287</v>
      </c>
      <c r="BO260" s="57" t="s">
        <v>1287</v>
      </c>
      <c r="BP260" s="57" t="s">
        <v>1287</v>
      </c>
      <c r="BQ260" s="57" t="s">
        <v>1287</v>
      </c>
      <c r="BR260" s="57" t="s">
        <v>1287</v>
      </c>
      <c r="BS260" s="57" t="s">
        <v>1287</v>
      </c>
      <c r="BT260" s="57" t="s">
        <v>1287</v>
      </c>
      <c r="BU260" s="57" t="s">
        <v>1287</v>
      </c>
      <c r="BV260" s="70">
        <f t="shared" si="1596"/>
        <v>33</v>
      </c>
      <c r="BW260" s="71">
        <f t="shared" si="1597"/>
        <v>66</v>
      </c>
      <c r="BX260" s="72">
        <f t="shared" si="1598"/>
        <v>73</v>
      </c>
      <c r="BY260" s="71">
        <f t="shared" si="1599"/>
        <v>102</v>
      </c>
      <c r="BZ260" s="72">
        <f t="shared" si="1600"/>
        <v>106</v>
      </c>
      <c r="CA260" s="71" t="str">
        <f t="shared" si="1601"/>
        <v>-</v>
      </c>
      <c r="CB260" s="72">
        <f t="shared" si="1602"/>
        <v>149</v>
      </c>
      <c r="CC260" s="71">
        <f t="shared" si="1603"/>
        <v>187</v>
      </c>
      <c r="CD260" s="72">
        <f t="shared" si="1604"/>
        <v>199</v>
      </c>
      <c r="CE260" s="71">
        <f t="shared" si="1605"/>
        <v>240</v>
      </c>
      <c r="CF260" s="72">
        <f t="shared" si="1606"/>
        <v>289</v>
      </c>
      <c r="CG260" s="71">
        <f t="shared" si="1607"/>
        <v>310</v>
      </c>
      <c r="CH260" s="70">
        <f t="shared" si="1608"/>
        <v>64</v>
      </c>
      <c r="CI260" s="71">
        <f t="shared" si="1609"/>
        <v>69</v>
      </c>
      <c r="CJ260" s="72">
        <f t="shared" si="1610"/>
        <v>101</v>
      </c>
      <c r="CK260" s="72">
        <f t="shared" si="1611"/>
        <v>105</v>
      </c>
      <c r="CL260" s="72">
        <f t="shared" si="1612"/>
        <v>141</v>
      </c>
      <c r="CM260" s="72" t="str">
        <f t="shared" si="1613"/>
        <v>-</v>
      </c>
      <c r="CN260" s="72">
        <f t="shared" si="1614"/>
        <v>173</v>
      </c>
      <c r="CO260" s="72">
        <f t="shared" si="1615"/>
        <v>189</v>
      </c>
      <c r="CP260" s="72">
        <f t="shared" si="1616"/>
        <v>236</v>
      </c>
      <c r="CQ260" s="72">
        <f t="shared" si="1617"/>
        <v>278</v>
      </c>
      <c r="CR260" s="72">
        <f t="shared" si="1618"/>
        <v>309</v>
      </c>
      <c r="CS260" s="72">
        <f t="shared" si="1619"/>
        <v>322</v>
      </c>
      <c r="CT260" s="23">
        <f t="shared" si="1620"/>
        <v>4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 t="shared" si="1593"/>
        <v>opsd_bovin_6FK8</v>
      </c>
      <c r="B261" s="3" t="s">
        <v>919</v>
      </c>
      <c r="C261" s="3" t="s">
        <v>1483</v>
      </c>
      <c r="D261" s="3" t="str">
        <f>IFERROR(MID(VLOOKUP($B261,Seqs!$A:$B,2,0),E261,1),"")</f>
        <v>E</v>
      </c>
      <c r="E261" s="3">
        <v>33</v>
      </c>
      <c r="F261" s="3" t="str">
        <f>IFERROR(MID(VLOOKUP($B261,Seqs!$A:$B,2,0),G261,1),"")</f>
        <v>Q</v>
      </c>
      <c r="G261" s="3">
        <v>64</v>
      </c>
      <c r="H261" s="3" t="str">
        <f>IFERROR(MID(VLOOKUP($B261,Seqs!$A:$B,2,0),I261,1),"")</f>
        <v>K</v>
      </c>
      <c r="I261" s="23">
        <v>66</v>
      </c>
      <c r="J261" s="3" t="str">
        <f>IFERROR(MID(VLOOKUP($B261,Seqs!$A:$B,2,0),K261,1),"")</f>
        <v>R</v>
      </c>
      <c r="K261" s="23">
        <v>69</v>
      </c>
      <c r="L261" s="3" t="str">
        <f>IFERROR(MID(VLOOKUP($B261,Seqs!$A:$B,2,0),M261,1),"")</f>
        <v>N</v>
      </c>
      <c r="M261" s="3">
        <v>73</v>
      </c>
      <c r="N261" s="3" t="str">
        <f>IFERROR(MID(VLOOKUP($B261,Seqs!$A:$B,2,0),O261,1),"")</f>
        <v>G</v>
      </c>
      <c r="O261" s="3">
        <v>101</v>
      </c>
      <c r="P261" s="3" t="str">
        <f>IFERROR(MID(VLOOKUP($B261,Seqs!$A:$B,2,0),Q261,1),"")</f>
        <v>Y</v>
      </c>
      <c r="Q261" s="3">
        <v>102</v>
      </c>
      <c r="R261" s="3" t="str">
        <f>IFERROR(MID(VLOOKUP($B261,Seqs!$A:$B,2,0),S261,1),"")</f>
        <v>F</v>
      </c>
      <c r="S261" s="3">
        <v>105</v>
      </c>
      <c r="T261" s="3" t="str">
        <f>IFERROR(MID(VLOOKUP($B261,Seqs!$A:$B,2,0),U261,1),"")</f>
        <v>G</v>
      </c>
      <c r="U261" s="3">
        <v>106</v>
      </c>
      <c r="V261" s="3" t="str">
        <f>IFERROR(MID(VLOOKUP($B261,Seqs!$A:$B,2,0),W261,1),"")</f>
        <v>K</v>
      </c>
      <c r="W261" s="3">
        <v>141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G</v>
      </c>
      <c r="AC261" s="3">
        <v>149</v>
      </c>
      <c r="AD261" s="3" t="str">
        <f>IFERROR(MID(VLOOKUP($B261,Seqs!$A:$B,2,0),AE261,1),"")</f>
        <v>V</v>
      </c>
      <c r="AE261" s="3">
        <v>173</v>
      </c>
      <c r="AF261" s="3" t="str">
        <f>IFERROR(MID(VLOOKUP($B261,Seqs!$A:$B,2,0),AG261,1),"")</f>
        <v>C</v>
      </c>
      <c r="AG261" s="3">
        <v>187</v>
      </c>
      <c r="AH261" s="3" t="str">
        <f>IFERROR(MID(VLOOKUP($B261,Seqs!$A:$B,2,0),AI261,1),"")</f>
        <v>I</v>
      </c>
      <c r="AI261" s="3">
        <v>189</v>
      </c>
      <c r="AJ261" s="3" t="str">
        <f>IFERROR(MID(VLOOKUP($B261,Seqs!$A:$B,2,0),AK261,1),"")</f>
        <v>N</v>
      </c>
      <c r="AK261" s="3">
        <v>199</v>
      </c>
      <c r="AL261" s="3" t="str">
        <f>IFERROR(MID(VLOOKUP($B261,Seqs!$A:$B,2,0),AM261,1),"")</f>
        <v>Q</v>
      </c>
      <c r="AM261" s="3">
        <v>236</v>
      </c>
      <c r="AN261" s="3" t="str">
        <f>IFERROR(MID(VLOOKUP($B261,Seqs!$A:$B,2,0),AO261,1),"")</f>
        <v>S</v>
      </c>
      <c r="AO261" s="3">
        <v>240</v>
      </c>
      <c r="AP261" s="3" t="str">
        <f>IFERROR(MID(VLOOKUP($B261,Seqs!$A:$B,2,0),AQ261,1),"")</f>
        <v>H</v>
      </c>
      <c r="AQ261" s="3">
        <v>278</v>
      </c>
      <c r="AR261" s="3" t="str">
        <f>IFERROR(MID(VLOOKUP($B261,Seqs!$A:$B,2,0),AS261,1),"")</f>
        <v>T</v>
      </c>
      <c r="AS261" s="3">
        <v>289</v>
      </c>
      <c r="AT261" s="3" t="str">
        <f>IFERROR(MID(VLOOKUP($B261,Seqs!$A:$B,2,0),AU261,1),"")</f>
        <v>M</v>
      </c>
      <c r="AU261" s="3">
        <v>309</v>
      </c>
      <c r="AV261" s="3" t="str">
        <f>IFERROR(MID(VLOOKUP($B261,Seqs!$A:$B,2,0),AW261,1),"")</f>
        <v>N</v>
      </c>
      <c r="AW261" s="3">
        <v>310</v>
      </c>
      <c r="AX261" s="3" t="str">
        <f>IFERROR(MID(VLOOKUP($B261,Seqs!$A:$B,2,0),AY261,1),"")</f>
        <v>C</v>
      </c>
      <c r="AY261" s="3">
        <v>322</v>
      </c>
      <c r="AZ261" s="77" t="str">
        <f>VLOOKUP(B261,Classification!A:D,2,0)</f>
        <v>A</v>
      </c>
      <c r="BA261" s="94" t="str">
        <f>VLOOKUP(B261,Classification!A:D,4,0)</f>
        <v>Opsins</v>
      </c>
      <c r="BB261" s="27" t="b">
        <f t="shared" si="1594"/>
        <v>1</v>
      </c>
      <c r="BC261" s="23">
        <f t="shared" si="1595"/>
        <v>245</v>
      </c>
      <c r="BD261" s="2" t="s">
        <v>23</v>
      </c>
      <c r="BE261" s="3" t="s">
        <v>1291</v>
      </c>
      <c r="BF261" s="119">
        <v>2.87</v>
      </c>
      <c r="BG261" s="49" t="s">
        <v>1</v>
      </c>
      <c r="BH261" s="49" t="s">
        <v>1</v>
      </c>
      <c r="BI261" s="1"/>
      <c r="BJ261" s="70" t="s">
        <v>1287</v>
      </c>
      <c r="BK261" s="57" t="s">
        <v>1287</v>
      </c>
      <c r="BL261" s="57" t="s">
        <v>1287</v>
      </c>
      <c r="BM261" s="57" t="s">
        <v>1287</v>
      </c>
      <c r="BN261" s="57" t="s">
        <v>1287</v>
      </c>
      <c r="BO261" s="57" t="s">
        <v>1287</v>
      </c>
      <c r="BP261" s="57" t="s">
        <v>1287</v>
      </c>
      <c r="BQ261" s="57" t="s">
        <v>1287</v>
      </c>
      <c r="BR261" s="57" t="s">
        <v>1287</v>
      </c>
      <c r="BS261" s="57" t="s">
        <v>1287</v>
      </c>
      <c r="BT261" s="57" t="s">
        <v>1287</v>
      </c>
      <c r="BU261" s="57" t="s">
        <v>1287</v>
      </c>
      <c r="BV261" s="70">
        <f t="shared" si="1596"/>
        <v>33</v>
      </c>
      <c r="BW261" s="71">
        <f t="shared" si="1597"/>
        <v>66</v>
      </c>
      <c r="BX261" s="72">
        <f t="shared" si="1598"/>
        <v>73</v>
      </c>
      <c r="BY261" s="71">
        <f t="shared" si="1599"/>
        <v>102</v>
      </c>
      <c r="BZ261" s="72">
        <f t="shared" si="1600"/>
        <v>106</v>
      </c>
      <c r="CA261" s="71" t="str">
        <f t="shared" si="1601"/>
        <v>-</v>
      </c>
      <c r="CB261" s="72">
        <f t="shared" si="1602"/>
        <v>149</v>
      </c>
      <c r="CC261" s="71">
        <f t="shared" si="1603"/>
        <v>187</v>
      </c>
      <c r="CD261" s="72">
        <f t="shared" si="1604"/>
        <v>199</v>
      </c>
      <c r="CE261" s="71">
        <f t="shared" si="1605"/>
        <v>240</v>
      </c>
      <c r="CF261" s="72">
        <f t="shared" si="1606"/>
        <v>289</v>
      </c>
      <c r="CG261" s="71">
        <f t="shared" si="1607"/>
        <v>310</v>
      </c>
      <c r="CH261" s="70">
        <f t="shared" si="1608"/>
        <v>64</v>
      </c>
      <c r="CI261" s="71">
        <f t="shared" si="1609"/>
        <v>69</v>
      </c>
      <c r="CJ261" s="72">
        <f t="shared" si="1610"/>
        <v>101</v>
      </c>
      <c r="CK261" s="72">
        <f t="shared" si="1611"/>
        <v>105</v>
      </c>
      <c r="CL261" s="72">
        <f t="shared" si="1612"/>
        <v>141</v>
      </c>
      <c r="CM261" s="72" t="str">
        <f t="shared" si="1613"/>
        <v>-</v>
      </c>
      <c r="CN261" s="72">
        <f t="shared" si="1614"/>
        <v>173</v>
      </c>
      <c r="CO261" s="72">
        <f t="shared" si="1615"/>
        <v>189</v>
      </c>
      <c r="CP261" s="72">
        <f t="shared" si="1616"/>
        <v>236</v>
      </c>
      <c r="CQ261" s="72">
        <f t="shared" si="1617"/>
        <v>278</v>
      </c>
      <c r="CR261" s="72">
        <f t="shared" si="1618"/>
        <v>309</v>
      </c>
      <c r="CS261" s="72">
        <f t="shared" si="1619"/>
        <v>322</v>
      </c>
      <c r="CT261" s="23">
        <f t="shared" si="1620"/>
        <v>4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si="1593"/>
        <v>opsd_bovin_6FK9</v>
      </c>
      <c r="B262" s="3" t="s">
        <v>919</v>
      </c>
      <c r="C262" s="3" t="s">
        <v>1484</v>
      </c>
      <c r="D262" s="3" t="str">
        <f>IFERROR(MID(VLOOKUP($B262,Seqs!$A:$B,2,0),E262,1),"")</f>
        <v>E</v>
      </c>
      <c r="E262" s="3">
        <v>33</v>
      </c>
      <c r="F262" s="3" t="str">
        <f>IFERROR(MID(VLOOKUP($B262,Seqs!$A:$B,2,0),G262,1),"")</f>
        <v>Q</v>
      </c>
      <c r="G262" s="3">
        <v>64</v>
      </c>
      <c r="H262" s="3" t="str">
        <f>IFERROR(MID(VLOOKUP($B262,Seqs!$A:$B,2,0),I262,1),"")</f>
        <v>K</v>
      </c>
      <c r="I262" s="23">
        <v>66</v>
      </c>
      <c r="J262" s="3" t="str">
        <f>IFERROR(MID(VLOOKUP($B262,Seqs!$A:$B,2,0),K262,1),"")</f>
        <v>R</v>
      </c>
      <c r="K262" s="23">
        <v>69</v>
      </c>
      <c r="L262" s="3" t="str">
        <f>IFERROR(MID(VLOOKUP($B262,Seqs!$A:$B,2,0),M262,1),"")</f>
        <v>N</v>
      </c>
      <c r="M262" s="3">
        <v>73</v>
      </c>
      <c r="N262" s="3" t="str">
        <f>IFERROR(MID(VLOOKUP($B262,Seqs!$A:$B,2,0),O262,1),"")</f>
        <v>G</v>
      </c>
      <c r="O262" s="3">
        <v>101</v>
      </c>
      <c r="P262" s="3" t="str">
        <f>IFERROR(MID(VLOOKUP($B262,Seqs!$A:$B,2,0),Q262,1),"")</f>
        <v>Y</v>
      </c>
      <c r="Q262" s="3">
        <v>102</v>
      </c>
      <c r="R262" s="3" t="str">
        <f>IFERROR(MID(VLOOKUP($B262,Seqs!$A:$B,2,0),S262,1),"")</f>
        <v>F</v>
      </c>
      <c r="S262" s="3">
        <v>105</v>
      </c>
      <c r="T262" s="3" t="str">
        <f>IFERROR(MID(VLOOKUP($B262,Seqs!$A:$B,2,0),U262,1),"")</f>
        <v>G</v>
      </c>
      <c r="U262" s="3">
        <v>106</v>
      </c>
      <c r="V262" s="3" t="str">
        <f>IFERROR(MID(VLOOKUP($B262,Seqs!$A:$B,2,0),W262,1),"")</f>
        <v>K</v>
      </c>
      <c r="W262" s="3">
        <v>141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G</v>
      </c>
      <c r="AC262" s="3">
        <v>149</v>
      </c>
      <c r="AD262" s="3" t="str">
        <f>IFERROR(MID(VLOOKUP($B262,Seqs!$A:$B,2,0),AE262,1),"")</f>
        <v>V</v>
      </c>
      <c r="AE262" s="3">
        <v>173</v>
      </c>
      <c r="AF262" s="3" t="str">
        <f>IFERROR(MID(VLOOKUP($B262,Seqs!$A:$B,2,0),AG262,1),"")</f>
        <v>C</v>
      </c>
      <c r="AG262" s="3">
        <v>187</v>
      </c>
      <c r="AH262" s="3" t="str">
        <f>IFERROR(MID(VLOOKUP($B262,Seqs!$A:$B,2,0),AI262,1),"")</f>
        <v>I</v>
      </c>
      <c r="AI262" s="3">
        <v>189</v>
      </c>
      <c r="AJ262" s="3" t="str">
        <f>IFERROR(MID(VLOOKUP($B262,Seqs!$A:$B,2,0),AK262,1),"")</f>
        <v>N</v>
      </c>
      <c r="AK262" s="3">
        <v>199</v>
      </c>
      <c r="AL262" s="3" t="str">
        <f>IFERROR(MID(VLOOKUP($B262,Seqs!$A:$B,2,0),AM262,1),"")</f>
        <v>Q</v>
      </c>
      <c r="AM262" s="3">
        <v>236</v>
      </c>
      <c r="AN262" s="3" t="str">
        <f>IFERROR(MID(VLOOKUP($B262,Seqs!$A:$B,2,0),AO262,1),"")</f>
        <v>S</v>
      </c>
      <c r="AO262" s="3">
        <v>240</v>
      </c>
      <c r="AP262" s="3" t="str">
        <f>IFERROR(MID(VLOOKUP($B262,Seqs!$A:$B,2,0),AQ262,1),"")</f>
        <v>H</v>
      </c>
      <c r="AQ262" s="3">
        <v>278</v>
      </c>
      <c r="AR262" s="3" t="str">
        <f>IFERROR(MID(VLOOKUP($B262,Seqs!$A:$B,2,0),AS262,1),"")</f>
        <v>G</v>
      </c>
      <c r="AS262" s="3">
        <v>284</v>
      </c>
      <c r="AT262" s="3" t="str">
        <f>IFERROR(MID(VLOOKUP($B262,Seqs!$A:$B,2,0),AU262,1),"")</f>
        <v>M</v>
      </c>
      <c r="AU262" s="3">
        <v>309</v>
      </c>
      <c r="AV262" s="3" t="str">
        <f>IFERROR(MID(VLOOKUP($B262,Seqs!$A:$B,2,0),AW262,1),"")</f>
        <v>N</v>
      </c>
      <c r="AW262" s="3">
        <v>310</v>
      </c>
      <c r="AX262" s="3" t="str">
        <f>IFERROR(MID(VLOOKUP($B262,Seqs!$A:$B,2,0),AY262,1),"")</f>
        <v>C</v>
      </c>
      <c r="AY262" s="3">
        <v>322</v>
      </c>
      <c r="AZ262" s="77" t="str">
        <f>VLOOKUP(B262,Classification!A:D,2,0)</f>
        <v>A</v>
      </c>
      <c r="BA262" s="94" t="str">
        <f>VLOOKUP(B262,Classification!A:D,4,0)</f>
        <v>Opsins</v>
      </c>
      <c r="BB262" s="27" t="b">
        <f t="shared" si="1594"/>
        <v>1</v>
      </c>
      <c r="BC262" s="23">
        <f t="shared" si="1595"/>
        <v>250</v>
      </c>
      <c r="BD262" s="2" t="s">
        <v>23</v>
      </c>
      <c r="BE262" s="3" t="s">
        <v>1291</v>
      </c>
      <c r="BF262" s="119">
        <v>2.63</v>
      </c>
      <c r="BG262" s="49" t="s">
        <v>1</v>
      </c>
      <c r="BH262" s="49" t="s">
        <v>1</v>
      </c>
      <c r="BI262" s="1"/>
      <c r="BJ262" s="70" t="s">
        <v>1287</v>
      </c>
      <c r="BK262" s="57" t="s">
        <v>1287</v>
      </c>
      <c r="BL262" s="57" t="s">
        <v>1287</v>
      </c>
      <c r="BM262" s="57" t="s">
        <v>1287</v>
      </c>
      <c r="BN262" s="57" t="s">
        <v>1287</v>
      </c>
      <c r="BO262" s="57" t="s">
        <v>1287</v>
      </c>
      <c r="BP262" s="57" t="s">
        <v>1287</v>
      </c>
      <c r="BQ262" s="57" t="s">
        <v>1287</v>
      </c>
      <c r="BR262" s="57" t="s">
        <v>1287</v>
      </c>
      <c r="BS262" s="57" t="s">
        <v>1287</v>
      </c>
      <c r="BT262" s="57" t="s">
        <v>1287</v>
      </c>
      <c r="BU262" s="57" t="s">
        <v>1287</v>
      </c>
      <c r="BV262" s="70">
        <f t="shared" si="1596"/>
        <v>33</v>
      </c>
      <c r="BW262" s="71">
        <f t="shared" si="1597"/>
        <v>66</v>
      </c>
      <c r="BX262" s="72">
        <f t="shared" si="1598"/>
        <v>73</v>
      </c>
      <c r="BY262" s="71">
        <f t="shared" si="1599"/>
        <v>102</v>
      </c>
      <c r="BZ262" s="72">
        <f t="shared" si="1600"/>
        <v>106</v>
      </c>
      <c r="CA262" s="71" t="str">
        <f t="shared" si="1601"/>
        <v>-</v>
      </c>
      <c r="CB262" s="72">
        <f t="shared" si="1602"/>
        <v>149</v>
      </c>
      <c r="CC262" s="71">
        <f t="shared" si="1603"/>
        <v>187</v>
      </c>
      <c r="CD262" s="72">
        <f t="shared" si="1604"/>
        <v>199</v>
      </c>
      <c r="CE262" s="71">
        <f t="shared" si="1605"/>
        <v>240</v>
      </c>
      <c r="CF262" s="72">
        <f t="shared" si="1606"/>
        <v>284</v>
      </c>
      <c r="CG262" s="71">
        <f t="shared" si="1607"/>
        <v>310</v>
      </c>
      <c r="CH262" s="70">
        <f t="shared" si="1608"/>
        <v>64</v>
      </c>
      <c r="CI262" s="71">
        <f t="shared" si="1609"/>
        <v>69</v>
      </c>
      <c r="CJ262" s="72">
        <f t="shared" si="1610"/>
        <v>101</v>
      </c>
      <c r="CK262" s="72">
        <f t="shared" si="1611"/>
        <v>105</v>
      </c>
      <c r="CL262" s="72">
        <f t="shared" si="1612"/>
        <v>141</v>
      </c>
      <c r="CM262" s="72" t="str">
        <f t="shared" si="1613"/>
        <v>-</v>
      </c>
      <c r="CN262" s="72">
        <f t="shared" si="1614"/>
        <v>173</v>
      </c>
      <c r="CO262" s="72">
        <f t="shared" si="1615"/>
        <v>189</v>
      </c>
      <c r="CP262" s="72">
        <f t="shared" si="1616"/>
        <v>236</v>
      </c>
      <c r="CQ262" s="72">
        <f t="shared" si="1617"/>
        <v>278</v>
      </c>
      <c r="CR262" s="72">
        <f t="shared" si="1618"/>
        <v>309</v>
      </c>
      <c r="CS262" s="72">
        <f t="shared" si="1619"/>
        <v>322</v>
      </c>
      <c r="CT262" s="23">
        <f t="shared" si="1620"/>
        <v>4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si="1593"/>
        <v>opsd_bovin_6FKA</v>
      </c>
      <c r="B263" s="3" t="s">
        <v>919</v>
      </c>
      <c r="C263" s="3" t="s">
        <v>1485</v>
      </c>
      <c r="D263" s="3" t="str">
        <f>IFERROR(MID(VLOOKUP($B263,Seqs!$A:$B,2,0),E263,1),"")</f>
        <v>E</v>
      </c>
      <c r="E263" s="3">
        <v>33</v>
      </c>
      <c r="F263" s="3" t="str">
        <f>IFERROR(MID(VLOOKUP($B263,Seqs!$A:$B,2,0),G263,1),"")</f>
        <v>Q</v>
      </c>
      <c r="G263" s="3">
        <v>64</v>
      </c>
      <c r="H263" s="3" t="str">
        <f>IFERROR(MID(VLOOKUP($B263,Seqs!$A:$B,2,0),I263,1),"")</f>
        <v>K</v>
      </c>
      <c r="I263" s="23">
        <v>66</v>
      </c>
      <c r="J263" s="3" t="str">
        <f>IFERROR(MID(VLOOKUP($B263,Seqs!$A:$B,2,0),K263,1),"")</f>
        <v>R</v>
      </c>
      <c r="K263" s="23">
        <v>69</v>
      </c>
      <c r="L263" s="3" t="str">
        <f>IFERROR(MID(VLOOKUP($B263,Seqs!$A:$B,2,0),M263,1),"")</f>
        <v>N</v>
      </c>
      <c r="M263" s="3">
        <v>73</v>
      </c>
      <c r="N263" s="3" t="str">
        <f>IFERROR(MID(VLOOKUP($B263,Seqs!$A:$B,2,0),O263,1),"")</f>
        <v>G</v>
      </c>
      <c r="O263" s="3">
        <v>101</v>
      </c>
      <c r="P263" s="3" t="str">
        <f>IFERROR(MID(VLOOKUP($B263,Seqs!$A:$B,2,0),Q263,1),"")</f>
        <v>Y</v>
      </c>
      <c r="Q263" s="3">
        <v>102</v>
      </c>
      <c r="R263" s="3" t="str">
        <f>IFERROR(MID(VLOOKUP($B263,Seqs!$A:$B,2,0),S263,1),"")</f>
        <v>F</v>
      </c>
      <c r="S263" s="3">
        <v>105</v>
      </c>
      <c r="T263" s="3" t="str">
        <f>IFERROR(MID(VLOOKUP($B263,Seqs!$A:$B,2,0),U263,1),"")</f>
        <v>G</v>
      </c>
      <c r="U263" s="3">
        <v>106</v>
      </c>
      <c r="V263" s="3" t="str">
        <f>IFERROR(MID(VLOOKUP($B263,Seqs!$A:$B,2,0),W263,1),"")</f>
        <v>K</v>
      </c>
      <c r="W263" s="3">
        <v>141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G</v>
      </c>
      <c r="AC263" s="3">
        <v>149</v>
      </c>
      <c r="AD263" s="3" t="str">
        <f>IFERROR(MID(VLOOKUP($B263,Seqs!$A:$B,2,0),AE263,1),"")</f>
        <v>V</v>
      </c>
      <c r="AE263" s="3">
        <v>173</v>
      </c>
      <c r="AF263" s="3" t="str">
        <f>IFERROR(MID(VLOOKUP($B263,Seqs!$A:$B,2,0),AG263,1),"")</f>
        <v>C</v>
      </c>
      <c r="AG263" s="3">
        <v>187</v>
      </c>
      <c r="AH263" s="3" t="str">
        <f>IFERROR(MID(VLOOKUP($B263,Seqs!$A:$B,2,0),AI263,1),"")</f>
        <v>I</v>
      </c>
      <c r="AI263" s="3">
        <v>189</v>
      </c>
      <c r="AJ263" s="3" t="str">
        <f>IFERROR(MID(VLOOKUP($B263,Seqs!$A:$B,2,0),AK263,1),"")</f>
        <v>N</v>
      </c>
      <c r="AK263" s="3">
        <v>199</v>
      </c>
      <c r="AL263" s="3" t="str">
        <f>IFERROR(MID(VLOOKUP($B263,Seqs!$A:$B,2,0),AM263,1),"")</f>
        <v>Q</v>
      </c>
      <c r="AM263" s="3">
        <v>236</v>
      </c>
      <c r="AN263" s="3" t="str">
        <f>IFERROR(MID(VLOOKUP($B263,Seqs!$A:$B,2,0),AO263,1),"")</f>
        <v>S</v>
      </c>
      <c r="AO263" s="3">
        <v>240</v>
      </c>
      <c r="AP263" s="3" t="str">
        <f>IFERROR(MID(VLOOKUP($B263,Seqs!$A:$B,2,0),AQ263,1),"")</f>
        <v>H</v>
      </c>
      <c r="AQ263" s="3">
        <v>278</v>
      </c>
      <c r="AR263" s="3" t="str">
        <f>IFERROR(MID(VLOOKUP($B263,Seqs!$A:$B,2,0),AS263,1),"")</f>
        <v>G</v>
      </c>
      <c r="AS263" s="3">
        <v>284</v>
      </c>
      <c r="AT263" s="3" t="str">
        <f>IFERROR(MID(VLOOKUP($B263,Seqs!$A:$B,2,0),AU263,1),"")</f>
        <v>M</v>
      </c>
      <c r="AU263" s="3">
        <v>309</v>
      </c>
      <c r="AV263" s="3" t="str">
        <f>IFERROR(MID(VLOOKUP($B263,Seqs!$A:$B,2,0),AW263,1),"")</f>
        <v>N</v>
      </c>
      <c r="AW263" s="3">
        <v>310</v>
      </c>
      <c r="AX263" s="3" t="str">
        <f>IFERROR(MID(VLOOKUP($B263,Seqs!$A:$B,2,0),AY263,1),"")</f>
        <v>C</v>
      </c>
      <c r="AY263" s="3">
        <v>322</v>
      </c>
      <c r="AZ263" s="77" t="str">
        <f>VLOOKUP(B263,Classification!A:D,2,0)</f>
        <v>A</v>
      </c>
      <c r="BA263" s="94" t="str">
        <f>VLOOKUP(B263,Classification!A:D,4,0)</f>
        <v>Opsins</v>
      </c>
      <c r="BB263" s="27" t="b">
        <f t="shared" si="1594"/>
        <v>1</v>
      </c>
      <c r="BC263" s="23">
        <f t="shared" si="1595"/>
        <v>250</v>
      </c>
      <c r="BD263" s="2" t="s">
        <v>23</v>
      </c>
      <c r="BE263" s="3" t="s">
        <v>1291</v>
      </c>
      <c r="BF263" s="119">
        <v>2.7</v>
      </c>
      <c r="BG263" s="49" t="s">
        <v>1</v>
      </c>
      <c r="BH263" s="49" t="s">
        <v>1</v>
      </c>
      <c r="BI263" s="1"/>
      <c r="BJ263" s="70" t="s">
        <v>1287</v>
      </c>
      <c r="BK263" s="57" t="s">
        <v>1287</v>
      </c>
      <c r="BL263" s="57" t="s">
        <v>1287</v>
      </c>
      <c r="BM263" s="57" t="s">
        <v>1287</v>
      </c>
      <c r="BN263" s="57" t="s">
        <v>1287</v>
      </c>
      <c r="BO263" s="57" t="s">
        <v>1287</v>
      </c>
      <c r="BP263" s="57" t="s">
        <v>1287</v>
      </c>
      <c r="BQ263" s="57" t="s">
        <v>1287</v>
      </c>
      <c r="BR263" s="57" t="s">
        <v>1287</v>
      </c>
      <c r="BS263" s="57" t="s">
        <v>1287</v>
      </c>
      <c r="BT263" s="57" t="s">
        <v>1287</v>
      </c>
      <c r="BU263" s="57" t="s">
        <v>1287</v>
      </c>
      <c r="BV263" s="70">
        <f t="shared" si="1596"/>
        <v>33</v>
      </c>
      <c r="BW263" s="71">
        <f t="shared" si="1597"/>
        <v>66</v>
      </c>
      <c r="BX263" s="72">
        <f t="shared" si="1598"/>
        <v>73</v>
      </c>
      <c r="BY263" s="71">
        <f t="shared" si="1599"/>
        <v>102</v>
      </c>
      <c r="BZ263" s="72">
        <f t="shared" si="1600"/>
        <v>106</v>
      </c>
      <c r="CA263" s="71" t="str">
        <f t="shared" si="1601"/>
        <v>-</v>
      </c>
      <c r="CB263" s="72">
        <f t="shared" si="1602"/>
        <v>149</v>
      </c>
      <c r="CC263" s="71">
        <f t="shared" si="1603"/>
        <v>187</v>
      </c>
      <c r="CD263" s="72">
        <f t="shared" si="1604"/>
        <v>199</v>
      </c>
      <c r="CE263" s="71">
        <f t="shared" si="1605"/>
        <v>240</v>
      </c>
      <c r="CF263" s="72">
        <f t="shared" si="1606"/>
        <v>284</v>
      </c>
      <c r="CG263" s="71">
        <f t="shared" si="1607"/>
        <v>310</v>
      </c>
      <c r="CH263" s="70">
        <f t="shared" si="1608"/>
        <v>64</v>
      </c>
      <c r="CI263" s="71">
        <f t="shared" si="1609"/>
        <v>69</v>
      </c>
      <c r="CJ263" s="72">
        <f t="shared" si="1610"/>
        <v>101</v>
      </c>
      <c r="CK263" s="72">
        <f t="shared" si="1611"/>
        <v>105</v>
      </c>
      <c r="CL263" s="72">
        <f t="shared" si="1612"/>
        <v>141</v>
      </c>
      <c r="CM263" s="72" t="str">
        <f t="shared" si="1613"/>
        <v>-</v>
      </c>
      <c r="CN263" s="72">
        <f t="shared" si="1614"/>
        <v>173</v>
      </c>
      <c r="CO263" s="72">
        <f t="shared" si="1615"/>
        <v>189</v>
      </c>
      <c r="CP263" s="72">
        <f t="shared" si="1616"/>
        <v>236</v>
      </c>
      <c r="CQ263" s="72">
        <f t="shared" si="1617"/>
        <v>278</v>
      </c>
      <c r="CR263" s="72">
        <f t="shared" si="1618"/>
        <v>309</v>
      </c>
      <c r="CS263" s="72">
        <f t="shared" si="1619"/>
        <v>322</v>
      </c>
      <c r="CT263" s="23">
        <f t="shared" si="1620"/>
        <v>4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3" t="str">
        <f t="shared" si="1593"/>
        <v>opsd_bovin_6FKB</v>
      </c>
      <c r="B264" s="3" t="s">
        <v>919</v>
      </c>
      <c r="C264" s="3" t="s">
        <v>1486</v>
      </c>
      <c r="D264" s="3" t="str">
        <f>IFERROR(MID(VLOOKUP($B264,Seqs!$A:$B,2,0),E264,1),"")</f>
        <v>E</v>
      </c>
      <c r="E264" s="3">
        <v>33</v>
      </c>
      <c r="F264" s="3" t="str">
        <f>IFERROR(MID(VLOOKUP($B264,Seqs!$A:$B,2,0),G264,1),"")</f>
        <v>Q</v>
      </c>
      <c r="G264" s="3">
        <v>64</v>
      </c>
      <c r="H264" s="3" t="str">
        <f>IFERROR(MID(VLOOKUP($B264,Seqs!$A:$B,2,0),I264,1),"")</f>
        <v>K</v>
      </c>
      <c r="I264" s="23">
        <v>66</v>
      </c>
      <c r="J264" s="3" t="str">
        <f>IFERROR(MID(VLOOKUP($B264,Seqs!$A:$B,2,0),K264,1),"")</f>
        <v>R</v>
      </c>
      <c r="K264" s="23">
        <v>69</v>
      </c>
      <c r="L264" s="3" t="str">
        <f>IFERROR(MID(VLOOKUP($B264,Seqs!$A:$B,2,0),M264,1),"")</f>
        <v>N</v>
      </c>
      <c r="M264" s="3">
        <v>73</v>
      </c>
      <c r="N264" s="3" t="str">
        <f>IFERROR(MID(VLOOKUP($B264,Seqs!$A:$B,2,0),O264,1),"")</f>
        <v>G</v>
      </c>
      <c r="O264" s="3">
        <v>101</v>
      </c>
      <c r="P264" s="3" t="str">
        <f>IFERROR(MID(VLOOKUP($B264,Seqs!$A:$B,2,0),Q264,1),"")</f>
        <v>Y</v>
      </c>
      <c r="Q264" s="3">
        <v>102</v>
      </c>
      <c r="R264" s="3" t="str">
        <f>IFERROR(MID(VLOOKUP($B264,Seqs!$A:$B,2,0),S264,1),"")</f>
        <v>F</v>
      </c>
      <c r="S264" s="3">
        <v>105</v>
      </c>
      <c r="T264" s="3" t="str">
        <f>IFERROR(MID(VLOOKUP($B264,Seqs!$A:$B,2,0),U264,1),"")</f>
        <v>G</v>
      </c>
      <c r="U264" s="3">
        <v>106</v>
      </c>
      <c r="V264" s="3" t="str">
        <f>IFERROR(MID(VLOOKUP($B264,Seqs!$A:$B,2,0),W264,1),"")</f>
        <v>K</v>
      </c>
      <c r="W264" s="3">
        <v>141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G</v>
      </c>
      <c r="AC264" s="3">
        <v>149</v>
      </c>
      <c r="AD264" s="3" t="str">
        <f>IFERROR(MID(VLOOKUP($B264,Seqs!$A:$B,2,0),AE264,1),"")</f>
        <v>V</v>
      </c>
      <c r="AE264" s="3">
        <v>173</v>
      </c>
      <c r="AF264" s="3" t="str">
        <f>IFERROR(MID(VLOOKUP($B264,Seqs!$A:$B,2,0),AG264,1),"")</f>
        <v>C</v>
      </c>
      <c r="AG264" s="3">
        <v>187</v>
      </c>
      <c r="AH264" s="3" t="str">
        <f>IFERROR(MID(VLOOKUP($B264,Seqs!$A:$B,2,0),AI264,1),"")</f>
        <v>I</v>
      </c>
      <c r="AI264" s="3">
        <v>189</v>
      </c>
      <c r="AJ264" s="3" t="str">
        <f>IFERROR(MID(VLOOKUP($B264,Seqs!$A:$B,2,0),AK264,1),"")</f>
        <v>N</v>
      </c>
      <c r="AK264" s="3">
        <v>199</v>
      </c>
      <c r="AL264" s="3" t="str">
        <f>IFERROR(MID(VLOOKUP($B264,Seqs!$A:$B,2,0),AM264,1),"")</f>
        <v>Q</v>
      </c>
      <c r="AM264" s="3">
        <v>236</v>
      </c>
      <c r="AN264" s="3" t="str">
        <f>IFERROR(MID(VLOOKUP($B264,Seqs!$A:$B,2,0),AO264,1),"")</f>
        <v>S</v>
      </c>
      <c r="AO264" s="3">
        <v>240</v>
      </c>
      <c r="AP264" s="3" t="str">
        <f>IFERROR(MID(VLOOKUP($B264,Seqs!$A:$B,2,0),AQ264,1),"")</f>
        <v>H</v>
      </c>
      <c r="AQ264" s="3">
        <v>278</v>
      </c>
      <c r="AR264" s="3" t="str">
        <f>IFERROR(MID(VLOOKUP($B264,Seqs!$A:$B,2,0),AS264,1),"")</f>
        <v>G</v>
      </c>
      <c r="AS264" s="3">
        <v>284</v>
      </c>
      <c r="AT264" s="3" t="str">
        <f>IFERROR(MID(VLOOKUP($B264,Seqs!$A:$B,2,0),AU264,1),"")</f>
        <v>M</v>
      </c>
      <c r="AU264" s="3">
        <v>309</v>
      </c>
      <c r="AV264" s="3" t="str">
        <f>IFERROR(MID(VLOOKUP($B264,Seqs!$A:$B,2,0),AW264,1),"")</f>
        <v>N</v>
      </c>
      <c r="AW264" s="3">
        <v>310</v>
      </c>
      <c r="AX264" s="3" t="str">
        <f>IFERROR(MID(VLOOKUP($B264,Seqs!$A:$B,2,0),AY264,1),"")</f>
        <v>C</v>
      </c>
      <c r="AY264" s="3">
        <v>322</v>
      </c>
      <c r="AZ264" s="77" t="str">
        <f>VLOOKUP(B264,Classification!A:D,2,0)</f>
        <v>A</v>
      </c>
      <c r="BA264" s="94" t="str">
        <f>VLOOKUP(B264,Classification!A:D,4,0)</f>
        <v>Opsins</v>
      </c>
      <c r="BB264" s="27" t="b">
        <f t="shared" si="1594"/>
        <v>1</v>
      </c>
      <c r="BC264" s="23">
        <f t="shared" si="1595"/>
        <v>250</v>
      </c>
      <c r="BD264" s="2" t="s">
        <v>23</v>
      </c>
      <c r="BE264" s="3" t="s">
        <v>1291</v>
      </c>
      <c r="BF264" s="119">
        <v>3.03</v>
      </c>
      <c r="BG264" s="49" t="s">
        <v>1</v>
      </c>
      <c r="BH264" s="49" t="s">
        <v>1</v>
      </c>
      <c r="BI264" s="1"/>
      <c r="BJ264" s="70" t="s">
        <v>1287</v>
      </c>
      <c r="BK264" s="57" t="s">
        <v>1287</v>
      </c>
      <c r="BL264" s="57" t="s">
        <v>1287</v>
      </c>
      <c r="BM264" s="57" t="s">
        <v>1287</v>
      </c>
      <c r="BN264" s="57" t="s">
        <v>1287</v>
      </c>
      <c r="BO264" s="57" t="s">
        <v>1287</v>
      </c>
      <c r="BP264" s="57" t="s">
        <v>1287</v>
      </c>
      <c r="BQ264" s="57" t="s">
        <v>1287</v>
      </c>
      <c r="BR264" s="57" t="s">
        <v>1287</v>
      </c>
      <c r="BS264" s="57" t="s">
        <v>1287</v>
      </c>
      <c r="BT264" s="57" t="s">
        <v>1287</v>
      </c>
      <c r="BU264" s="57" t="s">
        <v>1287</v>
      </c>
      <c r="BV264" s="70">
        <f t="shared" si="1596"/>
        <v>33</v>
      </c>
      <c r="BW264" s="71">
        <f t="shared" si="1597"/>
        <v>66</v>
      </c>
      <c r="BX264" s="72">
        <f t="shared" si="1598"/>
        <v>73</v>
      </c>
      <c r="BY264" s="71">
        <f t="shared" si="1599"/>
        <v>102</v>
      </c>
      <c r="BZ264" s="72">
        <f t="shared" si="1600"/>
        <v>106</v>
      </c>
      <c r="CA264" s="71" t="str">
        <f t="shared" si="1601"/>
        <v>-</v>
      </c>
      <c r="CB264" s="72">
        <f t="shared" si="1602"/>
        <v>149</v>
      </c>
      <c r="CC264" s="71">
        <f t="shared" si="1603"/>
        <v>187</v>
      </c>
      <c r="CD264" s="72">
        <f t="shared" si="1604"/>
        <v>199</v>
      </c>
      <c r="CE264" s="71">
        <f t="shared" si="1605"/>
        <v>240</v>
      </c>
      <c r="CF264" s="72">
        <f t="shared" si="1606"/>
        <v>284</v>
      </c>
      <c r="CG264" s="71">
        <f t="shared" si="1607"/>
        <v>310</v>
      </c>
      <c r="CH264" s="70">
        <f t="shared" si="1608"/>
        <v>64</v>
      </c>
      <c r="CI264" s="71">
        <f t="shared" si="1609"/>
        <v>69</v>
      </c>
      <c r="CJ264" s="72">
        <f t="shared" si="1610"/>
        <v>101</v>
      </c>
      <c r="CK264" s="72">
        <f t="shared" si="1611"/>
        <v>105</v>
      </c>
      <c r="CL264" s="72">
        <f t="shared" si="1612"/>
        <v>141</v>
      </c>
      <c r="CM264" s="72" t="str">
        <f t="shared" si="1613"/>
        <v>-</v>
      </c>
      <c r="CN264" s="72">
        <f t="shared" si="1614"/>
        <v>173</v>
      </c>
      <c r="CO264" s="72">
        <f t="shared" si="1615"/>
        <v>189</v>
      </c>
      <c r="CP264" s="72">
        <f t="shared" si="1616"/>
        <v>236</v>
      </c>
      <c r="CQ264" s="72">
        <f t="shared" si="1617"/>
        <v>278</v>
      </c>
      <c r="CR264" s="72">
        <f t="shared" si="1618"/>
        <v>309</v>
      </c>
      <c r="CS264" s="72">
        <f t="shared" si="1619"/>
        <v>322</v>
      </c>
      <c r="CT264" s="23">
        <f t="shared" si="1620"/>
        <v>4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 t="shared" si="1593"/>
        <v>opsd_bovin_6FKC</v>
      </c>
      <c r="B265" s="3" t="s">
        <v>919</v>
      </c>
      <c r="C265" s="3" t="s">
        <v>1487</v>
      </c>
      <c r="D265" s="3" t="str">
        <f>IFERROR(MID(VLOOKUP($B265,Seqs!$A:$B,2,0),E265,1),"")</f>
        <v>E</v>
      </c>
      <c r="E265" s="3">
        <v>33</v>
      </c>
      <c r="F265" s="3" t="str">
        <f>IFERROR(MID(VLOOKUP($B265,Seqs!$A:$B,2,0),G265,1),"")</f>
        <v>Q</v>
      </c>
      <c r="G265" s="3">
        <v>64</v>
      </c>
      <c r="H265" s="3" t="str">
        <f>IFERROR(MID(VLOOKUP($B265,Seqs!$A:$B,2,0),I265,1),"")</f>
        <v>K</v>
      </c>
      <c r="I265" s="23">
        <v>66</v>
      </c>
      <c r="J265" s="3" t="str">
        <f>IFERROR(MID(VLOOKUP($B265,Seqs!$A:$B,2,0),K265,1),"")</f>
        <v>R</v>
      </c>
      <c r="K265" s="23">
        <v>69</v>
      </c>
      <c r="L265" s="3" t="str">
        <f>IFERROR(MID(VLOOKUP($B265,Seqs!$A:$B,2,0),M265,1),"")</f>
        <v>N</v>
      </c>
      <c r="M265" s="3">
        <v>73</v>
      </c>
      <c r="N265" s="3" t="str">
        <f>IFERROR(MID(VLOOKUP($B265,Seqs!$A:$B,2,0),O265,1),"")</f>
        <v>G</v>
      </c>
      <c r="O265" s="3">
        <v>101</v>
      </c>
      <c r="P265" s="3" t="str">
        <f>IFERROR(MID(VLOOKUP($B265,Seqs!$A:$B,2,0),Q265,1),"")</f>
        <v>Y</v>
      </c>
      <c r="Q265" s="3">
        <v>102</v>
      </c>
      <c r="R265" s="3" t="str">
        <f>IFERROR(MID(VLOOKUP($B265,Seqs!$A:$B,2,0),S265,1),"")</f>
        <v>F</v>
      </c>
      <c r="S265" s="3">
        <v>105</v>
      </c>
      <c r="T265" s="3" t="str">
        <f>IFERROR(MID(VLOOKUP($B265,Seqs!$A:$B,2,0),U265,1),"")</f>
        <v>G</v>
      </c>
      <c r="U265" s="3">
        <v>106</v>
      </c>
      <c r="V265" s="3" t="str">
        <f>IFERROR(MID(VLOOKUP($B265,Seqs!$A:$B,2,0),W265,1),"")</f>
        <v>K</v>
      </c>
      <c r="W265" s="3">
        <v>141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G</v>
      </c>
      <c r="AC265" s="3">
        <v>149</v>
      </c>
      <c r="AD265" s="3" t="str">
        <f>IFERROR(MID(VLOOKUP($B265,Seqs!$A:$B,2,0),AE265,1),"")</f>
        <v>V</v>
      </c>
      <c r="AE265" s="3">
        <v>173</v>
      </c>
      <c r="AF265" s="3" t="str">
        <f>IFERROR(MID(VLOOKUP($B265,Seqs!$A:$B,2,0),AG265,1),"")</f>
        <v>C</v>
      </c>
      <c r="AG265" s="3">
        <v>187</v>
      </c>
      <c r="AH265" s="3" t="str">
        <f>IFERROR(MID(VLOOKUP($B265,Seqs!$A:$B,2,0),AI265,1),"")</f>
        <v>I</v>
      </c>
      <c r="AI265" s="3">
        <v>189</v>
      </c>
      <c r="AJ265" s="3" t="str">
        <f>IFERROR(MID(VLOOKUP($B265,Seqs!$A:$B,2,0),AK265,1),"")</f>
        <v>N</v>
      </c>
      <c r="AK265" s="3">
        <v>199</v>
      </c>
      <c r="AL265" s="3" t="str">
        <f>IFERROR(MID(VLOOKUP($B265,Seqs!$A:$B,2,0),AM265,1),"")</f>
        <v>Q</v>
      </c>
      <c r="AM265" s="3">
        <v>236</v>
      </c>
      <c r="AN265" s="3" t="str">
        <f>IFERROR(MID(VLOOKUP($B265,Seqs!$A:$B,2,0),AO265,1),"")</f>
        <v>S</v>
      </c>
      <c r="AO265" s="3">
        <v>240</v>
      </c>
      <c r="AP265" s="3" t="str">
        <f>IFERROR(MID(VLOOKUP($B265,Seqs!$A:$B,2,0),AQ265,1),"")</f>
        <v>H</v>
      </c>
      <c r="AQ265" s="3">
        <v>278</v>
      </c>
      <c r="AR265" s="3" t="str">
        <f>IFERROR(MID(VLOOKUP($B265,Seqs!$A:$B,2,0),AS265,1),"")</f>
        <v>T</v>
      </c>
      <c r="AS265" s="3">
        <v>289</v>
      </c>
      <c r="AT265" s="3" t="str">
        <f>IFERROR(MID(VLOOKUP($B265,Seqs!$A:$B,2,0),AU265,1),"")</f>
        <v>M</v>
      </c>
      <c r="AU265" s="3">
        <v>309</v>
      </c>
      <c r="AV265" s="3" t="str">
        <f>IFERROR(MID(VLOOKUP($B265,Seqs!$A:$B,2,0),AW265,1),"")</f>
        <v>N</v>
      </c>
      <c r="AW265" s="3">
        <v>310</v>
      </c>
      <c r="AX265" s="3" t="str">
        <f>IFERROR(MID(VLOOKUP($B265,Seqs!$A:$B,2,0),AY265,1),"")</f>
        <v>C</v>
      </c>
      <c r="AY265" s="3">
        <v>322</v>
      </c>
      <c r="AZ265" s="77" t="str">
        <f>VLOOKUP(B265,Classification!A:D,2,0)</f>
        <v>A</v>
      </c>
      <c r="BA265" s="94" t="str">
        <f>VLOOKUP(B265,Classification!A:D,4,0)</f>
        <v>Opsins</v>
      </c>
      <c r="BB265" s="27" t="b">
        <f t="shared" si="1594"/>
        <v>1</v>
      </c>
      <c r="BC265" s="23">
        <f t="shared" si="1595"/>
        <v>245</v>
      </c>
      <c r="BD265" s="2" t="s">
        <v>23</v>
      </c>
      <c r="BE265" s="3" t="s">
        <v>1291</v>
      </c>
      <c r="BF265" s="119">
        <v>2.46</v>
      </c>
      <c r="BG265" s="49" t="s">
        <v>1</v>
      </c>
      <c r="BH265" s="49" t="s">
        <v>1</v>
      </c>
      <c r="BI265" s="1"/>
      <c r="BJ265" s="70" t="s">
        <v>1287</v>
      </c>
      <c r="BK265" s="57" t="s">
        <v>1287</v>
      </c>
      <c r="BL265" s="57" t="s">
        <v>1287</v>
      </c>
      <c r="BM265" s="57" t="s">
        <v>1287</v>
      </c>
      <c r="BN265" s="57" t="s">
        <v>1287</v>
      </c>
      <c r="BO265" s="57" t="s">
        <v>1287</v>
      </c>
      <c r="BP265" s="57" t="s">
        <v>1287</v>
      </c>
      <c r="BQ265" s="57" t="s">
        <v>1287</v>
      </c>
      <c r="BR265" s="57" t="s">
        <v>1287</v>
      </c>
      <c r="BS265" s="57" t="s">
        <v>1287</v>
      </c>
      <c r="BT265" s="57" t="s">
        <v>1287</v>
      </c>
      <c r="BU265" s="57" t="s">
        <v>1287</v>
      </c>
      <c r="BV265" s="70">
        <f t="shared" si="1596"/>
        <v>33</v>
      </c>
      <c r="BW265" s="71">
        <f t="shared" si="1597"/>
        <v>66</v>
      </c>
      <c r="BX265" s="72">
        <f t="shared" si="1598"/>
        <v>73</v>
      </c>
      <c r="BY265" s="71">
        <f t="shared" si="1599"/>
        <v>102</v>
      </c>
      <c r="BZ265" s="72">
        <f t="shared" si="1600"/>
        <v>106</v>
      </c>
      <c r="CA265" s="71" t="str">
        <f t="shared" si="1601"/>
        <v>-</v>
      </c>
      <c r="CB265" s="72">
        <f t="shared" si="1602"/>
        <v>149</v>
      </c>
      <c r="CC265" s="71">
        <f t="shared" si="1603"/>
        <v>187</v>
      </c>
      <c r="CD265" s="72">
        <f t="shared" si="1604"/>
        <v>199</v>
      </c>
      <c r="CE265" s="71">
        <f t="shared" si="1605"/>
        <v>240</v>
      </c>
      <c r="CF265" s="72">
        <f t="shared" si="1606"/>
        <v>289</v>
      </c>
      <c r="CG265" s="71">
        <f t="shared" si="1607"/>
        <v>310</v>
      </c>
      <c r="CH265" s="70">
        <f t="shared" si="1608"/>
        <v>64</v>
      </c>
      <c r="CI265" s="71">
        <f t="shared" si="1609"/>
        <v>69</v>
      </c>
      <c r="CJ265" s="72">
        <f t="shared" si="1610"/>
        <v>101</v>
      </c>
      <c r="CK265" s="72">
        <f t="shared" si="1611"/>
        <v>105</v>
      </c>
      <c r="CL265" s="72">
        <f t="shared" si="1612"/>
        <v>141</v>
      </c>
      <c r="CM265" s="72" t="str">
        <f t="shared" si="1613"/>
        <v>-</v>
      </c>
      <c r="CN265" s="72">
        <f t="shared" si="1614"/>
        <v>173</v>
      </c>
      <c r="CO265" s="72">
        <f t="shared" si="1615"/>
        <v>189</v>
      </c>
      <c r="CP265" s="72">
        <f t="shared" si="1616"/>
        <v>236</v>
      </c>
      <c r="CQ265" s="72">
        <f t="shared" si="1617"/>
        <v>278</v>
      </c>
      <c r="CR265" s="72">
        <f t="shared" si="1618"/>
        <v>309</v>
      </c>
      <c r="CS265" s="72">
        <f t="shared" si="1619"/>
        <v>322</v>
      </c>
      <c r="CT265" s="23">
        <f t="shared" si="1620"/>
        <v>4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x14ac:dyDescent="0.2">
      <c r="A266" s="3" t="str">
        <f t="shared" si="1593"/>
        <v>opsd_bovin_6FKD</v>
      </c>
      <c r="B266" s="3" t="s">
        <v>919</v>
      </c>
      <c r="C266" s="3" t="s">
        <v>1488</v>
      </c>
      <c r="D266" s="3" t="str">
        <f>IFERROR(MID(VLOOKUP($B266,Seqs!$A:$B,2,0),E266,1),"")</f>
        <v>E</v>
      </c>
      <c r="E266" s="3">
        <v>33</v>
      </c>
      <c r="F266" s="3" t="str">
        <f>IFERROR(MID(VLOOKUP($B266,Seqs!$A:$B,2,0),G266,1),"")</f>
        <v>Q</v>
      </c>
      <c r="G266" s="3">
        <v>64</v>
      </c>
      <c r="H266" s="3" t="str">
        <f>IFERROR(MID(VLOOKUP($B266,Seqs!$A:$B,2,0),I266,1),"")</f>
        <v>K</v>
      </c>
      <c r="I266" s="23">
        <v>66</v>
      </c>
      <c r="J266" s="3" t="str">
        <f>IFERROR(MID(VLOOKUP($B266,Seqs!$A:$B,2,0),K266,1),"")</f>
        <v>R</v>
      </c>
      <c r="K266" s="23">
        <v>69</v>
      </c>
      <c r="L266" s="3" t="str">
        <f>IFERROR(MID(VLOOKUP($B266,Seqs!$A:$B,2,0),M266,1),"")</f>
        <v>N</v>
      </c>
      <c r="M266" s="3">
        <v>73</v>
      </c>
      <c r="N266" s="3" t="str">
        <f>IFERROR(MID(VLOOKUP($B266,Seqs!$A:$B,2,0),O266,1),"")</f>
        <v>G</v>
      </c>
      <c r="O266" s="3">
        <v>101</v>
      </c>
      <c r="P266" s="3" t="str">
        <f>IFERROR(MID(VLOOKUP($B266,Seqs!$A:$B,2,0),Q266,1),"")</f>
        <v>Y</v>
      </c>
      <c r="Q266" s="3">
        <v>102</v>
      </c>
      <c r="R266" s="3" t="str">
        <f>IFERROR(MID(VLOOKUP($B266,Seqs!$A:$B,2,0),S266,1),"")</f>
        <v>F</v>
      </c>
      <c r="S266" s="3">
        <v>105</v>
      </c>
      <c r="T266" s="3" t="str">
        <f>IFERROR(MID(VLOOKUP($B266,Seqs!$A:$B,2,0),U266,1),"")</f>
        <v>G</v>
      </c>
      <c r="U266" s="3">
        <v>106</v>
      </c>
      <c r="V266" s="3" t="str">
        <f>IFERROR(MID(VLOOKUP($B266,Seqs!$A:$B,2,0),W266,1),"")</f>
        <v>K</v>
      </c>
      <c r="W266" s="3">
        <v>141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G</v>
      </c>
      <c r="AC266" s="3">
        <v>149</v>
      </c>
      <c r="AD266" s="3" t="str">
        <f>IFERROR(MID(VLOOKUP($B266,Seqs!$A:$B,2,0),AE266,1),"")</f>
        <v>V</v>
      </c>
      <c r="AE266" s="3">
        <v>173</v>
      </c>
      <c r="AF266" s="3" t="str">
        <f>IFERROR(MID(VLOOKUP($B266,Seqs!$A:$B,2,0),AG266,1),"")</f>
        <v>C</v>
      </c>
      <c r="AG266" s="3">
        <v>187</v>
      </c>
      <c r="AH266" s="3" t="str">
        <f>IFERROR(MID(VLOOKUP($B266,Seqs!$A:$B,2,0),AI266,1),"")</f>
        <v>I</v>
      </c>
      <c r="AI266" s="3">
        <v>189</v>
      </c>
      <c r="AJ266" s="3" t="str">
        <f>IFERROR(MID(VLOOKUP($B266,Seqs!$A:$B,2,0),AK266,1),"")</f>
        <v>N</v>
      </c>
      <c r="AK266" s="3">
        <v>199</v>
      </c>
      <c r="AL266" s="3" t="str">
        <f>IFERROR(MID(VLOOKUP($B266,Seqs!$A:$B,2,0),AM266,1),"")</f>
        <v>Q</v>
      </c>
      <c r="AM266" s="3">
        <v>236</v>
      </c>
      <c r="AN266" s="3" t="str">
        <f>IFERROR(MID(VLOOKUP($B266,Seqs!$A:$B,2,0),AO266,1),"")</f>
        <v>S</v>
      </c>
      <c r="AO266" s="3">
        <v>240</v>
      </c>
      <c r="AP266" s="3" t="str">
        <f>IFERROR(MID(VLOOKUP($B266,Seqs!$A:$B,2,0),AQ266,1),"")</f>
        <v>H</v>
      </c>
      <c r="AQ266" s="3">
        <v>278</v>
      </c>
      <c r="AR266" s="3" t="str">
        <f>IFERROR(MID(VLOOKUP($B266,Seqs!$A:$B,2,0),AS266,1),"")</f>
        <v>T</v>
      </c>
      <c r="AS266" s="3">
        <v>289</v>
      </c>
      <c r="AT266" s="3" t="str">
        <f>IFERROR(MID(VLOOKUP($B266,Seqs!$A:$B,2,0),AU266,1),"")</f>
        <v>M</v>
      </c>
      <c r="AU266" s="3">
        <v>309</v>
      </c>
      <c r="AV266" s="3" t="str">
        <f>IFERROR(MID(VLOOKUP($B266,Seqs!$A:$B,2,0),AW266,1),"")</f>
        <v>N</v>
      </c>
      <c r="AW266" s="3">
        <v>310</v>
      </c>
      <c r="AX266" s="3" t="str">
        <f>IFERROR(MID(VLOOKUP($B266,Seqs!$A:$B,2,0),AY266,1),"")</f>
        <v>C</v>
      </c>
      <c r="AY266" s="3">
        <v>322</v>
      </c>
      <c r="AZ266" s="77" t="str">
        <f>VLOOKUP(B266,Classification!A:D,2,0)</f>
        <v>A</v>
      </c>
      <c r="BA266" s="94" t="str">
        <f>VLOOKUP(B266,Classification!A:D,4,0)</f>
        <v>Opsins</v>
      </c>
      <c r="BB266" s="27" t="b">
        <f t="shared" si="1594"/>
        <v>1</v>
      </c>
      <c r="BC266" s="23">
        <f t="shared" si="1595"/>
        <v>245</v>
      </c>
      <c r="BD266" s="2" t="s">
        <v>23</v>
      </c>
      <c r="BE266" s="3" t="s">
        <v>1291</v>
      </c>
      <c r="BF266" s="119">
        <v>2.4900000000000002</v>
      </c>
      <c r="BG266" s="49" t="s">
        <v>1</v>
      </c>
      <c r="BH266" s="49" t="s">
        <v>1</v>
      </c>
      <c r="BI266" s="1"/>
      <c r="BJ266" s="70" t="s">
        <v>1287</v>
      </c>
      <c r="BK266" s="57" t="s">
        <v>1287</v>
      </c>
      <c r="BL266" s="57" t="s">
        <v>1287</v>
      </c>
      <c r="BM266" s="57" t="s">
        <v>1287</v>
      </c>
      <c r="BN266" s="57" t="s">
        <v>1287</v>
      </c>
      <c r="BO266" s="57" t="s">
        <v>1287</v>
      </c>
      <c r="BP266" s="57" t="s">
        <v>1287</v>
      </c>
      <c r="BQ266" s="57" t="s">
        <v>1287</v>
      </c>
      <c r="BR266" s="57" t="s">
        <v>1287</v>
      </c>
      <c r="BS266" s="57" t="s">
        <v>1287</v>
      </c>
      <c r="BT266" s="57" t="s">
        <v>1287</v>
      </c>
      <c r="BU266" s="57" t="s">
        <v>1287</v>
      </c>
      <c r="BV266" s="70">
        <f t="shared" si="1596"/>
        <v>33</v>
      </c>
      <c r="BW266" s="71">
        <f t="shared" si="1597"/>
        <v>66</v>
      </c>
      <c r="BX266" s="72">
        <f t="shared" si="1598"/>
        <v>73</v>
      </c>
      <c r="BY266" s="71">
        <f t="shared" si="1599"/>
        <v>102</v>
      </c>
      <c r="BZ266" s="72">
        <f t="shared" si="1600"/>
        <v>106</v>
      </c>
      <c r="CA266" s="71" t="str">
        <f t="shared" si="1601"/>
        <v>-</v>
      </c>
      <c r="CB266" s="72">
        <f t="shared" si="1602"/>
        <v>149</v>
      </c>
      <c r="CC266" s="71">
        <f t="shared" si="1603"/>
        <v>187</v>
      </c>
      <c r="CD266" s="72">
        <f t="shared" si="1604"/>
        <v>199</v>
      </c>
      <c r="CE266" s="71">
        <f t="shared" si="1605"/>
        <v>240</v>
      </c>
      <c r="CF266" s="72">
        <f t="shared" si="1606"/>
        <v>289</v>
      </c>
      <c r="CG266" s="71">
        <f t="shared" si="1607"/>
        <v>310</v>
      </c>
      <c r="CH266" s="70">
        <f t="shared" si="1608"/>
        <v>64</v>
      </c>
      <c r="CI266" s="71">
        <f t="shared" si="1609"/>
        <v>69</v>
      </c>
      <c r="CJ266" s="72">
        <f t="shared" si="1610"/>
        <v>101</v>
      </c>
      <c r="CK266" s="72">
        <f t="shared" si="1611"/>
        <v>105</v>
      </c>
      <c r="CL266" s="72">
        <f t="shared" si="1612"/>
        <v>141</v>
      </c>
      <c r="CM266" s="72" t="str">
        <f t="shared" si="1613"/>
        <v>-</v>
      </c>
      <c r="CN266" s="72">
        <f t="shared" si="1614"/>
        <v>173</v>
      </c>
      <c r="CO266" s="72">
        <f t="shared" si="1615"/>
        <v>189</v>
      </c>
      <c r="CP266" s="72">
        <f t="shared" si="1616"/>
        <v>236</v>
      </c>
      <c r="CQ266" s="72">
        <f t="shared" si="1617"/>
        <v>278</v>
      </c>
      <c r="CR266" s="72">
        <f t="shared" si="1618"/>
        <v>309</v>
      </c>
      <c r="CS266" s="72">
        <f t="shared" si="1619"/>
        <v>322</v>
      </c>
      <c r="CT266" s="23">
        <f t="shared" si="1620"/>
        <v>4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29" x14ac:dyDescent="0.2">
      <c r="A267" s="3" t="str">
        <f t="shared" ref="A267" si="1621">CONCATENATE(B267,"_",C267)</f>
        <v>opsd_bovin_6FUF</v>
      </c>
      <c r="B267" s="3" t="s">
        <v>919</v>
      </c>
      <c r="C267" s="3" t="s">
        <v>1518</v>
      </c>
      <c r="D267" s="3" t="str">
        <f>IFERROR(MID(VLOOKUP($B267,Seqs!$A:$B,2,0),E267,1),"")</f>
        <v>E</v>
      </c>
      <c r="E267" s="3">
        <v>33</v>
      </c>
      <c r="F267" s="3" t="str">
        <f>IFERROR(MID(VLOOKUP($B267,Seqs!$A:$B,2,0),G267,1),"")</f>
        <v>H</v>
      </c>
      <c r="G267" s="3">
        <v>65</v>
      </c>
      <c r="H267" s="3" t="str">
        <f>IFERROR(MID(VLOOKUP($B267,Seqs!$A:$B,2,0),I267,1),"")</f>
        <v>K</v>
      </c>
      <c r="I267" s="23">
        <v>66</v>
      </c>
      <c r="J267" s="3" t="str">
        <f>IFERROR(MID(VLOOKUP($B267,Seqs!$A:$B,2,0),K267,1),"")</f>
        <v>R</v>
      </c>
      <c r="K267" s="23">
        <v>69</v>
      </c>
      <c r="L267" s="3" t="str">
        <f>IFERROR(MID(VLOOKUP($B267,Seqs!$A:$B,2,0),M267,1),"")</f>
        <v>N</v>
      </c>
      <c r="M267" s="3">
        <v>73</v>
      </c>
      <c r="N267" s="3" t="str">
        <f>IFERROR(MID(VLOOKUP($B267,Seqs!$A:$B,2,0),O267,1),"")</f>
        <v>G</v>
      </c>
      <c r="O267" s="3">
        <v>101</v>
      </c>
      <c r="P267" s="3" t="str">
        <f>IFERROR(MID(VLOOKUP($B267,Seqs!$A:$B,2,0),Q267,1),"")</f>
        <v>Y</v>
      </c>
      <c r="Q267" s="3">
        <v>102</v>
      </c>
      <c r="R267" s="3" t="str">
        <f>IFERROR(MID(VLOOKUP($B267,Seqs!$A:$B,2,0),S267,1),"")</f>
        <v>F</v>
      </c>
      <c r="S267" s="3">
        <v>105</v>
      </c>
      <c r="T267" s="3" t="str">
        <f>IFERROR(MID(VLOOKUP($B267,Seqs!$A:$B,2,0),U267,1),"")</f>
        <v>G</v>
      </c>
      <c r="U267" s="3">
        <v>106</v>
      </c>
      <c r="V267" s="3" t="str">
        <f>IFERROR(MID(VLOOKUP($B267,Seqs!$A:$B,2,0),W267,1),"")</f>
        <v>K</v>
      </c>
      <c r="W267" s="3">
        <v>141</v>
      </c>
      <c r="X267" s="3" t="str">
        <f>IFERROR(MID(VLOOKUP($B267,Seqs!$A:$B,2,0),Y267,1),"")</f>
        <v/>
      </c>
      <c r="Y267" s="3" t="s">
        <v>23</v>
      </c>
      <c r="Z267" s="3" t="str">
        <f>IFERROR(MID(VLOOKUP($B267,Seqs!$A:$B,2,0),AA267,1),"")</f>
        <v/>
      </c>
      <c r="AA267" s="3" t="s">
        <v>23</v>
      </c>
      <c r="AB267" s="3" t="str">
        <f>IFERROR(MID(VLOOKUP($B267,Seqs!$A:$B,2,0),AC267,1),"")</f>
        <v>G</v>
      </c>
      <c r="AC267" s="3">
        <v>149</v>
      </c>
      <c r="AD267" s="3" t="str">
        <f>IFERROR(MID(VLOOKUP($B267,Seqs!$A:$B,2,0),AE267,1),"")</f>
        <v>V</v>
      </c>
      <c r="AE267" s="3">
        <v>173</v>
      </c>
      <c r="AF267" s="3" t="str">
        <f>IFERROR(MID(VLOOKUP($B267,Seqs!$A:$B,2,0),AG267,1),"")</f>
        <v>C</v>
      </c>
      <c r="AG267" s="3">
        <v>187</v>
      </c>
      <c r="AH267" s="3" t="str">
        <f>IFERROR(MID(VLOOKUP($B267,Seqs!$A:$B,2,0),AI267,1),"")</f>
        <v>I</v>
      </c>
      <c r="AI267" s="3">
        <v>189</v>
      </c>
      <c r="AJ267" s="3" t="str">
        <f>IFERROR(MID(VLOOKUP($B267,Seqs!$A:$B,2,0),AK267,1),"")</f>
        <v>N</v>
      </c>
      <c r="AK267" s="3">
        <v>199</v>
      </c>
      <c r="AL267" s="3" t="str">
        <f>IFERROR(MID(VLOOKUP($B267,Seqs!$A:$B,2,0),AM267,1),"")</f>
        <v>Q</v>
      </c>
      <c r="AM267" s="3">
        <v>237</v>
      </c>
      <c r="AN267" s="3" t="str">
        <f>IFERROR(MID(VLOOKUP($B267,Seqs!$A:$B,2,0),AO267,1),"")</f>
        <v>S</v>
      </c>
      <c r="AO267" s="3">
        <v>240</v>
      </c>
      <c r="AP267" s="3" t="str">
        <f>IFERROR(MID(VLOOKUP($B267,Seqs!$A:$B,2,0),AQ267,1),"")</f>
        <v>H</v>
      </c>
      <c r="AQ267" s="3">
        <v>278</v>
      </c>
      <c r="AR267" s="3" t="str">
        <f>IFERROR(MID(VLOOKUP($B267,Seqs!$A:$B,2,0),AS267,1),"")</f>
        <v>T</v>
      </c>
      <c r="AS267" s="3">
        <v>289</v>
      </c>
      <c r="AT267" s="3" t="str">
        <f>IFERROR(MID(VLOOKUP($B267,Seqs!$A:$B,2,0),AU267,1),"")</f>
        <v>M</v>
      </c>
      <c r="AU267" s="3">
        <v>309</v>
      </c>
      <c r="AV267" s="3" t="str">
        <f>IFERROR(MID(VLOOKUP($B267,Seqs!$A:$B,2,0),AW267,1),"")</f>
        <v>N</v>
      </c>
      <c r="AW267" s="3">
        <v>310</v>
      </c>
      <c r="AX267" s="3" t="str">
        <f>IFERROR(MID(VLOOKUP($B267,Seqs!$A:$B,2,0),AY267,1),"")</f>
        <v>R</v>
      </c>
      <c r="AY267" s="3">
        <v>314</v>
      </c>
      <c r="AZ267" s="77" t="str">
        <f>VLOOKUP(B267,Classification!A:D,2,0)</f>
        <v>A</v>
      </c>
      <c r="BA267" s="94" t="str">
        <f>VLOOKUP(B267,Classification!A:D,4,0)</f>
        <v>Opsins</v>
      </c>
      <c r="BB267" s="27" t="b">
        <f t="shared" ref="BB267" si="1622"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23">
        <f t="shared" ref="BC267" si="1623">_xlfn.AGGREGATE(9,6,CH267:CS267)-_xlfn.AGGREGATE(9,6,BV267:CG267)+12</f>
        <v>239</v>
      </c>
      <c r="BD267" s="2" t="s">
        <v>23</v>
      </c>
      <c r="BE267" s="3" t="s">
        <v>1291</v>
      </c>
      <c r="BF267" s="119">
        <v>3.12</v>
      </c>
      <c r="BG267" s="49" t="s">
        <v>1</v>
      </c>
      <c r="BH267" s="49" t="s">
        <v>1</v>
      </c>
      <c r="BI267" s="1"/>
      <c r="BJ267" s="70" t="s">
        <v>1287</v>
      </c>
      <c r="BK267" s="57" t="s">
        <v>1287</v>
      </c>
      <c r="BL267" s="57" t="s">
        <v>1287</v>
      </c>
      <c r="BM267" s="57" t="s">
        <v>1287</v>
      </c>
      <c r="BN267" s="57" t="s">
        <v>1287</v>
      </c>
      <c r="BO267" s="57" t="s">
        <v>1287</v>
      </c>
      <c r="BP267" s="57" t="s">
        <v>1287</v>
      </c>
      <c r="BQ267" s="57" t="s">
        <v>1287</v>
      </c>
      <c r="BR267" s="57" t="s">
        <v>1287</v>
      </c>
      <c r="BS267" s="57" t="s">
        <v>1287</v>
      </c>
      <c r="BT267" s="57" t="s">
        <v>1287</v>
      </c>
      <c r="BU267" s="57" t="s">
        <v>1287</v>
      </c>
      <c r="BV267" s="70">
        <f t="shared" ref="BV267" si="1624">E267</f>
        <v>33</v>
      </c>
      <c r="BW267" s="71">
        <f t="shared" ref="BW267" si="1625">I267</f>
        <v>66</v>
      </c>
      <c r="BX267" s="72">
        <f t="shared" ref="BX267" si="1626">M267</f>
        <v>73</v>
      </c>
      <c r="BY267" s="71">
        <f t="shared" ref="BY267" si="1627">Q267</f>
        <v>102</v>
      </c>
      <c r="BZ267" s="72">
        <f t="shared" ref="BZ267" si="1628">U267</f>
        <v>106</v>
      </c>
      <c r="CA267" s="71" t="str">
        <f t="shared" ref="CA267" si="1629">Y267</f>
        <v>-</v>
      </c>
      <c r="CB267" s="72">
        <f t="shared" ref="CB267" si="1630">AC267</f>
        <v>149</v>
      </c>
      <c r="CC267" s="71">
        <f t="shared" ref="CC267" si="1631">AG267</f>
        <v>187</v>
      </c>
      <c r="CD267" s="72">
        <f t="shared" ref="CD267" si="1632">AK267</f>
        <v>199</v>
      </c>
      <c r="CE267" s="71">
        <f t="shared" ref="CE267" si="1633">AO267</f>
        <v>240</v>
      </c>
      <c r="CF267" s="72">
        <f t="shared" ref="CF267" si="1634">AS267</f>
        <v>289</v>
      </c>
      <c r="CG267" s="71">
        <f t="shared" ref="CG267" si="1635">AW267</f>
        <v>310</v>
      </c>
      <c r="CH267" s="70">
        <f t="shared" ref="CH267" si="1636">G267</f>
        <v>65</v>
      </c>
      <c r="CI267" s="71">
        <f t="shared" ref="CI267" si="1637">K267</f>
        <v>69</v>
      </c>
      <c r="CJ267" s="72">
        <f t="shared" ref="CJ267" si="1638">O267</f>
        <v>101</v>
      </c>
      <c r="CK267" s="72">
        <f t="shared" ref="CK267" si="1639">S267</f>
        <v>105</v>
      </c>
      <c r="CL267" s="72">
        <f t="shared" ref="CL267" si="1640">W267</f>
        <v>141</v>
      </c>
      <c r="CM267" s="72" t="str">
        <f t="shared" ref="CM267" si="1641">AA267</f>
        <v>-</v>
      </c>
      <c r="CN267" s="72">
        <f t="shared" ref="CN267" si="1642">AE267</f>
        <v>173</v>
      </c>
      <c r="CO267" s="72">
        <f t="shared" ref="CO267" si="1643">AI267</f>
        <v>189</v>
      </c>
      <c r="CP267" s="72">
        <f t="shared" ref="CP267" si="1644">AM267</f>
        <v>237</v>
      </c>
      <c r="CQ267" s="72">
        <f t="shared" ref="CQ267" si="1645">AQ267</f>
        <v>278</v>
      </c>
      <c r="CR267" s="72">
        <f t="shared" ref="CR267" si="1646">AU267</f>
        <v>309</v>
      </c>
      <c r="CS267" s="72">
        <f t="shared" ref="CS267" si="1647">AY267</f>
        <v>314</v>
      </c>
      <c r="CT267" s="23">
        <f t="shared" ref="CT267" si="1648">M267-K267</f>
        <v>4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29" s="12" customFormat="1" x14ac:dyDescent="0.2">
      <c r="A268" s="9" t="str">
        <f t="shared" ref="A268" si="1649">CONCATENATE(B268,"_",C268)</f>
        <v>opsd_bovin_6QNO</v>
      </c>
      <c r="B268" s="9" t="s">
        <v>919</v>
      </c>
      <c r="C268" s="9" t="s">
        <v>1585</v>
      </c>
      <c r="D268" s="9" t="str">
        <f>IFERROR(MID(VLOOKUP($B268,Seqs!$A:$B,2,0),E268,1),"")</f>
        <v>E</v>
      </c>
      <c r="E268" s="9">
        <v>33</v>
      </c>
      <c r="F268" s="9" t="str">
        <f>IFERROR(MID(VLOOKUP($B268,Seqs!$A:$B,2,0),G268,1),"")</f>
        <v>H</v>
      </c>
      <c r="G268" s="9">
        <v>65</v>
      </c>
      <c r="H268" s="9" t="str">
        <f>IFERROR(MID(VLOOKUP($B268,Seqs!$A:$B,2,0),I268,1),"")</f>
        <v>K</v>
      </c>
      <c r="I268" s="109">
        <v>66</v>
      </c>
      <c r="J268" s="9" t="str">
        <f>IFERROR(MID(VLOOKUP($B268,Seqs!$A:$B,2,0),K268,1),"")</f>
        <v>R</v>
      </c>
      <c r="K268" s="109">
        <v>69</v>
      </c>
      <c r="L268" s="9" t="str">
        <f>IFERROR(MID(VLOOKUP($B268,Seqs!$A:$B,2,0),M268,1),"")</f>
        <v>N</v>
      </c>
      <c r="M268" s="9">
        <v>73</v>
      </c>
      <c r="N268" s="9" t="str">
        <f>IFERROR(MID(VLOOKUP($B268,Seqs!$A:$B,2,0),O268,1),"")</f>
        <v>H</v>
      </c>
      <c r="O268" s="9">
        <v>100</v>
      </c>
      <c r="P268" s="9" t="str">
        <f>IFERROR(MID(VLOOKUP($B268,Seqs!$A:$B,2,0),Q268,1),"")</f>
        <v>Y</v>
      </c>
      <c r="Q268" s="9">
        <v>102</v>
      </c>
      <c r="R268" s="9" t="str">
        <f>IFERROR(MID(VLOOKUP($B268,Seqs!$A:$B,2,0),S268,1),"")</f>
        <v>F</v>
      </c>
      <c r="S268" s="9">
        <v>105</v>
      </c>
      <c r="T268" s="9" t="str">
        <f>IFERROR(MID(VLOOKUP($B268,Seqs!$A:$B,2,0),U268,1),"")</f>
        <v>G</v>
      </c>
      <c r="U268" s="9">
        <v>106</v>
      </c>
      <c r="V268" s="9" t="str">
        <f>IFERROR(MID(VLOOKUP($B268,Seqs!$A:$B,2,0),W268,1),"")</f>
        <v>K</v>
      </c>
      <c r="W268" s="9">
        <v>141</v>
      </c>
      <c r="X268" s="9" t="str">
        <f>IFERROR(MID(VLOOKUP($B268,Seqs!$A:$B,2,0),Y268,1),"")</f>
        <v/>
      </c>
      <c r="Y268" s="9" t="s">
        <v>23</v>
      </c>
      <c r="Z268" s="9" t="str">
        <f>IFERROR(MID(VLOOKUP($B268,Seqs!$A:$B,2,0),AA268,1),"")</f>
        <v/>
      </c>
      <c r="AA268" s="9" t="s">
        <v>23</v>
      </c>
      <c r="AB268" s="9" t="str">
        <f>IFERROR(MID(VLOOKUP($B268,Seqs!$A:$B,2,0),AC268,1),"")</f>
        <v>E</v>
      </c>
      <c r="AC268" s="9">
        <v>150</v>
      </c>
      <c r="AD268" s="9" t="str">
        <f>IFERROR(MID(VLOOKUP($B268,Seqs!$A:$B,2,0),AE268,1),"")</f>
        <v>V</v>
      </c>
      <c r="AE268" s="9">
        <v>173</v>
      </c>
      <c r="AF268" s="9" t="str">
        <f>IFERROR(MID(VLOOKUP($B268,Seqs!$A:$B,2,0),AG268,1),"")</f>
        <v>C</v>
      </c>
      <c r="AG268" s="9">
        <v>187</v>
      </c>
      <c r="AH268" s="9" t="str">
        <f>IFERROR(MID(VLOOKUP($B268,Seqs!$A:$B,2,0),AI268,1),"")</f>
        <v>I</v>
      </c>
      <c r="AI268" s="9">
        <v>189</v>
      </c>
      <c r="AJ268" s="9" t="str">
        <f>IFERROR(MID(VLOOKUP($B268,Seqs!$A:$B,2,0),AK268,1),"")</f>
        <v>N</v>
      </c>
      <c r="AK268" s="9">
        <v>200</v>
      </c>
      <c r="AL268" s="9" t="str">
        <f>IFERROR(MID(VLOOKUP($B268,Seqs!$A:$B,2,0),AM268,1),"")</f>
        <v>Q</v>
      </c>
      <c r="AM268" s="9">
        <v>237</v>
      </c>
      <c r="AN268" s="9" t="str">
        <f>IFERROR(MID(VLOOKUP($B268,Seqs!$A:$B,2,0),AO268,1),"")</f>
        <v>S</v>
      </c>
      <c r="AO268" s="9">
        <v>240</v>
      </c>
      <c r="AP268" s="9" t="str">
        <f>IFERROR(MID(VLOOKUP($B268,Seqs!$A:$B,2,0),AQ268,1),"")</f>
        <v>H</v>
      </c>
      <c r="AQ268" s="9">
        <v>278</v>
      </c>
      <c r="AR268" s="9" t="str">
        <f>IFERROR(MID(VLOOKUP($B268,Seqs!$A:$B,2,0),AS268,1),"")</f>
        <v>G</v>
      </c>
      <c r="AS268" s="9">
        <v>284</v>
      </c>
      <c r="AT268" s="9" t="str">
        <f>IFERROR(MID(VLOOKUP($B268,Seqs!$A:$B,2,0),AU268,1),"")</f>
        <v>M</v>
      </c>
      <c r="AU268" s="9">
        <v>309</v>
      </c>
      <c r="AV268" s="9" t="str">
        <f>IFERROR(MID(VLOOKUP($B268,Seqs!$A:$B,2,0),AW268,1),"")</f>
        <v>N</v>
      </c>
      <c r="AW268" s="9">
        <v>310</v>
      </c>
      <c r="AX268" s="9" t="str">
        <f>IFERROR(MID(VLOOKUP($B268,Seqs!$A:$B,2,0),AY268,1),"")</f>
        <v>C</v>
      </c>
      <c r="AY268" s="9">
        <v>322</v>
      </c>
      <c r="AZ268" s="110" t="str">
        <f>VLOOKUP(B268,Classification!A:D,2,0)</f>
        <v>A</v>
      </c>
      <c r="BA268" s="98" t="str">
        <f>VLOOKUP(B268,Classification!A:D,4,0)</f>
        <v>Opsins</v>
      </c>
      <c r="BB268" s="36" t="b">
        <f t="shared" ref="BB268" si="1650">AND(E268&lt;G268,OR(G268&lt;I268,I268="-"),OR(I268&lt;K268,I268="-"),OR(K268&lt;M268,K268="-"),M268&lt;O268,OR(O268&lt;Q268,Q268="-"),OR(Q268&lt;S268,Q268="-"),OR(S268&lt;U268,S268="-"),U268&lt;W268,OR(W268&lt;Y268,Y268="-"),OR(Y268&lt;AA268,Y268="-"),OR(AA268&lt;AC268,AA268="-"),AC268&lt;AE268,OR(AE268&lt;AG268,AG268="-"),OR(AG268&lt;AI268,AG268="-"),OR(AI268&lt;AK268,AI268="-"),AK268&lt;AM268,AM268&lt;AO268,AO268&lt;AQ268,AQ268&lt;AS268,AS268&lt;AU268,OR(AU268&lt;AW268,AW268="-"),OR(AW268&lt;AY268,AW268="-"))</f>
        <v>1</v>
      </c>
      <c r="BC268" s="109">
        <f t="shared" ref="BC268" si="1651">_xlfn.AGGREGATE(9,6,CH268:CS268)-_xlfn.AGGREGATE(9,6,BV268:CG268)+12</f>
        <v>249</v>
      </c>
      <c r="BD268" s="40" t="s">
        <v>23</v>
      </c>
      <c r="BE268" s="9" t="s">
        <v>1291</v>
      </c>
      <c r="BF268" s="120">
        <v>4.38</v>
      </c>
      <c r="BG268" s="51" t="s">
        <v>1422</v>
      </c>
      <c r="BH268" s="51" t="s">
        <v>1422</v>
      </c>
      <c r="BJ268" s="111" t="s">
        <v>1287</v>
      </c>
      <c r="BK268" s="112" t="s">
        <v>1287</v>
      </c>
      <c r="BL268" s="112" t="s">
        <v>1287</v>
      </c>
      <c r="BM268" s="112" t="s">
        <v>1287</v>
      </c>
      <c r="BN268" s="112" t="s">
        <v>1287</v>
      </c>
      <c r="BO268" s="112" t="s">
        <v>1287</v>
      </c>
      <c r="BP268" s="112" t="s">
        <v>1287</v>
      </c>
      <c r="BQ268" s="112" t="s">
        <v>1287</v>
      </c>
      <c r="BR268" s="112" t="s">
        <v>1287</v>
      </c>
      <c r="BS268" s="112" t="s">
        <v>1287</v>
      </c>
      <c r="BT268" s="112" t="s">
        <v>1287</v>
      </c>
      <c r="BU268" s="112" t="s">
        <v>1287</v>
      </c>
      <c r="BV268" s="111">
        <f t="shared" ref="BV268" si="1652">E268</f>
        <v>33</v>
      </c>
      <c r="BW268" s="113">
        <f t="shared" ref="BW268" si="1653">I268</f>
        <v>66</v>
      </c>
      <c r="BX268" s="114">
        <f t="shared" ref="BX268" si="1654">M268</f>
        <v>73</v>
      </c>
      <c r="BY268" s="113">
        <f t="shared" ref="BY268" si="1655">Q268</f>
        <v>102</v>
      </c>
      <c r="BZ268" s="114">
        <f t="shared" ref="BZ268" si="1656">U268</f>
        <v>106</v>
      </c>
      <c r="CA268" s="113" t="str">
        <f t="shared" ref="CA268" si="1657">Y268</f>
        <v>-</v>
      </c>
      <c r="CB268" s="114">
        <f t="shared" ref="CB268" si="1658">AC268</f>
        <v>150</v>
      </c>
      <c r="CC268" s="113">
        <f t="shared" ref="CC268" si="1659">AG268</f>
        <v>187</v>
      </c>
      <c r="CD268" s="114">
        <f t="shared" ref="CD268" si="1660">AK268</f>
        <v>200</v>
      </c>
      <c r="CE268" s="113">
        <f t="shared" ref="CE268" si="1661">AO268</f>
        <v>240</v>
      </c>
      <c r="CF268" s="114">
        <f t="shared" ref="CF268" si="1662">AS268</f>
        <v>284</v>
      </c>
      <c r="CG268" s="113">
        <f t="shared" ref="CG268" si="1663">AW268</f>
        <v>310</v>
      </c>
      <c r="CH268" s="111">
        <f t="shared" ref="CH268" si="1664">G268</f>
        <v>65</v>
      </c>
      <c r="CI268" s="113">
        <f t="shared" ref="CI268" si="1665">K268</f>
        <v>69</v>
      </c>
      <c r="CJ268" s="114">
        <f t="shared" ref="CJ268" si="1666">O268</f>
        <v>100</v>
      </c>
      <c r="CK268" s="114">
        <f t="shared" ref="CK268" si="1667">S268</f>
        <v>105</v>
      </c>
      <c r="CL268" s="114">
        <f t="shared" ref="CL268" si="1668">W268</f>
        <v>141</v>
      </c>
      <c r="CM268" s="114" t="str">
        <f t="shared" ref="CM268" si="1669">AA268</f>
        <v>-</v>
      </c>
      <c r="CN268" s="114">
        <f t="shared" ref="CN268" si="1670">AE268</f>
        <v>173</v>
      </c>
      <c r="CO268" s="114">
        <f t="shared" ref="CO268" si="1671">AI268</f>
        <v>189</v>
      </c>
      <c r="CP268" s="114">
        <f t="shared" ref="CP268" si="1672">AM268</f>
        <v>237</v>
      </c>
      <c r="CQ268" s="114">
        <f t="shared" ref="CQ268" si="1673">AQ268</f>
        <v>278</v>
      </c>
      <c r="CR268" s="114">
        <f t="shared" ref="CR268" si="1674">AU268</f>
        <v>309</v>
      </c>
      <c r="CS268" s="114">
        <f t="shared" ref="CS268" si="1675">AY268</f>
        <v>322</v>
      </c>
      <c r="CT268" s="109">
        <f t="shared" ref="CT268" si="1676">M268-K268</f>
        <v>4</v>
      </c>
    </row>
    <row r="269" spans="1:1029" s="12" customFormat="1" x14ac:dyDescent="0.2">
      <c r="A269" s="9" t="str">
        <f t="shared" ref="A269" si="1677">CONCATENATE(B269,"_",C269)</f>
        <v>opsd_bovin_6OY9</v>
      </c>
      <c r="B269" s="9" t="s">
        <v>919</v>
      </c>
      <c r="C269" s="9" t="s">
        <v>1588</v>
      </c>
      <c r="D269" s="9" t="str">
        <f>IFERROR(MID(VLOOKUP($B269,Seqs!$A:$B,2,0),E269,1),"")</f>
        <v>E</v>
      </c>
      <c r="E269" s="9">
        <v>33</v>
      </c>
      <c r="F269" s="9" t="str">
        <f>IFERROR(MID(VLOOKUP($B269,Seqs!$A:$B,2,0),G269,1),"")</f>
        <v>Q</v>
      </c>
      <c r="G269" s="9">
        <v>64</v>
      </c>
      <c r="H269" s="9" t="str">
        <f>IFERROR(MID(VLOOKUP($B269,Seqs!$A:$B,2,0),I269,1),"")</f>
        <v/>
      </c>
      <c r="I269" s="109" t="s">
        <v>23</v>
      </c>
      <c r="J269" s="9" t="str">
        <f>IFERROR(MID(VLOOKUP($B269,Seqs!$A:$B,2,0),K269,1),"")</f>
        <v/>
      </c>
      <c r="K269" s="109" t="s">
        <v>23</v>
      </c>
      <c r="L269" s="9" t="str">
        <f>IFERROR(MID(VLOOKUP($B269,Seqs!$A:$B,2,0),M269,1),"")</f>
        <v>N</v>
      </c>
      <c r="M269" s="9">
        <v>73</v>
      </c>
      <c r="N269" s="9" t="str">
        <f>IFERROR(MID(VLOOKUP($B269,Seqs!$A:$B,2,0),O269,1),"")</f>
        <v>H</v>
      </c>
      <c r="O269" s="9">
        <v>100</v>
      </c>
      <c r="P269" s="9" t="str">
        <f>IFERROR(MID(VLOOKUP($B269,Seqs!$A:$B,2,0),Q269,1),"")</f>
        <v>Y</v>
      </c>
      <c r="Q269" s="9">
        <v>102</v>
      </c>
      <c r="R269" s="9" t="str">
        <f>IFERROR(MID(VLOOKUP($B269,Seqs!$A:$B,2,0),S269,1),"")</f>
        <v>F</v>
      </c>
      <c r="S269" s="9">
        <v>105</v>
      </c>
      <c r="T269" s="9" t="str">
        <f>IFERROR(MID(VLOOKUP($B269,Seqs!$A:$B,2,0),U269,1),"")</f>
        <v>G</v>
      </c>
      <c r="U269" s="9">
        <v>106</v>
      </c>
      <c r="V269" s="9" t="str">
        <f>IFERROR(MID(VLOOKUP($B269,Seqs!$A:$B,2,0),W269,1),"")</f>
        <v>C</v>
      </c>
      <c r="W269" s="9">
        <v>140</v>
      </c>
      <c r="X269" s="9" t="str">
        <f>IFERROR(MID(VLOOKUP($B269,Seqs!$A:$B,2,0),Y269,1),"")</f>
        <v/>
      </c>
      <c r="Y269" s="9" t="s">
        <v>23</v>
      </c>
      <c r="Z269" s="9" t="str">
        <f>IFERROR(MID(VLOOKUP($B269,Seqs!$A:$B,2,0),AA269,1),"")</f>
        <v/>
      </c>
      <c r="AA269" s="9" t="s">
        <v>23</v>
      </c>
      <c r="AB269" s="9" t="str">
        <f>IFERROR(MID(VLOOKUP($B269,Seqs!$A:$B,2,0),AC269,1),"")</f>
        <v>E</v>
      </c>
      <c r="AC269" s="9">
        <v>150</v>
      </c>
      <c r="AD269" s="9" t="str">
        <f>IFERROR(MID(VLOOKUP($B269,Seqs!$A:$B,2,0),AE269,1),"")</f>
        <v>L</v>
      </c>
      <c r="AE269" s="9">
        <v>172</v>
      </c>
      <c r="AF269" s="9" t="str">
        <f>IFERROR(MID(VLOOKUP($B269,Seqs!$A:$B,2,0),AG269,1),"")</f>
        <v>C</v>
      </c>
      <c r="AG269" s="9">
        <v>187</v>
      </c>
      <c r="AH269" s="9" t="str">
        <f>IFERROR(MID(VLOOKUP($B269,Seqs!$A:$B,2,0),AI269,1),"")</f>
        <v>I</v>
      </c>
      <c r="AI269" s="9">
        <v>189</v>
      </c>
      <c r="AJ269" s="9" t="str">
        <f>IFERROR(MID(VLOOKUP($B269,Seqs!$A:$B,2,0),AK269,1),"")</f>
        <v>N</v>
      </c>
      <c r="AK269" s="9">
        <v>199</v>
      </c>
      <c r="AL269" s="9" t="str">
        <f>IFERROR(MID(VLOOKUP($B269,Seqs!$A:$B,2,0),AM269,1),"")</f>
        <v>Q</v>
      </c>
      <c r="AM269" s="9">
        <v>236</v>
      </c>
      <c r="AN269" s="9" t="str">
        <f>IFERROR(MID(VLOOKUP($B269,Seqs!$A:$B,2,0),AO269,1),"")</f>
        <v>S</v>
      </c>
      <c r="AO269" s="9">
        <v>240</v>
      </c>
      <c r="AP269" s="9" t="str">
        <f>IFERROR(MID(VLOOKUP($B269,Seqs!$A:$B,2,0),AQ269,1),"")</f>
        <v>H</v>
      </c>
      <c r="AQ269" s="9">
        <v>278</v>
      </c>
      <c r="AR269" s="9" t="str">
        <f>IFERROR(MID(VLOOKUP($B269,Seqs!$A:$B,2,0),AS269,1),"")</f>
        <v>G</v>
      </c>
      <c r="AS269" s="9">
        <v>284</v>
      </c>
      <c r="AT269" s="9" t="str">
        <f>IFERROR(MID(VLOOKUP($B269,Seqs!$A:$B,2,0),AU269,1),"")</f>
        <v>M</v>
      </c>
      <c r="AU269" s="9">
        <v>309</v>
      </c>
      <c r="AV269" s="9" t="str">
        <f>IFERROR(MID(VLOOKUP($B269,Seqs!$A:$B,2,0),AW269,1),"")</f>
        <v>F</v>
      </c>
      <c r="AW269" s="9">
        <v>313</v>
      </c>
      <c r="AX269" s="9" t="str">
        <f>IFERROR(MID(VLOOKUP($B269,Seqs!$A:$B,2,0),AY269,1),"")</f>
        <v>C</v>
      </c>
      <c r="AY269" s="9">
        <v>322</v>
      </c>
      <c r="AZ269" s="110" t="str">
        <f>VLOOKUP(B269,Classification!A:D,2,0)</f>
        <v>A</v>
      </c>
      <c r="BA269" s="98" t="str">
        <f>VLOOKUP(B269,Classification!A:D,4,0)</f>
        <v>Opsins</v>
      </c>
      <c r="BB269" s="36" t="b">
        <f t="shared" ref="BB269" si="1678"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109">
        <f t="shared" ref="BC269" si="1679">_xlfn.AGGREGATE(9,6,CH269:CS269)-_xlfn.AGGREGATE(9,6,BV269:CG269)+12</f>
        <v>240</v>
      </c>
      <c r="BD269" s="40" t="s">
        <v>23</v>
      </c>
      <c r="BE269" s="9" t="s">
        <v>1291</v>
      </c>
      <c r="BF269" s="120">
        <v>3.9</v>
      </c>
      <c r="BG269" s="51" t="s">
        <v>1422</v>
      </c>
      <c r="BH269" s="51" t="s">
        <v>1422</v>
      </c>
      <c r="BJ269" s="111" t="s">
        <v>1287</v>
      </c>
      <c r="BK269" s="112" t="s">
        <v>1287</v>
      </c>
      <c r="BL269" s="112" t="s">
        <v>1287</v>
      </c>
      <c r="BM269" s="112" t="s">
        <v>1287</v>
      </c>
      <c r="BN269" s="112" t="s">
        <v>1287</v>
      </c>
      <c r="BO269" s="112" t="s">
        <v>1287</v>
      </c>
      <c r="BP269" s="112" t="s">
        <v>1287</v>
      </c>
      <c r="BQ269" s="112" t="s">
        <v>1287</v>
      </c>
      <c r="BR269" s="112" t="s">
        <v>1287</v>
      </c>
      <c r="BS269" s="112" t="s">
        <v>1287</v>
      </c>
      <c r="BT269" s="112" t="s">
        <v>1287</v>
      </c>
      <c r="BU269" s="112" t="s">
        <v>1287</v>
      </c>
      <c r="BV269" s="111">
        <f t="shared" ref="BV269" si="1680">E269</f>
        <v>33</v>
      </c>
      <c r="BW269" s="113" t="str">
        <f t="shared" ref="BW269" si="1681">I269</f>
        <v>-</v>
      </c>
      <c r="BX269" s="114">
        <f t="shared" ref="BX269" si="1682">M269</f>
        <v>73</v>
      </c>
      <c r="BY269" s="113">
        <f t="shared" ref="BY269" si="1683">Q269</f>
        <v>102</v>
      </c>
      <c r="BZ269" s="114">
        <f t="shared" ref="BZ269" si="1684">U269</f>
        <v>106</v>
      </c>
      <c r="CA269" s="113" t="str">
        <f t="shared" ref="CA269" si="1685">Y269</f>
        <v>-</v>
      </c>
      <c r="CB269" s="114">
        <f t="shared" ref="CB269" si="1686">AC269</f>
        <v>150</v>
      </c>
      <c r="CC269" s="113">
        <f t="shared" ref="CC269" si="1687">AG269</f>
        <v>187</v>
      </c>
      <c r="CD269" s="114">
        <f t="shared" ref="CD269" si="1688">AK269</f>
        <v>199</v>
      </c>
      <c r="CE269" s="113">
        <f t="shared" ref="CE269" si="1689">AO269</f>
        <v>240</v>
      </c>
      <c r="CF269" s="114">
        <f t="shared" ref="CF269" si="1690">AS269</f>
        <v>284</v>
      </c>
      <c r="CG269" s="113">
        <f t="shared" ref="CG269" si="1691">AW269</f>
        <v>313</v>
      </c>
      <c r="CH269" s="111">
        <f t="shared" ref="CH269" si="1692">G269</f>
        <v>64</v>
      </c>
      <c r="CI269" s="113" t="str">
        <f t="shared" ref="CI269" si="1693">K269</f>
        <v>-</v>
      </c>
      <c r="CJ269" s="114">
        <f t="shared" ref="CJ269" si="1694">O269</f>
        <v>100</v>
      </c>
      <c r="CK269" s="114">
        <f t="shared" ref="CK269" si="1695">S269</f>
        <v>105</v>
      </c>
      <c r="CL269" s="114">
        <f t="shared" ref="CL269" si="1696">W269</f>
        <v>140</v>
      </c>
      <c r="CM269" s="114" t="str">
        <f t="shared" ref="CM269" si="1697">AA269</f>
        <v>-</v>
      </c>
      <c r="CN269" s="114">
        <f t="shared" ref="CN269" si="1698">AE269</f>
        <v>172</v>
      </c>
      <c r="CO269" s="114">
        <f t="shared" ref="CO269" si="1699">AI269</f>
        <v>189</v>
      </c>
      <c r="CP269" s="114">
        <f t="shared" ref="CP269" si="1700">AM269</f>
        <v>236</v>
      </c>
      <c r="CQ269" s="114">
        <f t="shared" ref="CQ269" si="1701">AQ269</f>
        <v>278</v>
      </c>
      <c r="CR269" s="114">
        <f t="shared" ref="CR269" si="1702">AU269</f>
        <v>309</v>
      </c>
      <c r="CS269" s="114">
        <f t="shared" ref="CS269" si="1703">AY269</f>
        <v>322</v>
      </c>
      <c r="CT269" s="109" t="e">
        <f t="shared" ref="CT269" si="1704">M269-K269</f>
        <v>#VALUE!</v>
      </c>
    </row>
    <row r="270" spans="1:1029" s="12" customFormat="1" x14ac:dyDescent="0.2">
      <c r="A270" s="9" t="str">
        <f t="shared" ref="A270" si="1705">CONCATENATE(B270,"_",C270)</f>
        <v>opsd_bovin_6OYA</v>
      </c>
      <c r="B270" s="9" t="s">
        <v>919</v>
      </c>
      <c r="C270" s="9" t="s">
        <v>1589</v>
      </c>
      <c r="D270" s="9" t="str">
        <f>IFERROR(MID(VLOOKUP($B270,Seqs!$A:$B,2,0),E270,1),"")</f>
        <v>E</v>
      </c>
      <c r="E270" s="9">
        <v>33</v>
      </c>
      <c r="F270" s="9" t="str">
        <f>IFERROR(MID(VLOOKUP($B270,Seqs!$A:$B,2,0),G270,1),"")</f>
        <v>H</v>
      </c>
      <c r="G270" s="9">
        <v>65</v>
      </c>
      <c r="H270" s="9" t="str">
        <f>IFERROR(MID(VLOOKUP($B270,Seqs!$A:$B,2,0),I270,1),"")</f>
        <v>K</v>
      </c>
      <c r="I270" s="109">
        <v>66</v>
      </c>
      <c r="J270" s="9" t="str">
        <f>IFERROR(MID(VLOOKUP($B270,Seqs!$A:$B,2,0),K270,1),"")</f>
        <v>R</v>
      </c>
      <c r="K270" s="109">
        <v>69</v>
      </c>
      <c r="L270" s="9" t="str">
        <f>IFERROR(MID(VLOOKUP($B270,Seqs!$A:$B,2,0),M270,1),"")</f>
        <v>T</v>
      </c>
      <c r="M270" s="9">
        <v>70</v>
      </c>
      <c r="N270" s="9" t="str">
        <f>IFERROR(MID(VLOOKUP($B270,Seqs!$A:$B,2,0),O270,1),"")</f>
        <v>G</v>
      </c>
      <c r="O270" s="9">
        <v>101</v>
      </c>
      <c r="P270" s="9" t="str">
        <f>IFERROR(MID(VLOOKUP($B270,Seqs!$A:$B,2,0),Q270,1),"")</f>
        <v>Y</v>
      </c>
      <c r="Q270" s="9">
        <v>102</v>
      </c>
      <c r="R270" s="9" t="str">
        <f>IFERROR(MID(VLOOKUP($B270,Seqs!$A:$B,2,0),S270,1),"")</f>
        <v>F</v>
      </c>
      <c r="S270" s="9">
        <v>105</v>
      </c>
      <c r="T270" s="9" t="str">
        <f>IFERROR(MID(VLOOKUP($B270,Seqs!$A:$B,2,0),U270,1),"")</f>
        <v>G</v>
      </c>
      <c r="U270" s="9">
        <v>106</v>
      </c>
      <c r="V270" s="9" t="str">
        <f>IFERROR(MID(VLOOKUP($B270,Seqs!$A:$B,2,0),W270,1),"")</f>
        <v>C</v>
      </c>
      <c r="W270" s="9">
        <v>140</v>
      </c>
      <c r="X270" s="9" t="str">
        <f>IFERROR(MID(VLOOKUP($B270,Seqs!$A:$B,2,0),Y270,1),"")</f>
        <v/>
      </c>
      <c r="Y270" s="9" t="s">
        <v>23</v>
      </c>
      <c r="Z270" s="9" t="str">
        <f>IFERROR(MID(VLOOKUP($B270,Seqs!$A:$B,2,0),AA270,1),"")</f>
        <v/>
      </c>
      <c r="AA270" s="9" t="s">
        <v>23</v>
      </c>
      <c r="AB270" s="9" t="str">
        <f>IFERROR(MID(VLOOKUP($B270,Seqs!$A:$B,2,0),AC270,1),"")</f>
        <v>G</v>
      </c>
      <c r="AC270" s="9">
        <v>149</v>
      </c>
      <c r="AD270" s="9" t="str">
        <f>IFERROR(MID(VLOOKUP($B270,Seqs!$A:$B,2,0),AE270,1),"")</f>
        <v>G</v>
      </c>
      <c r="AE270" s="9">
        <v>174</v>
      </c>
      <c r="AF270" s="9" t="str">
        <f>IFERROR(MID(VLOOKUP($B270,Seqs!$A:$B,2,0),AG270,1),"")</f>
        <v>C</v>
      </c>
      <c r="AG270" s="9">
        <v>187</v>
      </c>
      <c r="AH270" s="9" t="str">
        <f>IFERROR(MID(VLOOKUP($B270,Seqs!$A:$B,2,0),AI270,1),"")</f>
        <v>I</v>
      </c>
      <c r="AI270" s="9">
        <v>189</v>
      </c>
      <c r="AJ270" s="9" t="str">
        <f>IFERROR(MID(VLOOKUP($B270,Seqs!$A:$B,2,0),AK270,1),"")</f>
        <v>N</v>
      </c>
      <c r="AK270" s="9">
        <v>199</v>
      </c>
      <c r="AL270" s="9" t="str">
        <f>IFERROR(MID(VLOOKUP($B270,Seqs!$A:$B,2,0),AM270,1),"")</f>
        <v>A</v>
      </c>
      <c r="AM270" s="9">
        <v>235</v>
      </c>
      <c r="AN270" s="9" t="str">
        <f>IFERROR(MID(VLOOKUP($B270,Seqs!$A:$B,2,0),AO270,1),"")</f>
        <v>T</v>
      </c>
      <c r="AO270" s="9">
        <v>243</v>
      </c>
      <c r="AP270" s="9" t="str">
        <f>IFERROR(MID(VLOOKUP($B270,Seqs!$A:$B,2,0),AQ270,1),"")</f>
        <v>H</v>
      </c>
      <c r="AQ270" s="9">
        <v>278</v>
      </c>
      <c r="AR270" s="9" t="str">
        <f>IFERROR(MID(VLOOKUP($B270,Seqs!$A:$B,2,0),AS270,1),"")</f>
        <v>G</v>
      </c>
      <c r="AS270" s="9">
        <v>284</v>
      </c>
      <c r="AT270" s="9" t="str">
        <f>IFERROR(MID(VLOOKUP($B270,Seqs!$A:$B,2,0),AU270,1),"")</f>
        <v>M</v>
      </c>
      <c r="AU270" s="9">
        <v>308</v>
      </c>
      <c r="AV270" s="9" t="str">
        <f>IFERROR(MID(VLOOKUP($B270,Seqs!$A:$B,2,0),AW270,1),"")</f>
        <v>F</v>
      </c>
      <c r="AW270" s="9">
        <v>313</v>
      </c>
      <c r="AX270" s="9" t="str">
        <f>IFERROR(MID(VLOOKUP($B270,Seqs!$A:$B,2,0),AY270,1),"")</f>
        <v>C</v>
      </c>
      <c r="AY270" s="9">
        <v>322</v>
      </c>
      <c r="AZ270" s="110" t="str">
        <f>VLOOKUP(B270,Classification!A:D,2,0)</f>
        <v>A</v>
      </c>
      <c r="BA270" s="98" t="str">
        <f>VLOOKUP(B270,Classification!A:D,4,0)</f>
        <v>Opsins</v>
      </c>
      <c r="BB270" s="36" t="b">
        <f t="shared" ref="BB270" si="1706">AND(E270&lt;G270,OR(G270&lt;I270,I270="-"),OR(I270&lt;K270,I270="-"),OR(K270&lt;M270,K270="-"),M270&lt;O270,OR(O270&lt;Q270,Q270="-"),OR(Q270&lt;S270,Q270="-"),OR(S270&lt;U270,S270="-"),U270&lt;W270,OR(W270&lt;Y270,Y270="-"),OR(Y270&lt;AA270,Y270="-"),OR(AA270&lt;AC270,AA270="-"),AC270&lt;AE270,OR(AE270&lt;AG270,AG270="-"),OR(AG270&lt;AI270,AG270="-"),OR(AI270&lt;AK270,AI270="-"),AK270&lt;AM270,AM270&lt;AO270,AO270&lt;AQ270,AQ270&lt;AS270,AS270&lt;AU270,OR(AU270&lt;AW270,AW270="-"),OR(AW270&lt;AY270,AW270="-"))</f>
        <v>1</v>
      </c>
      <c r="BC270" s="109">
        <f t="shared" ref="BC270" si="1707">_xlfn.AGGREGATE(9,6,CH270:CS270)-_xlfn.AGGREGATE(9,6,BV270:CG270)+12</f>
        <v>246</v>
      </c>
      <c r="BD270" s="40" t="s">
        <v>23</v>
      </c>
      <c r="BE270" s="9" t="s">
        <v>1291</v>
      </c>
      <c r="BF270" s="120">
        <v>3.3</v>
      </c>
      <c r="BG270" s="51" t="s">
        <v>1422</v>
      </c>
      <c r="BH270" s="51" t="s">
        <v>1422</v>
      </c>
      <c r="BJ270" s="111" t="s">
        <v>1287</v>
      </c>
      <c r="BK270" s="112" t="s">
        <v>1287</v>
      </c>
      <c r="BL270" s="112" t="s">
        <v>1287</v>
      </c>
      <c r="BM270" s="112" t="s">
        <v>1287</v>
      </c>
      <c r="BN270" s="112" t="s">
        <v>1287</v>
      </c>
      <c r="BO270" s="112" t="s">
        <v>1287</v>
      </c>
      <c r="BP270" s="112" t="s">
        <v>1287</v>
      </c>
      <c r="BQ270" s="112" t="s">
        <v>1287</v>
      </c>
      <c r="BR270" s="112" t="s">
        <v>1287</v>
      </c>
      <c r="BS270" s="112" t="s">
        <v>1287</v>
      </c>
      <c r="BT270" s="112" t="s">
        <v>1287</v>
      </c>
      <c r="BU270" s="112" t="s">
        <v>1287</v>
      </c>
      <c r="BV270" s="111">
        <f t="shared" ref="BV270" si="1708">E270</f>
        <v>33</v>
      </c>
      <c r="BW270" s="113">
        <f t="shared" ref="BW270" si="1709">I270</f>
        <v>66</v>
      </c>
      <c r="BX270" s="114">
        <f t="shared" ref="BX270" si="1710">M270</f>
        <v>70</v>
      </c>
      <c r="BY270" s="113">
        <f t="shared" ref="BY270" si="1711">Q270</f>
        <v>102</v>
      </c>
      <c r="BZ270" s="114">
        <f t="shared" ref="BZ270" si="1712">U270</f>
        <v>106</v>
      </c>
      <c r="CA270" s="113" t="str">
        <f t="shared" ref="CA270" si="1713">Y270</f>
        <v>-</v>
      </c>
      <c r="CB270" s="114">
        <f t="shared" ref="CB270" si="1714">AC270</f>
        <v>149</v>
      </c>
      <c r="CC270" s="113">
        <f t="shared" ref="CC270" si="1715">AG270</f>
        <v>187</v>
      </c>
      <c r="CD270" s="114">
        <f t="shared" ref="CD270" si="1716">AK270</f>
        <v>199</v>
      </c>
      <c r="CE270" s="113">
        <f t="shared" ref="CE270" si="1717">AO270</f>
        <v>243</v>
      </c>
      <c r="CF270" s="114">
        <f t="shared" ref="CF270" si="1718">AS270</f>
        <v>284</v>
      </c>
      <c r="CG270" s="113">
        <f t="shared" ref="CG270" si="1719">AW270</f>
        <v>313</v>
      </c>
      <c r="CH270" s="111">
        <f t="shared" ref="CH270" si="1720">G270</f>
        <v>65</v>
      </c>
      <c r="CI270" s="113">
        <f t="shared" ref="CI270" si="1721">K270</f>
        <v>69</v>
      </c>
      <c r="CJ270" s="114">
        <f t="shared" ref="CJ270" si="1722">O270</f>
        <v>101</v>
      </c>
      <c r="CK270" s="114">
        <f t="shared" ref="CK270" si="1723">S270</f>
        <v>105</v>
      </c>
      <c r="CL270" s="114">
        <f t="shared" ref="CL270" si="1724">W270</f>
        <v>140</v>
      </c>
      <c r="CM270" s="114" t="str">
        <f t="shared" ref="CM270" si="1725">AA270</f>
        <v>-</v>
      </c>
      <c r="CN270" s="114">
        <f t="shared" ref="CN270" si="1726">AE270</f>
        <v>174</v>
      </c>
      <c r="CO270" s="114">
        <f t="shared" ref="CO270" si="1727">AI270</f>
        <v>189</v>
      </c>
      <c r="CP270" s="114">
        <f t="shared" ref="CP270" si="1728">AM270</f>
        <v>235</v>
      </c>
      <c r="CQ270" s="114">
        <f t="shared" ref="CQ270" si="1729">AQ270</f>
        <v>278</v>
      </c>
      <c r="CR270" s="114">
        <f t="shared" ref="CR270" si="1730">AU270</f>
        <v>308</v>
      </c>
      <c r="CS270" s="114">
        <f t="shared" ref="CS270" si="1731">AY270</f>
        <v>322</v>
      </c>
      <c r="CT270" s="109">
        <f t="shared" ref="CT270" si="1732">M270-K270</f>
        <v>1</v>
      </c>
    </row>
    <row r="271" spans="1:1029" x14ac:dyDescent="0.2">
      <c r="A271" s="3" t="str">
        <f t="shared" si="1591"/>
        <v>opsd_human__wt</v>
      </c>
      <c r="B271" s="3" t="s">
        <v>339</v>
      </c>
      <c r="C271" s="3" t="s">
        <v>100</v>
      </c>
      <c r="D271" s="3" t="str">
        <f>IFERROR(MID(VLOOKUP($B271,Seqs!$A:$B,2,0),E271,1),"")</f>
        <v>P</v>
      </c>
      <c r="E271" s="3">
        <v>34</v>
      </c>
      <c r="F271" s="3" t="str">
        <f>IFERROR(MID(VLOOKUP($B271,Seqs!$A:$B,2,0),G271,1),"")</f>
        <v>H</v>
      </c>
      <c r="G271" s="3">
        <v>65</v>
      </c>
      <c r="H271" s="3" t="str">
        <f>IFERROR(MID(VLOOKUP($B271,Seqs!$A:$B,2,0),I271,1),"")</f>
        <v>K</v>
      </c>
      <c r="I271" s="23">
        <v>66</v>
      </c>
      <c r="J271" s="3" t="str">
        <f>IFERROR(MID(VLOOKUP($B271,Seqs!$A:$B,2,0),K271,1),"")</f>
        <v>R</v>
      </c>
      <c r="K271" s="23">
        <v>69</v>
      </c>
      <c r="L271" s="3" t="str">
        <f>IFERROR(MID(VLOOKUP($B271,Seqs!$A:$B,2,0),M271,1),"")</f>
        <v>T</v>
      </c>
      <c r="M271" s="3">
        <v>70</v>
      </c>
      <c r="N271" s="3" t="str">
        <f>IFERROR(MID(VLOOKUP($B271,Seqs!$A:$B,2,0),O271,1),"")</f>
        <v>H</v>
      </c>
      <c r="O271" s="3">
        <v>100</v>
      </c>
      <c r="P271" s="3" t="str">
        <f>IFERROR(MID(VLOOKUP($B271,Seqs!$A:$B,2,0),Q271,1),"")</f>
        <v>Y</v>
      </c>
      <c r="Q271" s="3">
        <v>102</v>
      </c>
      <c r="R271" s="3" t="str">
        <f>IFERROR(MID(VLOOKUP($B271,Seqs!$A:$B,2,0),S271,1),"")</f>
        <v>F</v>
      </c>
      <c r="S271" s="3">
        <v>105</v>
      </c>
      <c r="T271" s="3" t="str">
        <f>IFERROR(MID(VLOOKUP($B271,Seqs!$A:$B,2,0),U271,1),"")</f>
        <v>G</v>
      </c>
      <c r="U271" s="3">
        <v>106</v>
      </c>
      <c r="V271" s="3" t="str">
        <f>IFERROR(MID(VLOOKUP($B271,Seqs!$A:$B,2,0),W271,1),"")</f>
        <v>K</v>
      </c>
      <c r="W271" s="3">
        <v>141</v>
      </c>
      <c r="X271" s="3" t="str">
        <f>IFERROR(MID(VLOOKUP($B271,Seqs!$A:$B,2,0),Y271,1),"")</f>
        <v>P</v>
      </c>
      <c r="Y271" s="3">
        <v>142</v>
      </c>
      <c r="Z271" s="3" t="str">
        <f>IFERROR(MID(VLOOKUP($B271,Seqs!$A:$B,2,0),AA271,1),"")</f>
        <v>F</v>
      </c>
      <c r="AA271" s="3">
        <v>148</v>
      </c>
      <c r="AB271" s="3" t="str">
        <f>IFERROR(MID(VLOOKUP($B271,Seqs!$A:$B,2,0),AC271,1),"")</f>
        <v>G</v>
      </c>
      <c r="AC271" s="9">
        <v>149</v>
      </c>
      <c r="AD271" s="3" t="str">
        <f>IFERROR(MID(VLOOKUP($B271,Seqs!$A:$B,2,0),AE271,1),"")</f>
        <v>A</v>
      </c>
      <c r="AE271" s="3">
        <v>173</v>
      </c>
      <c r="AF271" s="3" t="str">
        <f>IFERROR(MID(VLOOKUP($B271,Seqs!$A:$B,2,0),AG271,1),"")</f>
        <v>C</v>
      </c>
      <c r="AG271" s="3">
        <v>187</v>
      </c>
      <c r="AH271" s="3" t="str">
        <f>IFERROR(MID(VLOOKUP($B271,Seqs!$A:$B,2,0),AI271,1),"")</f>
        <v>I</v>
      </c>
      <c r="AI271" s="3">
        <v>189</v>
      </c>
      <c r="AJ271" s="3" t="str">
        <f>IFERROR(MID(VLOOKUP($B271,Seqs!$A:$B,2,0),AK271,1),"")</f>
        <v>N</v>
      </c>
      <c r="AK271" s="3">
        <v>199</v>
      </c>
      <c r="AL271" s="3" t="str">
        <f>IFERROR(MID(VLOOKUP($B271,Seqs!$A:$B,2,0),AM271,1),"")</f>
        <v>Q</v>
      </c>
      <c r="AM271" s="3">
        <v>237</v>
      </c>
      <c r="AN271" s="3" t="str">
        <f>IFERROR(MID(VLOOKUP($B271,Seqs!$A:$B,2,0),AO271,1),"")</f>
        <v>A</v>
      </c>
      <c r="AO271" s="3">
        <v>241</v>
      </c>
      <c r="AP271" s="3" t="str">
        <f>IFERROR(MID(VLOOKUP($B271,Seqs!$A:$B,2,0),AQ271,1),"")</f>
        <v>H</v>
      </c>
      <c r="AQ271" s="3">
        <v>278</v>
      </c>
      <c r="AR271" s="3" t="str">
        <f>IFERROR(MID(VLOOKUP($B271,Seqs!$A:$B,2,0),AS271,1),"")</f>
        <v>G</v>
      </c>
      <c r="AS271" s="3">
        <v>284</v>
      </c>
      <c r="AT271" s="3" t="str">
        <f>IFERROR(MID(VLOOKUP($B271,Seqs!$A:$B,2,0),AU271,1),"")</f>
        <v>M</v>
      </c>
      <c r="AU271" s="3">
        <v>309</v>
      </c>
      <c r="AV271" s="3" t="str">
        <f>IFERROR(MID(VLOOKUP($B271,Seqs!$A:$B,2,0),AW271,1),"")</f>
        <v>N</v>
      </c>
      <c r="AW271" s="3">
        <v>310</v>
      </c>
      <c r="AX271" s="3" t="str">
        <f>IFERROR(MID(VLOOKUP($B271,Seqs!$A:$B,2,0),AY271,1),"")</f>
        <v>C</v>
      </c>
      <c r="AY271" s="3">
        <v>322</v>
      </c>
      <c r="AZ271" s="77" t="str">
        <f>VLOOKUP(B271,Classification!A:D,2,0)</f>
        <v>A</v>
      </c>
      <c r="BA271" s="94" t="str">
        <f>VLOOKUP(B271,Classification!A:D,4,0)</f>
        <v>Opsins</v>
      </c>
      <c r="BB271" s="27" t="b">
        <f t="shared" si="1592"/>
        <v>1</v>
      </c>
      <c r="BC271" s="23">
        <f t="shared" si="1565"/>
        <v>258</v>
      </c>
      <c r="BD271" s="56" t="s">
        <v>23</v>
      </c>
      <c r="BE271" s="3" t="s">
        <v>23</v>
      </c>
      <c r="BF271" s="119" t="s">
        <v>23</v>
      </c>
      <c r="BG271" s="49" t="s">
        <v>1372</v>
      </c>
      <c r="BH271" s="49" t="s">
        <v>1377</v>
      </c>
      <c r="BI271" s="1"/>
      <c r="BJ271" s="70" t="s">
        <v>1287</v>
      </c>
      <c r="BK271" s="57" t="s">
        <v>1287</v>
      </c>
      <c r="BL271" s="57" t="s">
        <v>1287</v>
      </c>
      <c r="BM271" s="57" t="s">
        <v>1287</v>
      </c>
      <c r="BN271" s="57" t="s">
        <v>1287</v>
      </c>
      <c r="BO271" s="57" t="s">
        <v>1287</v>
      </c>
      <c r="BP271" s="57" t="s">
        <v>1287</v>
      </c>
      <c r="BQ271" s="57" t="s">
        <v>1287</v>
      </c>
      <c r="BR271" s="57" t="s">
        <v>1287</v>
      </c>
      <c r="BS271" s="57" t="s">
        <v>1287</v>
      </c>
      <c r="BT271" s="57" t="s">
        <v>1287</v>
      </c>
      <c r="BU271" s="57" t="s">
        <v>1287</v>
      </c>
      <c r="BV271" s="70">
        <f t="shared" si="1566"/>
        <v>34</v>
      </c>
      <c r="BW271" s="71">
        <f t="shared" si="1567"/>
        <v>66</v>
      </c>
      <c r="BX271" s="72">
        <f t="shared" si="1568"/>
        <v>70</v>
      </c>
      <c r="BY271" s="71">
        <f t="shared" si="1569"/>
        <v>102</v>
      </c>
      <c r="BZ271" s="72">
        <f t="shared" si="1570"/>
        <v>106</v>
      </c>
      <c r="CA271" s="71">
        <f t="shared" si="1571"/>
        <v>142</v>
      </c>
      <c r="CB271" s="72">
        <f t="shared" si="1572"/>
        <v>149</v>
      </c>
      <c r="CC271" s="71">
        <f t="shared" si="1573"/>
        <v>187</v>
      </c>
      <c r="CD271" s="72">
        <f t="shared" si="1574"/>
        <v>199</v>
      </c>
      <c r="CE271" s="71">
        <f t="shared" si="1575"/>
        <v>241</v>
      </c>
      <c r="CF271" s="72">
        <f t="shared" si="1576"/>
        <v>284</v>
      </c>
      <c r="CG271" s="71">
        <f t="shared" si="1577"/>
        <v>310</v>
      </c>
      <c r="CH271" s="70">
        <f t="shared" si="1578"/>
        <v>65</v>
      </c>
      <c r="CI271" s="71">
        <f t="shared" si="1579"/>
        <v>69</v>
      </c>
      <c r="CJ271" s="72">
        <f t="shared" si="1580"/>
        <v>100</v>
      </c>
      <c r="CK271" s="72">
        <f t="shared" si="1581"/>
        <v>105</v>
      </c>
      <c r="CL271" s="72">
        <f t="shared" si="1582"/>
        <v>141</v>
      </c>
      <c r="CM271" s="72">
        <f t="shared" si="1583"/>
        <v>148</v>
      </c>
      <c r="CN271" s="72">
        <f t="shared" si="1584"/>
        <v>173</v>
      </c>
      <c r="CO271" s="72">
        <f t="shared" si="1585"/>
        <v>189</v>
      </c>
      <c r="CP271" s="72">
        <f t="shared" si="1586"/>
        <v>237</v>
      </c>
      <c r="CQ271" s="72">
        <f t="shared" si="1587"/>
        <v>278</v>
      </c>
      <c r="CR271" s="72">
        <f t="shared" si="1588"/>
        <v>309</v>
      </c>
      <c r="CS271" s="72">
        <f t="shared" si="1589"/>
        <v>322</v>
      </c>
      <c r="CT271" s="23">
        <f t="shared" si="1590"/>
        <v>1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x14ac:dyDescent="0.2">
      <c r="A272" s="3" t="str">
        <f t="shared" si="1591"/>
        <v>opsd_human_4ZWJ</v>
      </c>
      <c r="B272" s="3" t="s">
        <v>339</v>
      </c>
      <c r="C272" s="3" t="s">
        <v>55</v>
      </c>
      <c r="D272" s="3" t="str">
        <f>IFERROR(MID(VLOOKUP($B272,Seqs!$A:$B,2,0),E272,1),"")</f>
        <v>P</v>
      </c>
      <c r="E272" s="3">
        <v>34</v>
      </c>
      <c r="F272" s="3" t="str">
        <f>IFERROR(MID(VLOOKUP($B272,Seqs!$A:$B,2,0),G272,1),"")</f>
        <v>H</v>
      </c>
      <c r="G272" s="3">
        <v>65</v>
      </c>
      <c r="H272" s="3" t="str">
        <f>IFERROR(MID(VLOOKUP($B272,Seqs!$A:$B,2,0),I272,1),"")</f>
        <v>K</v>
      </c>
      <c r="I272" s="23">
        <v>66</v>
      </c>
      <c r="J272" s="3" t="str">
        <f>IFERROR(MID(VLOOKUP($B272,Seqs!$A:$B,2,0),K272,1),"")</f>
        <v>R</v>
      </c>
      <c r="K272" s="23">
        <v>69</v>
      </c>
      <c r="L272" s="3" t="str">
        <f>IFERROR(MID(VLOOKUP($B272,Seqs!$A:$B,2,0),M272,1),"")</f>
        <v>T</v>
      </c>
      <c r="M272" s="3">
        <v>70</v>
      </c>
      <c r="N272" s="3" t="str">
        <f>IFERROR(MID(VLOOKUP($B272,Seqs!$A:$B,2,0),O272,1),"")</f>
        <v>H</v>
      </c>
      <c r="O272" s="3">
        <v>100</v>
      </c>
      <c r="P272" s="3" t="str">
        <f>IFERROR(MID(VLOOKUP($B272,Seqs!$A:$B,2,0),Q272,1),"")</f>
        <v>Y</v>
      </c>
      <c r="Q272" s="3">
        <v>102</v>
      </c>
      <c r="R272" s="3" t="str">
        <f>IFERROR(MID(VLOOKUP($B272,Seqs!$A:$B,2,0),S272,1),"")</f>
        <v>F</v>
      </c>
      <c r="S272" s="3">
        <v>105</v>
      </c>
      <c r="T272" s="3" t="str">
        <f>IFERROR(MID(VLOOKUP($B272,Seqs!$A:$B,2,0),U272,1),"")</f>
        <v>G</v>
      </c>
      <c r="U272" s="3">
        <v>106</v>
      </c>
      <c r="V272" s="3" t="str">
        <f>IFERROR(MID(VLOOKUP($B272,Seqs!$A:$B,2,0),W272,1),"")</f>
        <v>K</v>
      </c>
      <c r="W272" s="3">
        <v>141</v>
      </c>
      <c r="X272" s="3" t="str">
        <f>IFERROR(MID(VLOOKUP($B272,Seqs!$A:$B,2,0),Y272,1),"")</f>
        <v>P</v>
      </c>
      <c r="Y272" s="3">
        <v>142</v>
      </c>
      <c r="Z272" s="3" t="str">
        <f>IFERROR(MID(VLOOKUP($B272,Seqs!$A:$B,2,0),AA272,1),"")</f>
        <v>F</v>
      </c>
      <c r="AA272" s="3">
        <v>148</v>
      </c>
      <c r="AB272" s="3" t="str">
        <f>IFERROR(MID(VLOOKUP($B272,Seqs!$A:$B,2,0),AC272,1),"")</f>
        <v>G</v>
      </c>
      <c r="AC272" s="9">
        <v>149</v>
      </c>
      <c r="AD272" s="3" t="str">
        <f>IFERROR(MID(VLOOKUP($B272,Seqs!$A:$B,2,0),AE272,1),"")</f>
        <v>A</v>
      </c>
      <c r="AE272" s="3">
        <v>173</v>
      </c>
      <c r="AF272" s="3" t="str">
        <f>IFERROR(MID(VLOOKUP($B272,Seqs!$A:$B,2,0),AG272,1),"")</f>
        <v>C</v>
      </c>
      <c r="AG272" s="3">
        <v>187</v>
      </c>
      <c r="AH272" s="3" t="str">
        <f>IFERROR(MID(VLOOKUP($B272,Seqs!$A:$B,2,0),AI272,1),"")</f>
        <v>I</v>
      </c>
      <c r="AI272" s="3">
        <v>189</v>
      </c>
      <c r="AJ272" s="3" t="str">
        <f>IFERROR(MID(VLOOKUP($B272,Seqs!$A:$B,2,0),AK272,1),"")</f>
        <v>N</v>
      </c>
      <c r="AK272" s="3">
        <v>199</v>
      </c>
      <c r="AL272" s="3" t="str">
        <f>IFERROR(MID(VLOOKUP($B272,Seqs!$A:$B,2,0),AM272,1),"")</f>
        <v>Q</v>
      </c>
      <c r="AM272" s="3">
        <v>237</v>
      </c>
      <c r="AN272" s="3" t="str">
        <f>IFERROR(MID(VLOOKUP($B272,Seqs!$A:$B,2,0),AO272,1),"")</f>
        <v>A</v>
      </c>
      <c r="AO272" s="3">
        <v>241</v>
      </c>
      <c r="AP272" s="3" t="str">
        <f>IFERROR(MID(VLOOKUP($B272,Seqs!$A:$B,2,0),AQ272,1),"")</f>
        <v>H</v>
      </c>
      <c r="AQ272" s="3">
        <v>278</v>
      </c>
      <c r="AR272" s="3" t="str">
        <f>IFERROR(MID(VLOOKUP($B272,Seqs!$A:$B,2,0),AS272,1),"")</f>
        <v>G</v>
      </c>
      <c r="AS272" s="3">
        <v>284</v>
      </c>
      <c r="AT272" s="3" t="str">
        <f>IFERROR(MID(VLOOKUP($B272,Seqs!$A:$B,2,0),AU272,1),"")</f>
        <v>M</v>
      </c>
      <c r="AU272" s="3">
        <v>309</v>
      </c>
      <c r="AV272" s="3" t="str">
        <f>IFERROR(MID(VLOOKUP($B272,Seqs!$A:$B,2,0),AW272,1),"")</f>
        <v>N</v>
      </c>
      <c r="AW272" s="3">
        <v>310</v>
      </c>
      <c r="AX272" s="3" t="str">
        <f>IFERROR(MID(VLOOKUP($B272,Seqs!$A:$B,2,0),AY272,1),"")</f>
        <v>C</v>
      </c>
      <c r="AY272" s="3">
        <v>322</v>
      </c>
      <c r="AZ272" s="77" t="str">
        <f>VLOOKUP(B272,Classification!A:D,2,0)</f>
        <v>A</v>
      </c>
      <c r="BA272" s="94" t="str">
        <f>VLOOKUP(B272,Classification!A:D,4,0)</f>
        <v>Opsins</v>
      </c>
      <c r="BB272" s="27" t="b">
        <f t="shared" si="1592"/>
        <v>1</v>
      </c>
      <c r="BC272" s="23">
        <f t="shared" si="1565"/>
        <v>258</v>
      </c>
      <c r="BD272" s="2" t="s">
        <v>1375</v>
      </c>
      <c r="BE272" s="3" t="s">
        <v>1291</v>
      </c>
      <c r="BF272" s="119">
        <v>3.3</v>
      </c>
      <c r="BG272" s="49" t="s">
        <v>1377</v>
      </c>
      <c r="BH272" s="49" t="s">
        <v>1377</v>
      </c>
      <c r="BI272" s="1"/>
      <c r="BJ272" s="70" t="s">
        <v>1287</v>
      </c>
      <c r="BK272" s="57" t="s">
        <v>1287</v>
      </c>
      <c r="BL272" s="57" t="s">
        <v>1287</v>
      </c>
      <c r="BM272" s="57" t="s">
        <v>1287</v>
      </c>
      <c r="BN272" s="57" t="s">
        <v>1287</v>
      </c>
      <c r="BO272" s="57" t="s">
        <v>1287</v>
      </c>
      <c r="BP272" s="57" t="s">
        <v>1287</v>
      </c>
      <c r="BQ272" s="57" t="s">
        <v>1287</v>
      </c>
      <c r="BR272" s="57" t="s">
        <v>1287</v>
      </c>
      <c r="BS272" s="57" t="s">
        <v>1287</v>
      </c>
      <c r="BT272" s="57" t="s">
        <v>1287</v>
      </c>
      <c r="BU272" s="57" t="s">
        <v>1287</v>
      </c>
      <c r="BV272" s="70">
        <f t="shared" si="1566"/>
        <v>34</v>
      </c>
      <c r="BW272" s="71">
        <f t="shared" si="1567"/>
        <v>66</v>
      </c>
      <c r="BX272" s="72">
        <f t="shared" si="1568"/>
        <v>70</v>
      </c>
      <c r="BY272" s="71">
        <f t="shared" si="1569"/>
        <v>102</v>
      </c>
      <c r="BZ272" s="72">
        <f t="shared" si="1570"/>
        <v>106</v>
      </c>
      <c r="CA272" s="71">
        <f t="shared" si="1571"/>
        <v>142</v>
      </c>
      <c r="CB272" s="72">
        <f t="shared" si="1572"/>
        <v>149</v>
      </c>
      <c r="CC272" s="71">
        <f t="shared" si="1573"/>
        <v>187</v>
      </c>
      <c r="CD272" s="72">
        <f t="shared" si="1574"/>
        <v>199</v>
      </c>
      <c r="CE272" s="71">
        <f t="shared" si="1575"/>
        <v>241</v>
      </c>
      <c r="CF272" s="72">
        <f t="shared" si="1576"/>
        <v>284</v>
      </c>
      <c r="CG272" s="71">
        <f t="shared" si="1577"/>
        <v>310</v>
      </c>
      <c r="CH272" s="70">
        <f t="shared" si="1578"/>
        <v>65</v>
      </c>
      <c r="CI272" s="71">
        <f t="shared" si="1579"/>
        <v>69</v>
      </c>
      <c r="CJ272" s="72">
        <f t="shared" si="1580"/>
        <v>100</v>
      </c>
      <c r="CK272" s="72">
        <f t="shared" si="1581"/>
        <v>105</v>
      </c>
      <c r="CL272" s="72">
        <f t="shared" si="1582"/>
        <v>141</v>
      </c>
      <c r="CM272" s="72">
        <f t="shared" si="1583"/>
        <v>148</v>
      </c>
      <c r="CN272" s="72">
        <f t="shared" si="1584"/>
        <v>173</v>
      </c>
      <c r="CO272" s="72">
        <f t="shared" si="1585"/>
        <v>189</v>
      </c>
      <c r="CP272" s="72">
        <f t="shared" si="1586"/>
        <v>237</v>
      </c>
      <c r="CQ272" s="72">
        <f t="shared" si="1587"/>
        <v>278</v>
      </c>
      <c r="CR272" s="72">
        <f t="shared" si="1588"/>
        <v>309</v>
      </c>
      <c r="CS272" s="72">
        <f t="shared" si="1589"/>
        <v>322</v>
      </c>
      <c r="CT272" s="23">
        <f t="shared" si="1590"/>
        <v>1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30" x14ac:dyDescent="0.2">
      <c r="A273" s="3" t="str">
        <f t="shared" si="1591"/>
        <v>opsd_human_5DGY</v>
      </c>
      <c r="B273" s="3" t="s">
        <v>339</v>
      </c>
      <c r="C273" s="3" t="s">
        <v>1434</v>
      </c>
      <c r="D273" s="3" t="str">
        <f>IFERROR(MID(VLOOKUP($B273,Seqs!$A:$B,2,0),E273,1),"")</f>
        <v>P</v>
      </c>
      <c r="E273" s="3">
        <v>34</v>
      </c>
      <c r="F273" s="3" t="str">
        <f>IFERROR(MID(VLOOKUP($B273,Seqs!$A:$B,2,0),G273,1),"")</f>
        <v>H</v>
      </c>
      <c r="G273" s="3">
        <v>65</v>
      </c>
      <c r="H273" s="3" t="str">
        <f>IFERROR(MID(VLOOKUP($B273,Seqs!$A:$B,2,0),I273,1),"")</f>
        <v>K</v>
      </c>
      <c r="I273" s="23">
        <v>66</v>
      </c>
      <c r="J273" s="3" t="str">
        <f>IFERROR(MID(VLOOKUP($B273,Seqs!$A:$B,2,0),K273,1),"")</f>
        <v>R</v>
      </c>
      <c r="K273" s="23">
        <v>69</v>
      </c>
      <c r="L273" s="3" t="str">
        <f>IFERROR(MID(VLOOKUP($B273,Seqs!$A:$B,2,0),M273,1),"")</f>
        <v>T</v>
      </c>
      <c r="M273" s="3">
        <v>70</v>
      </c>
      <c r="N273" s="3" t="str">
        <f>IFERROR(MID(VLOOKUP($B273,Seqs!$A:$B,2,0),O273,1),"")</f>
        <v>H</v>
      </c>
      <c r="O273" s="3">
        <v>100</v>
      </c>
      <c r="P273" s="3" t="str">
        <f>IFERROR(MID(VLOOKUP($B273,Seqs!$A:$B,2,0),Q273,1),"")</f>
        <v>Y</v>
      </c>
      <c r="Q273" s="3">
        <v>102</v>
      </c>
      <c r="R273" s="3" t="str">
        <f>IFERROR(MID(VLOOKUP($B273,Seqs!$A:$B,2,0),S273,1),"")</f>
        <v>F</v>
      </c>
      <c r="S273" s="3">
        <v>105</v>
      </c>
      <c r="T273" s="3" t="str">
        <f>IFERROR(MID(VLOOKUP($B273,Seqs!$A:$B,2,0),U273,1),"")</f>
        <v>G</v>
      </c>
      <c r="U273" s="3">
        <v>106</v>
      </c>
      <c r="V273" s="3" t="str">
        <f>IFERROR(MID(VLOOKUP($B273,Seqs!$A:$B,2,0),W273,1),"")</f>
        <v>K</v>
      </c>
      <c r="W273" s="3">
        <v>141</v>
      </c>
      <c r="X273" s="3" t="str">
        <f>IFERROR(MID(VLOOKUP($B273,Seqs!$A:$B,2,0),Y273,1),"")</f>
        <v>P</v>
      </c>
      <c r="Y273" s="3">
        <v>142</v>
      </c>
      <c r="Z273" s="3" t="str">
        <f>IFERROR(MID(VLOOKUP($B273,Seqs!$A:$B,2,0),AA273,1),"")</f>
        <v>F</v>
      </c>
      <c r="AA273" s="3">
        <v>148</v>
      </c>
      <c r="AB273" s="3" t="str">
        <f>IFERROR(MID(VLOOKUP($B273,Seqs!$A:$B,2,0),AC273,1),"")</f>
        <v>G</v>
      </c>
      <c r="AC273" s="3">
        <v>149</v>
      </c>
      <c r="AD273" s="3" t="str">
        <f>IFERROR(MID(VLOOKUP($B273,Seqs!$A:$B,2,0),AE273,1),"")</f>
        <v>A</v>
      </c>
      <c r="AE273" s="3">
        <v>173</v>
      </c>
      <c r="AF273" s="3" t="str">
        <f>IFERROR(MID(VLOOKUP($B273,Seqs!$A:$B,2,0),AG273,1),"")</f>
        <v>C</v>
      </c>
      <c r="AG273" s="3">
        <v>187</v>
      </c>
      <c r="AH273" s="3" t="str">
        <f>IFERROR(MID(VLOOKUP($B273,Seqs!$A:$B,2,0),AI273,1),"")</f>
        <v>I</v>
      </c>
      <c r="AI273" s="3">
        <v>189</v>
      </c>
      <c r="AJ273" s="3" t="str">
        <f>IFERROR(MID(VLOOKUP($B273,Seqs!$A:$B,2,0),AK273,1),"")</f>
        <v>N</v>
      </c>
      <c r="AK273" s="3">
        <v>199</v>
      </c>
      <c r="AL273" s="3" t="str">
        <f>IFERROR(MID(VLOOKUP($B273,Seqs!$A:$B,2,0),AM273,1),"")</f>
        <v>Q</v>
      </c>
      <c r="AM273" s="3">
        <v>237</v>
      </c>
      <c r="AN273" s="3" t="str">
        <f>IFERROR(MID(VLOOKUP($B273,Seqs!$A:$B,2,0),AO273,1),"")</f>
        <v>A</v>
      </c>
      <c r="AO273" s="3">
        <v>241</v>
      </c>
      <c r="AP273" s="3" t="str">
        <f>IFERROR(MID(VLOOKUP($B273,Seqs!$A:$B,2,0),AQ273,1),"")</f>
        <v>H</v>
      </c>
      <c r="AQ273" s="3">
        <v>278</v>
      </c>
      <c r="AR273" s="3" t="str">
        <f>IFERROR(MID(VLOOKUP($B273,Seqs!$A:$B,2,0),AS273,1),"")</f>
        <v>G</v>
      </c>
      <c r="AS273" s="3">
        <v>284</v>
      </c>
      <c r="AT273" s="3" t="str">
        <f>IFERROR(MID(VLOOKUP($B273,Seqs!$A:$B,2,0),AU273,1),"")</f>
        <v>M</v>
      </c>
      <c r="AU273" s="3">
        <v>309</v>
      </c>
      <c r="AV273" s="3" t="str">
        <f>IFERROR(MID(VLOOKUP($B273,Seqs!$A:$B,2,0),AW273,1),"")</f>
        <v>N</v>
      </c>
      <c r="AW273" s="3">
        <v>310</v>
      </c>
      <c r="AX273" s="3" t="str">
        <f>IFERROR(MID(VLOOKUP($B273,Seqs!$A:$B,2,0),AY273,1),"")</f>
        <v>C</v>
      </c>
      <c r="AY273" s="3">
        <v>322</v>
      </c>
      <c r="AZ273" s="77" t="str">
        <f>VLOOKUP(B273,Classification!A:D,2,0)</f>
        <v>A</v>
      </c>
      <c r="BA273" s="94" t="str">
        <f>VLOOKUP(B273,Classification!A:D,4,0)</f>
        <v>Opsins</v>
      </c>
      <c r="BB273" s="27" t="b">
        <f t="shared" si="1592"/>
        <v>1</v>
      </c>
      <c r="BC273" s="23">
        <f t="shared" si="1565"/>
        <v>258</v>
      </c>
      <c r="BD273" s="2" t="s">
        <v>23</v>
      </c>
      <c r="BE273" s="3" t="s">
        <v>1291</v>
      </c>
      <c r="BF273" s="119">
        <v>7.7</v>
      </c>
      <c r="BG273" s="49" t="s">
        <v>1433</v>
      </c>
      <c r="BH273" s="49" t="s">
        <v>1433</v>
      </c>
      <c r="BI273" s="1"/>
      <c r="BJ273" s="70" t="s">
        <v>1287</v>
      </c>
      <c r="BK273" s="57" t="s">
        <v>1287</v>
      </c>
      <c r="BL273" s="57" t="s">
        <v>1287</v>
      </c>
      <c r="BM273" s="57" t="s">
        <v>1287</v>
      </c>
      <c r="BN273" s="57" t="s">
        <v>1287</v>
      </c>
      <c r="BO273" s="57" t="s">
        <v>1287</v>
      </c>
      <c r="BP273" s="57" t="s">
        <v>1287</v>
      </c>
      <c r="BQ273" s="57" t="s">
        <v>1287</v>
      </c>
      <c r="BR273" s="57" t="s">
        <v>1287</v>
      </c>
      <c r="BS273" s="57" t="s">
        <v>1287</v>
      </c>
      <c r="BT273" s="57" t="s">
        <v>1287</v>
      </c>
      <c r="BU273" s="57" t="s">
        <v>1287</v>
      </c>
      <c r="BV273" s="70">
        <f t="shared" si="1566"/>
        <v>34</v>
      </c>
      <c r="BW273" s="71">
        <f t="shared" si="1567"/>
        <v>66</v>
      </c>
      <c r="BX273" s="72">
        <f t="shared" si="1568"/>
        <v>70</v>
      </c>
      <c r="BY273" s="71">
        <f t="shared" si="1569"/>
        <v>102</v>
      </c>
      <c r="BZ273" s="72">
        <f t="shared" si="1570"/>
        <v>106</v>
      </c>
      <c r="CA273" s="71">
        <f t="shared" si="1571"/>
        <v>142</v>
      </c>
      <c r="CB273" s="72">
        <f t="shared" si="1572"/>
        <v>149</v>
      </c>
      <c r="CC273" s="71">
        <f t="shared" si="1573"/>
        <v>187</v>
      </c>
      <c r="CD273" s="72">
        <f t="shared" si="1574"/>
        <v>199</v>
      </c>
      <c r="CE273" s="71">
        <f t="shared" si="1575"/>
        <v>241</v>
      </c>
      <c r="CF273" s="72">
        <f t="shared" si="1576"/>
        <v>284</v>
      </c>
      <c r="CG273" s="71">
        <f t="shared" si="1577"/>
        <v>310</v>
      </c>
      <c r="CH273" s="70">
        <f t="shared" si="1578"/>
        <v>65</v>
      </c>
      <c r="CI273" s="71">
        <f t="shared" si="1579"/>
        <v>69</v>
      </c>
      <c r="CJ273" s="72">
        <f t="shared" si="1580"/>
        <v>100</v>
      </c>
      <c r="CK273" s="72">
        <f t="shared" si="1581"/>
        <v>105</v>
      </c>
      <c r="CL273" s="72">
        <f t="shared" si="1582"/>
        <v>141</v>
      </c>
      <c r="CM273" s="72">
        <f t="shared" si="1583"/>
        <v>148</v>
      </c>
      <c r="CN273" s="72">
        <f t="shared" si="1584"/>
        <v>173</v>
      </c>
      <c r="CO273" s="72">
        <f t="shared" si="1585"/>
        <v>189</v>
      </c>
      <c r="CP273" s="72">
        <f t="shared" si="1586"/>
        <v>237</v>
      </c>
      <c r="CQ273" s="72">
        <f t="shared" si="1587"/>
        <v>278</v>
      </c>
      <c r="CR273" s="72">
        <f t="shared" si="1588"/>
        <v>309</v>
      </c>
      <c r="CS273" s="72">
        <f t="shared" si="1589"/>
        <v>322</v>
      </c>
      <c r="CT273" s="23">
        <f t="shared" si="1590"/>
        <v>1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30" x14ac:dyDescent="0.2">
      <c r="A274" s="3" t="str">
        <f>CONCATENATE(B274,"_",C274)</f>
        <v>opsd_human_5W0P</v>
      </c>
      <c r="B274" s="3" t="s">
        <v>339</v>
      </c>
      <c r="C274" s="3" t="s">
        <v>1432</v>
      </c>
      <c r="D274" s="3" t="str">
        <f>IFERROR(MID(VLOOKUP($B274,Seqs!$A:$B,2,0),E274,1),"")</f>
        <v>P</v>
      </c>
      <c r="E274" s="3">
        <v>34</v>
      </c>
      <c r="F274" s="3" t="str">
        <f>IFERROR(MID(VLOOKUP($B274,Seqs!$A:$B,2,0),G274,1),"")</f>
        <v>H</v>
      </c>
      <c r="G274" s="3">
        <v>65</v>
      </c>
      <c r="H274" s="3" t="str">
        <f>IFERROR(MID(VLOOKUP($B274,Seqs!$A:$B,2,0),I274,1),"")</f>
        <v>K</v>
      </c>
      <c r="I274" s="23">
        <v>66</v>
      </c>
      <c r="J274" s="3" t="str">
        <f>IFERROR(MID(VLOOKUP($B274,Seqs!$A:$B,2,0),K274,1),"")</f>
        <v>R</v>
      </c>
      <c r="K274" s="23">
        <v>69</v>
      </c>
      <c r="L274" s="3" t="str">
        <f>IFERROR(MID(VLOOKUP($B274,Seqs!$A:$B,2,0),M274,1),"")</f>
        <v>T</v>
      </c>
      <c r="M274" s="3">
        <v>70</v>
      </c>
      <c r="N274" s="3" t="str">
        <f>IFERROR(MID(VLOOKUP($B274,Seqs!$A:$B,2,0),O274,1),"")</f>
        <v>H</v>
      </c>
      <c r="O274" s="3">
        <v>100</v>
      </c>
      <c r="P274" s="3" t="str">
        <f>IFERROR(MID(VLOOKUP($B274,Seqs!$A:$B,2,0),Q274,1),"")</f>
        <v>Y</v>
      </c>
      <c r="Q274" s="3">
        <v>102</v>
      </c>
      <c r="R274" s="3" t="str">
        <f>IFERROR(MID(VLOOKUP($B274,Seqs!$A:$B,2,0),S274,1),"")</f>
        <v>F</v>
      </c>
      <c r="S274" s="3">
        <v>105</v>
      </c>
      <c r="T274" s="3" t="str">
        <f>IFERROR(MID(VLOOKUP($B274,Seqs!$A:$B,2,0),U274,1),"")</f>
        <v>G</v>
      </c>
      <c r="U274" s="3">
        <v>106</v>
      </c>
      <c r="V274" s="3" t="str">
        <f>IFERROR(MID(VLOOKUP($B274,Seqs!$A:$B,2,0),W274,1),"")</f>
        <v>K</v>
      </c>
      <c r="W274" s="3">
        <v>141</v>
      </c>
      <c r="X274" s="3" t="str">
        <f>IFERROR(MID(VLOOKUP($B274,Seqs!$A:$B,2,0),Y274,1),"")</f>
        <v>P</v>
      </c>
      <c r="Y274" s="3">
        <v>142</v>
      </c>
      <c r="Z274" s="3" t="str">
        <f>IFERROR(MID(VLOOKUP($B274,Seqs!$A:$B,2,0),AA274,1),"")</f>
        <v>F</v>
      </c>
      <c r="AA274" s="3">
        <v>148</v>
      </c>
      <c r="AB274" s="3" t="str">
        <f>IFERROR(MID(VLOOKUP($B274,Seqs!$A:$B,2,0),AC274,1),"")</f>
        <v>G</v>
      </c>
      <c r="AC274" s="3">
        <v>149</v>
      </c>
      <c r="AD274" s="3" t="str">
        <f>IFERROR(MID(VLOOKUP($B274,Seqs!$A:$B,2,0),AE274,1),"")</f>
        <v>A</v>
      </c>
      <c r="AE274" s="3">
        <v>173</v>
      </c>
      <c r="AF274" s="3" t="str">
        <f>IFERROR(MID(VLOOKUP($B274,Seqs!$A:$B,2,0),AG274,1),"")</f>
        <v>C</v>
      </c>
      <c r="AG274" s="3">
        <v>187</v>
      </c>
      <c r="AH274" s="3" t="str">
        <f>IFERROR(MID(VLOOKUP($B274,Seqs!$A:$B,2,0),AI274,1),"")</f>
        <v>I</v>
      </c>
      <c r="AI274" s="3">
        <v>189</v>
      </c>
      <c r="AJ274" s="3" t="str">
        <f>IFERROR(MID(VLOOKUP($B274,Seqs!$A:$B,2,0),AK274,1),"")</f>
        <v>N</v>
      </c>
      <c r="AK274" s="3">
        <v>199</v>
      </c>
      <c r="AL274" s="3" t="str">
        <f>IFERROR(MID(VLOOKUP($B274,Seqs!$A:$B,2,0),AM274,1),"")</f>
        <v>Q</v>
      </c>
      <c r="AM274" s="3">
        <v>237</v>
      </c>
      <c r="AN274" s="3" t="str">
        <f>IFERROR(MID(VLOOKUP($B274,Seqs!$A:$B,2,0),AO274,1),"")</f>
        <v>A</v>
      </c>
      <c r="AO274" s="3">
        <v>241</v>
      </c>
      <c r="AP274" s="3" t="str">
        <f>IFERROR(MID(VLOOKUP($B274,Seqs!$A:$B,2,0),AQ274,1),"")</f>
        <v>H</v>
      </c>
      <c r="AQ274" s="3">
        <v>278</v>
      </c>
      <c r="AR274" s="3" t="str">
        <f>IFERROR(MID(VLOOKUP($B274,Seqs!$A:$B,2,0),AS274,1),"")</f>
        <v>G</v>
      </c>
      <c r="AS274" s="3">
        <v>284</v>
      </c>
      <c r="AT274" s="3" t="str">
        <f>IFERROR(MID(VLOOKUP($B274,Seqs!$A:$B,2,0),AU274,1),"")</f>
        <v>M</v>
      </c>
      <c r="AU274" s="3">
        <v>309</v>
      </c>
      <c r="AV274" s="3" t="str">
        <f>IFERROR(MID(VLOOKUP($B274,Seqs!$A:$B,2,0),AW274,1),"")</f>
        <v>N</v>
      </c>
      <c r="AW274" s="3">
        <v>310</v>
      </c>
      <c r="AX274" s="3" t="str">
        <f>IFERROR(MID(VLOOKUP($B274,Seqs!$A:$B,2,0),AY274,1),"")</f>
        <v>C</v>
      </c>
      <c r="AY274" s="3">
        <v>322</v>
      </c>
      <c r="AZ274" s="77" t="str">
        <f>VLOOKUP(B274,Classification!A:D,2,0)</f>
        <v>A</v>
      </c>
      <c r="BA274" s="94" t="str">
        <f>VLOOKUP(B274,Classification!A:D,4,0)</f>
        <v>Opsins</v>
      </c>
      <c r="BB274" s="27" t="b">
        <f>AND(E274&lt;G274,OR(G274&lt;I274,I274="-"),OR(I274&lt;K274,I274="-"),OR(K274&lt;M274,K274="-"),M274&lt;O274,OR(O274&lt;Q274,Q274="-"),OR(Q274&lt;S274,Q274="-"),OR(S274&lt;U274,S274="-"),U274&lt;W274,OR(W274&lt;Y274,Y274="-"),OR(Y274&lt;AA274,Y274="-"),OR(AA274&lt;AC274,AA274="-"),AC274&lt;AE274,OR(AE274&lt;AG274,AG274="-"),OR(AG274&lt;AI274,AG274="-"),OR(AI274&lt;AK274,AI274="-"),AK274&lt;AM274,AM274&lt;AO274,AO274&lt;AQ274,AQ274&lt;AS274,AS274&lt;AU274,OR(AU274&lt;AW274,AW274="-"),OR(AW274&lt;AY274,AW274="-"))</f>
        <v>1</v>
      </c>
      <c r="BC274" s="23">
        <f>_xlfn.AGGREGATE(9,6,CH274:CS274)-_xlfn.AGGREGATE(9,6,BV274:CG274)+12</f>
        <v>258</v>
      </c>
      <c r="BD274" s="2" t="s">
        <v>23</v>
      </c>
      <c r="BE274" s="3" t="s">
        <v>1291</v>
      </c>
      <c r="BF274" s="119">
        <v>3.01</v>
      </c>
      <c r="BG274" s="49" t="s">
        <v>1433</v>
      </c>
      <c r="BH274" s="49" t="s">
        <v>1433</v>
      </c>
      <c r="BI274" s="1"/>
      <c r="BJ274" s="70" t="s">
        <v>1287</v>
      </c>
      <c r="BK274" s="57" t="s">
        <v>1287</v>
      </c>
      <c r="BL274" s="57" t="s">
        <v>1287</v>
      </c>
      <c r="BM274" s="57" t="s">
        <v>1287</v>
      </c>
      <c r="BN274" s="57" t="s">
        <v>1287</v>
      </c>
      <c r="BO274" s="57" t="s">
        <v>1287</v>
      </c>
      <c r="BP274" s="57" t="s">
        <v>1287</v>
      </c>
      <c r="BQ274" s="57" t="s">
        <v>1287</v>
      </c>
      <c r="BR274" s="57" t="s">
        <v>1287</v>
      </c>
      <c r="BS274" s="57" t="s">
        <v>1287</v>
      </c>
      <c r="BT274" s="57" t="s">
        <v>1287</v>
      </c>
      <c r="BU274" s="57" t="s">
        <v>1287</v>
      </c>
      <c r="BV274" s="70">
        <f>E274</f>
        <v>34</v>
      </c>
      <c r="BW274" s="71">
        <f>I274</f>
        <v>66</v>
      </c>
      <c r="BX274" s="72">
        <f>M274</f>
        <v>70</v>
      </c>
      <c r="BY274" s="71">
        <f>Q274</f>
        <v>102</v>
      </c>
      <c r="BZ274" s="72">
        <f>U274</f>
        <v>106</v>
      </c>
      <c r="CA274" s="71">
        <f>Y274</f>
        <v>142</v>
      </c>
      <c r="CB274" s="72">
        <f>AC274</f>
        <v>149</v>
      </c>
      <c r="CC274" s="71">
        <f>AG274</f>
        <v>187</v>
      </c>
      <c r="CD274" s="72">
        <f>AK274</f>
        <v>199</v>
      </c>
      <c r="CE274" s="71">
        <f>AO274</f>
        <v>241</v>
      </c>
      <c r="CF274" s="72">
        <f>AS274</f>
        <v>284</v>
      </c>
      <c r="CG274" s="71">
        <f>AW274</f>
        <v>310</v>
      </c>
      <c r="CH274" s="70">
        <f>G274</f>
        <v>65</v>
      </c>
      <c r="CI274" s="71">
        <f>K274</f>
        <v>69</v>
      </c>
      <c r="CJ274" s="72">
        <f>O274</f>
        <v>100</v>
      </c>
      <c r="CK274" s="72">
        <f>S274</f>
        <v>105</v>
      </c>
      <c r="CL274" s="72">
        <f>W274</f>
        <v>141</v>
      </c>
      <c r="CM274" s="72">
        <f>AA274</f>
        <v>148</v>
      </c>
      <c r="CN274" s="72">
        <f>AE274</f>
        <v>173</v>
      </c>
      <c r="CO274" s="72">
        <f>AI274</f>
        <v>189</v>
      </c>
      <c r="CP274" s="72">
        <f>AM274</f>
        <v>237</v>
      </c>
      <c r="CQ274" s="72">
        <f>AQ274</f>
        <v>278</v>
      </c>
      <c r="CR274" s="72">
        <f>AU274</f>
        <v>309</v>
      </c>
      <c r="CS274" s="72">
        <f>AY274</f>
        <v>322</v>
      </c>
      <c r="CT274" s="23">
        <f>M274-K274</f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30" x14ac:dyDescent="0.2">
      <c r="A275" s="3" t="str">
        <f>CONCATENATE(B275,"_",C275)</f>
        <v>opsd_human_6CMO</v>
      </c>
      <c r="B275" s="3" t="s">
        <v>339</v>
      </c>
      <c r="C275" s="3" t="s">
        <v>1502</v>
      </c>
      <c r="D275" s="3" t="str">
        <f>IFERROR(MID(VLOOKUP($B275,Seqs!$A:$B,2,0),E275,1),"")</f>
        <v>E</v>
      </c>
      <c r="E275" s="3">
        <v>33</v>
      </c>
      <c r="F275" s="3" t="str">
        <f>IFERROR(MID(VLOOKUP($B275,Seqs!$A:$B,2,0),G275,1),"")</f>
        <v>H</v>
      </c>
      <c r="G275" s="3">
        <v>65</v>
      </c>
      <c r="H275" s="3" t="str">
        <f>IFERROR(MID(VLOOKUP($B275,Seqs!$A:$B,2,0),I275,1),"")</f>
        <v>K</v>
      </c>
      <c r="I275" s="23">
        <v>66</v>
      </c>
      <c r="J275" s="3" t="str">
        <f>IFERROR(MID(VLOOKUP($B275,Seqs!$A:$B,2,0),K275,1),"")</f>
        <v>R</v>
      </c>
      <c r="K275" s="23">
        <v>69</v>
      </c>
      <c r="L275" s="3" t="str">
        <f>IFERROR(MID(VLOOKUP($B275,Seqs!$A:$B,2,0),M275,1),"")</f>
        <v>T</v>
      </c>
      <c r="M275" s="3">
        <v>70</v>
      </c>
      <c r="N275" s="3" t="str">
        <f>IFERROR(MID(VLOOKUP($B275,Seqs!$A:$B,2,0),O275,1),"")</f>
        <v>G</v>
      </c>
      <c r="O275" s="3">
        <v>101</v>
      </c>
      <c r="P275" s="3" t="str">
        <f>IFERROR(MID(VLOOKUP($B275,Seqs!$A:$B,2,0),Q275,1),"")</f>
        <v>Y</v>
      </c>
      <c r="Q275" s="3">
        <v>102</v>
      </c>
      <c r="R275" s="3" t="str">
        <f>IFERROR(MID(VLOOKUP($B275,Seqs!$A:$B,2,0),S275,1),"")</f>
        <v>F</v>
      </c>
      <c r="S275" s="3">
        <v>105</v>
      </c>
      <c r="T275" s="3" t="str">
        <f>IFERROR(MID(VLOOKUP($B275,Seqs!$A:$B,2,0),U275,1),"")</f>
        <v>G</v>
      </c>
      <c r="U275" s="3">
        <v>106</v>
      </c>
      <c r="V275" s="3" t="str">
        <f>IFERROR(MID(VLOOKUP($B275,Seqs!$A:$B,2,0),W275,1),"")</f>
        <v>K</v>
      </c>
      <c r="W275" s="3">
        <v>141</v>
      </c>
      <c r="X275" s="3" t="str">
        <f>IFERROR(MID(VLOOKUP($B275,Seqs!$A:$B,2,0),Y275,1),"")</f>
        <v/>
      </c>
      <c r="Y275" s="3" t="s">
        <v>23</v>
      </c>
      <c r="Z275" s="3" t="str">
        <f>IFERROR(MID(VLOOKUP($B275,Seqs!$A:$B,2,0),AA275,1),"")</f>
        <v/>
      </c>
      <c r="AA275" s="3" t="s">
        <v>23</v>
      </c>
      <c r="AB275" s="3" t="str">
        <f>IFERROR(MID(VLOOKUP($B275,Seqs!$A:$B,2,0),AC275,1),"")</f>
        <v>E</v>
      </c>
      <c r="AC275" s="3">
        <v>150</v>
      </c>
      <c r="AD275" s="3" t="str">
        <f>IFERROR(MID(VLOOKUP($B275,Seqs!$A:$B,2,0),AE275,1),"")</f>
        <v>A</v>
      </c>
      <c r="AE275" s="3">
        <v>173</v>
      </c>
      <c r="AF275" s="3" t="str">
        <f>IFERROR(MID(VLOOKUP($B275,Seqs!$A:$B,2,0),AG275,1),"")</f>
        <v>C</v>
      </c>
      <c r="AG275" s="3">
        <v>187</v>
      </c>
      <c r="AH275" s="3" t="str">
        <f>IFERROR(MID(VLOOKUP($B275,Seqs!$A:$B,2,0),AI275,1),"")</f>
        <v>I</v>
      </c>
      <c r="AI275" s="3">
        <v>189</v>
      </c>
      <c r="AJ275" s="3" t="str">
        <f>IFERROR(MID(VLOOKUP($B275,Seqs!$A:$B,2,0),AK275,1),"")</f>
        <v>N</v>
      </c>
      <c r="AK275" s="3">
        <v>200</v>
      </c>
      <c r="AL275" s="3" t="str">
        <f>IFERROR(MID(VLOOKUP($B275,Seqs!$A:$B,2,0),AM275,1),"")</f>
        <v>Q</v>
      </c>
      <c r="AM275" s="3">
        <v>238</v>
      </c>
      <c r="AN275" s="3" t="str">
        <f>IFERROR(MID(VLOOKUP($B275,Seqs!$A:$B,2,0),AO275,1),"")</f>
        <v>S</v>
      </c>
      <c r="AO275" s="3">
        <v>240</v>
      </c>
      <c r="AP275" s="3" t="str">
        <f>IFERROR(MID(VLOOKUP($B275,Seqs!$A:$B,2,0),AQ275,1),"")</f>
        <v>H</v>
      </c>
      <c r="AQ275" s="3">
        <v>278</v>
      </c>
      <c r="AR275" s="3" t="str">
        <f>IFERROR(MID(VLOOKUP($B275,Seqs!$A:$B,2,0),AS275,1),"")</f>
        <v>I</v>
      </c>
      <c r="AS275" s="3">
        <v>286</v>
      </c>
      <c r="AT275" s="3" t="str">
        <f>IFERROR(MID(VLOOKUP($B275,Seqs!$A:$B,2,0),AU275,1),"")</f>
        <v>M</v>
      </c>
      <c r="AU275" s="3">
        <v>309</v>
      </c>
      <c r="AV275" s="3" t="str">
        <f>IFERROR(MID(VLOOKUP($B275,Seqs!$A:$B,2,0),AW275,1),"")</f>
        <v>N</v>
      </c>
      <c r="AW275" s="3">
        <v>310</v>
      </c>
      <c r="AX275" s="3" t="str">
        <f>IFERROR(MID(VLOOKUP($B275,Seqs!$A:$B,2,0),AY275,1),"")</f>
        <v>C</v>
      </c>
      <c r="AY275" s="3">
        <v>323</v>
      </c>
      <c r="AZ275" s="77" t="str">
        <f>VLOOKUP(B275,Classification!A:D,2,0)</f>
        <v>A</v>
      </c>
      <c r="BA275" s="94" t="str">
        <f>VLOOKUP(B275,Classification!A:D,4,0)</f>
        <v>Opsins</v>
      </c>
      <c r="BB275" s="27" t="b">
        <f>AND(E275&lt;G275,OR(G275&lt;I275,I275="-"),OR(I275&lt;K275,I275="-"),OR(K275&lt;M275,K275="-"),M275&lt;O275,OR(O275&lt;Q275,Q275="-"),OR(Q275&lt;S275,Q275="-"),OR(S275&lt;U275,S275="-"),U275&lt;W275,OR(W275&lt;Y275,Y275="-"),OR(Y275&lt;AA275,Y275="-"),OR(AA275&lt;AC275,AA275="-"),AC275&lt;AE275,OR(AE275&lt;AG275,AG275="-"),OR(AG275&lt;AI275,AG275="-"),OR(AI275&lt;AK275,AI275="-"),AK275&lt;AM275,AM275&lt;AO275,AO275&lt;AQ275,AQ275&lt;AS275,AS275&lt;AU275,OR(AU275&lt;AW275,AW275="-"),OR(AW275&lt;AY275,AW275="-"))</f>
        <v>1</v>
      </c>
      <c r="BC275" s="23">
        <f>_xlfn.AGGREGATE(9,6,CH275:CS275)-_xlfn.AGGREGATE(9,6,BV275:CG275)+12</f>
        <v>253</v>
      </c>
      <c r="BD275" s="2" t="s">
        <v>23</v>
      </c>
      <c r="BE275" s="3" t="s">
        <v>1291</v>
      </c>
      <c r="BF275" s="119">
        <v>4.5</v>
      </c>
      <c r="BG275" s="49" t="s">
        <v>1433</v>
      </c>
      <c r="BH275" s="49" t="s">
        <v>1433</v>
      </c>
      <c r="BI275" s="1"/>
      <c r="BJ275" s="70" t="s">
        <v>1287</v>
      </c>
      <c r="BK275" s="57" t="s">
        <v>1287</v>
      </c>
      <c r="BL275" s="57" t="s">
        <v>1287</v>
      </c>
      <c r="BM275" s="57" t="s">
        <v>1287</v>
      </c>
      <c r="BN275" s="57" t="s">
        <v>1287</v>
      </c>
      <c r="BO275" s="57" t="s">
        <v>1287</v>
      </c>
      <c r="BP275" s="57" t="s">
        <v>1287</v>
      </c>
      <c r="BQ275" s="57" t="s">
        <v>1287</v>
      </c>
      <c r="BR275" s="57" t="s">
        <v>1287</v>
      </c>
      <c r="BS275" s="57" t="s">
        <v>1287</v>
      </c>
      <c r="BT275" s="57" t="s">
        <v>1287</v>
      </c>
      <c r="BU275" s="57" t="s">
        <v>1287</v>
      </c>
      <c r="BV275" s="70">
        <f>E275</f>
        <v>33</v>
      </c>
      <c r="BW275" s="71">
        <f>I275</f>
        <v>66</v>
      </c>
      <c r="BX275" s="72">
        <f>M275</f>
        <v>70</v>
      </c>
      <c r="BY275" s="71">
        <f>Q275</f>
        <v>102</v>
      </c>
      <c r="BZ275" s="72">
        <f>U275</f>
        <v>106</v>
      </c>
      <c r="CA275" s="71" t="str">
        <f>Y275</f>
        <v>-</v>
      </c>
      <c r="CB275" s="72">
        <f>AC275</f>
        <v>150</v>
      </c>
      <c r="CC275" s="71">
        <f>AG275</f>
        <v>187</v>
      </c>
      <c r="CD275" s="72">
        <f>AK275</f>
        <v>200</v>
      </c>
      <c r="CE275" s="71">
        <f>AO275</f>
        <v>240</v>
      </c>
      <c r="CF275" s="72">
        <f>AS275</f>
        <v>286</v>
      </c>
      <c r="CG275" s="71">
        <f>AW275</f>
        <v>310</v>
      </c>
      <c r="CH275" s="70">
        <f>G275</f>
        <v>65</v>
      </c>
      <c r="CI275" s="71">
        <f>K275</f>
        <v>69</v>
      </c>
      <c r="CJ275" s="72">
        <f>O275</f>
        <v>101</v>
      </c>
      <c r="CK275" s="72">
        <f>S275</f>
        <v>105</v>
      </c>
      <c r="CL275" s="72">
        <f>W275</f>
        <v>141</v>
      </c>
      <c r="CM275" s="72" t="str">
        <f>AA275</f>
        <v>-</v>
      </c>
      <c r="CN275" s="72">
        <f>AE275</f>
        <v>173</v>
      </c>
      <c r="CO275" s="72">
        <f>AI275</f>
        <v>189</v>
      </c>
      <c r="CP275" s="72">
        <f>AM275</f>
        <v>238</v>
      </c>
      <c r="CQ275" s="72">
        <f>AQ275</f>
        <v>278</v>
      </c>
      <c r="CR275" s="72">
        <f>AU275</f>
        <v>309</v>
      </c>
      <c r="CS275" s="72">
        <f>AY275</f>
        <v>323</v>
      </c>
      <c r="CT275" s="23">
        <f>M275-K275</f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30" x14ac:dyDescent="0.2">
      <c r="A276" s="3" t="str">
        <f t="shared" si="1591"/>
        <v>opsd_todpa__wt</v>
      </c>
      <c r="B276" s="3" t="s">
        <v>921</v>
      </c>
      <c r="C276" s="3" t="s">
        <v>100</v>
      </c>
      <c r="D276" s="3" t="str">
        <f>IFERROR(MID(VLOOKUP($B276,Seqs!$A:$B,2,0),E276,1),"")</f>
        <v>D</v>
      </c>
      <c r="E276" s="3">
        <v>31</v>
      </c>
      <c r="F276" s="3" t="str">
        <f>IFERROR(MID(VLOOKUP($B276,Seqs!$A:$B,2,0),G276,1),"")</f>
        <v>T</v>
      </c>
      <c r="G276" s="3">
        <v>62</v>
      </c>
      <c r="H276" s="3" t="str">
        <f>IFERROR(MID(VLOOKUP($B276,Seqs!$A:$B,2,0),I276,1),"")</f>
        <v>K</v>
      </c>
      <c r="I276" s="23">
        <v>63</v>
      </c>
      <c r="J276" s="3" t="str">
        <f>IFERROR(MID(VLOOKUP($B276,Seqs!$A:$B,2,0),K276,1),"")</f>
        <v>Q</v>
      </c>
      <c r="K276" s="23">
        <v>66</v>
      </c>
      <c r="L276" s="3" t="str">
        <f>IFERROR(MID(VLOOKUP($B276,Seqs!$A:$B,2,0),M276,1),"")</f>
        <v>T</v>
      </c>
      <c r="M276" s="3">
        <v>67</v>
      </c>
      <c r="N276" s="3" t="str">
        <f>IFERROR(MID(VLOOKUP($B276,Seqs!$A:$B,2,0),O276,1),"")</f>
        <v>K</v>
      </c>
      <c r="O276" s="3">
        <v>99</v>
      </c>
      <c r="P276" s="3" t="str">
        <f>IFERROR(MID(VLOOKUP($B276,Seqs!$A:$B,2,0),Q276,1),"")</f>
        <v>K</v>
      </c>
      <c r="Q276" s="3">
        <v>100</v>
      </c>
      <c r="R276" s="3" t="str">
        <f>IFERROR(MID(VLOOKUP($B276,Seqs!$A:$B,2,0),S276,1),"")</f>
        <v>F</v>
      </c>
      <c r="S276" s="3">
        <v>103</v>
      </c>
      <c r="T276" s="3" t="str">
        <f>IFERROR(MID(VLOOKUP($B276,Seqs!$A:$B,2,0),U276,1),"")</f>
        <v>G</v>
      </c>
      <c r="U276" s="3">
        <v>104</v>
      </c>
      <c r="V276" s="3" t="str">
        <f>IFERROR(MID(VLOOKUP($B276,Seqs!$A:$B,2,0),W276,1),"")</f>
        <v>R</v>
      </c>
      <c r="W276" s="3">
        <v>139</v>
      </c>
      <c r="X276" s="3" t="str">
        <f>IFERROR(MID(VLOOKUP($B276,Seqs!$A:$B,2,0),Y276,1),"")</f>
        <v>P</v>
      </c>
      <c r="Y276" s="3">
        <v>140</v>
      </c>
      <c r="Z276" s="3" t="str">
        <f>IFERROR(MID(VLOOKUP($B276,Seqs!$A:$B,2,0),AA276,1),"")</f>
        <v>M</v>
      </c>
      <c r="AA276" s="3">
        <v>147</v>
      </c>
      <c r="AB276" s="3" t="str">
        <f>IFERROR(MID(VLOOKUP($B276,Seqs!$A:$B,2,0),AC276,1),"")</f>
        <v>S</v>
      </c>
      <c r="AC276" s="9">
        <v>148</v>
      </c>
      <c r="AD276" s="3" t="str">
        <f>IFERROR(MID(VLOOKUP($B276,Seqs!$A:$B,2,0),AE276,1),"")</f>
        <v>F</v>
      </c>
      <c r="AE276" s="3">
        <v>172</v>
      </c>
      <c r="AF276" s="3" t="str">
        <f>IFERROR(MID(VLOOKUP($B276,Seqs!$A:$B,2,0),AG276,1),"")</f>
        <v>C</v>
      </c>
      <c r="AG276" s="3">
        <v>186</v>
      </c>
      <c r="AH276" s="3" t="str">
        <f>IFERROR(MID(VLOOKUP($B276,Seqs!$A:$B,2,0),AI276,1),"")</f>
        <v>F</v>
      </c>
      <c r="AI276" s="3">
        <v>188</v>
      </c>
      <c r="AJ276" s="3" t="str">
        <f>IFERROR(MID(VLOOKUP($B276,Seqs!$A:$B,2,0),AK276,1),"")</f>
        <v>D</v>
      </c>
      <c r="AK276" s="3">
        <v>194</v>
      </c>
      <c r="AL276" s="3" t="str">
        <f>IFERROR(MID(VLOOKUP($B276,Seqs!$A:$B,2,0),AM276,1),"")</f>
        <v>K</v>
      </c>
      <c r="AM276" s="3">
        <v>239</v>
      </c>
      <c r="AN276" s="3" t="str">
        <f>IFERROR(MID(VLOOKUP($B276,Seqs!$A:$B,2,0),AO276,1),"")</f>
        <v>K</v>
      </c>
      <c r="AO276" s="3">
        <v>244</v>
      </c>
      <c r="AP276" s="3" t="str">
        <f>IFERROR(MID(VLOOKUP($B276,Seqs!$A:$B,2,0),AQ276,1),"")</f>
        <v>G</v>
      </c>
      <c r="AQ276" s="3">
        <v>287</v>
      </c>
      <c r="AR276" s="3" t="str">
        <f>IFERROR(MID(VLOOKUP($B276,Seqs!$A:$B,2,0),AS276,1),"")</f>
        <v>T</v>
      </c>
      <c r="AS276" s="3">
        <v>293</v>
      </c>
      <c r="AT276" s="3" t="str">
        <f>IFERROR(MID(VLOOKUP($B276,Seqs!$A:$B,2,0),AU276,1),"")</f>
        <v>S</v>
      </c>
      <c r="AU276" s="3">
        <v>318</v>
      </c>
      <c r="AV276" s="3" t="str">
        <f>IFERROR(MID(VLOOKUP($B276,Seqs!$A:$B,2,0),AW276,1),"")</f>
        <v>H</v>
      </c>
      <c r="AW276" s="3">
        <v>319</v>
      </c>
      <c r="AX276" s="3" t="str">
        <f>IFERROR(MID(VLOOKUP($B276,Seqs!$A:$B,2,0),AY276,1),"")</f>
        <v>F</v>
      </c>
      <c r="AY276" s="3">
        <v>330</v>
      </c>
      <c r="AZ276" s="77" t="str">
        <f>VLOOKUP(B276,Classification!A:D,2,0)</f>
        <v>A</v>
      </c>
      <c r="BA276" s="94" t="str">
        <f>VLOOKUP(B276,Classification!A:D,4,0)</f>
        <v>Opsins</v>
      </c>
      <c r="BB276" s="27" t="b">
        <f t="shared" si="1592"/>
        <v>1</v>
      </c>
      <c r="BC276" s="23">
        <f t="shared" si="1565"/>
        <v>273</v>
      </c>
      <c r="BD276" s="56" t="s">
        <v>23</v>
      </c>
      <c r="BE276" s="3" t="s">
        <v>23</v>
      </c>
      <c r="BF276" s="119" t="s">
        <v>23</v>
      </c>
      <c r="BG276" s="49" t="s">
        <v>1372</v>
      </c>
      <c r="BH276" s="49" t="s">
        <v>1377</v>
      </c>
      <c r="BI276" s="1"/>
      <c r="BJ276" s="70" t="s">
        <v>1287</v>
      </c>
      <c r="BK276" s="57" t="s">
        <v>1287</v>
      </c>
      <c r="BL276" s="57" t="s">
        <v>1287</v>
      </c>
      <c r="BM276" s="57" t="s">
        <v>1287</v>
      </c>
      <c r="BN276" s="57" t="s">
        <v>1287</v>
      </c>
      <c r="BO276" s="57" t="s">
        <v>1287</v>
      </c>
      <c r="BP276" s="57" t="s">
        <v>1287</v>
      </c>
      <c r="BQ276" s="57" t="s">
        <v>1287</v>
      </c>
      <c r="BR276" s="57" t="s">
        <v>1287</v>
      </c>
      <c r="BS276" s="57" t="s">
        <v>1287</v>
      </c>
      <c r="BT276" s="57" t="s">
        <v>1287</v>
      </c>
      <c r="BU276" s="57" t="s">
        <v>1287</v>
      </c>
      <c r="BV276" s="70">
        <f t="shared" si="1566"/>
        <v>31</v>
      </c>
      <c r="BW276" s="71">
        <f t="shared" si="1567"/>
        <v>63</v>
      </c>
      <c r="BX276" s="72">
        <f t="shared" si="1568"/>
        <v>67</v>
      </c>
      <c r="BY276" s="71">
        <f t="shared" si="1569"/>
        <v>100</v>
      </c>
      <c r="BZ276" s="72">
        <f t="shared" si="1570"/>
        <v>104</v>
      </c>
      <c r="CA276" s="71">
        <f t="shared" si="1571"/>
        <v>140</v>
      </c>
      <c r="CB276" s="72">
        <f t="shared" si="1572"/>
        <v>148</v>
      </c>
      <c r="CC276" s="71">
        <f t="shared" si="1573"/>
        <v>186</v>
      </c>
      <c r="CD276" s="72">
        <f t="shared" si="1574"/>
        <v>194</v>
      </c>
      <c r="CE276" s="71">
        <f t="shared" si="1575"/>
        <v>244</v>
      </c>
      <c r="CF276" s="72">
        <f t="shared" si="1576"/>
        <v>293</v>
      </c>
      <c r="CG276" s="71">
        <f t="shared" si="1577"/>
        <v>319</v>
      </c>
      <c r="CH276" s="70">
        <f t="shared" si="1578"/>
        <v>62</v>
      </c>
      <c r="CI276" s="71">
        <f t="shared" si="1579"/>
        <v>66</v>
      </c>
      <c r="CJ276" s="72">
        <f t="shared" si="1580"/>
        <v>99</v>
      </c>
      <c r="CK276" s="72">
        <f t="shared" si="1581"/>
        <v>103</v>
      </c>
      <c r="CL276" s="72">
        <f t="shared" si="1582"/>
        <v>139</v>
      </c>
      <c r="CM276" s="72">
        <f t="shared" si="1583"/>
        <v>147</v>
      </c>
      <c r="CN276" s="72">
        <f t="shared" si="1584"/>
        <v>172</v>
      </c>
      <c r="CO276" s="72">
        <f t="shared" si="1585"/>
        <v>188</v>
      </c>
      <c r="CP276" s="72">
        <f t="shared" si="1586"/>
        <v>239</v>
      </c>
      <c r="CQ276" s="72">
        <f t="shared" si="1587"/>
        <v>287</v>
      </c>
      <c r="CR276" s="72">
        <f t="shared" si="1588"/>
        <v>318</v>
      </c>
      <c r="CS276" s="72">
        <f t="shared" si="1589"/>
        <v>330</v>
      </c>
      <c r="CT276" s="23">
        <f t="shared" si="1590"/>
        <v>1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30" x14ac:dyDescent="0.2">
      <c r="A277" s="3" t="str">
        <f t="shared" si="1591"/>
        <v>opsd_todpa_2Z73</v>
      </c>
      <c r="B277" s="3" t="s">
        <v>921</v>
      </c>
      <c r="C277" s="3" t="s">
        <v>97</v>
      </c>
      <c r="D277" s="3" t="str">
        <f>IFERROR(MID(VLOOKUP($B277,Seqs!$A:$B,2,0),E277,1),"")</f>
        <v>D</v>
      </c>
      <c r="E277" s="3">
        <v>31</v>
      </c>
      <c r="F277" s="3" t="str">
        <f>IFERROR(MID(VLOOKUP($B277,Seqs!$A:$B,2,0),G277,1),"")</f>
        <v>T</v>
      </c>
      <c r="G277" s="3">
        <v>62</v>
      </c>
      <c r="H277" s="3" t="str">
        <f>IFERROR(MID(VLOOKUP($B277,Seqs!$A:$B,2,0),I277,1),"")</f>
        <v>K</v>
      </c>
      <c r="I277" s="23">
        <v>63</v>
      </c>
      <c r="J277" s="3" t="str">
        <f>IFERROR(MID(VLOOKUP($B277,Seqs!$A:$B,2,0),K277,1),"")</f>
        <v>Q</v>
      </c>
      <c r="K277" s="23">
        <v>66</v>
      </c>
      <c r="L277" s="3" t="str">
        <f>IFERROR(MID(VLOOKUP($B277,Seqs!$A:$B,2,0),M277,1),"")</f>
        <v>T</v>
      </c>
      <c r="M277" s="3">
        <v>67</v>
      </c>
      <c r="N277" s="3" t="str">
        <f>IFERROR(MID(VLOOKUP($B277,Seqs!$A:$B,2,0),O277,1),"")</f>
        <v>K</v>
      </c>
      <c r="O277" s="3">
        <v>99</v>
      </c>
      <c r="P277" s="3" t="str">
        <f>IFERROR(MID(VLOOKUP($B277,Seqs!$A:$B,2,0),Q277,1),"")</f>
        <v>K</v>
      </c>
      <c r="Q277" s="3">
        <v>100</v>
      </c>
      <c r="R277" s="3" t="str">
        <f>IFERROR(MID(VLOOKUP($B277,Seqs!$A:$B,2,0),S277,1),"")</f>
        <v>F</v>
      </c>
      <c r="S277" s="3">
        <v>103</v>
      </c>
      <c r="T277" s="3" t="str">
        <f>IFERROR(MID(VLOOKUP($B277,Seqs!$A:$B,2,0),U277,1),"")</f>
        <v>G</v>
      </c>
      <c r="U277" s="3">
        <v>104</v>
      </c>
      <c r="V277" s="3" t="str">
        <f>IFERROR(MID(VLOOKUP($B277,Seqs!$A:$B,2,0),W277,1),"")</f>
        <v>R</v>
      </c>
      <c r="W277" s="3">
        <v>139</v>
      </c>
      <c r="X277" s="3" t="str">
        <f>IFERROR(MID(VLOOKUP($B277,Seqs!$A:$B,2,0),Y277,1),"")</f>
        <v/>
      </c>
      <c r="Y277" s="3" t="s">
        <v>23</v>
      </c>
      <c r="Z277" s="3" t="str">
        <f>IFERROR(MID(VLOOKUP($B277,Seqs!$A:$B,2,0),AA277,1),"")</f>
        <v/>
      </c>
      <c r="AA277" s="3" t="s">
        <v>23</v>
      </c>
      <c r="AB277" s="3" t="str">
        <f>IFERROR(MID(VLOOKUP($B277,Seqs!$A:$B,2,0),AC277,1),"")</f>
        <v>S</v>
      </c>
      <c r="AC277" s="9">
        <v>148</v>
      </c>
      <c r="AD277" s="3" t="str">
        <f>IFERROR(MID(VLOOKUP($B277,Seqs!$A:$B,2,0),AE277,1),"")</f>
        <v>F</v>
      </c>
      <c r="AE277" s="3">
        <v>172</v>
      </c>
      <c r="AF277" s="3" t="str">
        <f>IFERROR(MID(VLOOKUP($B277,Seqs!$A:$B,2,0),AG277,1),"")</f>
        <v>C</v>
      </c>
      <c r="AG277" s="3">
        <v>186</v>
      </c>
      <c r="AH277" s="3" t="str">
        <f>IFERROR(MID(VLOOKUP($B277,Seqs!$A:$B,2,0),AI277,1),"")</f>
        <v>F</v>
      </c>
      <c r="AI277" s="3">
        <v>188</v>
      </c>
      <c r="AJ277" s="3" t="str">
        <f>IFERROR(MID(VLOOKUP($B277,Seqs!$A:$B,2,0),AK277,1),"")</f>
        <v>D</v>
      </c>
      <c r="AK277" s="3">
        <v>194</v>
      </c>
      <c r="AL277" s="3" t="str">
        <f>IFERROR(MID(VLOOKUP($B277,Seqs!$A:$B,2,0),AM277,1),"")</f>
        <v>K</v>
      </c>
      <c r="AM277" s="3">
        <v>239</v>
      </c>
      <c r="AN277" s="3" t="str">
        <f>IFERROR(MID(VLOOKUP($B277,Seqs!$A:$B,2,0),AO277,1),"")</f>
        <v>K</v>
      </c>
      <c r="AO277" s="3">
        <v>244</v>
      </c>
      <c r="AP277" s="3" t="str">
        <f>IFERROR(MID(VLOOKUP($B277,Seqs!$A:$B,2,0),AQ277,1),"")</f>
        <v>G</v>
      </c>
      <c r="AQ277" s="3">
        <v>287</v>
      </c>
      <c r="AR277" s="3" t="str">
        <f>IFERROR(MID(VLOOKUP($B277,Seqs!$A:$B,2,0),AS277,1),"")</f>
        <v>T</v>
      </c>
      <c r="AS277" s="3">
        <v>293</v>
      </c>
      <c r="AT277" s="3" t="str">
        <f>IFERROR(MID(VLOOKUP($B277,Seqs!$A:$B,2,0),AU277,1),"")</f>
        <v>S</v>
      </c>
      <c r="AU277" s="3">
        <v>318</v>
      </c>
      <c r="AV277" s="3" t="str">
        <f>IFERROR(MID(VLOOKUP($B277,Seqs!$A:$B,2,0),AW277,1),"")</f>
        <v>H</v>
      </c>
      <c r="AW277" s="3">
        <v>319</v>
      </c>
      <c r="AX277" s="3" t="str">
        <f>IFERROR(MID(VLOOKUP($B277,Seqs!$A:$B,2,0),AY277,1),"")</f>
        <v>F</v>
      </c>
      <c r="AY277" s="3">
        <v>330</v>
      </c>
      <c r="AZ277" s="77" t="str">
        <f>VLOOKUP(B277,Classification!A:D,2,0)</f>
        <v>A</v>
      </c>
      <c r="BA277" s="94" t="str">
        <f>VLOOKUP(B277,Classification!A:D,4,0)</f>
        <v>Opsins</v>
      </c>
      <c r="BB277" s="27" t="b">
        <f t="shared" si="1592"/>
        <v>1</v>
      </c>
      <c r="BC277" s="23">
        <f t="shared" si="1565"/>
        <v>266</v>
      </c>
      <c r="BD277" s="2" t="s">
        <v>1376</v>
      </c>
      <c r="BE277" s="3" t="s">
        <v>1374</v>
      </c>
      <c r="BF277" s="119">
        <v>2.5</v>
      </c>
      <c r="BG277" s="49" t="s">
        <v>1377</v>
      </c>
      <c r="BH277" s="49" t="s">
        <v>1377</v>
      </c>
      <c r="BI277" s="1"/>
      <c r="BJ277" s="70" t="s">
        <v>1287</v>
      </c>
      <c r="BK277" s="57" t="s">
        <v>1287</v>
      </c>
      <c r="BL277" s="57" t="s">
        <v>1287</v>
      </c>
      <c r="BM277" s="57" t="s">
        <v>1287</v>
      </c>
      <c r="BN277" s="57" t="s">
        <v>1287</v>
      </c>
      <c r="BO277" s="57" t="s">
        <v>1287</v>
      </c>
      <c r="BP277" s="57" t="s">
        <v>1287</v>
      </c>
      <c r="BQ277" s="57" t="s">
        <v>1287</v>
      </c>
      <c r="BR277" s="57" t="s">
        <v>1287</v>
      </c>
      <c r="BS277" s="57" t="s">
        <v>1287</v>
      </c>
      <c r="BT277" s="57" t="s">
        <v>1287</v>
      </c>
      <c r="BU277" s="57" t="s">
        <v>1287</v>
      </c>
      <c r="BV277" s="70">
        <f t="shared" si="1566"/>
        <v>31</v>
      </c>
      <c r="BW277" s="71">
        <f t="shared" si="1567"/>
        <v>63</v>
      </c>
      <c r="BX277" s="72">
        <f t="shared" si="1568"/>
        <v>67</v>
      </c>
      <c r="BY277" s="71">
        <f t="shared" si="1569"/>
        <v>100</v>
      </c>
      <c r="BZ277" s="72">
        <f t="shared" si="1570"/>
        <v>104</v>
      </c>
      <c r="CA277" s="71" t="str">
        <f t="shared" si="1571"/>
        <v>-</v>
      </c>
      <c r="CB277" s="72">
        <f t="shared" si="1572"/>
        <v>148</v>
      </c>
      <c r="CC277" s="71">
        <f t="shared" si="1573"/>
        <v>186</v>
      </c>
      <c r="CD277" s="72">
        <f t="shared" si="1574"/>
        <v>194</v>
      </c>
      <c r="CE277" s="71">
        <f t="shared" si="1575"/>
        <v>244</v>
      </c>
      <c r="CF277" s="72">
        <f t="shared" si="1576"/>
        <v>293</v>
      </c>
      <c r="CG277" s="71">
        <f t="shared" si="1577"/>
        <v>319</v>
      </c>
      <c r="CH277" s="70">
        <f t="shared" si="1578"/>
        <v>62</v>
      </c>
      <c r="CI277" s="71">
        <f t="shared" si="1579"/>
        <v>66</v>
      </c>
      <c r="CJ277" s="72">
        <f t="shared" si="1580"/>
        <v>99</v>
      </c>
      <c r="CK277" s="72">
        <f t="shared" si="1581"/>
        <v>103</v>
      </c>
      <c r="CL277" s="72">
        <f t="shared" si="1582"/>
        <v>139</v>
      </c>
      <c r="CM277" s="72" t="str">
        <f t="shared" si="1583"/>
        <v>-</v>
      </c>
      <c r="CN277" s="72">
        <f t="shared" si="1584"/>
        <v>172</v>
      </c>
      <c r="CO277" s="72">
        <f t="shared" si="1585"/>
        <v>188</v>
      </c>
      <c r="CP277" s="72">
        <f t="shared" si="1586"/>
        <v>239</v>
      </c>
      <c r="CQ277" s="72">
        <f t="shared" si="1587"/>
        <v>287</v>
      </c>
      <c r="CR277" s="72">
        <f t="shared" si="1588"/>
        <v>318</v>
      </c>
      <c r="CS277" s="72">
        <f t="shared" si="1589"/>
        <v>330</v>
      </c>
      <c r="CT277" s="23">
        <f t="shared" si="1590"/>
        <v>1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  <c r="AMP277" s="2"/>
    </row>
    <row r="278" spans="1:1030" x14ac:dyDescent="0.2">
      <c r="A278" s="3" t="str">
        <f t="shared" si="1591"/>
        <v>ox1r_human__wt</v>
      </c>
      <c r="B278" s="3" t="s">
        <v>1174</v>
      </c>
      <c r="C278" s="3" t="s">
        <v>100</v>
      </c>
      <c r="D278" s="3" t="str">
        <f>IFERROR(MID(VLOOKUP($B278,Seqs!$A:$B,2,0),E278,1),"")</f>
        <v>E</v>
      </c>
      <c r="E278" s="3">
        <v>46</v>
      </c>
      <c r="F278" s="3" t="str">
        <f>IFERROR(MID(VLOOKUP($B278,Seqs!$A:$B,2,0),G278,1),"")</f>
        <v>N</v>
      </c>
      <c r="G278" s="3">
        <v>74</v>
      </c>
      <c r="H278" s="3" t="str">
        <f>IFERROR(MID(VLOOKUP($B278,Seqs!$A:$B,2,0),I278,1),"")</f>
        <v>H</v>
      </c>
      <c r="I278" s="23">
        <v>75</v>
      </c>
      <c r="J278" s="3" t="str">
        <f>IFERROR(MID(VLOOKUP($B278,Seqs!$A:$B,2,0),K278,1),"")</f>
        <v>R</v>
      </c>
      <c r="K278" s="23">
        <v>78</v>
      </c>
      <c r="L278" s="3" t="str">
        <f>IFERROR(MID(VLOOKUP($B278,Seqs!$A:$B,2,0),M278,1),"")</f>
        <v>T</v>
      </c>
      <c r="M278" s="3">
        <v>79</v>
      </c>
      <c r="N278" s="3" t="str">
        <f>IFERROR(MID(VLOOKUP($B278,Seqs!$A:$B,2,0),O278,1),"")</f>
        <v>T</v>
      </c>
      <c r="O278" s="3">
        <v>109</v>
      </c>
      <c r="P278" s="3" t="str">
        <f>IFERROR(MID(VLOOKUP($B278,Seqs!$A:$B,2,0),Q278,1),"")</f>
        <v>S</v>
      </c>
      <c r="Q278" s="3">
        <v>111</v>
      </c>
      <c r="R278" s="3" t="str">
        <f>IFERROR(MID(VLOOKUP($B278,Seqs!$A:$B,2,0),S278,1),"")</f>
        <v>F</v>
      </c>
      <c r="S278" s="3">
        <v>114</v>
      </c>
      <c r="T278" s="3" t="str">
        <f>IFERROR(MID(VLOOKUP($B278,Seqs!$A:$B,2,0),U278,1),"")</f>
        <v>G</v>
      </c>
      <c r="U278" s="3">
        <v>115</v>
      </c>
      <c r="V278" s="3" t="str">
        <f>IFERROR(MID(VLOOKUP($B278,Seqs!$A:$B,2,0),W278,1),"")</f>
        <v>H</v>
      </c>
      <c r="W278" s="3">
        <v>150</v>
      </c>
      <c r="X278" s="3" t="str">
        <f>IFERROR(MID(VLOOKUP($B278,Seqs!$A:$B,2,0),Y278,1),"")</f>
        <v>P</v>
      </c>
      <c r="Y278" s="3">
        <v>151</v>
      </c>
      <c r="Z278" s="3" t="str">
        <f>IFERROR(MID(VLOOKUP($B278,Seqs!$A:$B,2,0),AA278,1),"")</f>
        <v>F</v>
      </c>
      <c r="AA278" s="73">
        <v>154</v>
      </c>
      <c r="AB278" s="3" t="str">
        <f>IFERROR(MID(VLOOKUP($B278,Seqs!$A:$B,2,0),AC278,1),"")</f>
        <v>T</v>
      </c>
      <c r="AC278" s="9">
        <v>157</v>
      </c>
      <c r="AD278" s="3" t="str">
        <f>IFERROR(MID(VLOOKUP($B278,Seqs!$A:$B,2,0),AE278,1),"")</f>
        <v>M</v>
      </c>
      <c r="AE278" s="3">
        <v>183</v>
      </c>
      <c r="AF278" s="3" t="str">
        <f>IFERROR(MID(VLOOKUP($B278,Seqs!$A:$B,2,0),AG278,1),"")</f>
        <v>C</v>
      </c>
      <c r="AG278" s="3">
        <v>202</v>
      </c>
      <c r="AH278" s="3" t="str">
        <f>IFERROR(MID(VLOOKUP($B278,Seqs!$A:$B,2,0),AI278,1),"")</f>
        <v>E</v>
      </c>
      <c r="AI278" s="3">
        <v>204</v>
      </c>
      <c r="AJ278" s="3" t="str">
        <f>IFERROR(MID(VLOOKUP($B278,Seqs!$A:$B,2,0),AK278,1),"")</f>
        <v>D</v>
      </c>
      <c r="AK278" s="3">
        <v>209</v>
      </c>
      <c r="AL278" s="3" t="str">
        <f>IFERROR(MID(VLOOKUP($B278,Seqs!$A:$B,2,0),AM278,1),"")</f>
        <v>P</v>
      </c>
      <c r="AM278" s="3">
        <v>248</v>
      </c>
      <c r="AN278" s="3" t="str">
        <f>IFERROR(MID(VLOOKUP($B278,Seqs!$A:$B,2,0),AO278,1),"")</f>
        <v>F</v>
      </c>
      <c r="AO278" s="3">
        <v>283</v>
      </c>
      <c r="AP278" s="3" t="str">
        <f>IFERROR(MID(VLOOKUP($B278,Seqs!$A:$B,2,0),AQ278,1),"")</f>
        <v>F</v>
      </c>
      <c r="AQ278" s="3">
        <v>324</v>
      </c>
      <c r="AR278" s="3" t="str">
        <f>IFERROR(MID(VLOOKUP($B278,Seqs!$A:$B,2,0),AS278,1),"")</f>
        <v>R</v>
      </c>
      <c r="AS278" s="3">
        <v>333</v>
      </c>
      <c r="AT278" s="3" t="str">
        <f>IFERROR(MID(VLOOKUP($B278,Seqs!$A:$B,2,0),AU278,1),"")</f>
        <v>L</v>
      </c>
      <c r="AU278" s="3">
        <v>361</v>
      </c>
      <c r="AV278" s="3" t="str">
        <f>IFERROR(MID(VLOOKUP($B278,Seqs!$A:$B,2,0),AW278,1),"")</f>
        <v>S</v>
      </c>
      <c r="AW278" s="3">
        <v>362</v>
      </c>
      <c r="AX278" s="3" t="str">
        <f>IFERROR(MID(VLOOKUP($B278,Seqs!$A:$B,2,0),AY278,1),"")</f>
        <v>F</v>
      </c>
      <c r="AY278" s="3">
        <v>373</v>
      </c>
      <c r="AZ278" s="77" t="str">
        <f>VLOOKUP(B278,Classification!A:D,2,0)</f>
        <v>A</v>
      </c>
      <c r="BA278" s="94" t="str">
        <f>VLOOKUP(B278,Classification!A:D,4,0)</f>
        <v>Orexin</v>
      </c>
      <c r="BB278" s="27" t="b">
        <f t="shared" si="1592"/>
        <v>1</v>
      </c>
      <c r="BC278" s="23">
        <f t="shared" si="1565"/>
        <v>261</v>
      </c>
      <c r="BD278" s="56" t="s">
        <v>23</v>
      </c>
      <c r="BE278" s="3" t="s">
        <v>23</v>
      </c>
      <c r="BF278" s="119" t="s">
        <v>23</v>
      </c>
      <c r="BG278" s="49" t="s">
        <v>1372</v>
      </c>
      <c r="BH278" s="49" t="s">
        <v>1377</v>
      </c>
      <c r="BI278" s="1"/>
      <c r="BJ278" s="70" t="s">
        <v>1287</v>
      </c>
      <c r="BK278" s="57" t="s">
        <v>1287</v>
      </c>
      <c r="BL278" s="57" t="s">
        <v>1287</v>
      </c>
      <c r="BM278" s="57" t="s">
        <v>1287</v>
      </c>
      <c r="BN278" s="57" t="s">
        <v>1287</v>
      </c>
      <c r="BO278" s="57" t="s">
        <v>1287</v>
      </c>
      <c r="BP278" s="57" t="s">
        <v>1287</v>
      </c>
      <c r="BQ278" s="57" t="s">
        <v>1287</v>
      </c>
      <c r="BR278" s="57" t="s">
        <v>1287</v>
      </c>
      <c r="BS278" s="57" t="s">
        <v>1287</v>
      </c>
      <c r="BT278" s="57" t="s">
        <v>1287</v>
      </c>
      <c r="BU278" s="57" t="s">
        <v>1287</v>
      </c>
      <c r="BV278" s="70">
        <f t="shared" si="1566"/>
        <v>46</v>
      </c>
      <c r="BW278" s="71">
        <f t="shared" si="1567"/>
        <v>75</v>
      </c>
      <c r="BX278" s="72">
        <f t="shared" si="1568"/>
        <v>79</v>
      </c>
      <c r="BY278" s="71">
        <f t="shared" si="1569"/>
        <v>111</v>
      </c>
      <c r="BZ278" s="72">
        <f t="shared" si="1570"/>
        <v>115</v>
      </c>
      <c r="CA278" s="71">
        <f t="shared" si="1571"/>
        <v>151</v>
      </c>
      <c r="CB278" s="72">
        <f t="shared" si="1572"/>
        <v>157</v>
      </c>
      <c r="CC278" s="71">
        <f t="shared" si="1573"/>
        <v>202</v>
      </c>
      <c r="CD278" s="72">
        <f t="shared" si="1574"/>
        <v>209</v>
      </c>
      <c r="CE278" s="71">
        <f t="shared" si="1575"/>
        <v>283</v>
      </c>
      <c r="CF278" s="72">
        <f t="shared" si="1576"/>
        <v>333</v>
      </c>
      <c r="CG278" s="71">
        <f t="shared" si="1577"/>
        <v>362</v>
      </c>
      <c r="CH278" s="70">
        <f t="shared" si="1578"/>
        <v>74</v>
      </c>
      <c r="CI278" s="71">
        <f t="shared" si="1579"/>
        <v>78</v>
      </c>
      <c r="CJ278" s="72">
        <f t="shared" si="1580"/>
        <v>109</v>
      </c>
      <c r="CK278" s="72">
        <f t="shared" si="1581"/>
        <v>114</v>
      </c>
      <c r="CL278" s="72">
        <f t="shared" si="1582"/>
        <v>150</v>
      </c>
      <c r="CM278" s="72">
        <f t="shared" si="1583"/>
        <v>154</v>
      </c>
      <c r="CN278" s="72">
        <f t="shared" si="1584"/>
        <v>183</v>
      </c>
      <c r="CO278" s="72">
        <f t="shared" si="1585"/>
        <v>204</v>
      </c>
      <c r="CP278" s="72">
        <f t="shared" si="1586"/>
        <v>248</v>
      </c>
      <c r="CQ278" s="72">
        <f t="shared" si="1587"/>
        <v>324</v>
      </c>
      <c r="CR278" s="72">
        <f t="shared" si="1588"/>
        <v>361</v>
      </c>
      <c r="CS278" s="72">
        <f t="shared" si="1589"/>
        <v>373</v>
      </c>
      <c r="CT278" s="23">
        <f t="shared" si="1590"/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30" x14ac:dyDescent="0.2">
      <c r="A279" s="3" t="str">
        <f t="shared" si="1591"/>
        <v>ox1r_human_4ZJ8</v>
      </c>
      <c r="B279" s="3" t="s">
        <v>1174</v>
      </c>
      <c r="C279" s="3" t="s">
        <v>90</v>
      </c>
      <c r="D279" s="3" t="str">
        <f>IFERROR(MID(VLOOKUP($B279,Seqs!$A:$B,2,0),E279,1),"")</f>
        <v>E</v>
      </c>
      <c r="E279" s="3">
        <v>46</v>
      </c>
      <c r="F279" s="3" t="str">
        <f>IFERROR(MID(VLOOKUP($B279,Seqs!$A:$B,2,0),G279,1),"")</f>
        <v>N</v>
      </c>
      <c r="G279" s="3">
        <v>74</v>
      </c>
      <c r="H279" s="3" t="str">
        <f>IFERROR(MID(VLOOKUP($B279,Seqs!$A:$B,2,0),I279,1),"")</f>
        <v>H</v>
      </c>
      <c r="I279" s="23">
        <v>75</v>
      </c>
      <c r="J279" s="3" t="str">
        <f>IFERROR(MID(VLOOKUP($B279,Seqs!$A:$B,2,0),K279,1),"")</f>
        <v>R</v>
      </c>
      <c r="K279" s="23">
        <v>78</v>
      </c>
      <c r="L279" s="3" t="str">
        <f>IFERROR(MID(VLOOKUP($B279,Seqs!$A:$B,2,0),M279,1),"")</f>
        <v>T</v>
      </c>
      <c r="M279" s="3">
        <v>79</v>
      </c>
      <c r="N279" s="3" t="str">
        <f>IFERROR(MID(VLOOKUP($B279,Seqs!$A:$B,2,0),O279,1),"")</f>
        <v>T</v>
      </c>
      <c r="O279" s="3">
        <v>109</v>
      </c>
      <c r="P279" s="3" t="str">
        <f>IFERROR(MID(VLOOKUP($B279,Seqs!$A:$B,2,0),Q279,1),"")</f>
        <v>S</v>
      </c>
      <c r="Q279" s="3">
        <v>111</v>
      </c>
      <c r="R279" s="3" t="str">
        <f>IFERROR(MID(VLOOKUP($B279,Seqs!$A:$B,2,0),S279,1),"")</f>
        <v>F</v>
      </c>
      <c r="S279" s="3">
        <v>114</v>
      </c>
      <c r="T279" s="3" t="str">
        <f>IFERROR(MID(VLOOKUP($B279,Seqs!$A:$B,2,0),U279,1),"")</f>
        <v>G</v>
      </c>
      <c r="U279" s="3">
        <v>115</v>
      </c>
      <c r="V279" s="3" t="str">
        <f>IFERROR(MID(VLOOKUP($B279,Seqs!$A:$B,2,0),W279,1),"")</f>
        <v>H</v>
      </c>
      <c r="W279" s="3">
        <v>150</v>
      </c>
      <c r="X279" s="3" t="str">
        <f>IFERROR(MID(VLOOKUP($B279,Seqs!$A:$B,2,0),Y279,1),"")</f>
        <v>P</v>
      </c>
      <c r="Y279" s="3">
        <v>151</v>
      </c>
      <c r="Z279" s="3" t="str">
        <f>IFERROR(MID(VLOOKUP($B279,Seqs!$A:$B,2,0),AA279,1),"")</f>
        <v>F</v>
      </c>
      <c r="AA279" s="3">
        <v>154</v>
      </c>
      <c r="AB279" s="3" t="str">
        <f>IFERROR(MID(VLOOKUP($B279,Seqs!$A:$B,2,0),AC279,1),"")</f>
        <v>T</v>
      </c>
      <c r="AC279" s="9">
        <v>157</v>
      </c>
      <c r="AD279" s="3" t="str">
        <f>IFERROR(MID(VLOOKUP($B279,Seqs!$A:$B,2,0),AE279,1),"")</f>
        <v>M</v>
      </c>
      <c r="AE279" s="3">
        <v>183</v>
      </c>
      <c r="AF279" s="3" t="str">
        <f>IFERROR(MID(VLOOKUP($B279,Seqs!$A:$B,2,0),AG279,1),"")</f>
        <v>C</v>
      </c>
      <c r="AG279" s="3">
        <v>202</v>
      </c>
      <c r="AH279" s="3" t="str">
        <f>IFERROR(MID(VLOOKUP($B279,Seqs!$A:$B,2,0),AI279,1),"")</f>
        <v>E</v>
      </c>
      <c r="AI279" s="3">
        <v>204</v>
      </c>
      <c r="AJ279" s="3" t="str">
        <f>IFERROR(MID(VLOOKUP($B279,Seqs!$A:$B,2,0),AK279,1),"")</f>
        <v>D</v>
      </c>
      <c r="AK279" s="3">
        <v>209</v>
      </c>
      <c r="AL279" s="3" t="str">
        <f>IFERROR(MID(VLOOKUP($B279,Seqs!$A:$B,2,0),AM279,1),"")</f>
        <v>L</v>
      </c>
      <c r="AM279" s="3">
        <v>242</v>
      </c>
      <c r="AN279" s="3" t="str">
        <f>IFERROR(MID(VLOOKUP($B279,Seqs!$A:$B,2,0),AO279,1),"")</f>
        <v>K</v>
      </c>
      <c r="AO279" s="3">
        <v>288</v>
      </c>
      <c r="AP279" s="3" t="str">
        <f>IFERROR(MID(VLOOKUP($B279,Seqs!$A:$B,2,0),AQ279,1),"")</f>
        <v>F</v>
      </c>
      <c r="AQ279" s="3">
        <v>324</v>
      </c>
      <c r="AR279" s="3" t="str">
        <f>IFERROR(MID(VLOOKUP($B279,Seqs!$A:$B,2,0),AS279,1),"")</f>
        <v>R</v>
      </c>
      <c r="AS279" s="3">
        <v>333</v>
      </c>
      <c r="AT279" s="3" t="str">
        <f>IFERROR(MID(VLOOKUP($B279,Seqs!$A:$B,2,0),AU279,1),"")</f>
        <v>L</v>
      </c>
      <c r="AU279" s="3">
        <v>361</v>
      </c>
      <c r="AV279" s="3" t="str">
        <f>IFERROR(MID(VLOOKUP($B279,Seqs!$A:$B,2,0),AW279,1),"")</f>
        <v>S</v>
      </c>
      <c r="AW279" s="3">
        <v>362</v>
      </c>
      <c r="AX279" s="3" t="str">
        <f>IFERROR(MID(VLOOKUP($B279,Seqs!$A:$B,2,0),AY279,1),"")</f>
        <v>F</v>
      </c>
      <c r="AY279" s="3">
        <v>373</v>
      </c>
      <c r="AZ279" s="77" t="str">
        <f>VLOOKUP(B279,Classification!A:D,2,0)</f>
        <v>A</v>
      </c>
      <c r="BA279" s="94" t="str">
        <f>VLOOKUP(B279,Classification!A:D,4,0)</f>
        <v>Orexin</v>
      </c>
      <c r="BB279" s="27" t="b">
        <f t="shared" si="1592"/>
        <v>1</v>
      </c>
      <c r="BC279" s="23">
        <f t="shared" si="1565"/>
        <v>250</v>
      </c>
      <c r="BD279" s="4" t="s">
        <v>1376</v>
      </c>
      <c r="BE279" s="3" t="s">
        <v>1374</v>
      </c>
      <c r="BF279" s="119">
        <v>2.75</v>
      </c>
      <c r="BG279" s="49" t="s">
        <v>1377</v>
      </c>
      <c r="BH279" s="49" t="s">
        <v>1377</v>
      </c>
      <c r="BI279" s="1"/>
      <c r="BJ279" s="70" t="s">
        <v>1287</v>
      </c>
      <c r="BK279" s="57" t="s">
        <v>1287</v>
      </c>
      <c r="BL279" s="57" t="s">
        <v>1287</v>
      </c>
      <c r="BM279" s="57" t="s">
        <v>1287</v>
      </c>
      <c r="BN279" s="57" t="s">
        <v>1287</v>
      </c>
      <c r="BO279" s="57" t="s">
        <v>1287</v>
      </c>
      <c r="BP279" s="57" t="s">
        <v>1287</v>
      </c>
      <c r="BQ279" s="57" t="s">
        <v>1287</v>
      </c>
      <c r="BR279" s="57" t="s">
        <v>1287</v>
      </c>
      <c r="BS279" s="57" t="s">
        <v>1287</v>
      </c>
      <c r="BT279" s="57" t="s">
        <v>1287</v>
      </c>
      <c r="BU279" s="57" t="s">
        <v>1287</v>
      </c>
      <c r="BV279" s="70">
        <f t="shared" si="1566"/>
        <v>46</v>
      </c>
      <c r="BW279" s="71">
        <f t="shared" si="1567"/>
        <v>75</v>
      </c>
      <c r="BX279" s="72">
        <f t="shared" si="1568"/>
        <v>79</v>
      </c>
      <c r="BY279" s="71">
        <f t="shared" si="1569"/>
        <v>111</v>
      </c>
      <c r="BZ279" s="72">
        <f t="shared" si="1570"/>
        <v>115</v>
      </c>
      <c r="CA279" s="71">
        <f t="shared" si="1571"/>
        <v>151</v>
      </c>
      <c r="CB279" s="72">
        <f t="shared" si="1572"/>
        <v>157</v>
      </c>
      <c r="CC279" s="71">
        <f t="shared" si="1573"/>
        <v>202</v>
      </c>
      <c r="CD279" s="72">
        <f t="shared" si="1574"/>
        <v>209</v>
      </c>
      <c r="CE279" s="71">
        <f t="shared" si="1575"/>
        <v>288</v>
      </c>
      <c r="CF279" s="72">
        <f t="shared" si="1576"/>
        <v>333</v>
      </c>
      <c r="CG279" s="71">
        <f t="shared" si="1577"/>
        <v>362</v>
      </c>
      <c r="CH279" s="70">
        <f t="shared" si="1578"/>
        <v>74</v>
      </c>
      <c r="CI279" s="71">
        <f t="shared" si="1579"/>
        <v>78</v>
      </c>
      <c r="CJ279" s="72">
        <f t="shared" si="1580"/>
        <v>109</v>
      </c>
      <c r="CK279" s="72">
        <f t="shared" si="1581"/>
        <v>114</v>
      </c>
      <c r="CL279" s="72">
        <f t="shared" si="1582"/>
        <v>150</v>
      </c>
      <c r="CM279" s="72">
        <f t="shared" si="1583"/>
        <v>154</v>
      </c>
      <c r="CN279" s="72">
        <f t="shared" si="1584"/>
        <v>183</v>
      </c>
      <c r="CO279" s="72">
        <f t="shared" si="1585"/>
        <v>204</v>
      </c>
      <c r="CP279" s="72">
        <f t="shared" si="1586"/>
        <v>242</v>
      </c>
      <c r="CQ279" s="72">
        <f t="shared" si="1587"/>
        <v>324</v>
      </c>
      <c r="CR279" s="72">
        <f t="shared" si="1588"/>
        <v>361</v>
      </c>
      <c r="CS279" s="72">
        <f t="shared" si="1589"/>
        <v>373</v>
      </c>
      <c r="CT279" s="23">
        <f t="shared" si="1590"/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  <c r="AMP279" s="2"/>
    </row>
    <row r="280" spans="1:1030" x14ac:dyDescent="0.2">
      <c r="A280" s="3" t="str">
        <f t="shared" si="1591"/>
        <v>ox1r_human_4ZJC</v>
      </c>
      <c r="B280" s="3" t="s">
        <v>1174</v>
      </c>
      <c r="C280" s="3" t="s">
        <v>91</v>
      </c>
      <c r="D280" s="3" t="str">
        <f>IFERROR(MID(VLOOKUP($B280,Seqs!$A:$B,2,0),E280,1),"")</f>
        <v>E</v>
      </c>
      <c r="E280" s="3">
        <v>46</v>
      </c>
      <c r="F280" s="3" t="str">
        <f>IFERROR(MID(VLOOKUP($B280,Seqs!$A:$B,2,0),G280,1),"")</f>
        <v>N</v>
      </c>
      <c r="G280" s="3">
        <v>74</v>
      </c>
      <c r="H280" s="3" t="str">
        <f>IFERROR(MID(VLOOKUP($B280,Seqs!$A:$B,2,0),I280,1),"")</f>
        <v>H</v>
      </c>
      <c r="I280" s="23">
        <v>75</v>
      </c>
      <c r="J280" s="3" t="str">
        <f>IFERROR(MID(VLOOKUP($B280,Seqs!$A:$B,2,0),K280,1),"")</f>
        <v>R</v>
      </c>
      <c r="K280" s="23">
        <v>78</v>
      </c>
      <c r="L280" s="3" t="str">
        <f>IFERROR(MID(VLOOKUP($B280,Seqs!$A:$B,2,0),M280,1),"")</f>
        <v>T</v>
      </c>
      <c r="M280" s="3">
        <v>79</v>
      </c>
      <c r="N280" s="3" t="str">
        <f>IFERROR(MID(VLOOKUP($B280,Seqs!$A:$B,2,0),O280,1),"")</f>
        <v>T</v>
      </c>
      <c r="O280" s="3">
        <v>109</v>
      </c>
      <c r="P280" s="3" t="str">
        <f>IFERROR(MID(VLOOKUP($B280,Seqs!$A:$B,2,0),Q280,1),"")</f>
        <v>S</v>
      </c>
      <c r="Q280" s="3">
        <v>111</v>
      </c>
      <c r="R280" s="3" t="str">
        <f>IFERROR(MID(VLOOKUP($B280,Seqs!$A:$B,2,0),S280,1),"")</f>
        <v>F</v>
      </c>
      <c r="S280" s="3">
        <v>114</v>
      </c>
      <c r="T280" s="3" t="str">
        <f>IFERROR(MID(VLOOKUP($B280,Seqs!$A:$B,2,0),U280,1),"")</f>
        <v>G</v>
      </c>
      <c r="U280" s="3">
        <v>115</v>
      </c>
      <c r="V280" s="3" t="str">
        <f>IFERROR(MID(VLOOKUP($B280,Seqs!$A:$B,2,0),W280,1),"")</f>
        <v>H</v>
      </c>
      <c r="W280" s="3">
        <v>150</v>
      </c>
      <c r="X280" s="3" t="str">
        <f>IFERROR(MID(VLOOKUP($B280,Seqs!$A:$B,2,0),Y280,1),"")</f>
        <v>P</v>
      </c>
      <c r="Y280" s="3">
        <v>151</v>
      </c>
      <c r="Z280" s="3" t="str">
        <f>IFERROR(MID(VLOOKUP($B280,Seqs!$A:$B,2,0),AA280,1),"")</f>
        <v>F</v>
      </c>
      <c r="AA280" s="3">
        <v>154</v>
      </c>
      <c r="AB280" s="3" t="str">
        <f>IFERROR(MID(VLOOKUP($B280,Seqs!$A:$B,2,0),AC280,1),"")</f>
        <v>T</v>
      </c>
      <c r="AC280" s="9">
        <v>157</v>
      </c>
      <c r="AD280" s="3" t="str">
        <f>IFERROR(MID(VLOOKUP($B280,Seqs!$A:$B,2,0),AE280,1),"")</f>
        <v>M</v>
      </c>
      <c r="AE280" s="3">
        <v>183</v>
      </c>
      <c r="AF280" s="3" t="str">
        <f>IFERROR(MID(VLOOKUP($B280,Seqs!$A:$B,2,0),AG280,1),"")</f>
        <v>C</v>
      </c>
      <c r="AG280" s="3">
        <v>202</v>
      </c>
      <c r="AH280" s="3" t="str">
        <f>IFERROR(MID(VLOOKUP($B280,Seqs!$A:$B,2,0),AI280,1),"")</f>
        <v>E</v>
      </c>
      <c r="AI280" s="3">
        <v>204</v>
      </c>
      <c r="AJ280" s="3" t="str">
        <f>IFERROR(MID(VLOOKUP($B280,Seqs!$A:$B,2,0),AK280,1),"")</f>
        <v>D</v>
      </c>
      <c r="AK280" s="3">
        <v>209</v>
      </c>
      <c r="AL280" s="3" t="str">
        <f>IFERROR(MID(VLOOKUP($B280,Seqs!$A:$B,2,0),AM280,1),"")</f>
        <v>L</v>
      </c>
      <c r="AM280" s="3">
        <v>242</v>
      </c>
      <c r="AN280" s="3" t="str">
        <f>IFERROR(MID(VLOOKUP($B280,Seqs!$A:$B,2,0),AO280,1),"")</f>
        <v>K</v>
      </c>
      <c r="AO280" s="3">
        <v>288</v>
      </c>
      <c r="AP280" s="3" t="str">
        <f>IFERROR(MID(VLOOKUP($B280,Seqs!$A:$B,2,0),AQ280,1),"")</f>
        <v>F</v>
      </c>
      <c r="AQ280" s="3">
        <v>324</v>
      </c>
      <c r="AR280" s="3" t="str">
        <f>IFERROR(MID(VLOOKUP($B280,Seqs!$A:$B,2,0),AS280,1),"")</f>
        <v>R</v>
      </c>
      <c r="AS280" s="3">
        <v>333</v>
      </c>
      <c r="AT280" s="3" t="str">
        <f>IFERROR(MID(VLOOKUP($B280,Seqs!$A:$B,2,0),AU280,1),"")</f>
        <v>L</v>
      </c>
      <c r="AU280" s="3">
        <v>361</v>
      </c>
      <c r="AV280" s="3" t="str">
        <f>IFERROR(MID(VLOOKUP($B280,Seqs!$A:$B,2,0),AW280,1),"")</f>
        <v>S</v>
      </c>
      <c r="AW280" s="3">
        <v>362</v>
      </c>
      <c r="AX280" s="3" t="str">
        <f>IFERROR(MID(VLOOKUP($B280,Seqs!$A:$B,2,0),AY280,1),"")</f>
        <v>F</v>
      </c>
      <c r="AY280" s="3">
        <v>373</v>
      </c>
      <c r="AZ280" s="77" t="str">
        <f>VLOOKUP(B280,Classification!A:D,2,0)</f>
        <v>A</v>
      </c>
      <c r="BA280" s="94" t="str">
        <f>VLOOKUP(B280,Classification!A:D,4,0)</f>
        <v>Orexin</v>
      </c>
      <c r="BB280" s="27" t="b">
        <f t="shared" si="1592"/>
        <v>1</v>
      </c>
      <c r="BC280" s="23">
        <f t="shared" si="1565"/>
        <v>250</v>
      </c>
      <c r="BD280" s="2" t="s">
        <v>23</v>
      </c>
      <c r="BE280" s="3" t="s">
        <v>1374</v>
      </c>
      <c r="BF280" s="119">
        <v>2.83</v>
      </c>
      <c r="BG280" s="49" t="s">
        <v>1377</v>
      </c>
      <c r="BH280" s="49" t="s">
        <v>1377</v>
      </c>
      <c r="BI280" s="1"/>
      <c r="BJ280" s="70" t="s">
        <v>1287</v>
      </c>
      <c r="BK280" s="57" t="s">
        <v>1287</v>
      </c>
      <c r="BL280" s="57" t="s">
        <v>1287</v>
      </c>
      <c r="BM280" s="57" t="s">
        <v>1287</v>
      </c>
      <c r="BN280" s="57" t="s">
        <v>1287</v>
      </c>
      <c r="BO280" s="57" t="s">
        <v>1287</v>
      </c>
      <c r="BP280" s="57" t="s">
        <v>1287</v>
      </c>
      <c r="BQ280" s="57" t="s">
        <v>1287</v>
      </c>
      <c r="BR280" s="57" t="s">
        <v>1287</v>
      </c>
      <c r="BS280" s="57" t="s">
        <v>1287</v>
      </c>
      <c r="BT280" s="57" t="s">
        <v>1287</v>
      </c>
      <c r="BU280" s="57" t="s">
        <v>1287</v>
      </c>
      <c r="BV280" s="70">
        <f t="shared" si="1566"/>
        <v>46</v>
      </c>
      <c r="BW280" s="71">
        <f t="shared" si="1567"/>
        <v>75</v>
      </c>
      <c r="BX280" s="72">
        <f t="shared" si="1568"/>
        <v>79</v>
      </c>
      <c r="BY280" s="71">
        <f t="shared" si="1569"/>
        <v>111</v>
      </c>
      <c r="BZ280" s="72">
        <f t="shared" si="1570"/>
        <v>115</v>
      </c>
      <c r="CA280" s="71">
        <f t="shared" si="1571"/>
        <v>151</v>
      </c>
      <c r="CB280" s="72">
        <f t="shared" si="1572"/>
        <v>157</v>
      </c>
      <c r="CC280" s="71">
        <f t="shared" si="1573"/>
        <v>202</v>
      </c>
      <c r="CD280" s="72">
        <f t="shared" si="1574"/>
        <v>209</v>
      </c>
      <c r="CE280" s="71">
        <f t="shared" si="1575"/>
        <v>288</v>
      </c>
      <c r="CF280" s="72">
        <f t="shared" si="1576"/>
        <v>333</v>
      </c>
      <c r="CG280" s="71">
        <f t="shared" si="1577"/>
        <v>362</v>
      </c>
      <c r="CH280" s="70">
        <f t="shared" si="1578"/>
        <v>74</v>
      </c>
      <c r="CI280" s="71">
        <f t="shared" si="1579"/>
        <v>78</v>
      </c>
      <c r="CJ280" s="72">
        <f t="shared" si="1580"/>
        <v>109</v>
      </c>
      <c r="CK280" s="72">
        <f t="shared" si="1581"/>
        <v>114</v>
      </c>
      <c r="CL280" s="72">
        <f t="shared" si="1582"/>
        <v>150</v>
      </c>
      <c r="CM280" s="72">
        <f t="shared" si="1583"/>
        <v>154</v>
      </c>
      <c r="CN280" s="72">
        <f t="shared" si="1584"/>
        <v>183</v>
      </c>
      <c r="CO280" s="72">
        <f t="shared" si="1585"/>
        <v>204</v>
      </c>
      <c r="CP280" s="72">
        <f t="shared" si="1586"/>
        <v>242</v>
      </c>
      <c r="CQ280" s="72">
        <f t="shared" si="1587"/>
        <v>324</v>
      </c>
      <c r="CR280" s="72">
        <f t="shared" si="1588"/>
        <v>361</v>
      </c>
      <c r="CS280" s="72">
        <f t="shared" si="1589"/>
        <v>373</v>
      </c>
      <c r="CT280" s="23">
        <f t="shared" si="1590"/>
        <v>1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2"/>
    </row>
    <row r="281" spans="1:1030" x14ac:dyDescent="0.2">
      <c r="A281" s="3" t="str">
        <f t="shared" si="1591"/>
        <v>ox2r_human__wt</v>
      </c>
      <c r="B281" s="3" t="s">
        <v>1175</v>
      </c>
      <c r="C281" s="3" t="s">
        <v>100</v>
      </c>
      <c r="D281" s="3" t="str">
        <f>IFERROR(MID(VLOOKUP($B281,Seqs!$A:$B,2,0),E281,1),"")</f>
        <v>Y</v>
      </c>
      <c r="E281" s="3">
        <v>53</v>
      </c>
      <c r="F281" s="3" t="str">
        <f>IFERROR(MID(VLOOKUP($B281,Seqs!$A:$B,2,0),G281,1),"")</f>
        <v>N</v>
      </c>
      <c r="G281" s="3">
        <v>82</v>
      </c>
      <c r="H281" s="3" t="str">
        <f>IFERROR(MID(VLOOKUP($B281,Seqs!$A:$B,2,0),I281,1),"")</f>
        <v>H</v>
      </c>
      <c r="I281" s="23">
        <v>83</v>
      </c>
      <c r="J281" s="3" t="str">
        <f>IFERROR(MID(VLOOKUP($B281,Seqs!$A:$B,2,0),K281,1),"")</f>
        <v>R</v>
      </c>
      <c r="K281" s="23">
        <v>86</v>
      </c>
      <c r="L281" s="3" t="str">
        <f>IFERROR(MID(VLOOKUP($B281,Seqs!$A:$B,2,0),M281,1),"")</f>
        <v>T</v>
      </c>
      <c r="M281" s="3">
        <v>87</v>
      </c>
      <c r="N281" s="3" t="str">
        <f>IFERROR(MID(VLOOKUP($B281,Seqs!$A:$B,2,0),O281,1),"")</f>
        <v>E</v>
      </c>
      <c r="O281" s="105">
        <v>118</v>
      </c>
      <c r="P281" s="3" t="str">
        <f>IFERROR(MID(VLOOKUP($B281,Seqs!$A:$B,2,0),Q281,1),"")</f>
        <v>T</v>
      </c>
      <c r="Q281" s="3">
        <v>119</v>
      </c>
      <c r="R281" s="3" t="str">
        <f>IFERROR(MID(VLOOKUP($B281,Seqs!$A:$B,2,0),S281,1),"")</f>
        <v>F</v>
      </c>
      <c r="S281" s="3">
        <v>122</v>
      </c>
      <c r="T281" s="3" t="str">
        <f>IFERROR(MID(VLOOKUP($B281,Seqs!$A:$B,2,0),U281,1),"")</f>
        <v>G</v>
      </c>
      <c r="U281" s="3">
        <v>123</v>
      </c>
      <c r="V281" s="3" t="str">
        <f>IFERROR(MID(VLOOKUP($B281,Seqs!$A:$B,2,0),W281,1),"")</f>
        <v>H</v>
      </c>
      <c r="W281" s="3">
        <v>158</v>
      </c>
      <c r="X281" s="3" t="str">
        <f>IFERROR(MID(VLOOKUP($B281,Seqs!$A:$B,2,0),Y281,1),"")</f>
        <v>P</v>
      </c>
      <c r="Y281" s="3">
        <v>159</v>
      </c>
      <c r="Z281" s="3" t="str">
        <f>IFERROR(MID(VLOOKUP($B281,Seqs!$A:$B,2,0),AA281,1),"")</f>
        <v>F</v>
      </c>
      <c r="AA281" s="73">
        <v>162</v>
      </c>
      <c r="AB281" s="3" t="str">
        <f>IFERROR(MID(VLOOKUP($B281,Seqs!$A:$B,2,0),AC281,1),"")</f>
        <v>T</v>
      </c>
      <c r="AC281" s="9">
        <v>165</v>
      </c>
      <c r="AD281" s="3" t="str">
        <f>IFERROR(MID(VLOOKUP($B281,Seqs!$A:$B,2,0),AE281,1),"")</f>
        <v>M</v>
      </c>
      <c r="AE281" s="3">
        <v>191</v>
      </c>
      <c r="AF281" s="3" t="str">
        <f>IFERROR(MID(VLOOKUP($B281,Seqs!$A:$B,2,0),AG281,1),"")</f>
        <v>C</v>
      </c>
      <c r="AG281" s="3">
        <v>210</v>
      </c>
      <c r="AH281" s="3" t="str">
        <f>IFERROR(MID(VLOOKUP($B281,Seqs!$A:$B,2,0),AI281,1),"")</f>
        <v>E</v>
      </c>
      <c r="AI281" s="3">
        <v>212</v>
      </c>
      <c r="AJ281" s="3" t="str">
        <f>IFERROR(MID(VLOOKUP($B281,Seqs!$A:$B,2,0),AK281,1),"")</f>
        <v>I</v>
      </c>
      <c r="AK281" s="105">
        <v>218</v>
      </c>
      <c r="AL281" s="3" t="str">
        <f>IFERROR(MID(VLOOKUP($B281,Seqs!$A:$B,2,0),AM281,1),"")</f>
        <v>P</v>
      </c>
      <c r="AM281" s="3">
        <v>256</v>
      </c>
      <c r="AN281" s="3" t="str">
        <f>IFERROR(MID(VLOOKUP($B281,Seqs!$A:$B,2,0),AO281,1),"")</f>
        <v>V</v>
      </c>
      <c r="AO281" s="3">
        <v>289</v>
      </c>
      <c r="AP281" s="3" t="str">
        <f>IFERROR(MID(VLOOKUP($B281,Seqs!$A:$B,2,0),AQ281,1),"")</f>
        <v>F</v>
      </c>
      <c r="AQ281" s="3">
        <v>330</v>
      </c>
      <c r="AR281" s="3" t="str">
        <f>IFERROR(MID(VLOOKUP($B281,Seqs!$A:$B,2,0),AS281,1),"")</f>
        <v>D</v>
      </c>
      <c r="AS281" s="105">
        <v>338</v>
      </c>
      <c r="AT281" s="3" t="str">
        <f>IFERROR(MID(VLOOKUP($B281,Seqs!$A:$B,2,0),AU281,1),"")</f>
        <v>L</v>
      </c>
      <c r="AU281" s="3">
        <v>367</v>
      </c>
      <c r="AV281" s="3" t="str">
        <f>IFERROR(MID(VLOOKUP($B281,Seqs!$A:$B,2,0),AW281,1),"")</f>
        <v>S</v>
      </c>
      <c r="AW281" s="3">
        <v>368</v>
      </c>
      <c r="AX281" s="3" t="str">
        <f>IFERROR(MID(VLOOKUP($B281,Seqs!$A:$B,2,0),AY281,1),"")</f>
        <v>F</v>
      </c>
      <c r="AY281" s="3">
        <v>379</v>
      </c>
      <c r="AZ281" s="77" t="str">
        <f>VLOOKUP(B281,Classification!A:D,2,0)</f>
        <v>A</v>
      </c>
      <c r="BA281" s="94" t="str">
        <f>VLOOKUP(B281,Classification!A:D,4,0)</f>
        <v>Orexin</v>
      </c>
      <c r="BB281" s="27" t="b">
        <f t="shared" si="1592"/>
        <v>1</v>
      </c>
      <c r="BC281" s="23">
        <f t="shared" si="1565"/>
        <v>263</v>
      </c>
      <c r="BD281" s="56" t="s">
        <v>23</v>
      </c>
      <c r="BE281" s="3" t="s">
        <v>23</v>
      </c>
      <c r="BF281" s="119" t="s">
        <v>23</v>
      </c>
      <c r="BG281" s="49" t="s">
        <v>1372</v>
      </c>
      <c r="BH281" s="49" t="s">
        <v>1377</v>
      </c>
      <c r="BI281" s="1"/>
      <c r="BJ281" s="70" t="s">
        <v>1287</v>
      </c>
      <c r="BK281" s="57" t="s">
        <v>1287</v>
      </c>
      <c r="BL281" s="57" t="s">
        <v>1287</v>
      </c>
      <c r="BM281" s="57" t="s">
        <v>1287</v>
      </c>
      <c r="BN281" s="57" t="s">
        <v>1287</v>
      </c>
      <c r="BO281" s="57" t="s">
        <v>1287</v>
      </c>
      <c r="BP281" s="57" t="s">
        <v>1287</v>
      </c>
      <c r="BQ281" s="57" t="s">
        <v>1287</v>
      </c>
      <c r="BR281" s="57" t="s">
        <v>1287</v>
      </c>
      <c r="BS281" s="57" t="s">
        <v>1287</v>
      </c>
      <c r="BT281" s="57" t="s">
        <v>1287</v>
      </c>
      <c r="BU281" s="57" t="s">
        <v>1287</v>
      </c>
      <c r="BV281" s="70">
        <f t="shared" si="1566"/>
        <v>53</v>
      </c>
      <c r="BW281" s="71">
        <f t="shared" si="1567"/>
        <v>83</v>
      </c>
      <c r="BX281" s="72">
        <f t="shared" si="1568"/>
        <v>87</v>
      </c>
      <c r="BY281" s="71">
        <f t="shared" si="1569"/>
        <v>119</v>
      </c>
      <c r="BZ281" s="72">
        <f t="shared" si="1570"/>
        <v>123</v>
      </c>
      <c r="CA281" s="71">
        <f t="shared" si="1571"/>
        <v>159</v>
      </c>
      <c r="CB281" s="72">
        <f t="shared" si="1572"/>
        <v>165</v>
      </c>
      <c r="CC281" s="71">
        <f t="shared" si="1573"/>
        <v>210</v>
      </c>
      <c r="CD281" s="72">
        <f t="shared" si="1574"/>
        <v>218</v>
      </c>
      <c r="CE281" s="71">
        <f t="shared" si="1575"/>
        <v>289</v>
      </c>
      <c r="CF281" s="72">
        <f t="shared" si="1576"/>
        <v>338</v>
      </c>
      <c r="CG281" s="71">
        <f t="shared" si="1577"/>
        <v>368</v>
      </c>
      <c r="CH281" s="70">
        <f t="shared" si="1578"/>
        <v>82</v>
      </c>
      <c r="CI281" s="71">
        <f t="shared" si="1579"/>
        <v>86</v>
      </c>
      <c r="CJ281" s="72">
        <f t="shared" si="1580"/>
        <v>118</v>
      </c>
      <c r="CK281" s="72">
        <f t="shared" si="1581"/>
        <v>122</v>
      </c>
      <c r="CL281" s="72">
        <f t="shared" si="1582"/>
        <v>158</v>
      </c>
      <c r="CM281" s="72">
        <f t="shared" si="1583"/>
        <v>162</v>
      </c>
      <c r="CN281" s="72">
        <f t="shared" si="1584"/>
        <v>191</v>
      </c>
      <c r="CO281" s="72">
        <f t="shared" si="1585"/>
        <v>212</v>
      </c>
      <c r="CP281" s="72">
        <f t="shared" si="1586"/>
        <v>256</v>
      </c>
      <c r="CQ281" s="72">
        <f t="shared" si="1587"/>
        <v>330</v>
      </c>
      <c r="CR281" s="72">
        <f t="shared" si="1588"/>
        <v>367</v>
      </c>
      <c r="CS281" s="72">
        <f t="shared" si="1589"/>
        <v>379</v>
      </c>
      <c r="CT281" s="23">
        <f t="shared" si="1590"/>
        <v>1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30" x14ac:dyDescent="0.2">
      <c r="A282" s="3" t="str">
        <f t="shared" si="1591"/>
        <v>ox2r_human_4S0V</v>
      </c>
      <c r="B282" s="3" t="s">
        <v>1175</v>
      </c>
      <c r="C282" s="3" t="s">
        <v>92</v>
      </c>
      <c r="D282" s="3" t="str">
        <f>IFERROR(MID(VLOOKUP($B282,Seqs!$A:$B,2,0),E282,1),"")</f>
        <v>Y</v>
      </c>
      <c r="E282" s="3">
        <v>53</v>
      </c>
      <c r="F282" s="3" t="str">
        <f>IFERROR(MID(VLOOKUP($B282,Seqs!$A:$B,2,0),G282,1),"")</f>
        <v>N</v>
      </c>
      <c r="G282" s="3">
        <v>82</v>
      </c>
      <c r="H282" s="3" t="str">
        <f>IFERROR(MID(VLOOKUP($B282,Seqs!$A:$B,2,0),I282,1),"")</f>
        <v>H</v>
      </c>
      <c r="I282" s="23">
        <v>83</v>
      </c>
      <c r="J282" s="3" t="str">
        <f>IFERROR(MID(VLOOKUP($B282,Seqs!$A:$B,2,0),K282,1),"")</f>
        <v>R</v>
      </c>
      <c r="K282" s="23">
        <v>86</v>
      </c>
      <c r="L282" s="3" t="str">
        <f>IFERROR(MID(VLOOKUP($B282,Seqs!$A:$B,2,0),M282,1),"")</f>
        <v>T</v>
      </c>
      <c r="M282" s="3">
        <v>87</v>
      </c>
      <c r="N282" s="3" t="str">
        <f>IFERROR(MID(VLOOKUP($B282,Seqs!$A:$B,2,0),O282,1),"")</f>
        <v>E</v>
      </c>
      <c r="O282" s="105">
        <v>118</v>
      </c>
      <c r="P282" s="3" t="str">
        <f>IFERROR(MID(VLOOKUP($B282,Seqs!$A:$B,2,0),Q282,1),"")</f>
        <v>T</v>
      </c>
      <c r="Q282" s="3">
        <v>119</v>
      </c>
      <c r="R282" s="3" t="str">
        <f>IFERROR(MID(VLOOKUP($B282,Seqs!$A:$B,2,0),S282,1),"")</f>
        <v>F</v>
      </c>
      <c r="S282" s="3">
        <v>122</v>
      </c>
      <c r="T282" s="3" t="str">
        <f>IFERROR(MID(VLOOKUP($B282,Seqs!$A:$B,2,0),U282,1),"")</f>
        <v>G</v>
      </c>
      <c r="U282" s="3">
        <v>123</v>
      </c>
      <c r="V282" s="3" t="str">
        <f>IFERROR(MID(VLOOKUP($B282,Seqs!$A:$B,2,0),W282,1),"")</f>
        <v>H</v>
      </c>
      <c r="W282" s="3">
        <v>158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T</v>
      </c>
      <c r="AC282" s="9">
        <v>165</v>
      </c>
      <c r="AD282" s="3" t="str">
        <f>IFERROR(MID(VLOOKUP($B282,Seqs!$A:$B,2,0),AE282,1),"")</f>
        <v>M</v>
      </c>
      <c r="AE282" s="3">
        <v>191</v>
      </c>
      <c r="AF282" s="3" t="str">
        <f>IFERROR(MID(VLOOKUP($B282,Seqs!$A:$B,2,0),AG282,1),"")</f>
        <v>C</v>
      </c>
      <c r="AG282" s="3">
        <v>210</v>
      </c>
      <c r="AH282" s="3" t="str">
        <f>IFERROR(MID(VLOOKUP($B282,Seqs!$A:$B,2,0),AI282,1),"")</f>
        <v>E</v>
      </c>
      <c r="AI282" s="3">
        <v>212</v>
      </c>
      <c r="AJ282" s="3" t="str">
        <f>IFERROR(MID(VLOOKUP($B282,Seqs!$A:$B,2,0),AK282,1),"")</f>
        <v>I</v>
      </c>
      <c r="AK282" s="105">
        <v>218</v>
      </c>
      <c r="AL282" s="3" t="str">
        <f>IFERROR(MID(VLOOKUP($B282,Seqs!$A:$B,2,0),AM282,1),"")</f>
        <v>C</v>
      </c>
      <c r="AM282" s="105">
        <v>252</v>
      </c>
      <c r="AN282" s="3" t="str">
        <f>IFERROR(MID(VLOOKUP($B282,Seqs!$A:$B,2,0),AO282,1),"")</f>
        <v>K</v>
      </c>
      <c r="AO282" s="3">
        <v>294</v>
      </c>
      <c r="AP282" s="3" t="str">
        <f>IFERROR(MID(VLOOKUP($B282,Seqs!$A:$B,2,0),AQ282,1),"")</f>
        <v>F</v>
      </c>
      <c r="AQ282" s="3">
        <v>330</v>
      </c>
      <c r="AR282" s="3" t="str">
        <f>IFERROR(MID(VLOOKUP($B282,Seqs!$A:$B,2,0),AS282,1),"")</f>
        <v>R</v>
      </c>
      <c r="AS282" s="3">
        <v>339</v>
      </c>
      <c r="AT282" s="3" t="str">
        <f>IFERROR(MID(VLOOKUP($B282,Seqs!$A:$B,2,0),AU282,1),"")</f>
        <v>L</v>
      </c>
      <c r="AU282" s="3">
        <v>367</v>
      </c>
      <c r="AV282" s="3" t="str">
        <f>IFERROR(MID(VLOOKUP($B282,Seqs!$A:$B,2,0),AW282,1),"")</f>
        <v>S</v>
      </c>
      <c r="AW282" s="3">
        <v>368</v>
      </c>
      <c r="AX282" s="3" t="str">
        <f>IFERROR(MID(VLOOKUP($B282,Seqs!$A:$B,2,0),AY282,1),"")</f>
        <v>F</v>
      </c>
      <c r="AY282" s="3">
        <v>379</v>
      </c>
      <c r="AZ282" s="77" t="str">
        <f>VLOOKUP(B282,Classification!A:D,2,0)</f>
        <v>A</v>
      </c>
      <c r="BA282" s="94" t="str">
        <f>VLOOKUP(B282,Classification!A:D,4,0)</f>
        <v>Orexin</v>
      </c>
      <c r="BB282" s="27" t="b">
        <f t="shared" si="1592"/>
        <v>1</v>
      </c>
      <c r="BC282" s="23">
        <f t="shared" si="1565"/>
        <v>250</v>
      </c>
      <c r="BD282" s="2" t="s">
        <v>23</v>
      </c>
      <c r="BE282" s="3" t="s">
        <v>1374</v>
      </c>
      <c r="BF282" s="119">
        <v>2.5</v>
      </c>
      <c r="BG282" s="49" t="s">
        <v>1377</v>
      </c>
      <c r="BH282" s="49" t="s">
        <v>1377</v>
      </c>
      <c r="BI282" s="1"/>
      <c r="BJ282" s="70" t="s">
        <v>1287</v>
      </c>
      <c r="BK282" s="57" t="s">
        <v>1287</v>
      </c>
      <c r="BL282" s="57" t="s">
        <v>1287</v>
      </c>
      <c r="BM282" s="57" t="s">
        <v>1287</v>
      </c>
      <c r="BN282" s="57" t="s">
        <v>1287</v>
      </c>
      <c r="BO282" s="57" t="s">
        <v>1287</v>
      </c>
      <c r="BP282" s="57" t="s">
        <v>1287</v>
      </c>
      <c r="BQ282" s="57" t="s">
        <v>1287</v>
      </c>
      <c r="BR282" s="57" t="s">
        <v>1287</v>
      </c>
      <c r="BS282" s="57" t="s">
        <v>1287</v>
      </c>
      <c r="BT282" s="57" t="s">
        <v>1287</v>
      </c>
      <c r="BU282" s="57" t="s">
        <v>1287</v>
      </c>
      <c r="BV282" s="70">
        <f t="shared" si="1566"/>
        <v>53</v>
      </c>
      <c r="BW282" s="71">
        <f t="shared" si="1567"/>
        <v>83</v>
      </c>
      <c r="BX282" s="72">
        <f t="shared" si="1568"/>
        <v>87</v>
      </c>
      <c r="BY282" s="71">
        <f t="shared" si="1569"/>
        <v>119</v>
      </c>
      <c r="BZ282" s="72">
        <f t="shared" si="1570"/>
        <v>123</v>
      </c>
      <c r="CA282" s="71" t="str">
        <f t="shared" si="1571"/>
        <v>-</v>
      </c>
      <c r="CB282" s="72">
        <f t="shared" si="1572"/>
        <v>165</v>
      </c>
      <c r="CC282" s="71">
        <f t="shared" si="1573"/>
        <v>210</v>
      </c>
      <c r="CD282" s="72">
        <f t="shared" si="1574"/>
        <v>218</v>
      </c>
      <c r="CE282" s="71">
        <f t="shared" si="1575"/>
        <v>294</v>
      </c>
      <c r="CF282" s="72">
        <f t="shared" si="1576"/>
        <v>339</v>
      </c>
      <c r="CG282" s="71">
        <f t="shared" si="1577"/>
        <v>368</v>
      </c>
      <c r="CH282" s="70">
        <f t="shared" si="1578"/>
        <v>82</v>
      </c>
      <c r="CI282" s="71">
        <f t="shared" si="1579"/>
        <v>86</v>
      </c>
      <c r="CJ282" s="72">
        <f t="shared" si="1580"/>
        <v>118</v>
      </c>
      <c r="CK282" s="72">
        <f t="shared" si="1581"/>
        <v>122</v>
      </c>
      <c r="CL282" s="72">
        <f t="shared" si="1582"/>
        <v>158</v>
      </c>
      <c r="CM282" s="72" t="str">
        <f t="shared" si="1583"/>
        <v>-</v>
      </c>
      <c r="CN282" s="72">
        <f t="shared" si="1584"/>
        <v>191</v>
      </c>
      <c r="CO282" s="72">
        <f t="shared" si="1585"/>
        <v>212</v>
      </c>
      <c r="CP282" s="72">
        <f t="shared" si="1586"/>
        <v>252</v>
      </c>
      <c r="CQ282" s="72">
        <f t="shared" si="1587"/>
        <v>330</v>
      </c>
      <c r="CR282" s="72">
        <f t="shared" si="1588"/>
        <v>367</v>
      </c>
      <c r="CS282" s="72">
        <f t="shared" si="1589"/>
        <v>379</v>
      </c>
      <c r="CT282" s="23">
        <f t="shared" si="1590"/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30" x14ac:dyDescent="0.2">
      <c r="A283" s="3" t="str">
        <f>CONCATENATE(B283,"_",C283)</f>
        <v>ox2r_human_5WQC</v>
      </c>
      <c r="B283" s="3" t="s">
        <v>1175</v>
      </c>
      <c r="C283" s="3" t="s">
        <v>1447</v>
      </c>
      <c r="D283" s="3" t="str">
        <f>IFERROR(MID(VLOOKUP($B283,Seqs!$A:$B,2,0),E283,1),"")</f>
        <v>Y</v>
      </c>
      <c r="E283" s="3">
        <v>53</v>
      </c>
      <c r="F283" s="3" t="str">
        <f>IFERROR(MID(VLOOKUP($B283,Seqs!$A:$B,2,0),G283,1),"")</f>
        <v>N</v>
      </c>
      <c r="G283" s="3">
        <v>82</v>
      </c>
      <c r="H283" s="3" t="str">
        <f>IFERROR(MID(VLOOKUP($B283,Seqs!$A:$B,2,0),I283,1),"")</f>
        <v>H</v>
      </c>
      <c r="I283" s="23">
        <v>83</v>
      </c>
      <c r="J283" s="3" t="str">
        <f>IFERROR(MID(VLOOKUP($B283,Seqs!$A:$B,2,0),K283,1),"")</f>
        <v>R</v>
      </c>
      <c r="K283" s="23">
        <v>86</v>
      </c>
      <c r="L283" s="3" t="str">
        <f>IFERROR(MID(VLOOKUP($B283,Seqs!$A:$B,2,0),M283,1),"")</f>
        <v>T</v>
      </c>
      <c r="M283" s="3">
        <v>87</v>
      </c>
      <c r="N283" s="3" t="str">
        <f>IFERROR(MID(VLOOKUP($B283,Seqs!$A:$B,2,0),O283,1),"")</f>
        <v>E</v>
      </c>
      <c r="O283" s="3">
        <v>118</v>
      </c>
      <c r="P283" s="3" t="str">
        <f>IFERROR(MID(VLOOKUP($B283,Seqs!$A:$B,2,0),Q283,1),"")</f>
        <v>T</v>
      </c>
      <c r="Q283" s="3">
        <v>119</v>
      </c>
      <c r="R283" s="3" t="str">
        <f>IFERROR(MID(VLOOKUP($B283,Seqs!$A:$B,2,0),S283,1),"")</f>
        <v>F</v>
      </c>
      <c r="S283" s="3">
        <v>122</v>
      </c>
      <c r="T283" s="3" t="str">
        <f>IFERROR(MID(VLOOKUP($B283,Seqs!$A:$B,2,0),U283,1),"")</f>
        <v>G</v>
      </c>
      <c r="U283" s="3">
        <v>123</v>
      </c>
      <c r="V283" s="3" t="str">
        <f>IFERROR(MID(VLOOKUP($B283,Seqs!$A:$B,2,0),W283,1),"")</f>
        <v>H</v>
      </c>
      <c r="W283" s="3">
        <v>158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T</v>
      </c>
      <c r="AC283" s="3">
        <v>165</v>
      </c>
      <c r="AD283" s="3" t="str">
        <f>IFERROR(MID(VLOOKUP($B283,Seqs!$A:$B,2,0),AE283,1),"")</f>
        <v>M</v>
      </c>
      <c r="AE283" s="3">
        <v>191</v>
      </c>
      <c r="AF283" s="3" t="str">
        <f>IFERROR(MID(VLOOKUP($B283,Seqs!$A:$B,2,0),AG283,1),"")</f>
        <v>C</v>
      </c>
      <c r="AG283" s="3">
        <v>210</v>
      </c>
      <c r="AH283" s="3" t="str">
        <f>IFERROR(MID(VLOOKUP($B283,Seqs!$A:$B,2,0),AI283,1),"")</f>
        <v>E</v>
      </c>
      <c r="AI283" s="3">
        <v>212</v>
      </c>
      <c r="AJ283" s="3" t="str">
        <f>IFERROR(MID(VLOOKUP($B283,Seqs!$A:$B,2,0),AK283,1),"")</f>
        <v>I</v>
      </c>
      <c r="AK283" s="3">
        <v>218</v>
      </c>
      <c r="AL283" s="3" t="str">
        <f>IFERROR(MID(VLOOKUP($B283,Seqs!$A:$B,2,0),AM283,1),"")</f>
        <v>C</v>
      </c>
      <c r="AM283" s="3">
        <v>252</v>
      </c>
      <c r="AN283" s="3" t="str">
        <f>IFERROR(MID(VLOOKUP($B283,Seqs!$A:$B,2,0),AO283,1),"")</f>
        <v>K</v>
      </c>
      <c r="AO283" s="3">
        <v>294</v>
      </c>
      <c r="AP283" s="3" t="str">
        <f>IFERROR(MID(VLOOKUP($B283,Seqs!$A:$B,2,0),AQ283,1),"")</f>
        <v>F</v>
      </c>
      <c r="AQ283" s="3">
        <v>330</v>
      </c>
      <c r="AR283" s="3" t="str">
        <f>IFERROR(MID(VLOOKUP($B283,Seqs!$A:$B,2,0),AS283,1),"")</f>
        <v>D</v>
      </c>
      <c r="AS283" s="3">
        <v>338</v>
      </c>
      <c r="AT283" s="3" t="str">
        <f>IFERROR(MID(VLOOKUP($B283,Seqs!$A:$B,2,0),AU283,1),"")</f>
        <v>L</v>
      </c>
      <c r="AU283" s="3">
        <v>367</v>
      </c>
      <c r="AV283" s="3" t="str">
        <f>IFERROR(MID(VLOOKUP($B283,Seqs!$A:$B,2,0),AW283,1),"")</f>
        <v>S</v>
      </c>
      <c r="AW283" s="3">
        <v>368</v>
      </c>
      <c r="AX283" s="3" t="str">
        <f>IFERROR(MID(VLOOKUP($B283,Seqs!$A:$B,2,0),AY283,1),"")</f>
        <v>C</v>
      </c>
      <c r="AY283" s="3">
        <v>383</v>
      </c>
      <c r="AZ283" s="77" t="str">
        <f>VLOOKUP(B283,Classification!A:D,2,0)</f>
        <v>A</v>
      </c>
      <c r="BA283" s="94" t="str">
        <f>VLOOKUP(B283,Classification!A:D,4,0)</f>
        <v>Orexin</v>
      </c>
      <c r="BB283" s="27" t="b">
        <f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23">
        <f>_xlfn.AGGREGATE(9,6,CH283:CS283)-_xlfn.AGGREGATE(9,6,BV283:CG283)+12</f>
        <v>255</v>
      </c>
      <c r="BD283" s="2" t="s">
        <v>23</v>
      </c>
      <c r="BE283" s="3" t="s">
        <v>1374</v>
      </c>
      <c r="BF283" s="119">
        <v>1.96</v>
      </c>
      <c r="BG283" s="49" t="s">
        <v>1</v>
      </c>
      <c r="BH283" s="49" t="s">
        <v>1</v>
      </c>
      <c r="BI283" s="1"/>
      <c r="BJ283" s="70" t="s">
        <v>1287</v>
      </c>
      <c r="BK283" s="57" t="s">
        <v>1287</v>
      </c>
      <c r="BL283" s="57" t="s">
        <v>1287</v>
      </c>
      <c r="BM283" s="57" t="s">
        <v>1287</v>
      </c>
      <c r="BN283" s="57" t="s">
        <v>1287</v>
      </c>
      <c r="BO283" s="57" t="s">
        <v>1287</v>
      </c>
      <c r="BP283" s="57" t="s">
        <v>1287</v>
      </c>
      <c r="BQ283" s="57" t="s">
        <v>1287</v>
      </c>
      <c r="BR283" s="57" t="s">
        <v>1287</v>
      </c>
      <c r="BS283" s="57" t="s">
        <v>1287</v>
      </c>
      <c r="BT283" s="57" t="s">
        <v>1287</v>
      </c>
      <c r="BU283" s="57" t="s">
        <v>1287</v>
      </c>
      <c r="BV283" s="70">
        <f>E283</f>
        <v>53</v>
      </c>
      <c r="BW283" s="71">
        <f>I283</f>
        <v>83</v>
      </c>
      <c r="BX283" s="72">
        <f>M283</f>
        <v>87</v>
      </c>
      <c r="BY283" s="71">
        <f>Q283</f>
        <v>119</v>
      </c>
      <c r="BZ283" s="72">
        <f>U283</f>
        <v>123</v>
      </c>
      <c r="CA283" s="71" t="str">
        <f>Y283</f>
        <v>-</v>
      </c>
      <c r="CB283" s="72">
        <f>AC283</f>
        <v>165</v>
      </c>
      <c r="CC283" s="71">
        <f>AG283</f>
        <v>210</v>
      </c>
      <c r="CD283" s="72">
        <f>AK283</f>
        <v>218</v>
      </c>
      <c r="CE283" s="71">
        <f>AO283</f>
        <v>294</v>
      </c>
      <c r="CF283" s="72">
        <f>AS283</f>
        <v>338</v>
      </c>
      <c r="CG283" s="71">
        <f>AW283</f>
        <v>368</v>
      </c>
      <c r="CH283" s="70">
        <f>G283</f>
        <v>82</v>
      </c>
      <c r="CI283" s="71">
        <f>K283</f>
        <v>86</v>
      </c>
      <c r="CJ283" s="72">
        <f>O283</f>
        <v>118</v>
      </c>
      <c r="CK283" s="72">
        <f>S283</f>
        <v>122</v>
      </c>
      <c r="CL283" s="72">
        <f>W283</f>
        <v>158</v>
      </c>
      <c r="CM283" s="72" t="str">
        <f>AA283</f>
        <v>-</v>
      </c>
      <c r="CN283" s="72">
        <f>AE283</f>
        <v>191</v>
      </c>
      <c r="CO283" s="72">
        <f>AI283</f>
        <v>212</v>
      </c>
      <c r="CP283" s="72">
        <f>AM283</f>
        <v>252</v>
      </c>
      <c r="CQ283" s="72">
        <f>AQ283</f>
        <v>330</v>
      </c>
      <c r="CR283" s="72">
        <f>AU283</f>
        <v>367</v>
      </c>
      <c r="CS283" s="72">
        <f>AY283</f>
        <v>383</v>
      </c>
      <c r="CT283" s="23">
        <f>M283-K283</f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30" x14ac:dyDescent="0.2">
      <c r="A284" s="3" t="str">
        <f>CONCATENATE(B284,"_",C284)</f>
        <v>ox2r_human_5WS3</v>
      </c>
      <c r="B284" s="3" t="s">
        <v>1175</v>
      </c>
      <c r="C284" s="3" t="s">
        <v>1448</v>
      </c>
      <c r="D284" s="3" t="str">
        <f>IFERROR(MID(VLOOKUP($B284,Seqs!$A:$B,2,0),E284,1),"")</f>
        <v>Y</v>
      </c>
      <c r="E284" s="3">
        <v>53</v>
      </c>
      <c r="F284" s="3" t="str">
        <f>IFERROR(MID(VLOOKUP($B284,Seqs!$A:$B,2,0),G284,1),"")</f>
        <v>N</v>
      </c>
      <c r="G284" s="3">
        <v>82</v>
      </c>
      <c r="H284" s="3" t="str">
        <f>IFERROR(MID(VLOOKUP($B284,Seqs!$A:$B,2,0),I284,1),"")</f>
        <v>H</v>
      </c>
      <c r="I284" s="23">
        <v>83</v>
      </c>
      <c r="J284" s="3" t="str">
        <f>IFERROR(MID(VLOOKUP($B284,Seqs!$A:$B,2,0),K284,1),"")</f>
        <v>R</v>
      </c>
      <c r="K284" s="23">
        <v>86</v>
      </c>
      <c r="L284" s="3" t="str">
        <f>IFERROR(MID(VLOOKUP($B284,Seqs!$A:$B,2,0),M284,1),"")</f>
        <v>T</v>
      </c>
      <c r="M284" s="3">
        <v>87</v>
      </c>
      <c r="N284" s="3" t="str">
        <f>IFERROR(MID(VLOOKUP($B284,Seqs!$A:$B,2,0),O284,1),"")</f>
        <v>E</v>
      </c>
      <c r="O284" s="3">
        <v>118</v>
      </c>
      <c r="P284" s="3" t="str">
        <f>IFERROR(MID(VLOOKUP($B284,Seqs!$A:$B,2,0),Q284,1),"")</f>
        <v>T</v>
      </c>
      <c r="Q284" s="3">
        <v>119</v>
      </c>
      <c r="R284" s="3" t="str">
        <f>IFERROR(MID(VLOOKUP($B284,Seqs!$A:$B,2,0),S284,1),"")</f>
        <v>F</v>
      </c>
      <c r="S284" s="3">
        <v>122</v>
      </c>
      <c r="T284" s="3" t="str">
        <f>IFERROR(MID(VLOOKUP($B284,Seqs!$A:$B,2,0),U284,1),"")</f>
        <v>G</v>
      </c>
      <c r="U284" s="3">
        <v>123</v>
      </c>
      <c r="V284" s="3" t="str">
        <f>IFERROR(MID(VLOOKUP($B284,Seqs!$A:$B,2,0),W284,1),"")</f>
        <v>H</v>
      </c>
      <c r="W284" s="3">
        <v>158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T</v>
      </c>
      <c r="AC284" s="3">
        <v>165</v>
      </c>
      <c r="AD284" s="3" t="str">
        <f>IFERROR(MID(VLOOKUP($B284,Seqs!$A:$B,2,0),AE284,1),"")</f>
        <v>M</v>
      </c>
      <c r="AE284" s="3">
        <v>191</v>
      </c>
      <c r="AF284" s="3" t="str">
        <f>IFERROR(MID(VLOOKUP($B284,Seqs!$A:$B,2,0),AG284,1),"")</f>
        <v>C</v>
      </c>
      <c r="AG284" s="3">
        <v>210</v>
      </c>
      <c r="AH284" s="3" t="str">
        <f>IFERROR(MID(VLOOKUP($B284,Seqs!$A:$B,2,0),AI284,1),"")</f>
        <v>E</v>
      </c>
      <c r="AI284" s="3">
        <v>212</v>
      </c>
      <c r="AJ284" s="3" t="str">
        <f>IFERROR(MID(VLOOKUP($B284,Seqs!$A:$B,2,0),AK284,1),"")</f>
        <v>I</v>
      </c>
      <c r="AK284" s="3">
        <v>218</v>
      </c>
      <c r="AL284" s="3" t="str">
        <f>IFERROR(MID(VLOOKUP($B284,Seqs!$A:$B,2,0),AM284,1),"")</f>
        <v>C</v>
      </c>
      <c r="AM284" s="3">
        <v>252</v>
      </c>
      <c r="AN284" s="3" t="str">
        <f>IFERROR(MID(VLOOKUP($B284,Seqs!$A:$B,2,0),AO284,1),"")</f>
        <v>K</v>
      </c>
      <c r="AO284" s="3">
        <v>294</v>
      </c>
      <c r="AP284" s="3" t="str">
        <f>IFERROR(MID(VLOOKUP($B284,Seqs!$A:$B,2,0),AQ284,1),"")</f>
        <v>F</v>
      </c>
      <c r="AQ284" s="3">
        <v>330</v>
      </c>
      <c r="AR284" s="3" t="str">
        <f>IFERROR(MID(VLOOKUP($B284,Seqs!$A:$B,2,0),AS284,1),"")</f>
        <v>D</v>
      </c>
      <c r="AS284" s="3">
        <v>338</v>
      </c>
      <c r="AT284" s="3" t="str">
        <f>IFERROR(MID(VLOOKUP($B284,Seqs!$A:$B,2,0),AU284,1),"")</f>
        <v>L</v>
      </c>
      <c r="AU284" s="3">
        <v>367</v>
      </c>
      <c r="AV284" s="3" t="str">
        <f>IFERROR(MID(VLOOKUP($B284,Seqs!$A:$B,2,0),AW284,1),"")</f>
        <v>S</v>
      </c>
      <c r="AW284" s="3">
        <v>368</v>
      </c>
      <c r="AX284" s="3" t="str">
        <f>IFERROR(MID(VLOOKUP($B284,Seqs!$A:$B,2,0),AY284,1),"")</f>
        <v>C</v>
      </c>
      <c r="AY284" s="3">
        <v>383</v>
      </c>
      <c r="AZ284" s="77" t="str">
        <f>VLOOKUP(B284,Classification!A:D,2,0)</f>
        <v>A</v>
      </c>
      <c r="BA284" s="94" t="str">
        <f>VLOOKUP(B284,Classification!A:D,4,0)</f>
        <v>Orexin</v>
      </c>
      <c r="BB284" s="27" t="b">
        <f>AND(E284&lt;G284,OR(G284&lt;I284,I284="-"),OR(I284&lt;K284,I284="-"),OR(K284&lt;M284,K284="-"),M284&lt;O284,OR(O284&lt;Q284,Q284="-"),OR(Q284&lt;S284,Q284="-"),OR(S284&lt;U284,S284="-"),U284&lt;W284,OR(W284&lt;Y284,Y284="-"),OR(Y284&lt;AA284,Y284="-"),OR(AA284&lt;AC284,AA284="-"),AC284&lt;AE284,OR(AE284&lt;AG284,AG284="-"),OR(AG284&lt;AI284,AG284="-"),OR(AI284&lt;AK284,AI284="-"),AK284&lt;AM284,AM284&lt;AO284,AO284&lt;AQ284,AQ284&lt;AS284,AS284&lt;AU284,OR(AU284&lt;AW284,AW284="-"),OR(AW284&lt;AY284,AW284="-"))</f>
        <v>1</v>
      </c>
      <c r="BC284" s="23">
        <f>_xlfn.AGGREGATE(9,6,CH284:CS284)-_xlfn.AGGREGATE(9,6,BV284:CG284)+12</f>
        <v>255</v>
      </c>
      <c r="BD284" s="2" t="s">
        <v>1376</v>
      </c>
      <c r="BE284" s="3" t="s">
        <v>1374</v>
      </c>
      <c r="BF284" s="119">
        <v>2.2999999999999998</v>
      </c>
      <c r="BG284" s="49" t="s">
        <v>1</v>
      </c>
      <c r="BH284" s="49" t="s">
        <v>1</v>
      </c>
      <c r="BI284" s="1"/>
      <c r="BJ284" s="70" t="s">
        <v>1287</v>
      </c>
      <c r="BK284" s="57" t="s">
        <v>1287</v>
      </c>
      <c r="BL284" s="57" t="s">
        <v>1287</v>
      </c>
      <c r="BM284" s="57" t="s">
        <v>1287</v>
      </c>
      <c r="BN284" s="57" t="s">
        <v>1287</v>
      </c>
      <c r="BO284" s="57" t="s">
        <v>1287</v>
      </c>
      <c r="BP284" s="57" t="s">
        <v>1287</v>
      </c>
      <c r="BQ284" s="57" t="s">
        <v>1287</v>
      </c>
      <c r="BR284" s="57" t="s">
        <v>1287</v>
      </c>
      <c r="BS284" s="57" t="s">
        <v>1287</v>
      </c>
      <c r="BT284" s="57" t="s">
        <v>1287</v>
      </c>
      <c r="BU284" s="57" t="s">
        <v>1287</v>
      </c>
      <c r="BV284" s="70">
        <f>E284</f>
        <v>53</v>
      </c>
      <c r="BW284" s="71">
        <f>I284</f>
        <v>83</v>
      </c>
      <c r="BX284" s="72">
        <f>M284</f>
        <v>87</v>
      </c>
      <c r="BY284" s="71">
        <f>Q284</f>
        <v>119</v>
      </c>
      <c r="BZ284" s="72">
        <f>U284</f>
        <v>123</v>
      </c>
      <c r="CA284" s="71" t="str">
        <f>Y284</f>
        <v>-</v>
      </c>
      <c r="CB284" s="72">
        <f>AC284</f>
        <v>165</v>
      </c>
      <c r="CC284" s="71">
        <f>AG284</f>
        <v>210</v>
      </c>
      <c r="CD284" s="72">
        <f>AK284</f>
        <v>218</v>
      </c>
      <c r="CE284" s="71">
        <f>AO284</f>
        <v>294</v>
      </c>
      <c r="CF284" s="72">
        <f>AS284</f>
        <v>338</v>
      </c>
      <c r="CG284" s="71">
        <f>AW284</f>
        <v>368</v>
      </c>
      <c r="CH284" s="70">
        <f>G284</f>
        <v>82</v>
      </c>
      <c r="CI284" s="71">
        <f>K284</f>
        <v>86</v>
      </c>
      <c r="CJ284" s="72">
        <f>O284</f>
        <v>118</v>
      </c>
      <c r="CK284" s="72">
        <f>S284</f>
        <v>122</v>
      </c>
      <c r="CL284" s="72">
        <f>W284</f>
        <v>158</v>
      </c>
      <c r="CM284" s="72" t="str">
        <f>AA284</f>
        <v>-</v>
      </c>
      <c r="CN284" s="72">
        <f>AE284</f>
        <v>191</v>
      </c>
      <c r="CO284" s="72">
        <f>AI284</f>
        <v>212</v>
      </c>
      <c r="CP284" s="72">
        <f>AM284</f>
        <v>252</v>
      </c>
      <c r="CQ284" s="72">
        <f>AQ284</f>
        <v>330</v>
      </c>
      <c r="CR284" s="72">
        <f>AU284</f>
        <v>367</v>
      </c>
      <c r="CS284" s="72">
        <f>AY284</f>
        <v>383</v>
      </c>
      <c r="CT284" s="23">
        <f>M284-K284</f>
        <v>1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30" x14ac:dyDescent="0.2">
      <c r="A285" s="3" t="str">
        <f t="shared" si="1591"/>
        <v>p2ry1_human__wt</v>
      </c>
      <c r="B285" s="3" t="s">
        <v>345</v>
      </c>
      <c r="C285" s="3" t="s">
        <v>100</v>
      </c>
      <c r="D285" s="3" t="str">
        <f>IFERROR(MID(VLOOKUP($B285,Seqs!$A:$B,2,0),E285,1),"")</f>
        <v>F</v>
      </c>
      <c r="E285" s="3">
        <v>49</v>
      </c>
      <c r="F285" s="3" t="str">
        <f>IFERROR(MID(VLOOKUP($B285,Seqs!$A:$B,2,0),G285,1),"")</f>
        <v>H</v>
      </c>
      <c r="G285" s="3">
        <v>79</v>
      </c>
      <c r="H285" s="3" t="str">
        <f>IFERROR(MID(VLOOKUP($B285,Seqs!$A:$B,2,0),I285,1),"")</f>
        <v/>
      </c>
      <c r="I285" s="23" t="s">
        <v>23</v>
      </c>
      <c r="J285" s="3" t="str">
        <f>IFERROR(MID(VLOOKUP($B285,Seqs!$A:$B,2,0),K285,1),"")</f>
        <v/>
      </c>
      <c r="K285" s="23" t="s">
        <v>23</v>
      </c>
      <c r="L285" s="3" t="str">
        <f>IFERROR(MID(VLOOKUP($B285,Seqs!$A:$B,2,0),M285,1),"")</f>
        <v>S</v>
      </c>
      <c r="M285" s="3">
        <v>84</v>
      </c>
      <c r="N285" s="3" t="str">
        <f>IFERROR(MID(VLOOKUP($B285,Seqs!$A:$B,2,0),O285,1),"")</f>
        <v>N</v>
      </c>
      <c r="O285" s="3">
        <v>113</v>
      </c>
      <c r="P285" s="3" t="str">
        <f>IFERROR(MID(VLOOKUP($B285,Seqs!$A:$B,2,0),Q285,1),"")</f>
        <v>D</v>
      </c>
      <c r="Q285" s="3">
        <v>116</v>
      </c>
      <c r="R285" s="3" t="str">
        <f>IFERROR(MID(VLOOKUP($B285,Seqs!$A:$B,2,0),S285,1),"")</f>
        <v>F</v>
      </c>
      <c r="S285" s="3">
        <v>119</v>
      </c>
      <c r="T285" s="3" t="str">
        <f>IFERROR(MID(VLOOKUP($B285,Seqs!$A:$B,2,0),U285,1),"")</f>
        <v>G</v>
      </c>
      <c r="U285" s="3">
        <v>120</v>
      </c>
      <c r="V285" s="3" t="str">
        <f>IFERROR(MID(VLOOKUP($B285,Seqs!$A:$B,2,0),W285,1),"")</f>
        <v>Y</v>
      </c>
      <c r="W285" s="3">
        <v>155</v>
      </c>
      <c r="X285" s="3" t="str">
        <f>IFERROR(MID(VLOOKUP($B285,Seqs!$A:$B,2,0),Y285,1),"")</f>
        <v>P</v>
      </c>
      <c r="Y285" s="3">
        <v>156</v>
      </c>
      <c r="Z285" s="3" t="str">
        <f>IFERROR(MID(VLOOKUP($B285,Seqs!$A:$B,2,0),AA285,1),"")</f>
        <v>L</v>
      </c>
      <c r="AA285" s="3">
        <v>163</v>
      </c>
      <c r="AB285" s="3" t="str">
        <f>IFERROR(MID(VLOOKUP($B285,Seqs!$A:$B,2,0),AC285,1),"")</f>
        <v>K</v>
      </c>
      <c r="AC285" s="3">
        <v>164</v>
      </c>
      <c r="AD285" s="3" t="str">
        <f>IFERROR(MID(VLOOKUP($B285,Seqs!$A:$B,2,0),AE285,1),"")</f>
        <v>S</v>
      </c>
      <c r="AE285" s="3">
        <v>190</v>
      </c>
      <c r="AF285" s="3" t="str">
        <f>IFERROR(MID(VLOOKUP($B285,Seqs!$A:$B,2,0),AG285,1),"")</f>
        <v>C</v>
      </c>
      <c r="AG285" s="3">
        <v>202</v>
      </c>
      <c r="AH285" s="3" t="str">
        <f>IFERROR(MID(VLOOKUP($B285,Seqs!$A:$B,2,0),AI285,1),"")</f>
        <v>D</v>
      </c>
      <c r="AI285" s="3">
        <v>204</v>
      </c>
      <c r="AJ285" s="3" t="str">
        <f>IFERROR(MID(VLOOKUP($B285,Seqs!$A:$B,2,0),AK285,1),"")</f>
        <v>L</v>
      </c>
      <c r="AK285" s="3">
        <v>211</v>
      </c>
      <c r="AL285" s="3" t="str">
        <f>IFERROR(MID(VLOOKUP($B285,Seqs!$A:$B,2,0),AM285,1),"")</f>
        <v>K</v>
      </c>
      <c r="AM285" s="3">
        <v>247</v>
      </c>
      <c r="AN285" s="3" t="str">
        <f>IFERROR(MID(VLOOKUP($B285,Seqs!$A:$B,2,0),AO285,1),"")</f>
        <v>P</v>
      </c>
      <c r="AO285" s="3">
        <v>253</v>
      </c>
      <c r="AP285" s="3" t="str">
        <f>IFERROR(MID(VLOOKUP($B285,Seqs!$A:$B,2,0),AQ285,1),"")</f>
        <v>D</v>
      </c>
      <c r="AQ285" s="3">
        <v>289</v>
      </c>
      <c r="AR285" s="3" t="str">
        <f>IFERROR(MID(VLOOKUP($B285,Seqs!$A:$B,2,0),AS285,1),"")</f>
        <v>M</v>
      </c>
      <c r="AS285" s="3">
        <v>295</v>
      </c>
      <c r="AT285" s="3" t="str">
        <f>IFERROR(MID(VLOOKUP($B285,Seqs!$A:$B,2,0),AU285,1),"")</f>
        <v>A</v>
      </c>
      <c r="AU285" s="3">
        <v>327</v>
      </c>
      <c r="AV285" s="3" t="str">
        <f>IFERROR(MID(VLOOKUP($B285,Seqs!$A:$B,2,0),AW285,1),"")</f>
        <v>G</v>
      </c>
      <c r="AW285" s="3">
        <v>328</v>
      </c>
      <c r="AX285" s="3" t="str">
        <f>IFERROR(MID(VLOOKUP($B285,Seqs!$A:$B,2,0),AY285,1),"")</f>
        <v>R</v>
      </c>
      <c r="AY285" s="3">
        <v>340</v>
      </c>
      <c r="AZ285" s="77" t="str">
        <f>VLOOKUP(B285,Classification!A:D,2,0)</f>
        <v>A</v>
      </c>
      <c r="BA285" s="94" t="str">
        <f>VLOOKUP(B285,Classification!A:D,4,0)</f>
        <v>P2Y</v>
      </c>
      <c r="BB285" s="27" t="b">
        <f t="shared" si="1592"/>
        <v>1</v>
      </c>
      <c r="BC285" s="23">
        <f t="shared" si="1565"/>
        <v>260</v>
      </c>
      <c r="BD285" s="56" t="s">
        <v>23</v>
      </c>
      <c r="BE285" s="3" t="s">
        <v>23</v>
      </c>
      <c r="BF285" s="119" t="s">
        <v>23</v>
      </c>
      <c r="BG285" s="49" t="s">
        <v>1372</v>
      </c>
      <c r="BH285" s="49" t="s">
        <v>1377</v>
      </c>
      <c r="BI285" s="1"/>
      <c r="BJ285" s="70" t="s">
        <v>1287</v>
      </c>
      <c r="BK285" s="57" t="s">
        <v>1287</v>
      </c>
      <c r="BL285" s="57" t="s">
        <v>1287</v>
      </c>
      <c r="BM285" s="57" t="s">
        <v>1287</v>
      </c>
      <c r="BN285" s="57" t="s">
        <v>1287</v>
      </c>
      <c r="BO285" s="57" t="s">
        <v>1287</v>
      </c>
      <c r="BP285" s="57" t="s">
        <v>1287</v>
      </c>
      <c r="BQ285" s="57" t="s">
        <v>1287</v>
      </c>
      <c r="BR285" s="57" t="s">
        <v>1287</v>
      </c>
      <c r="BS285" s="57" t="s">
        <v>1287</v>
      </c>
      <c r="BT285" s="57" t="s">
        <v>1287</v>
      </c>
      <c r="BU285" s="57" t="s">
        <v>1287</v>
      </c>
      <c r="BV285" s="70">
        <f t="shared" si="1566"/>
        <v>49</v>
      </c>
      <c r="BW285" s="71" t="str">
        <f t="shared" si="1567"/>
        <v>-</v>
      </c>
      <c r="BX285" s="72">
        <f t="shared" si="1568"/>
        <v>84</v>
      </c>
      <c r="BY285" s="71">
        <f t="shared" si="1569"/>
        <v>116</v>
      </c>
      <c r="BZ285" s="72">
        <f t="shared" si="1570"/>
        <v>120</v>
      </c>
      <c r="CA285" s="71">
        <f t="shared" si="1571"/>
        <v>156</v>
      </c>
      <c r="CB285" s="72">
        <f t="shared" si="1572"/>
        <v>164</v>
      </c>
      <c r="CC285" s="71">
        <f t="shared" si="1573"/>
        <v>202</v>
      </c>
      <c r="CD285" s="72">
        <f t="shared" si="1574"/>
        <v>211</v>
      </c>
      <c r="CE285" s="71">
        <f t="shared" si="1575"/>
        <v>253</v>
      </c>
      <c r="CF285" s="72">
        <f t="shared" si="1576"/>
        <v>295</v>
      </c>
      <c r="CG285" s="71">
        <f t="shared" si="1577"/>
        <v>328</v>
      </c>
      <c r="CH285" s="70">
        <f t="shared" si="1578"/>
        <v>79</v>
      </c>
      <c r="CI285" s="71" t="str">
        <f t="shared" si="1579"/>
        <v>-</v>
      </c>
      <c r="CJ285" s="72">
        <f t="shared" si="1580"/>
        <v>113</v>
      </c>
      <c r="CK285" s="72">
        <f t="shared" si="1581"/>
        <v>119</v>
      </c>
      <c r="CL285" s="72">
        <f t="shared" si="1582"/>
        <v>155</v>
      </c>
      <c r="CM285" s="72">
        <f t="shared" si="1583"/>
        <v>163</v>
      </c>
      <c r="CN285" s="72">
        <f t="shared" si="1584"/>
        <v>190</v>
      </c>
      <c r="CO285" s="72">
        <f t="shared" si="1585"/>
        <v>204</v>
      </c>
      <c r="CP285" s="72">
        <f t="shared" si="1586"/>
        <v>247</v>
      </c>
      <c r="CQ285" s="72">
        <f t="shared" si="1587"/>
        <v>289</v>
      </c>
      <c r="CR285" s="72">
        <f t="shared" si="1588"/>
        <v>327</v>
      </c>
      <c r="CS285" s="72">
        <f t="shared" si="1589"/>
        <v>340</v>
      </c>
      <c r="CT285" s="23" t="e">
        <f t="shared" si="1590"/>
        <v>#VALUE!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30" x14ac:dyDescent="0.2">
      <c r="A286" s="3" t="str">
        <f t="shared" si="1591"/>
        <v>p2ry1_human_4XNV</v>
      </c>
      <c r="B286" s="3" t="s">
        <v>345</v>
      </c>
      <c r="C286" s="3" t="s">
        <v>1151</v>
      </c>
      <c r="D286" s="3" t="str">
        <f>IFERROR(MID(VLOOKUP($B286,Seqs!$A:$B,2,0),E286,1),"")</f>
        <v>F</v>
      </c>
      <c r="E286" s="3">
        <v>49</v>
      </c>
      <c r="F286" s="3" t="str">
        <f>IFERROR(MID(VLOOKUP($B286,Seqs!$A:$B,2,0),G286,1),"")</f>
        <v>H</v>
      </c>
      <c r="G286" s="3">
        <v>79</v>
      </c>
      <c r="H286" s="3" t="str">
        <f>IFERROR(MID(VLOOKUP($B286,Seqs!$A:$B,2,0),I286,1),"")</f>
        <v/>
      </c>
      <c r="I286" s="23" t="s">
        <v>23</v>
      </c>
      <c r="J286" s="3" t="str">
        <f>IFERROR(MID(VLOOKUP($B286,Seqs!$A:$B,2,0),K286,1),"")</f>
        <v/>
      </c>
      <c r="K286" s="23" t="s">
        <v>23</v>
      </c>
      <c r="L286" s="3" t="str">
        <f>IFERROR(MID(VLOOKUP($B286,Seqs!$A:$B,2,0),M286,1),"")</f>
        <v>S</v>
      </c>
      <c r="M286" s="3">
        <v>84</v>
      </c>
      <c r="N286" s="3" t="str">
        <f>IFERROR(MID(VLOOKUP($B286,Seqs!$A:$B,2,0),O286,1),"")</f>
        <v>N</v>
      </c>
      <c r="O286" s="3">
        <v>113</v>
      </c>
      <c r="P286" s="3" t="str">
        <f>IFERROR(MID(VLOOKUP($B286,Seqs!$A:$B,2,0),Q286,1),"")</f>
        <v>D</v>
      </c>
      <c r="Q286" s="3">
        <v>116</v>
      </c>
      <c r="R286" s="3" t="str">
        <f>IFERROR(MID(VLOOKUP($B286,Seqs!$A:$B,2,0),S286,1),"")</f>
        <v>F</v>
      </c>
      <c r="S286" s="3">
        <v>119</v>
      </c>
      <c r="T286" s="3" t="str">
        <f>IFERROR(MID(VLOOKUP($B286,Seqs!$A:$B,2,0),U286,1),"")</f>
        <v>G</v>
      </c>
      <c r="U286" s="3">
        <v>120</v>
      </c>
      <c r="V286" s="3" t="str">
        <f>IFERROR(MID(VLOOKUP($B286,Seqs!$A:$B,2,0),W286,1),"")</f>
        <v>Y</v>
      </c>
      <c r="W286" s="3">
        <v>155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G</v>
      </c>
      <c r="AC286" s="9">
        <v>161</v>
      </c>
      <c r="AD286" s="3" t="str">
        <f>IFERROR(MID(VLOOKUP($B286,Seqs!$A:$B,2,0),AE286,1),"")</f>
        <v>S</v>
      </c>
      <c r="AE286" s="3">
        <v>190</v>
      </c>
      <c r="AF286" s="3" t="str">
        <f>IFERROR(MID(VLOOKUP($B286,Seqs!$A:$B,2,0),AG286,1),"")</f>
        <v>C</v>
      </c>
      <c r="AG286" s="3">
        <v>202</v>
      </c>
      <c r="AH286" s="3" t="str">
        <f>IFERROR(MID(VLOOKUP($B286,Seqs!$A:$B,2,0),AI286,1),"")</f>
        <v>D</v>
      </c>
      <c r="AI286" s="3">
        <v>204</v>
      </c>
      <c r="AJ286" s="3" t="str">
        <f>IFERROR(MID(VLOOKUP($B286,Seqs!$A:$B,2,0),AK286,1),"")</f>
        <v>L</v>
      </c>
      <c r="AK286" s="3">
        <v>211</v>
      </c>
      <c r="AL286" s="3" t="str">
        <f>IFERROR(MID(VLOOKUP($B286,Seqs!$A:$B,2,0),AM286,1),"")</f>
        <v>K</v>
      </c>
      <c r="AM286" s="3">
        <v>247</v>
      </c>
      <c r="AN286" s="3" t="str">
        <f>IFERROR(MID(VLOOKUP($B286,Seqs!$A:$B,2,0),AO286,1),"")</f>
        <v>P</v>
      </c>
      <c r="AO286" s="3">
        <v>253</v>
      </c>
      <c r="AP286" s="3" t="str">
        <f>IFERROR(MID(VLOOKUP($B286,Seqs!$A:$B,2,0),AQ286,1),"")</f>
        <v>D</v>
      </c>
      <c r="AQ286" s="3">
        <v>289</v>
      </c>
      <c r="AR286" s="3" t="str">
        <f>IFERROR(MID(VLOOKUP($B286,Seqs!$A:$B,2,0),AS286,1),"")</f>
        <v>M</v>
      </c>
      <c r="AS286" s="3">
        <v>295</v>
      </c>
      <c r="AT286" s="3" t="str">
        <f>IFERROR(MID(VLOOKUP($B286,Seqs!$A:$B,2,0),AU286,1),"")</f>
        <v>L</v>
      </c>
      <c r="AU286" s="3">
        <v>326</v>
      </c>
      <c r="AV286" s="3" t="str">
        <f>IFERROR(MID(VLOOKUP($B286,Seqs!$A:$B,2,0),AW286,1),"")</f>
        <v/>
      </c>
      <c r="AW286" s="3" t="s">
        <v>23</v>
      </c>
      <c r="AX286" s="3" t="str">
        <f>IFERROR(MID(VLOOKUP($B286,Seqs!$A:$B,2,0),AY286,1),"")</f>
        <v/>
      </c>
      <c r="AY286" s="3" t="s">
        <v>23</v>
      </c>
      <c r="AZ286" s="77" t="str">
        <f>VLOOKUP(B286,Classification!A:D,2,0)</f>
        <v>A</v>
      </c>
      <c r="BA286" s="94" t="str">
        <f>VLOOKUP(B286,Classification!A:D,4,0)</f>
        <v>P2Y</v>
      </c>
      <c r="BB286" s="27" t="b">
        <f t="shared" si="1592"/>
        <v>1</v>
      </c>
      <c r="BC286" s="23">
        <f t="shared" si="1565"/>
        <v>243</v>
      </c>
      <c r="BD286" s="4" t="s">
        <v>23</v>
      </c>
      <c r="BE286" s="3" t="s">
        <v>1428</v>
      </c>
      <c r="BF286" s="119">
        <v>2.2000000000000002</v>
      </c>
      <c r="BG286" s="49" t="s">
        <v>1377</v>
      </c>
      <c r="BH286" s="49" t="s">
        <v>1377</v>
      </c>
      <c r="BI286" s="3" t="s">
        <v>1168</v>
      </c>
      <c r="BJ286" s="70" t="s">
        <v>1287</v>
      </c>
      <c r="BK286" s="57" t="s">
        <v>1287</v>
      </c>
      <c r="BL286" s="57" t="s">
        <v>1287</v>
      </c>
      <c r="BM286" s="57" t="s">
        <v>1287</v>
      </c>
      <c r="BN286" s="57" t="s">
        <v>1287</v>
      </c>
      <c r="BO286" s="57" t="s">
        <v>1287</v>
      </c>
      <c r="BP286" s="57" t="s">
        <v>1287</v>
      </c>
      <c r="BQ286" s="57" t="s">
        <v>1287</v>
      </c>
      <c r="BR286" s="57" t="s">
        <v>1287</v>
      </c>
      <c r="BS286" s="57" t="s">
        <v>1287</v>
      </c>
      <c r="BT286" s="57" t="s">
        <v>1287</v>
      </c>
      <c r="BU286" s="57" t="s">
        <v>1287</v>
      </c>
      <c r="BV286" s="70">
        <f t="shared" si="1566"/>
        <v>49</v>
      </c>
      <c r="BW286" s="71" t="str">
        <f t="shared" si="1567"/>
        <v>-</v>
      </c>
      <c r="BX286" s="72">
        <f t="shared" si="1568"/>
        <v>84</v>
      </c>
      <c r="BY286" s="71">
        <f t="shared" si="1569"/>
        <v>116</v>
      </c>
      <c r="BZ286" s="72">
        <f t="shared" si="1570"/>
        <v>120</v>
      </c>
      <c r="CA286" s="71" t="str">
        <f t="shared" si="1571"/>
        <v>-</v>
      </c>
      <c r="CB286" s="72">
        <f t="shared" si="1572"/>
        <v>161</v>
      </c>
      <c r="CC286" s="71">
        <f t="shared" si="1573"/>
        <v>202</v>
      </c>
      <c r="CD286" s="72">
        <f t="shared" si="1574"/>
        <v>211</v>
      </c>
      <c r="CE286" s="71">
        <f t="shared" si="1575"/>
        <v>253</v>
      </c>
      <c r="CF286" s="72">
        <f t="shared" si="1576"/>
        <v>295</v>
      </c>
      <c r="CG286" s="71" t="str">
        <f t="shared" si="1577"/>
        <v>-</v>
      </c>
      <c r="CH286" s="70">
        <f t="shared" si="1578"/>
        <v>79</v>
      </c>
      <c r="CI286" s="71" t="str">
        <f t="shared" si="1579"/>
        <v>-</v>
      </c>
      <c r="CJ286" s="72">
        <f t="shared" si="1580"/>
        <v>113</v>
      </c>
      <c r="CK286" s="72">
        <f t="shared" si="1581"/>
        <v>119</v>
      </c>
      <c r="CL286" s="72">
        <f t="shared" si="1582"/>
        <v>155</v>
      </c>
      <c r="CM286" s="72" t="str">
        <f t="shared" si="1583"/>
        <v>-</v>
      </c>
      <c r="CN286" s="72">
        <f t="shared" si="1584"/>
        <v>190</v>
      </c>
      <c r="CO286" s="72">
        <f t="shared" si="1585"/>
        <v>204</v>
      </c>
      <c r="CP286" s="72">
        <f t="shared" si="1586"/>
        <v>247</v>
      </c>
      <c r="CQ286" s="72">
        <f t="shared" si="1587"/>
        <v>289</v>
      </c>
      <c r="CR286" s="72">
        <f t="shared" si="1588"/>
        <v>326</v>
      </c>
      <c r="CS286" s="72" t="str">
        <f t="shared" si="1589"/>
        <v>-</v>
      </c>
      <c r="CT286" s="23" t="e">
        <f t="shared" si="1590"/>
        <v>#VALUE!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30" x14ac:dyDescent="0.2">
      <c r="A287" s="3" t="str">
        <f t="shared" si="1591"/>
        <v>p2ry1_human_4XNW</v>
      </c>
      <c r="B287" s="3" t="s">
        <v>345</v>
      </c>
      <c r="C287" s="3" t="s">
        <v>1055</v>
      </c>
      <c r="D287" s="3" t="str">
        <f>IFERROR(MID(VLOOKUP($B287,Seqs!$A:$B,2,0),E287,1),"")</f>
        <v>F</v>
      </c>
      <c r="E287" s="3">
        <v>49</v>
      </c>
      <c r="F287" s="3" t="str">
        <f>IFERROR(MID(VLOOKUP($B287,Seqs!$A:$B,2,0),G287,1),"")</f>
        <v>H</v>
      </c>
      <c r="G287" s="3">
        <v>79</v>
      </c>
      <c r="H287" s="3" t="str">
        <f>IFERROR(MID(VLOOKUP($B287,Seqs!$A:$B,2,0),I287,1),"")</f>
        <v/>
      </c>
      <c r="I287" s="23" t="s">
        <v>23</v>
      </c>
      <c r="J287" s="3" t="str">
        <f>IFERROR(MID(VLOOKUP($B287,Seqs!$A:$B,2,0),K287,1),"")</f>
        <v/>
      </c>
      <c r="K287" s="23" t="s">
        <v>23</v>
      </c>
      <c r="L287" s="3" t="str">
        <f>IFERROR(MID(VLOOKUP($B287,Seqs!$A:$B,2,0),M287,1),"")</f>
        <v>S</v>
      </c>
      <c r="M287" s="3">
        <v>84</v>
      </c>
      <c r="N287" s="3" t="str">
        <f>IFERROR(MID(VLOOKUP($B287,Seqs!$A:$B,2,0),O287,1),"")</f>
        <v>N</v>
      </c>
      <c r="O287" s="3">
        <v>113</v>
      </c>
      <c r="P287" s="3" t="str">
        <f>IFERROR(MID(VLOOKUP($B287,Seqs!$A:$B,2,0),Q287,1),"")</f>
        <v>D</v>
      </c>
      <c r="Q287" s="3">
        <v>116</v>
      </c>
      <c r="R287" s="3" t="str">
        <f>IFERROR(MID(VLOOKUP($B287,Seqs!$A:$B,2,0),S287,1),"")</f>
        <v>F</v>
      </c>
      <c r="S287" s="3">
        <v>119</v>
      </c>
      <c r="T287" s="3" t="str">
        <f>IFERROR(MID(VLOOKUP($B287,Seqs!$A:$B,2,0),U287,1),"")</f>
        <v>G</v>
      </c>
      <c r="U287" s="3">
        <v>120</v>
      </c>
      <c r="V287" s="3" t="str">
        <f>IFERROR(MID(VLOOKUP($B287,Seqs!$A:$B,2,0),W287,1),"")</f>
        <v>Y</v>
      </c>
      <c r="W287" s="3">
        <v>155</v>
      </c>
      <c r="X287" s="3" t="str">
        <f>IFERROR(MID(VLOOKUP($B287,Seqs!$A:$B,2,0),Y287,1),"")</f>
        <v>P</v>
      </c>
      <c r="Y287" s="3">
        <v>156</v>
      </c>
      <c r="Z287" s="3" t="str">
        <f>IFERROR(MID(VLOOKUP($B287,Seqs!$A:$B,2,0),AA287,1),"")</f>
        <v>L</v>
      </c>
      <c r="AA287" s="3">
        <v>163</v>
      </c>
      <c r="AB287" s="3" t="str">
        <f>IFERROR(MID(VLOOKUP($B287,Seqs!$A:$B,2,0),AC287,1),"")</f>
        <v>K</v>
      </c>
      <c r="AC287" s="9">
        <v>164</v>
      </c>
      <c r="AD287" s="3" t="str">
        <f>IFERROR(MID(VLOOKUP($B287,Seqs!$A:$B,2,0),AE287,1),"")</f>
        <v>S</v>
      </c>
      <c r="AE287" s="3">
        <v>190</v>
      </c>
      <c r="AF287" s="3" t="str">
        <f>IFERROR(MID(VLOOKUP($B287,Seqs!$A:$B,2,0),AG287,1),"")</f>
        <v>C</v>
      </c>
      <c r="AG287" s="3">
        <v>202</v>
      </c>
      <c r="AH287" s="3" t="str">
        <f>IFERROR(MID(VLOOKUP($B287,Seqs!$A:$B,2,0),AI287,1),"")</f>
        <v>D</v>
      </c>
      <c r="AI287" s="3">
        <v>204</v>
      </c>
      <c r="AJ287" s="3" t="str">
        <f>IFERROR(MID(VLOOKUP($B287,Seqs!$A:$B,2,0),AK287,1),"")</f>
        <v>L</v>
      </c>
      <c r="AK287" s="3">
        <v>211</v>
      </c>
      <c r="AL287" s="3" t="str">
        <f>IFERROR(MID(VLOOKUP($B287,Seqs!$A:$B,2,0),AM287,1),"")</f>
        <v>K</v>
      </c>
      <c r="AM287" s="3">
        <v>247</v>
      </c>
      <c r="AN287" s="3" t="str">
        <f>IFERROR(MID(VLOOKUP($B287,Seqs!$A:$B,2,0),AO287,1),"")</f>
        <v>P</v>
      </c>
      <c r="AO287" s="3">
        <v>253</v>
      </c>
      <c r="AP287" s="3" t="str">
        <f>IFERROR(MID(VLOOKUP($B287,Seqs!$A:$B,2,0),AQ287,1),"")</f>
        <v>D</v>
      </c>
      <c r="AQ287" s="3">
        <v>289</v>
      </c>
      <c r="AR287" s="3" t="str">
        <f>IFERROR(MID(VLOOKUP($B287,Seqs!$A:$B,2,0),AS287,1),"")</f>
        <v>M</v>
      </c>
      <c r="AS287" s="3">
        <v>295</v>
      </c>
      <c r="AT287" s="3" t="str">
        <f>IFERROR(MID(VLOOKUP($B287,Seqs!$A:$B,2,0),AU287,1),"")</f>
        <v>L</v>
      </c>
      <c r="AU287" s="3">
        <v>326</v>
      </c>
      <c r="AV287" s="3" t="str">
        <f>IFERROR(MID(VLOOKUP($B287,Seqs!$A:$B,2,0),AW287,1),"")</f>
        <v/>
      </c>
      <c r="AW287" s="3" t="s">
        <v>23</v>
      </c>
      <c r="AX287" s="3" t="str">
        <f>IFERROR(MID(VLOOKUP($B287,Seqs!$A:$B,2,0),AY287,1),"")</f>
        <v/>
      </c>
      <c r="AY287" s="3" t="s">
        <v>23</v>
      </c>
      <c r="AZ287" s="77" t="str">
        <f>VLOOKUP(B287,Classification!A:D,2,0)</f>
        <v>A</v>
      </c>
      <c r="BA287" s="94" t="str">
        <f>VLOOKUP(B287,Classification!A:D,4,0)</f>
        <v>P2Y</v>
      </c>
      <c r="BB287" s="27" t="b">
        <f t="shared" si="1592"/>
        <v>1</v>
      </c>
      <c r="BC287" s="23">
        <f t="shared" si="1565"/>
        <v>247</v>
      </c>
      <c r="BD287" s="2" t="s">
        <v>1429</v>
      </c>
      <c r="BE287" s="3" t="s">
        <v>1428</v>
      </c>
      <c r="BF287" s="119">
        <v>2.7</v>
      </c>
      <c r="BG287" s="49" t="s">
        <v>1377</v>
      </c>
      <c r="BH287" s="49" t="s">
        <v>1377</v>
      </c>
      <c r="BI287" s="1"/>
      <c r="BJ287" s="70" t="s">
        <v>1287</v>
      </c>
      <c r="BK287" s="57" t="s">
        <v>1287</v>
      </c>
      <c r="BL287" s="57" t="s">
        <v>1287</v>
      </c>
      <c r="BM287" s="57" t="s">
        <v>1287</v>
      </c>
      <c r="BN287" s="57" t="s">
        <v>1287</v>
      </c>
      <c r="BO287" s="57" t="s">
        <v>1287</v>
      </c>
      <c r="BP287" s="57" t="s">
        <v>1287</v>
      </c>
      <c r="BQ287" s="57" t="s">
        <v>1287</v>
      </c>
      <c r="BR287" s="57" t="s">
        <v>1287</v>
      </c>
      <c r="BS287" s="57" t="s">
        <v>1287</v>
      </c>
      <c r="BT287" s="57" t="s">
        <v>1287</v>
      </c>
      <c r="BU287" s="57" t="s">
        <v>1287</v>
      </c>
      <c r="BV287" s="70">
        <f t="shared" si="1566"/>
        <v>49</v>
      </c>
      <c r="BW287" s="71" t="str">
        <f t="shared" si="1567"/>
        <v>-</v>
      </c>
      <c r="BX287" s="72">
        <f t="shared" si="1568"/>
        <v>84</v>
      </c>
      <c r="BY287" s="71">
        <f t="shared" si="1569"/>
        <v>116</v>
      </c>
      <c r="BZ287" s="72">
        <f t="shared" si="1570"/>
        <v>120</v>
      </c>
      <c r="CA287" s="71">
        <f t="shared" si="1571"/>
        <v>156</v>
      </c>
      <c r="CB287" s="72">
        <f t="shared" si="1572"/>
        <v>164</v>
      </c>
      <c r="CC287" s="71">
        <f t="shared" si="1573"/>
        <v>202</v>
      </c>
      <c r="CD287" s="72">
        <f t="shared" si="1574"/>
        <v>211</v>
      </c>
      <c r="CE287" s="71">
        <f t="shared" si="1575"/>
        <v>253</v>
      </c>
      <c r="CF287" s="72">
        <f t="shared" si="1576"/>
        <v>295</v>
      </c>
      <c r="CG287" s="71" t="str">
        <f t="shared" si="1577"/>
        <v>-</v>
      </c>
      <c r="CH287" s="70">
        <f t="shared" si="1578"/>
        <v>79</v>
      </c>
      <c r="CI287" s="71" t="str">
        <f t="shared" si="1579"/>
        <v>-</v>
      </c>
      <c r="CJ287" s="72">
        <f t="shared" si="1580"/>
        <v>113</v>
      </c>
      <c r="CK287" s="72">
        <f t="shared" si="1581"/>
        <v>119</v>
      </c>
      <c r="CL287" s="72">
        <f t="shared" si="1582"/>
        <v>155</v>
      </c>
      <c r="CM287" s="72">
        <f t="shared" si="1583"/>
        <v>163</v>
      </c>
      <c r="CN287" s="72">
        <f t="shared" si="1584"/>
        <v>190</v>
      </c>
      <c r="CO287" s="72">
        <f t="shared" si="1585"/>
        <v>204</v>
      </c>
      <c r="CP287" s="72">
        <f t="shared" si="1586"/>
        <v>247</v>
      </c>
      <c r="CQ287" s="72">
        <f t="shared" si="1587"/>
        <v>289</v>
      </c>
      <c r="CR287" s="72">
        <f t="shared" si="1588"/>
        <v>326</v>
      </c>
      <c r="CS287" s="72" t="str">
        <f t="shared" si="1589"/>
        <v>-</v>
      </c>
      <c r="CT287" s="23" t="e">
        <f t="shared" si="1590"/>
        <v>#VALUE!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30" x14ac:dyDescent="0.2">
      <c r="A288" s="3" t="str">
        <f t="shared" si="1591"/>
        <v>p2y12_human__wt</v>
      </c>
      <c r="B288" s="3" t="s">
        <v>352</v>
      </c>
      <c r="C288" s="3" t="s">
        <v>100</v>
      </c>
      <c r="D288" s="3" t="str">
        <f>IFERROR(MID(VLOOKUP($B288,Seqs!$A:$B,2,0),E288,1),"")</f>
        <v>Y</v>
      </c>
      <c r="E288" s="3">
        <v>21</v>
      </c>
      <c r="F288" s="3" t="str">
        <f>IFERROR(MID(VLOOKUP($B288,Seqs!$A:$B,2,0),G288,1),"")</f>
        <v>I</v>
      </c>
      <c r="G288" s="3">
        <v>53</v>
      </c>
      <c r="H288" s="3" t="str">
        <f>IFERROR(MID(VLOOKUP($B288,Seqs!$A:$B,2,0),I288,1),"")</f>
        <v/>
      </c>
      <c r="I288" s="23" t="s">
        <v>23</v>
      </c>
      <c r="J288" s="3" t="str">
        <f>IFERROR(MID(VLOOKUP($B288,Seqs!$A:$B,2,0),K288,1),"")</f>
        <v/>
      </c>
      <c r="K288" s="23" t="s">
        <v>23</v>
      </c>
      <c r="L288" s="3" t="str">
        <f>IFERROR(MID(VLOOKUP($B288,Seqs!$A:$B,2,0),M288,1),"")</f>
        <v>S</v>
      </c>
      <c r="M288" s="3">
        <v>57</v>
      </c>
      <c r="N288" s="3" t="str">
        <f>IFERROR(MID(VLOOKUP($B288,Seqs!$A:$B,2,0),O288,1),"")</f>
        <v>K</v>
      </c>
      <c r="O288" s="3">
        <v>86</v>
      </c>
      <c r="P288" s="3" t="str">
        <f>IFERROR(MID(VLOOKUP($B288,Seqs!$A:$B,2,0),Q288,1),"")</f>
        <v/>
      </c>
      <c r="Q288" s="3" t="s">
        <v>23</v>
      </c>
      <c r="R288" s="3" t="str">
        <f>IFERROR(MID(VLOOKUP($B288,Seqs!$A:$B,2,0),S288,1),"")</f>
        <v/>
      </c>
      <c r="S288" s="3" t="s">
        <v>23</v>
      </c>
      <c r="T288" s="3" t="str">
        <f>IFERROR(MID(VLOOKUP($B288,Seqs!$A:$B,2,0),U288,1),"")</f>
        <v>G</v>
      </c>
      <c r="U288" s="3">
        <v>90</v>
      </c>
      <c r="V288" s="3" t="str">
        <f>IFERROR(MID(VLOOKUP($B288,Seqs!$A:$B,2,0),W288,1),"")</f>
        <v>R</v>
      </c>
      <c r="W288" s="3">
        <v>128</v>
      </c>
      <c r="X288" s="3" t="str">
        <f>IFERROR(MID(VLOOKUP($B288,Seqs!$A:$B,2,0),Y288,1),"")</f>
        <v>P</v>
      </c>
      <c r="Y288" s="3">
        <v>129</v>
      </c>
      <c r="Z288" s="3" t="str">
        <f>IFERROR(MID(VLOOKUP($B288,Seqs!$A:$B,2,0),AA288,1),"")</f>
        <v>K</v>
      </c>
      <c r="AA288" s="73">
        <v>136</v>
      </c>
      <c r="AB288" s="3" t="str">
        <f>IFERROR(MID(VLOOKUP($B288,Seqs!$A:$B,2,0),AC288,1),"")</f>
        <v>N</v>
      </c>
      <c r="AC288" s="9">
        <v>137</v>
      </c>
      <c r="AD288" s="3" t="str">
        <f>IFERROR(MID(VLOOKUP($B288,Seqs!$A:$B,2,0),AE288,1),"")</f>
        <v>T</v>
      </c>
      <c r="AE288" s="3">
        <v>163</v>
      </c>
      <c r="AF288" s="3" t="str">
        <f>IFERROR(MID(VLOOKUP($B288,Seqs!$A:$B,2,0),AG288,1),"")</f>
        <v>C</v>
      </c>
      <c r="AG288" s="3">
        <v>175</v>
      </c>
      <c r="AH288" s="3" t="str">
        <f>IFERROR(MID(VLOOKUP($B288,Seqs!$A:$B,2,0),AI288,1),"")</f>
        <v>F</v>
      </c>
      <c r="AI288" s="3">
        <v>177</v>
      </c>
      <c r="AJ288" s="3" t="str">
        <f>IFERROR(MID(VLOOKUP($B288,Seqs!$A:$B,2,0),AK288,1),"")</f>
        <v>E</v>
      </c>
      <c r="AK288" s="3">
        <v>181</v>
      </c>
      <c r="AL288" s="3" t="str">
        <f>IFERROR(MID(VLOOKUP($B288,Seqs!$A:$B,2,0),AM288,1),"")</f>
        <v>T</v>
      </c>
      <c r="AM288" s="3">
        <v>223</v>
      </c>
      <c r="AN288" s="3" t="str">
        <f>IFERROR(MID(VLOOKUP($B288,Seqs!$A:$B,2,0),AO288,1),"")</f>
        <v>P</v>
      </c>
      <c r="AO288" s="3">
        <v>230</v>
      </c>
      <c r="AP288" s="3" t="str">
        <f>IFERROR(MID(VLOOKUP($B288,Seqs!$A:$B,2,0),AQ288,1),"")</f>
        <v>R</v>
      </c>
      <c r="AQ288" s="3">
        <v>265</v>
      </c>
      <c r="AR288" s="3" t="str">
        <f>IFERROR(MID(VLOOKUP($B288,Seqs!$A:$B,2,0),AS288,1),"")</f>
        <v>D</v>
      </c>
      <c r="AS288" s="3">
        <v>269</v>
      </c>
      <c r="AT288" s="3" t="str">
        <f>IFERROR(MID(VLOOKUP($B288,Seqs!$A:$B,2,0),AU288,1),"")</f>
        <v>L</v>
      </c>
      <c r="AU288" s="3">
        <v>301</v>
      </c>
      <c r="AV288" s="3" t="str">
        <f>IFERROR(MID(VLOOKUP($B288,Seqs!$A:$B,2,0),AW288,1),"")</f>
        <v>C</v>
      </c>
      <c r="AW288" s="3">
        <v>302</v>
      </c>
      <c r="AX288" s="3" t="str">
        <f>IFERROR(MID(VLOOKUP($B288,Seqs!$A:$B,2,0),AY288,1),"")</f>
        <v>M</v>
      </c>
      <c r="AY288" s="3">
        <v>312</v>
      </c>
      <c r="AZ288" s="77" t="str">
        <f>VLOOKUP(B288,Classification!A:D,2,0)</f>
        <v>A</v>
      </c>
      <c r="BA288" s="94" t="str">
        <f>VLOOKUP(B288,Classification!A:D,4,0)</f>
        <v>P2Y</v>
      </c>
      <c r="BB288" s="27" t="b">
        <f t="shared" si="1592"/>
        <v>1</v>
      </c>
      <c r="BC288" s="23">
        <f t="shared" si="1565"/>
        <v>265</v>
      </c>
      <c r="BD288" s="56" t="s">
        <v>23</v>
      </c>
      <c r="BE288" s="3" t="s">
        <v>23</v>
      </c>
      <c r="BF288" s="119" t="s">
        <v>23</v>
      </c>
      <c r="BG288" s="49" t="s">
        <v>1372</v>
      </c>
      <c r="BH288" s="49" t="s">
        <v>1377</v>
      </c>
      <c r="BI288" s="1"/>
      <c r="BJ288" s="70" t="s">
        <v>1287</v>
      </c>
      <c r="BK288" s="57" t="s">
        <v>1287</v>
      </c>
      <c r="BL288" s="57" t="s">
        <v>1287</v>
      </c>
      <c r="BM288" s="57" t="s">
        <v>1287</v>
      </c>
      <c r="BN288" s="57" t="s">
        <v>1287</v>
      </c>
      <c r="BO288" s="57" t="s">
        <v>1287</v>
      </c>
      <c r="BP288" s="57" t="s">
        <v>1287</v>
      </c>
      <c r="BQ288" s="57" t="s">
        <v>1287</v>
      </c>
      <c r="BR288" s="57" t="s">
        <v>1287</v>
      </c>
      <c r="BS288" s="57" t="s">
        <v>1287</v>
      </c>
      <c r="BT288" s="57" t="s">
        <v>1287</v>
      </c>
      <c r="BU288" s="57" t="s">
        <v>1287</v>
      </c>
      <c r="BV288" s="70">
        <f t="shared" si="1566"/>
        <v>21</v>
      </c>
      <c r="BW288" s="71" t="str">
        <f t="shared" si="1567"/>
        <v>-</v>
      </c>
      <c r="BX288" s="72">
        <f t="shared" si="1568"/>
        <v>57</v>
      </c>
      <c r="BY288" s="71" t="str">
        <f t="shared" si="1569"/>
        <v>-</v>
      </c>
      <c r="BZ288" s="72">
        <f t="shared" si="1570"/>
        <v>90</v>
      </c>
      <c r="CA288" s="71">
        <f t="shared" si="1571"/>
        <v>129</v>
      </c>
      <c r="CB288" s="72">
        <f t="shared" si="1572"/>
        <v>137</v>
      </c>
      <c r="CC288" s="71">
        <f t="shared" si="1573"/>
        <v>175</v>
      </c>
      <c r="CD288" s="72">
        <f t="shared" si="1574"/>
        <v>181</v>
      </c>
      <c r="CE288" s="71">
        <f t="shared" si="1575"/>
        <v>230</v>
      </c>
      <c r="CF288" s="72">
        <f t="shared" si="1576"/>
        <v>269</v>
      </c>
      <c r="CG288" s="71">
        <f t="shared" si="1577"/>
        <v>302</v>
      </c>
      <c r="CH288" s="70">
        <f t="shared" si="1578"/>
        <v>53</v>
      </c>
      <c r="CI288" s="71" t="str">
        <f t="shared" si="1579"/>
        <v>-</v>
      </c>
      <c r="CJ288" s="72">
        <f t="shared" si="1580"/>
        <v>86</v>
      </c>
      <c r="CK288" s="72" t="str">
        <f t="shared" si="1581"/>
        <v>-</v>
      </c>
      <c r="CL288" s="72">
        <f t="shared" si="1582"/>
        <v>128</v>
      </c>
      <c r="CM288" s="72">
        <f t="shared" si="1583"/>
        <v>136</v>
      </c>
      <c r="CN288" s="72">
        <f t="shared" si="1584"/>
        <v>163</v>
      </c>
      <c r="CO288" s="72">
        <f t="shared" si="1585"/>
        <v>177</v>
      </c>
      <c r="CP288" s="72">
        <f t="shared" si="1586"/>
        <v>223</v>
      </c>
      <c r="CQ288" s="72">
        <f t="shared" si="1587"/>
        <v>265</v>
      </c>
      <c r="CR288" s="72">
        <f t="shared" si="1588"/>
        <v>301</v>
      </c>
      <c r="CS288" s="72">
        <f t="shared" si="1589"/>
        <v>312</v>
      </c>
      <c r="CT288" s="23" t="e">
        <f t="shared" si="1590"/>
        <v>#VALUE!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29" x14ac:dyDescent="0.2">
      <c r="A289" s="3" t="str">
        <f t="shared" si="1591"/>
        <v>p2y12_human_4NTJ</v>
      </c>
      <c r="B289" s="3" t="s">
        <v>352</v>
      </c>
      <c r="C289" s="3" t="s">
        <v>1048</v>
      </c>
      <c r="D289" s="3" t="str">
        <f>IFERROR(MID(VLOOKUP($B289,Seqs!$A:$B,2,0),E289,1),"")</f>
        <v>Y</v>
      </c>
      <c r="E289" s="3">
        <v>21</v>
      </c>
      <c r="F289" s="3" t="str">
        <f>IFERROR(MID(VLOOKUP($B289,Seqs!$A:$B,2,0),G289,1),"")</f>
        <v>I</v>
      </c>
      <c r="G289" s="3">
        <v>53</v>
      </c>
      <c r="H289" s="3" t="str">
        <f>IFERROR(MID(VLOOKUP($B289,Seqs!$A:$B,2,0),I289,1),"")</f>
        <v/>
      </c>
      <c r="I289" s="23" t="s">
        <v>23</v>
      </c>
      <c r="J289" s="3" t="str">
        <f>IFERROR(MID(VLOOKUP($B289,Seqs!$A:$B,2,0),K289,1),"")</f>
        <v/>
      </c>
      <c r="K289" s="23" t="s">
        <v>23</v>
      </c>
      <c r="L289" s="3" t="str">
        <f>IFERROR(MID(VLOOKUP($B289,Seqs!$A:$B,2,0),M289,1),"")</f>
        <v>S</v>
      </c>
      <c r="M289" s="3">
        <v>57</v>
      </c>
      <c r="N289" s="3" t="str">
        <f>IFERROR(MID(VLOOKUP($B289,Seqs!$A:$B,2,0),O289,1),"")</f>
        <v>K</v>
      </c>
      <c r="O289" s="3">
        <v>86</v>
      </c>
      <c r="P289" s="3" t="str">
        <f>IFERROR(MID(VLOOKUP($B289,Seqs!$A:$B,2,0),Q289,1),"")</f>
        <v/>
      </c>
      <c r="Q289" s="3" t="s">
        <v>23</v>
      </c>
      <c r="R289" s="3" t="str">
        <f>IFERROR(MID(VLOOKUP($B289,Seqs!$A:$B,2,0),S289,1),"")</f>
        <v/>
      </c>
      <c r="S289" s="3" t="s">
        <v>23</v>
      </c>
      <c r="T289" s="3" t="str">
        <f>IFERROR(MID(VLOOKUP($B289,Seqs!$A:$B,2,0),U289,1),"")</f>
        <v>L</v>
      </c>
      <c r="U289" s="3">
        <v>92</v>
      </c>
      <c r="V289" s="3" t="str">
        <f>IFERROR(MID(VLOOKUP($B289,Seqs!$A:$B,2,0),W289,1),"")</f>
        <v>R</v>
      </c>
      <c r="W289" s="3">
        <v>128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N</v>
      </c>
      <c r="AC289" s="9">
        <v>137</v>
      </c>
      <c r="AD289" s="3" t="str">
        <f>IFERROR(MID(VLOOKUP($B289,Seqs!$A:$B,2,0),AE289,1),"")</f>
        <v>L</v>
      </c>
      <c r="AE289" s="3">
        <v>162</v>
      </c>
      <c r="AF289" s="3" t="str">
        <f>IFERROR(MID(VLOOKUP($B289,Seqs!$A:$B,2,0),AG289,1),"")</f>
        <v>C</v>
      </c>
      <c r="AG289" s="3">
        <v>175</v>
      </c>
      <c r="AH289" s="3" t="str">
        <f>IFERROR(MID(VLOOKUP($B289,Seqs!$A:$B,2,0),AI289,1),"")</f>
        <v>F</v>
      </c>
      <c r="AI289" s="3">
        <v>177</v>
      </c>
      <c r="AJ289" s="3" t="str">
        <f>IFERROR(MID(VLOOKUP($B289,Seqs!$A:$B,2,0),AK289,1),"")</f>
        <v>E</v>
      </c>
      <c r="AK289" s="3">
        <v>181</v>
      </c>
      <c r="AL289" s="3" t="str">
        <f>IFERROR(MID(VLOOKUP($B289,Seqs!$A:$B,2,0),AM289,1),"")</f>
        <v>T</v>
      </c>
      <c r="AM289" s="3">
        <v>223</v>
      </c>
      <c r="AN289" s="3" t="str">
        <f>IFERROR(MID(VLOOKUP($B289,Seqs!$A:$B,2,0),AO289,1),"")</f>
        <v>I</v>
      </c>
      <c r="AO289" s="3">
        <v>240</v>
      </c>
      <c r="AP289" s="3" t="str">
        <f>IFERROR(MID(VLOOKUP($B289,Seqs!$A:$B,2,0),AQ289,1),"")</f>
        <v>L</v>
      </c>
      <c r="AQ289" s="3">
        <v>261</v>
      </c>
      <c r="AR289" s="3" t="str">
        <f>IFERROR(MID(VLOOKUP($B289,Seqs!$A:$B,2,0),AS289,1),"")</f>
        <v>D</v>
      </c>
      <c r="AS289" s="3">
        <v>269</v>
      </c>
      <c r="AT289" s="3" t="str">
        <f>IFERROR(MID(VLOOKUP($B289,Seqs!$A:$B,2,0),AU289,1),"")</f>
        <v>L</v>
      </c>
      <c r="AU289" s="3">
        <v>301</v>
      </c>
      <c r="AV289" s="3" t="str">
        <f>IFERROR(MID(VLOOKUP($B289,Seqs!$A:$B,2,0),AW289,1),"")</f>
        <v>C</v>
      </c>
      <c r="AW289" s="3">
        <v>302</v>
      </c>
      <c r="AX289" s="3" t="str">
        <f>IFERROR(MID(VLOOKUP($B289,Seqs!$A:$B,2,0),AY289,1),"")</f>
        <v>M</v>
      </c>
      <c r="AY289" s="3">
        <v>312</v>
      </c>
      <c r="AZ289" s="77" t="str">
        <f>VLOOKUP(B289,Classification!A:D,2,0)</f>
        <v>A</v>
      </c>
      <c r="BA289" s="94" t="str">
        <f>VLOOKUP(B289,Classification!A:D,4,0)</f>
        <v>P2Y</v>
      </c>
      <c r="BB289" s="27" t="b">
        <f t="shared" si="1592"/>
        <v>1</v>
      </c>
      <c r="BC289" s="23">
        <f t="shared" si="1565"/>
        <v>241</v>
      </c>
      <c r="BD289" s="2" t="s">
        <v>1429</v>
      </c>
      <c r="BE289" s="3" t="s">
        <v>1428</v>
      </c>
      <c r="BF289" s="119">
        <v>2.62</v>
      </c>
      <c r="BG289" s="49" t="s">
        <v>1377</v>
      </c>
      <c r="BH289" s="49" t="s">
        <v>1377</v>
      </c>
      <c r="BI289" s="3" t="s">
        <v>1170</v>
      </c>
      <c r="BJ289" s="70" t="s">
        <v>1287</v>
      </c>
      <c r="BK289" s="57" t="s">
        <v>1287</v>
      </c>
      <c r="BL289" s="57" t="s">
        <v>1287</v>
      </c>
      <c r="BM289" s="57" t="s">
        <v>1287</v>
      </c>
      <c r="BN289" s="57" t="s">
        <v>1287</v>
      </c>
      <c r="BO289" s="57" t="s">
        <v>1287</v>
      </c>
      <c r="BP289" s="57" t="s">
        <v>1287</v>
      </c>
      <c r="BQ289" s="57" t="s">
        <v>1287</v>
      </c>
      <c r="BR289" s="57" t="s">
        <v>1287</v>
      </c>
      <c r="BS289" s="57" t="s">
        <v>1287</v>
      </c>
      <c r="BT289" s="57" t="s">
        <v>1287</v>
      </c>
      <c r="BU289" s="57" t="s">
        <v>1287</v>
      </c>
      <c r="BV289" s="70">
        <f t="shared" si="1566"/>
        <v>21</v>
      </c>
      <c r="BW289" s="71" t="str">
        <f t="shared" si="1567"/>
        <v>-</v>
      </c>
      <c r="BX289" s="72">
        <f t="shared" si="1568"/>
        <v>57</v>
      </c>
      <c r="BY289" s="71" t="str">
        <f t="shared" si="1569"/>
        <v>-</v>
      </c>
      <c r="BZ289" s="72">
        <f t="shared" si="1570"/>
        <v>92</v>
      </c>
      <c r="CA289" s="71" t="str">
        <f t="shared" si="1571"/>
        <v>-</v>
      </c>
      <c r="CB289" s="72">
        <f t="shared" si="1572"/>
        <v>137</v>
      </c>
      <c r="CC289" s="71">
        <f t="shared" si="1573"/>
        <v>175</v>
      </c>
      <c r="CD289" s="72">
        <f t="shared" si="1574"/>
        <v>181</v>
      </c>
      <c r="CE289" s="71">
        <f t="shared" si="1575"/>
        <v>240</v>
      </c>
      <c r="CF289" s="72">
        <f t="shared" si="1576"/>
        <v>269</v>
      </c>
      <c r="CG289" s="71">
        <f t="shared" si="1577"/>
        <v>302</v>
      </c>
      <c r="CH289" s="70">
        <f t="shared" si="1578"/>
        <v>53</v>
      </c>
      <c r="CI289" s="71" t="str">
        <f t="shared" si="1579"/>
        <v>-</v>
      </c>
      <c r="CJ289" s="72">
        <f t="shared" si="1580"/>
        <v>86</v>
      </c>
      <c r="CK289" s="72" t="str">
        <f t="shared" si="1581"/>
        <v>-</v>
      </c>
      <c r="CL289" s="72">
        <f t="shared" si="1582"/>
        <v>128</v>
      </c>
      <c r="CM289" s="72" t="str">
        <f t="shared" si="1583"/>
        <v>-</v>
      </c>
      <c r="CN289" s="72">
        <f t="shared" si="1584"/>
        <v>162</v>
      </c>
      <c r="CO289" s="72">
        <f t="shared" si="1585"/>
        <v>177</v>
      </c>
      <c r="CP289" s="72">
        <f t="shared" si="1586"/>
        <v>223</v>
      </c>
      <c r="CQ289" s="72">
        <f t="shared" si="1587"/>
        <v>261</v>
      </c>
      <c r="CR289" s="72">
        <f t="shared" si="1588"/>
        <v>301</v>
      </c>
      <c r="CS289" s="72">
        <f t="shared" si="1589"/>
        <v>312</v>
      </c>
      <c r="CT289" s="23" t="e">
        <f t="shared" si="1590"/>
        <v>#VALUE!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29" x14ac:dyDescent="0.2">
      <c r="A290" s="3" t="str">
        <f t="shared" si="1591"/>
        <v>p2y12_human_4PXZ</v>
      </c>
      <c r="B290" s="3" t="s">
        <v>352</v>
      </c>
      <c r="C290" s="3" t="s">
        <v>1152</v>
      </c>
      <c r="D290" s="3" t="str">
        <f>IFERROR(MID(VLOOKUP($B290,Seqs!$A:$B,2,0),E290,1),"")</f>
        <v>I</v>
      </c>
      <c r="E290" s="3">
        <v>23</v>
      </c>
      <c r="F290" s="3" t="str">
        <f>IFERROR(MID(VLOOKUP($B290,Seqs!$A:$B,2,0),G290,1),"")</f>
        <v>I</v>
      </c>
      <c r="G290" s="3">
        <v>53</v>
      </c>
      <c r="H290" s="3" t="str">
        <f>IFERROR(MID(VLOOKUP($B290,Seqs!$A:$B,2,0),I290,1),"")</f>
        <v/>
      </c>
      <c r="I290" s="23" t="s">
        <v>23</v>
      </c>
      <c r="J290" s="3" t="str">
        <f>IFERROR(MID(VLOOKUP($B290,Seqs!$A:$B,2,0),K290,1),"")</f>
        <v/>
      </c>
      <c r="K290" s="23" t="s">
        <v>23</v>
      </c>
      <c r="L290" s="3" t="str">
        <f>IFERROR(MID(VLOOKUP($B290,Seqs!$A:$B,2,0),M290,1),"")</f>
        <v>S</v>
      </c>
      <c r="M290" s="3">
        <v>57</v>
      </c>
      <c r="N290" s="3" t="str">
        <f>IFERROR(MID(VLOOKUP($B290,Seqs!$A:$B,2,0),O290,1),"")</f>
        <v>K</v>
      </c>
      <c r="O290" s="3">
        <v>86</v>
      </c>
      <c r="P290" s="3" t="str">
        <f>IFERROR(MID(VLOOKUP($B290,Seqs!$A:$B,2,0),Q290,1),"")</f>
        <v/>
      </c>
      <c r="Q290" s="3" t="s">
        <v>23</v>
      </c>
      <c r="R290" s="3" t="str">
        <f>IFERROR(MID(VLOOKUP($B290,Seqs!$A:$B,2,0),S290,1),"")</f>
        <v/>
      </c>
      <c r="S290" s="3" t="s">
        <v>23</v>
      </c>
      <c r="T290" s="3" t="str">
        <f>IFERROR(MID(VLOOKUP($B290,Seqs!$A:$B,2,0),U290,1),"")</f>
        <v>G</v>
      </c>
      <c r="U290" s="3">
        <v>90</v>
      </c>
      <c r="V290" s="3" t="str">
        <f>IFERROR(MID(VLOOKUP($B290,Seqs!$A:$B,2,0),W290,1),"")</f>
        <v>R</v>
      </c>
      <c r="W290" s="3">
        <v>128</v>
      </c>
      <c r="X290" s="3" t="str">
        <f>IFERROR(MID(VLOOKUP($B290,Seqs!$A:$B,2,0),Y290,1),"")</f>
        <v/>
      </c>
      <c r="Y290" s="3" t="s">
        <v>23</v>
      </c>
      <c r="Z290" s="3" t="str">
        <f>IFERROR(MID(VLOOKUP($B290,Seqs!$A:$B,2,0),AA290,1),"")</f>
        <v/>
      </c>
      <c r="AA290" s="3" t="s">
        <v>23</v>
      </c>
      <c r="AB290" s="3" t="str">
        <f>IFERROR(MID(VLOOKUP($B290,Seqs!$A:$B,2,0),AC290,1),"")</f>
        <v>N</v>
      </c>
      <c r="AC290" s="9">
        <v>137</v>
      </c>
      <c r="AD290" s="3" t="str">
        <f>IFERROR(MID(VLOOKUP($B290,Seqs!$A:$B,2,0),AE290,1),"")</f>
        <v>T</v>
      </c>
      <c r="AE290" s="3">
        <v>163</v>
      </c>
      <c r="AF290" s="3" t="str">
        <f>IFERROR(MID(VLOOKUP($B290,Seqs!$A:$B,2,0),AG290,1),"")</f>
        <v>C</v>
      </c>
      <c r="AG290" s="3">
        <v>175</v>
      </c>
      <c r="AH290" s="3" t="str">
        <f>IFERROR(MID(VLOOKUP($B290,Seqs!$A:$B,2,0),AI290,1),"")</f>
        <v>F</v>
      </c>
      <c r="AI290" s="3">
        <v>177</v>
      </c>
      <c r="AJ290" s="3" t="str">
        <f>IFERROR(MID(VLOOKUP($B290,Seqs!$A:$B,2,0),AK290,1),"")</f>
        <v>E</v>
      </c>
      <c r="AK290" s="3">
        <v>181</v>
      </c>
      <c r="AL290" s="3" t="str">
        <f>IFERROR(MID(VLOOKUP($B290,Seqs!$A:$B,2,0),AM290,1),"")</f>
        <v>S</v>
      </c>
      <c r="AM290" s="3">
        <v>219</v>
      </c>
      <c r="AN290" s="3" t="str">
        <f>IFERROR(MID(VLOOKUP($B290,Seqs!$A:$B,2,0),AO290,1),"")</f>
        <v>V</v>
      </c>
      <c r="AO290" s="3">
        <v>236</v>
      </c>
      <c r="AP290" s="3" t="str">
        <f>IFERROR(MID(VLOOKUP($B290,Seqs!$A:$B,2,0),AQ290,1),"")</f>
        <v>R</v>
      </c>
      <c r="AQ290" s="3">
        <v>265</v>
      </c>
      <c r="AR290" s="3" t="str">
        <f>IFERROR(MID(VLOOKUP($B290,Seqs!$A:$B,2,0),AS290,1),"")</f>
        <v>D</v>
      </c>
      <c r="AS290" s="3">
        <v>269</v>
      </c>
      <c r="AT290" s="3" t="str">
        <f>IFERROR(MID(VLOOKUP($B290,Seqs!$A:$B,2,0),AU290,1),"")</f>
        <v>C</v>
      </c>
      <c r="AU290" s="3">
        <v>292</v>
      </c>
      <c r="AV290" s="3" t="str">
        <f>IFERROR(MID(VLOOKUP($B290,Seqs!$A:$B,2,0),AW290,1),"")</f>
        <v/>
      </c>
      <c r="AW290" s="3" t="s">
        <v>23</v>
      </c>
      <c r="AX290" s="3" t="str">
        <f>IFERROR(MID(VLOOKUP($B290,Seqs!$A:$B,2,0),AY290,1),"")</f>
        <v/>
      </c>
      <c r="AY290" s="3" t="s">
        <v>23</v>
      </c>
      <c r="AZ290" s="77" t="str">
        <f>VLOOKUP(B290,Classification!A:D,2,0)</f>
        <v>A</v>
      </c>
      <c r="BA290" s="94" t="str">
        <f>VLOOKUP(B290,Classification!A:D,4,0)</f>
        <v>P2Y</v>
      </c>
      <c r="BB290" s="27" t="b">
        <f t="shared" si="1592"/>
        <v>1</v>
      </c>
      <c r="BC290" s="23">
        <f t="shared" si="1565"/>
        <v>227</v>
      </c>
      <c r="BD290" s="4" t="s">
        <v>23</v>
      </c>
      <c r="BE290" s="3" t="s">
        <v>1428</v>
      </c>
      <c r="BF290" s="119">
        <v>2.5</v>
      </c>
      <c r="BG290" s="49" t="s">
        <v>1377</v>
      </c>
      <c r="BH290" s="49" t="s">
        <v>1377</v>
      </c>
      <c r="BI290" s="1"/>
      <c r="BJ290" s="70" t="s">
        <v>1287</v>
      </c>
      <c r="BK290" s="57" t="s">
        <v>1287</v>
      </c>
      <c r="BL290" s="57" t="s">
        <v>1287</v>
      </c>
      <c r="BM290" s="57" t="s">
        <v>1287</v>
      </c>
      <c r="BN290" s="57" t="s">
        <v>1287</v>
      </c>
      <c r="BO290" s="57" t="s">
        <v>1287</v>
      </c>
      <c r="BP290" s="57" t="s">
        <v>1287</v>
      </c>
      <c r="BQ290" s="57" t="s">
        <v>1287</v>
      </c>
      <c r="BR290" s="57" t="s">
        <v>1287</v>
      </c>
      <c r="BS290" s="57" t="s">
        <v>1287</v>
      </c>
      <c r="BT290" s="57" t="s">
        <v>1287</v>
      </c>
      <c r="BU290" s="57" t="s">
        <v>1287</v>
      </c>
      <c r="BV290" s="70">
        <f t="shared" si="1566"/>
        <v>23</v>
      </c>
      <c r="BW290" s="71" t="str">
        <f t="shared" si="1567"/>
        <v>-</v>
      </c>
      <c r="BX290" s="72">
        <f t="shared" si="1568"/>
        <v>57</v>
      </c>
      <c r="BY290" s="71" t="str">
        <f t="shared" si="1569"/>
        <v>-</v>
      </c>
      <c r="BZ290" s="72">
        <f t="shared" si="1570"/>
        <v>90</v>
      </c>
      <c r="CA290" s="71" t="str">
        <f t="shared" si="1571"/>
        <v>-</v>
      </c>
      <c r="CB290" s="72">
        <f t="shared" si="1572"/>
        <v>137</v>
      </c>
      <c r="CC290" s="71">
        <f t="shared" si="1573"/>
        <v>175</v>
      </c>
      <c r="CD290" s="72">
        <f t="shared" si="1574"/>
        <v>181</v>
      </c>
      <c r="CE290" s="71">
        <f t="shared" si="1575"/>
        <v>236</v>
      </c>
      <c r="CF290" s="72">
        <f t="shared" si="1576"/>
        <v>269</v>
      </c>
      <c r="CG290" s="71" t="str">
        <f t="shared" si="1577"/>
        <v>-</v>
      </c>
      <c r="CH290" s="70">
        <f t="shared" si="1578"/>
        <v>53</v>
      </c>
      <c r="CI290" s="71" t="str">
        <f t="shared" si="1579"/>
        <v>-</v>
      </c>
      <c r="CJ290" s="72">
        <f t="shared" si="1580"/>
        <v>86</v>
      </c>
      <c r="CK290" s="72" t="str">
        <f t="shared" si="1581"/>
        <v>-</v>
      </c>
      <c r="CL290" s="72">
        <f t="shared" si="1582"/>
        <v>128</v>
      </c>
      <c r="CM290" s="72" t="str">
        <f t="shared" si="1583"/>
        <v>-</v>
      </c>
      <c r="CN290" s="72">
        <f t="shared" si="1584"/>
        <v>163</v>
      </c>
      <c r="CO290" s="72">
        <f t="shared" si="1585"/>
        <v>177</v>
      </c>
      <c r="CP290" s="72">
        <f t="shared" si="1586"/>
        <v>219</v>
      </c>
      <c r="CQ290" s="72">
        <f t="shared" si="1587"/>
        <v>265</v>
      </c>
      <c r="CR290" s="72">
        <f t="shared" si="1588"/>
        <v>292</v>
      </c>
      <c r="CS290" s="72" t="str">
        <f t="shared" si="1589"/>
        <v>-</v>
      </c>
      <c r="CT290" s="23" t="e">
        <f t="shared" si="1590"/>
        <v>#VALUE!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29" x14ac:dyDescent="0.2">
      <c r="A291" s="3" t="str">
        <f t="shared" si="1591"/>
        <v>p2y12_human_4PY0</v>
      </c>
      <c r="B291" s="3" t="s">
        <v>352</v>
      </c>
      <c r="C291" s="3" t="s">
        <v>1050</v>
      </c>
      <c r="D291" s="3" t="str">
        <f>IFERROR(MID(VLOOKUP($B291,Seqs!$A:$B,2,0),E291,1),"")</f>
        <v>I</v>
      </c>
      <c r="E291" s="3">
        <v>23</v>
      </c>
      <c r="F291" s="3" t="str">
        <f>IFERROR(MID(VLOOKUP($B291,Seqs!$A:$B,2,0),G291,1),"")</f>
        <v>I</v>
      </c>
      <c r="G291" s="3">
        <v>53</v>
      </c>
      <c r="H291" s="3" t="str">
        <f>IFERROR(MID(VLOOKUP($B291,Seqs!$A:$B,2,0),I291,1),"")</f>
        <v/>
      </c>
      <c r="I291" s="23" t="s">
        <v>23</v>
      </c>
      <c r="J291" s="3" t="str">
        <f>IFERROR(MID(VLOOKUP($B291,Seqs!$A:$B,2,0),K291,1),"")</f>
        <v/>
      </c>
      <c r="K291" s="23" t="s">
        <v>23</v>
      </c>
      <c r="L291" s="3" t="str">
        <f>IFERROR(MID(VLOOKUP($B291,Seqs!$A:$B,2,0),M291,1),"")</f>
        <v>S</v>
      </c>
      <c r="M291" s="3">
        <v>57</v>
      </c>
      <c r="N291" s="3" t="str">
        <f>IFERROR(MID(VLOOKUP($B291,Seqs!$A:$B,2,0),O291,1),"")</f>
        <v>K</v>
      </c>
      <c r="O291" s="3">
        <v>86</v>
      </c>
      <c r="P291" s="3" t="str">
        <f>IFERROR(MID(VLOOKUP($B291,Seqs!$A:$B,2,0),Q291,1),"")</f>
        <v/>
      </c>
      <c r="Q291" s="3" t="s">
        <v>23</v>
      </c>
      <c r="R291" s="3" t="str">
        <f>IFERROR(MID(VLOOKUP($B291,Seqs!$A:$B,2,0),S291,1),"")</f>
        <v/>
      </c>
      <c r="S291" s="3" t="s">
        <v>23</v>
      </c>
      <c r="T291" s="3" t="str">
        <f>IFERROR(MID(VLOOKUP($B291,Seqs!$A:$B,2,0),U291,1),"")</f>
        <v>G</v>
      </c>
      <c r="U291" s="3">
        <v>90</v>
      </c>
      <c r="V291" s="3" t="str">
        <f>IFERROR(MID(VLOOKUP($B291,Seqs!$A:$B,2,0),W291,1),"")</f>
        <v>R</v>
      </c>
      <c r="W291" s="3">
        <v>128</v>
      </c>
      <c r="X291" s="3" t="str">
        <f>IFERROR(MID(VLOOKUP($B291,Seqs!$A:$B,2,0),Y291,1),"")</f>
        <v/>
      </c>
      <c r="Y291" s="3" t="s">
        <v>23</v>
      </c>
      <c r="Z291" s="3" t="str">
        <f>IFERROR(MID(VLOOKUP($B291,Seqs!$A:$B,2,0),AA291,1),"")</f>
        <v/>
      </c>
      <c r="AA291" s="3" t="s">
        <v>23</v>
      </c>
      <c r="AB291" s="3" t="str">
        <f>IFERROR(MID(VLOOKUP($B291,Seqs!$A:$B,2,0),AC291,1),"")</f>
        <v>N</v>
      </c>
      <c r="AC291" s="9">
        <v>137</v>
      </c>
      <c r="AD291" s="3" t="str">
        <f>IFERROR(MID(VLOOKUP($B291,Seqs!$A:$B,2,0),AE291,1),"")</f>
        <v>T</v>
      </c>
      <c r="AE291" s="3">
        <v>163</v>
      </c>
      <c r="AF291" s="3" t="str">
        <f>IFERROR(MID(VLOOKUP($B291,Seqs!$A:$B,2,0),AG291,1),"")</f>
        <v>C</v>
      </c>
      <c r="AG291" s="3">
        <v>175</v>
      </c>
      <c r="AH291" s="3" t="str">
        <f>IFERROR(MID(VLOOKUP($B291,Seqs!$A:$B,2,0),AI291,1),"")</f>
        <v>F</v>
      </c>
      <c r="AI291" s="3">
        <v>177</v>
      </c>
      <c r="AJ291" s="3" t="str">
        <f>IFERROR(MID(VLOOKUP($B291,Seqs!$A:$B,2,0),AK291,1),"")</f>
        <v>E</v>
      </c>
      <c r="AK291" s="3">
        <v>181</v>
      </c>
      <c r="AL291" s="3" t="str">
        <f>IFERROR(MID(VLOOKUP($B291,Seqs!$A:$B,2,0),AM291,1),"")</f>
        <v>S</v>
      </c>
      <c r="AM291" s="3">
        <v>219</v>
      </c>
      <c r="AN291" s="3" t="str">
        <f>IFERROR(MID(VLOOKUP($B291,Seqs!$A:$B,2,0),AO291,1),"")</f>
        <v>V</v>
      </c>
      <c r="AO291" s="3">
        <v>236</v>
      </c>
      <c r="AP291" s="3" t="str">
        <f>IFERROR(MID(VLOOKUP($B291,Seqs!$A:$B,2,0),AQ291,1),"")</f>
        <v>R</v>
      </c>
      <c r="AQ291" s="3">
        <v>265</v>
      </c>
      <c r="AR291" s="3" t="str">
        <f>IFERROR(MID(VLOOKUP($B291,Seqs!$A:$B,2,0),AS291,1),"")</f>
        <v>D</v>
      </c>
      <c r="AS291" s="3">
        <v>269</v>
      </c>
      <c r="AT291" s="3" t="str">
        <f>IFERROR(MID(VLOOKUP($B291,Seqs!$A:$B,2,0),AU291,1),"")</f>
        <v>C</v>
      </c>
      <c r="AU291" s="3">
        <v>292</v>
      </c>
      <c r="AV291" s="3" t="str">
        <f>IFERROR(MID(VLOOKUP($B291,Seqs!$A:$B,2,0),AW291,1),"")</f>
        <v/>
      </c>
      <c r="AW291" s="3" t="s">
        <v>23</v>
      </c>
      <c r="AX291" s="3" t="str">
        <f>IFERROR(MID(VLOOKUP($B291,Seqs!$A:$B,2,0),AY291,1),"")</f>
        <v/>
      </c>
      <c r="AY291" s="3" t="s">
        <v>23</v>
      </c>
      <c r="AZ291" s="77" t="str">
        <f>VLOOKUP(B291,Classification!A:D,2,0)</f>
        <v>A</v>
      </c>
      <c r="BA291" s="94" t="str">
        <f>VLOOKUP(B291,Classification!A:D,4,0)</f>
        <v>P2Y</v>
      </c>
      <c r="BB291" s="27" t="b">
        <f t="shared" si="1592"/>
        <v>1</v>
      </c>
      <c r="BC291" s="23">
        <f t="shared" si="1565"/>
        <v>227</v>
      </c>
      <c r="BD291" s="4" t="s">
        <v>23</v>
      </c>
      <c r="BE291" s="3" t="s">
        <v>1428</v>
      </c>
      <c r="BF291" s="119">
        <v>3.1</v>
      </c>
      <c r="BG291" s="49" t="s">
        <v>1377</v>
      </c>
      <c r="BH291" s="49" t="s">
        <v>1377</v>
      </c>
      <c r="BI291" s="1"/>
      <c r="BJ291" s="70" t="s">
        <v>1287</v>
      </c>
      <c r="BK291" s="57" t="s">
        <v>1287</v>
      </c>
      <c r="BL291" s="57" t="s">
        <v>1287</v>
      </c>
      <c r="BM291" s="57" t="s">
        <v>1287</v>
      </c>
      <c r="BN291" s="57" t="s">
        <v>1287</v>
      </c>
      <c r="BO291" s="57" t="s">
        <v>1287</v>
      </c>
      <c r="BP291" s="57" t="s">
        <v>1287</v>
      </c>
      <c r="BQ291" s="57" t="s">
        <v>1287</v>
      </c>
      <c r="BR291" s="57" t="s">
        <v>1287</v>
      </c>
      <c r="BS291" s="57" t="s">
        <v>1287</v>
      </c>
      <c r="BT291" s="57" t="s">
        <v>1287</v>
      </c>
      <c r="BU291" s="57" t="s">
        <v>1287</v>
      </c>
      <c r="BV291" s="70">
        <f t="shared" si="1566"/>
        <v>23</v>
      </c>
      <c r="BW291" s="71" t="str">
        <f t="shared" si="1567"/>
        <v>-</v>
      </c>
      <c r="BX291" s="72">
        <f t="shared" si="1568"/>
        <v>57</v>
      </c>
      <c r="BY291" s="71" t="str">
        <f t="shared" si="1569"/>
        <v>-</v>
      </c>
      <c r="BZ291" s="72">
        <f t="shared" si="1570"/>
        <v>90</v>
      </c>
      <c r="CA291" s="71" t="str">
        <f t="shared" si="1571"/>
        <v>-</v>
      </c>
      <c r="CB291" s="72">
        <f t="shared" si="1572"/>
        <v>137</v>
      </c>
      <c r="CC291" s="71">
        <f t="shared" si="1573"/>
        <v>175</v>
      </c>
      <c r="CD291" s="72">
        <f t="shared" si="1574"/>
        <v>181</v>
      </c>
      <c r="CE291" s="71">
        <f t="shared" si="1575"/>
        <v>236</v>
      </c>
      <c r="CF291" s="72">
        <f t="shared" si="1576"/>
        <v>269</v>
      </c>
      <c r="CG291" s="71" t="str">
        <f t="shared" si="1577"/>
        <v>-</v>
      </c>
      <c r="CH291" s="70">
        <f t="shared" si="1578"/>
        <v>53</v>
      </c>
      <c r="CI291" s="71" t="str">
        <f t="shared" si="1579"/>
        <v>-</v>
      </c>
      <c r="CJ291" s="72">
        <f t="shared" si="1580"/>
        <v>86</v>
      </c>
      <c r="CK291" s="72" t="str">
        <f t="shared" si="1581"/>
        <v>-</v>
      </c>
      <c r="CL291" s="72">
        <f t="shared" si="1582"/>
        <v>128</v>
      </c>
      <c r="CM291" s="72" t="str">
        <f t="shared" si="1583"/>
        <v>-</v>
      </c>
      <c r="CN291" s="72">
        <f t="shared" si="1584"/>
        <v>163</v>
      </c>
      <c r="CO291" s="72">
        <f t="shared" si="1585"/>
        <v>177</v>
      </c>
      <c r="CP291" s="72">
        <f t="shared" si="1586"/>
        <v>219</v>
      </c>
      <c r="CQ291" s="72">
        <f t="shared" si="1587"/>
        <v>265</v>
      </c>
      <c r="CR291" s="72">
        <f t="shared" si="1588"/>
        <v>292</v>
      </c>
      <c r="CS291" s="72" t="str">
        <f t="shared" si="1589"/>
        <v>-</v>
      </c>
      <c r="CT291" s="23" t="e">
        <f t="shared" si="1590"/>
        <v>#VALUE!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29" x14ac:dyDescent="0.2">
      <c r="A292" s="3" t="str">
        <f t="shared" si="1591"/>
        <v>par1_human__wt</v>
      </c>
      <c r="B292" s="3" t="s">
        <v>355</v>
      </c>
      <c r="C292" s="3" t="s">
        <v>100</v>
      </c>
      <c r="D292" s="3" t="str">
        <f>IFERROR(MID(VLOOKUP($B292,Seqs!$A:$B,2,0),E292,1),"")</f>
        <v>S</v>
      </c>
      <c r="E292" s="3">
        <v>99</v>
      </c>
      <c r="F292" s="3" t="str">
        <f>IFERROR(MID(VLOOKUP($B292,Seqs!$A:$B,2,0),G292,1),"")</f>
        <v>K</v>
      </c>
      <c r="G292" s="3">
        <v>130</v>
      </c>
      <c r="H292" s="3" t="str">
        <f>IFERROR(MID(VLOOKUP($B292,Seqs!$A:$B,2,0),I292,1),"")</f>
        <v>M</v>
      </c>
      <c r="I292" s="23">
        <v>131</v>
      </c>
      <c r="J292" s="3" t="str">
        <f>IFERROR(MID(VLOOKUP($B292,Seqs!$A:$B,2,0),K292,1),"")</f>
        <v>K</v>
      </c>
      <c r="K292" s="23">
        <v>134</v>
      </c>
      <c r="L292" s="3" t="str">
        <f>IFERROR(MID(VLOOKUP($B292,Seqs!$A:$B,2,0),M292,1),"")</f>
        <v>K</v>
      </c>
      <c r="M292" s="3">
        <v>135</v>
      </c>
      <c r="N292" s="3" t="str">
        <f>IFERROR(MID(VLOOKUP($B292,Seqs!$A:$B,2,0),O292,1),"")</f>
        <v>S</v>
      </c>
      <c r="O292" s="3">
        <v>164</v>
      </c>
      <c r="P292" s="3" t="str">
        <f>IFERROR(MID(VLOOKUP($B292,Seqs!$A:$B,2,0),Q292,1),"")</f>
        <v>D</v>
      </c>
      <c r="Q292" s="3">
        <v>167</v>
      </c>
      <c r="R292" s="3" t="str">
        <f>IFERROR(MID(VLOOKUP($B292,Seqs!$A:$B,2,0),S292,1),"")</f>
        <v>F</v>
      </c>
      <c r="S292" s="3">
        <v>170</v>
      </c>
      <c r="T292" s="3" t="str">
        <f>IFERROR(MID(VLOOKUP($B292,Seqs!$A:$B,2,0),U292,1),"")</f>
        <v>G</v>
      </c>
      <c r="U292" s="3">
        <v>171</v>
      </c>
      <c r="V292" s="3" t="str">
        <f>IFERROR(MID(VLOOKUP($B292,Seqs!$A:$B,2,0),W292,1),"")</f>
        <v>Y</v>
      </c>
      <c r="W292" s="3">
        <v>206</v>
      </c>
      <c r="X292" s="3" t="str">
        <f>IFERROR(MID(VLOOKUP($B292,Seqs!$A:$B,2,0),Y292,1),"")</f>
        <v>P</v>
      </c>
      <c r="Y292" s="3">
        <v>207</v>
      </c>
      <c r="Z292" s="3" t="str">
        <f>IFERROR(MID(VLOOKUP($B292,Seqs!$A:$B,2,0),AA292,1),"")</f>
        <v>R</v>
      </c>
      <c r="AA292" s="3">
        <v>214</v>
      </c>
      <c r="AB292" s="3" t="str">
        <f>IFERROR(MID(VLOOKUP($B292,Seqs!$A:$B,2,0),AC292,1),"")</f>
        <v>T</v>
      </c>
      <c r="AC292" s="9">
        <v>215</v>
      </c>
      <c r="AD292" s="3" t="str">
        <f>IFERROR(MID(VLOOKUP($B292,Seqs!$A:$B,2,0),AE292,1),"")</f>
        <v>K</v>
      </c>
      <c r="AE292" s="3">
        <v>240</v>
      </c>
      <c r="AF292" s="3" t="str">
        <f>IFERROR(MID(VLOOKUP($B292,Seqs!$A:$B,2,0),AG292,1),"")</f>
        <v>C</v>
      </c>
      <c r="AG292" s="3">
        <v>254</v>
      </c>
      <c r="AH292" s="3" t="str">
        <f>IFERROR(MID(VLOOKUP($B292,Seqs!$A:$B,2,0),AI292,1),"")</f>
        <v>D</v>
      </c>
      <c r="AI292" s="3">
        <v>256</v>
      </c>
      <c r="AJ292" s="3" t="str">
        <f>IFERROR(MID(VLOOKUP($B292,Seqs!$A:$B,2,0),AK292,1),"")</f>
        <v>E</v>
      </c>
      <c r="AK292" s="3">
        <v>264</v>
      </c>
      <c r="AL292" s="3" t="str">
        <f>IFERROR(MID(VLOOKUP($B292,Seqs!$A:$B,2,0),AM292,1),"")</f>
        <v>S</v>
      </c>
      <c r="AM292" s="3">
        <v>299</v>
      </c>
      <c r="AN292" s="3" t="str">
        <f>IFERROR(MID(VLOOKUP($B292,Seqs!$A:$B,2,0),AO292,1),"")</f>
        <v>N</v>
      </c>
      <c r="AO292" s="3">
        <v>304</v>
      </c>
      <c r="AP292" s="3" t="str">
        <f>IFERROR(MID(VLOOKUP($B292,Seqs!$A:$B,2,0),AQ292,1),"")</f>
        <v>L</v>
      </c>
      <c r="AQ292" s="3">
        <v>340</v>
      </c>
      <c r="AR292" s="3" t="str">
        <f>IFERROR(MID(VLOOKUP($B292,Seqs!$A:$B,2,0),AS292,1),"")</f>
        <v>T</v>
      </c>
      <c r="AS292" s="3">
        <v>346</v>
      </c>
      <c r="AT292" s="3" t="str">
        <f>IFERROR(MID(VLOOKUP($B292,Seqs!$A:$B,2,0),AU292,1),"")</f>
        <v>A</v>
      </c>
      <c r="AU292" s="3">
        <v>374</v>
      </c>
      <c r="AV292" s="3" t="str">
        <f>IFERROR(MID(VLOOKUP($B292,Seqs!$A:$B,2,0),AW292,1),"")</f>
        <v>S</v>
      </c>
      <c r="AW292" s="3">
        <v>375</v>
      </c>
      <c r="AX292" s="3" t="str">
        <f>IFERROR(MID(VLOOKUP($B292,Seqs!$A:$B,2,0),AY292,1),"")</f>
        <v>K</v>
      </c>
      <c r="AY292" s="3">
        <v>389</v>
      </c>
      <c r="AZ292" s="77" t="str">
        <f>VLOOKUP(B292,Classification!A:D,2,0)</f>
        <v>A</v>
      </c>
      <c r="BA292" s="94" t="str">
        <f>VLOOKUP(B292,Classification!A:D,4,0)</f>
        <v>Proteinase-activated</v>
      </c>
      <c r="BB292" s="27" t="b">
        <f t="shared" si="1592"/>
        <v>1</v>
      </c>
      <c r="BC292" s="23">
        <f t="shared" si="1565"/>
        <v>260</v>
      </c>
      <c r="BD292" s="56" t="s">
        <v>23</v>
      </c>
      <c r="BE292" s="3" t="s">
        <v>23</v>
      </c>
      <c r="BF292" s="119" t="s">
        <v>23</v>
      </c>
      <c r="BG292" s="49" t="s">
        <v>1372</v>
      </c>
      <c r="BH292" s="49" t="s">
        <v>1377</v>
      </c>
      <c r="BI292" s="1"/>
      <c r="BJ292" s="70" t="s">
        <v>1287</v>
      </c>
      <c r="BK292" s="57" t="s">
        <v>1287</v>
      </c>
      <c r="BL292" s="57" t="s">
        <v>1287</v>
      </c>
      <c r="BM292" s="57" t="s">
        <v>1287</v>
      </c>
      <c r="BN292" s="57" t="s">
        <v>1287</v>
      </c>
      <c r="BO292" s="57" t="s">
        <v>1287</v>
      </c>
      <c r="BP292" s="57" t="s">
        <v>1287</v>
      </c>
      <c r="BQ292" s="57" t="s">
        <v>1287</v>
      </c>
      <c r="BR292" s="57" t="s">
        <v>1287</v>
      </c>
      <c r="BS292" s="57" t="s">
        <v>1287</v>
      </c>
      <c r="BT292" s="57" t="s">
        <v>1287</v>
      </c>
      <c r="BU292" s="57" t="s">
        <v>1287</v>
      </c>
      <c r="BV292" s="70">
        <f t="shared" si="1566"/>
        <v>99</v>
      </c>
      <c r="BW292" s="71">
        <f t="shared" si="1567"/>
        <v>131</v>
      </c>
      <c r="BX292" s="72">
        <f t="shared" si="1568"/>
        <v>135</v>
      </c>
      <c r="BY292" s="71">
        <f t="shared" si="1569"/>
        <v>167</v>
      </c>
      <c r="BZ292" s="72">
        <f t="shared" si="1570"/>
        <v>171</v>
      </c>
      <c r="CA292" s="71">
        <f t="shared" si="1571"/>
        <v>207</v>
      </c>
      <c r="CB292" s="72">
        <f t="shared" si="1572"/>
        <v>215</v>
      </c>
      <c r="CC292" s="71">
        <f t="shared" si="1573"/>
        <v>254</v>
      </c>
      <c r="CD292" s="72">
        <f t="shared" si="1574"/>
        <v>264</v>
      </c>
      <c r="CE292" s="71">
        <f t="shared" si="1575"/>
        <v>304</v>
      </c>
      <c r="CF292" s="72">
        <f t="shared" si="1576"/>
        <v>346</v>
      </c>
      <c r="CG292" s="71">
        <f t="shared" si="1577"/>
        <v>375</v>
      </c>
      <c r="CH292" s="70">
        <f t="shared" si="1578"/>
        <v>130</v>
      </c>
      <c r="CI292" s="71">
        <f t="shared" si="1579"/>
        <v>134</v>
      </c>
      <c r="CJ292" s="72">
        <f t="shared" si="1580"/>
        <v>164</v>
      </c>
      <c r="CK292" s="72">
        <f t="shared" si="1581"/>
        <v>170</v>
      </c>
      <c r="CL292" s="72">
        <f t="shared" si="1582"/>
        <v>206</v>
      </c>
      <c r="CM292" s="72">
        <f t="shared" si="1583"/>
        <v>214</v>
      </c>
      <c r="CN292" s="72">
        <f t="shared" si="1584"/>
        <v>240</v>
      </c>
      <c r="CO292" s="72">
        <f t="shared" si="1585"/>
        <v>256</v>
      </c>
      <c r="CP292" s="72">
        <f t="shared" si="1586"/>
        <v>299</v>
      </c>
      <c r="CQ292" s="72">
        <f t="shared" si="1587"/>
        <v>340</v>
      </c>
      <c r="CR292" s="72">
        <f t="shared" si="1588"/>
        <v>374</v>
      </c>
      <c r="CS292" s="72">
        <f t="shared" si="1589"/>
        <v>389</v>
      </c>
      <c r="CT292" s="23">
        <f t="shared" si="1590"/>
        <v>1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29" x14ac:dyDescent="0.2">
      <c r="A293" s="3" t="str">
        <f t="shared" si="1591"/>
        <v>par1_human_3VW7</v>
      </c>
      <c r="B293" s="3" t="s">
        <v>355</v>
      </c>
      <c r="C293" s="3" t="s">
        <v>93</v>
      </c>
      <c r="D293" s="3" t="str">
        <f>IFERROR(MID(VLOOKUP($B293,Seqs!$A:$B,2,0),E293,1),"")</f>
        <v>S</v>
      </c>
      <c r="E293" s="3">
        <v>99</v>
      </c>
      <c r="F293" s="3" t="str">
        <f>IFERROR(MID(VLOOKUP($B293,Seqs!$A:$B,2,0),G293,1),"")</f>
        <v>K</v>
      </c>
      <c r="G293" s="3">
        <v>130</v>
      </c>
      <c r="H293" s="3" t="str">
        <f>IFERROR(MID(VLOOKUP($B293,Seqs!$A:$B,2,0),I293,1),"")</f>
        <v/>
      </c>
      <c r="I293" s="23" t="s">
        <v>23</v>
      </c>
      <c r="J293" s="3" t="str">
        <f>IFERROR(MID(VLOOKUP($B293,Seqs!$A:$B,2,0),K293,1),"")</f>
        <v/>
      </c>
      <c r="K293" s="23" t="s">
        <v>23</v>
      </c>
      <c r="L293" s="3" t="str">
        <f>IFERROR(MID(VLOOKUP($B293,Seqs!$A:$B,2,0),M293,1),"")</f>
        <v>K</v>
      </c>
      <c r="M293" s="3">
        <v>135</v>
      </c>
      <c r="N293" s="3" t="str">
        <f>IFERROR(MID(VLOOKUP($B293,Seqs!$A:$B,2,0),O293,1),"")</f>
        <v>S</v>
      </c>
      <c r="O293" s="3">
        <v>164</v>
      </c>
      <c r="P293" s="3" t="str">
        <f>IFERROR(MID(VLOOKUP($B293,Seqs!$A:$B,2,0),Q293,1),"")</f>
        <v>D</v>
      </c>
      <c r="Q293" s="3">
        <v>167</v>
      </c>
      <c r="R293" s="3" t="str">
        <f>IFERROR(MID(VLOOKUP($B293,Seqs!$A:$B,2,0),S293,1),"")</f>
        <v>F</v>
      </c>
      <c r="S293" s="3">
        <v>170</v>
      </c>
      <c r="T293" s="3" t="str">
        <f>IFERROR(MID(VLOOKUP($B293,Seqs!$A:$B,2,0),U293,1),"")</f>
        <v>G</v>
      </c>
      <c r="U293" s="3">
        <v>171</v>
      </c>
      <c r="V293" s="3" t="str">
        <f>IFERROR(MID(VLOOKUP($B293,Seqs!$A:$B,2,0),W293,1),"")</f>
        <v>Y</v>
      </c>
      <c r="W293" s="3">
        <v>206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T</v>
      </c>
      <c r="AC293" s="9">
        <v>215</v>
      </c>
      <c r="AD293" s="3" t="str">
        <f>IFERROR(MID(VLOOKUP($B293,Seqs!$A:$B,2,0),AE293,1),"")</f>
        <v>K</v>
      </c>
      <c r="AE293" s="3">
        <v>240</v>
      </c>
      <c r="AF293" s="3" t="str">
        <f>IFERROR(MID(VLOOKUP($B293,Seqs!$A:$B,2,0),AG293,1),"")</f>
        <v>C</v>
      </c>
      <c r="AG293" s="3">
        <v>254</v>
      </c>
      <c r="AH293" s="3" t="str">
        <f>IFERROR(MID(VLOOKUP($B293,Seqs!$A:$B,2,0),AI293,1),"")</f>
        <v>D</v>
      </c>
      <c r="AI293" s="3">
        <v>256</v>
      </c>
      <c r="AJ293" s="3" t="str">
        <f>IFERROR(MID(VLOOKUP($B293,Seqs!$A:$B,2,0),AK293,1),"")</f>
        <v>E</v>
      </c>
      <c r="AK293" s="3">
        <v>264</v>
      </c>
      <c r="AL293" s="3" t="str">
        <f>IFERROR(MID(VLOOKUP($B293,Seqs!$A:$B,2,0),AM293,1),"")</f>
        <v>S</v>
      </c>
      <c r="AM293" s="3">
        <v>300</v>
      </c>
      <c r="AN293" s="3" t="str">
        <f>IFERROR(MID(VLOOKUP($B293,Seqs!$A:$B,2,0),AO293,1),"")</f>
        <v>N</v>
      </c>
      <c r="AO293" s="3">
        <v>304</v>
      </c>
      <c r="AP293" s="3" t="str">
        <f>IFERROR(MID(VLOOKUP($B293,Seqs!$A:$B,2,0),AQ293,1),"")</f>
        <v>L</v>
      </c>
      <c r="AQ293" s="3">
        <v>340</v>
      </c>
      <c r="AR293" s="3" t="str">
        <f>IFERROR(MID(VLOOKUP($B293,Seqs!$A:$B,2,0),AS293,1),"")</f>
        <v>T</v>
      </c>
      <c r="AS293" s="3">
        <v>346</v>
      </c>
      <c r="AT293" s="3" t="str">
        <f>IFERROR(MID(VLOOKUP($B293,Seqs!$A:$B,2,0),AU293,1),"")</f>
        <v>Y</v>
      </c>
      <c r="AU293" s="3">
        <v>372</v>
      </c>
      <c r="AV293" s="3" t="str">
        <f>IFERROR(MID(VLOOKUP($B293,Seqs!$A:$B,2,0),AW293,1),"")</f>
        <v/>
      </c>
      <c r="AW293" s="3" t="s">
        <v>23</v>
      </c>
      <c r="AX293" s="3" t="str">
        <f>IFERROR(MID(VLOOKUP($B293,Seqs!$A:$B,2,0),AY293,1),"")</f>
        <v/>
      </c>
      <c r="AY293" s="3" t="s">
        <v>23</v>
      </c>
      <c r="AZ293" s="77" t="str">
        <f>VLOOKUP(B293,Classification!A:D,2,0)</f>
        <v>A</v>
      </c>
      <c r="BA293" s="94" t="str">
        <f>VLOOKUP(B293,Classification!A:D,4,0)</f>
        <v>Proteinase-activated</v>
      </c>
      <c r="BB293" s="27" t="b">
        <f t="shared" si="1592"/>
        <v>1</v>
      </c>
      <c r="BC293" s="23">
        <f t="shared" si="1565"/>
        <v>235</v>
      </c>
      <c r="BD293" s="2" t="s">
        <v>1429</v>
      </c>
      <c r="BE293" s="3" t="s">
        <v>1428</v>
      </c>
      <c r="BF293" s="119">
        <v>2.2000000000000002</v>
      </c>
      <c r="BG293" s="49" t="s">
        <v>1377</v>
      </c>
      <c r="BH293" s="49" t="s">
        <v>1377</v>
      </c>
      <c r="BI293" s="1"/>
      <c r="BJ293" s="70" t="s">
        <v>1287</v>
      </c>
      <c r="BK293" s="57" t="s">
        <v>1287</v>
      </c>
      <c r="BL293" s="57" t="s">
        <v>1287</v>
      </c>
      <c r="BM293" s="57" t="s">
        <v>1287</v>
      </c>
      <c r="BN293" s="57" t="s">
        <v>1287</v>
      </c>
      <c r="BO293" s="57" t="s">
        <v>1287</v>
      </c>
      <c r="BP293" s="57" t="s">
        <v>1287</v>
      </c>
      <c r="BQ293" s="57" t="s">
        <v>1287</v>
      </c>
      <c r="BR293" s="57" t="s">
        <v>1287</v>
      </c>
      <c r="BS293" s="57" t="s">
        <v>1287</v>
      </c>
      <c r="BT293" s="57" t="s">
        <v>1287</v>
      </c>
      <c r="BU293" s="57" t="s">
        <v>1287</v>
      </c>
      <c r="BV293" s="70">
        <f t="shared" si="1566"/>
        <v>99</v>
      </c>
      <c r="BW293" s="71" t="str">
        <f t="shared" si="1567"/>
        <v>-</v>
      </c>
      <c r="BX293" s="72">
        <f t="shared" si="1568"/>
        <v>135</v>
      </c>
      <c r="BY293" s="71">
        <f t="shared" si="1569"/>
        <v>167</v>
      </c>
      <c r="BZ293" s="72">
        <f t="shared" si="1570"/>
        <v>171</v>
      </c>
      <c r="CA293" s="71" t="str">
        <f t="shared" si="1571"/>
        <v>-</v>
      </c>
      <c r="CB293" s="72">
        <f t="shared" si="1572"/>
        <v>215</v>
      </c>
      <c r="CC293" s="71">
        <f t="shared" si="1573"/>
        <v>254</v>
      </c>
      <c r="CD293" s="72">
        <f t="shared" si="1574"/>
        <v>264</v>
      </c>
      <c r="CE293" s="71">
        <f t="shared" si="1575"/>
        <v>304</v>
      </c>
      <c r="CF293" s="72">
        <f t="shared" si="1576"/>
        <v>346</v>
      </c>
      <c r="CG293" s="71" t="str">
        <f t="shared" si="1577"/>
        <v>-</v>
      </c>
      <c r="CH293" s="70">
        <f t="shared" si="1578"/>
        <v>130</v>
      </c>
      <c r="CI293" s="71" t="str">
        <f t="shared" si="1579"/>
        <v>-</v>
      </c>
      <c r="CJ293" s="72">
        <f t="shared" si="1580"/>
        <v>164</v>
      </c>
      <c r="CK293" s="72">
        <f t="shared" si="1581"/>
        <v>170</v>
      </c>
      <c r="CL293" s="72">
        <f t="shared" si="1582"/>
        <v>206</v>
      </c>
      <c r="CM293" s="72" t="str">
        <f t="shared" si="1583"/>
        <v>-</v>
      </c>
      <c r="CN293" s="72">
        <f t="shared" si="1584"/>
        <v>240</v>
      </c>
      <c r="CO293" s="72">
        <f t="shared" si="1585"/>
        <v>256</v>
      </c>
      <c r="CP293" s="72">
        <f t="shared" si="1586"/>
        <v>300</v>
      </c>
      <c r="CQ293" s="72">
        <f t="shared" si="1587"/>
        <v>340</v>
      </c>
      <c r="CR293" s="72">
        <f t="shared" si="1588"/>
        <v>372</v>
      </c>
      <c r="CS293" s="72" t="str">
        <f t="shared" si="1589"/>
        <v>-</v>
      </c>
      <c r="CT293" s="23" t="e">
        <f t="shared" si="1590"/>
        <v>#VALUE!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29" x14ac:dyDescent="0.2">
      <c r="A294" s="3" t="str">
        <f t="shared" ref="A294:A313" si="1733">CONCATENATE(B294,"_",C294)</f>
        <v>par2_human__wt</v>
      </c>
      <c r="B294" s="3" t="s">
        <v>356</v>
      </c>
      <c r="C294" s="3" t="s">
        <v>100</v>
      </c>
      <c r="D294" s="3" t="str">
        <f>IFERROR(MID(VLOOKUP($B294,Seqs!$A:$B,2,0),E294,1),"")</f>
        <v>G</v>
      </c>
      <c r="E294" s="3">
        <v>71</v>
      </c>
      <c r="F294" s="3" t="str">
        <f>IFERROR(MID(VLOOKUP($B294,Seqs!$A:$B,2,0),G294,1),"")</f>
        <v>R</v>
      </c>
      <c r="G294" s="3">
        <v>103</v>
      </c>
      <c r="H294" s="3" t="str">
        <f>IFERROR(MID(VLOOKUP($B294,Seqs!$A:$B,2,0),I294,1),"")</f>
        <v/>
      </c>
      <c r="I294" s="23" t="s">
        <v>23</v>
      </c>
      <c r="J294" s="3" t="str">
        <f>IFERROR(MID(VLOOKUP($B294,Seqs!$A:$B,2,0),K294,1),"")</f>
        <v/>
      </c>
      <c r="K294" s="23" t="s">
        <v>23</v>
      </c>
      <c r="L294" s="3" t="str">
        <f>IFERROR(MID(VLOOKUP($B294,Seqs!$A:$B,2,0),M294,1),"")</f>
        <v>H</v>
      </c>
      <c r="M294" s="3">
        <v>108</v>
      </c>
      <c r="N294" s="3" t="str">
        <f>IFERROR(MID(VLOOKUP($B294,Seqs!$A:$B,2,0),O294,1),"")</f>
        <v>H</v>
      </c>
      <c r="O294" s="3">
        <v>137</v>
      </c>
      <c r="P294" s="3" t="str">
        <f>IFERROR(MID(VLOOKUP($B294,Seqs!$A:$B,2,0),Q294,1),"")</f>
        <v>G</v>
      </c>
      <c r="Q294" s="3">
        <v>138</v>
      </c>
      <c r="R294" s="3" t="str">
        <f>IFERROR(MID(VLOOKUP($B294,Seqs!$A:$B,2,0),S294,1),"")</f>
        <v>Y</v>
      </c>
      <c r="S294" s="3">
        <v>143</v>
      </c>
      <c r="T294" s="3" t="str">
        <f>IFERROR(MID(VLOOKUP($B294,Seqs!$A:$B,2,0),U294,1),"")</f>
        <v>G</v>
      </c>
      <c r="U294" s="3">
        <v>144</v>
      </c>
      <c r="V294" s="3" t="str">
        <f>IFERROR(MID(VLOOKUP($B294,Seqs!$A:$B,2,0),W294,1),"")</f>
        <v>N</v>
      </c>
      <c r="W294" s="3">
        <v>179</v>
      </c>
      <c r="X294" s="3" t="str">
        <f>IFERROR(MID(VLOOKUP($B294,Seqs!$A:$B,2,0),Y294,1),"")</f>
        <v>P</v>
      </c>
      <c r="Y294" s="3">
        <v>180</v>
      </c>
      <c r="Z294" s="3" t="str">
        <f>IFERROR(MID(VLOOKUP($B294,Seqs!$A:$B,2,0),AA294,1),"")</f>
        <v>K</v>
      </c>
      <c r="AA294" s="3">
        <v>186</v>
      </c>
      <c r="AB294" s="3" t="str">
        <f>IFERROR(MID(VLOOKUP($B294,Seqs!$A:$B,2,0),AC294,1),"")</f>
        <v>K</v>
      </c>
      <c r="AC294" s="3">
        <v>187</v>
      </c>
      <c r="AD294" s="3" t="str">
        <f>IFERROR(MID(VLOOKUP($B294,Seqs!$A:$B,2,0),AE294,1),"")</f>
        <v>V</v>
      </c>
      <c r="AE294" s="3">
        <v>211</v>
      </c>
      <c r="AF294" s="3" t="str">
        <f>IFERROR(MID(VLOOKUP($B294,Seqs!$A:$B,2,0),AG294,1),"")</f>
        <v>C</v>
      </c>
      <c r="AG294" s="3">
        <v>226</v>
      </c>
      <c r="AH294" s="3" t="str">
        <f>IFERROR(MID(VLOOKUP($B294,Seqs!$A:$B,2,0),AI294,1),"")</f>
        <v>D</v>
      </c>
      <c r="AI294" s="3">
        <v>228</v>
      </c>
      <c r="AJ294" s="3" t="str">
        <f>IFERROR(MID(VLOOKUP($B294,Seqs!$A:$B,2,0),AK294,1),"")</f>
        <v>L</v>
      </c>
      <c r="AK294" s="3">
        <v>235</v>
      </c>
      <c r="AL294" s="3" t="str">
        <f>IFERROR(MID(VLOOKUP($B294,Seqs!$A:$B,2,0),AM294,1),"")</f>
        <v>S</v>
      </c>
      <c r="AM294" s="3">
        <v>272</v>
      </c>
      <c r="AN294" s="3" t="str">
        <f>IFERROR(MID(VLOOKUP($B294,Seqs!$A:$B,2,0),AO294,1),"")</f>
        <v>S</v>
      </c>
      <c r="AO294" s="3">
        <v>278</v>
      </c>
      <c r="AP294" s="3" t="str">
        <f>IFERROR(MID(VLOOKUP($B294,Seqs!$A:$B,2,0),AQ294,1),"")</f>
        <v>Q</v>
      </c>
      <c r="AQ294" s="3">
        <v>317</v>
      </c>
      <c r="AR294" s="3" t="str">
        <f>IFERROR(MID(VLOOKUP($B294,Seqs!$A:$B,2,0),AS294,1),"")</f>
        <v>V</v>
      </c>
      <c r="AS294" s="3">
        <v>322</v>
      </c>
      <c r="AT294" s="3" t="str">
        <f>IFERROR(MID(VLOOKUP($B294,Seqs!$A:$B,2,0),AU294,1),"")</f>
        <v>V</v>
      </c>
      <c r="AU294" s="3">
        <v>347</v>
      </c>
      <c r="AV294" s="3" t="str">
        <f>IFERROR(MID(VLOOKUP($B294,Seqs!$A:$B,2,0),AW294,1),"")</f>
        <v>S</v>
      </c>
      <c r="AW294" s="3">
        <v>348</v>
      </c>
      <c r="AX294" s="3" t="str">
        <f>IFERROR(MID(VLOOKUP($B294,Seqs!$A:$B,2,0),AY294,1),"")</f>
        <v>R</v>
      </c>
      <c r="AY294" s="3">
        <v>362</v>
      </c>
      <c r="AZ294" s="77" t="str">
        <f>VLOOKUP(B294,Classification!A:D,2,0)</f>
        <v>A</v>
      </c>
      <c r="BA294" s="94" t="str">
        <f>VLOOKUP(B294,Classification!A:D,4,0)</f>
        <v>Proteinase-activated</v>
      </c>
      <c r="BB294" s="27" t="b">
        <f t="shared" ref="BB294:BB313" si="1734">AND(E294&lt;G294,OR(G294&lt;I294,I294="-"),OR(I294&lt;K294,I294="-"),OR(K294&lt;M294,K294="-"),M294&lt;O294,OR(O294&lt;Q294,Q294="-"),OR(Q294&lt;S294,Q294="-"),OR(S294&lt;U294,S294="-"),U294&lt;W294,OR(W294&lt;Y294,Y294="-"),OR(Y294&lt;AA294,Y294="-"),OR(AA294&lt;AC294,AA294="-"),AC294&lt;AE294,OR(AE294&lt;AG294,AG294="-"),OR(AG294&lt;AI294,AG294="-"),OR(AI294&lt;AK294,AI294="-"),AK294&lt;AM294,AM294&lt;AO294,AO294&lt;AQ294,AQ294&lt;AS294,AS294&lt;AU294,OR(AU294&lt;AW294,AW294="-"),OR(AW294&lt;AY294,AW294="-"))</f>
        <v>1</v>
      </c>
      <c r="BC294" s="23">
        <f t="shared" ref="BC294:BC313" si="1735">_xlfn.AGGREGATE(9,6,CH294:CS294)-_xlfn.AGGREGATE(9,6,BV294:CG294)+12</f>
        <v>260</v>
      </c>
      <c r="BD294" s="2" t="s">
        <v>23</v>
      </c>
      <c r="BE294" s="3" t="s">
        <v>23</v>
      </c>
      <c r="BF294" s="119" t="s">
        <v>23</v>
      </c>
      <c r="BG294" s="49" t="s">
        <v>1377</v>
      </c>
      <c r="BH294" s="49" t="s">
        <v>1377</v>
      </c>
      <c r="BI294" s="1"/>
      <c r="BJ294" s="70" t="s">
        <v>1287</v>
      </c>
      <c r="BK294" s="57" t="s">
        <v>1287</v>
      </c>
      <c r="BL294" s="57" t="s">
        <v>1287</v>
      </c>
      <c r="BM294" s="57" t="s">
        <v>1287</v>
      </c>
      <c r="BN294" s="57" t="s">
        <v>1287</v>
      </c>
      <c r="BO294" s="57" t="s">
        <v>1287</v>
      </c>
      <c r="BP294" s="57" t="s">
        <v>1287</v>
      </c>
      <c r="BQ294" s="57" t="s">
        <v>1287</v>
      </c>
      <c r="BR294" s="57" t="s">
        <v>1287</v>
      </c>
      <c r="BS294" s="57" t="s">
        <v>1287</v>
      </c>
      <c r="BT294" s="57" t="s">
        <v>1287</v>
      </c>
      <c r="BU294" s="57" t="s">
        <v>1287</v>
      </c>
      <c r="BV294" s="70">
        <f t="shared" ref="BV294:BV313" si="1736">E294</f>
        <v>71</v>
      </c>
      <c r="BW294" s="71" t="str">
        <f t="shared" ref="BW294:BW313" si="1737">I294</f>
        <v>-</v>
      </c>
      <c r="BX294" s="72">
        <f t="shared" ref="BX294:BX313" si="1738">M294</f>
        <v>108</v>
      </c>
      <c r="BY294" s="71">
        <f t="shared" ref="BY294:BY313" si="1739">Q294</f>
        <v>138</v>
      </c>
      <c r="BZ294" s="72">
        <f t="shared" ref="BZ294:BZ313" si="1740">U294</f>
        <v>144</v>
      </c>
      <c r="CA294" s="71">
        <f t="shared" ref="CA294:CA313" si="1741">Y294</f>
        <v>180</v>
      </c>
      <c r="CB294" s="72">
        <f t="shared" ref="CB294:CB313" si="1742">AC294</f>
        <v>187</v>
      </c>
      <c r="CC294" s="71">
        <f t="shared" ref="CC294:CC313" si="1743">AG294</f>
        <v>226</v>
      </c>
      <c r="CD294" s="72">
        <f t="shared" ref="CD294:CD313" si="1744">AK294</f>
        <v>235</v>
      </c>
      <c r="CE294" s="71">
        <f t="shared" ref="CE294:CE313" si="1745">AO294</f>
        <v>278</v>
      </c>
      <c r="CF294" s="72">
        <f t="shared" ref="CF294:CF313" si="1746">AS294</f>
        <v>322</v>
      </c>
      <c r="CG294" s="71">
        <f t="shared" ref="CG294:CG313" si="1747">AW294</f>
        <v>348</v>
      </c>
      <c r="CH294" s="70">
        <f t="shared" ref="CH294:CH313" si="1748">G294</f>
        <v>103</v>
      </c>
      <c r="CI294" s="71" t="str">
        <f t="shared" ref="CI294:CI313" si="1749">K294</f>
        <v>-</v>
      </c>
      <c r="CJ294" s="72">
        <f t="shared" ref="CJ294:CJ313" si="1750">O294</f>
        <v>137</v>
      </c>
      <c r="CK294" s="72">
        <f t="shared" ref="CK294:CK313" si="1751">S294</f>
        <v>143</v>
      </c>
      <c r="CL294" s="72">
        <f t="shared" ref="CL294:CL313" si="1752">W294</f>
        <v>179</v>
      </c>
      <c r="CM294" s="72">
        <f t="shared" ref="CM294:CM313" si="1753">AA294</f>
        <v>186</v>
      </c>
      <c r="CN294" s="72">
        <f t="shared" ref="CN294:CN313" si="1754">AE294</f>
        <v>211</v>
      </c>
      <c r="CO294" s="72">
        <f t="shared" ref="CO294:CO313" si="1755">AI294</f>
        <v>228</v>
      </c>
      <c r="CP294" s="72">
        <f t="shared" ref="CP294:CP313" si="1756">AM294</f>
        <v>272</v>
      </c>
      <c r="CQ294" s="72">
        <f t="shared" ref="CQ294:CQ313" si="1757">AQ294</f>
        <v>317</v>
      </c>
      <c r="CR294" s="72">
        <f t="shared" ref="CR294:CR313" si="1758">AU294</f>
        <v>347</v>
      </c>
      <c r="CS294" s="72">
        <f t="shared" ref="CS294:CS313" si="1759">AY294</f>
        <v>362</v>
      </c>
      <c r="CT294" s="23" t="e">
        <f t="shared" ref="CT294:CT313" si="1760">M294-K294</f>
        <v>#VALUE!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29" x14ac:dyDescent="0.2">
      <c r="A295" s="3" t="str">
        <f t="shared" si="1733"/>
        <v>par2_human_5NDD</v>
      </c>
      <c r="B295" s="3" t="s">
        <v>356</v>
      </c>
      <c r="C295" s="3" t="s">
        <v>1396</v>
      </c>
      <c r="D295" s="3" t="str">
        <f>IFERROR(MID(VLOOKUP($B295,Seqs!$A:$B,2,0),E295,1),"")</f>
        <v>G</v>
      </c>
      <c r="E295" s="3">
        <v>71</v>
      </c>
      <c r="F295" s="3" t="str">
        <f>IFERROR(MID(VLOOKUP($B295,Seqs!$A:$B,2,0),G295,1),"")</f>
        <v>R</v>
      </c>
      <c r="G295" s="3">
        <v>103</v>
      </c>
      <c r="H295" s="3" t="str">
        <f>IFERROR(MID(VLOOKUP($B295,Seqs!$A:$B,2,0),I295,1),"")</f>
        <v/>
      </c>
      <c r="I295" s="23" t="s">
        <v>23</v>
      </c>
      <c r="J295" s="3" t="str">
        <f>IFERROR(MID(VLOOKUP($B295,Seqs!$A:$B,2,0),K295,1),"")</f>
        <v/>
      </c>
      <c r="K295" s="23" t="s">
        <v>23</v>
      </c>
      <c r="L295" s="3" t="str">
        <f>IFERROR(MID(VLOOKUP($B295,Seqs!$A:$B,2,0),M295,1),"")</f>
        <v>H</v>
      </c>
      <c r="M295" s="3">
        <v>108</v>
      </c>
      <c r="N295" s="3" t="str">
        <f>IFERROR(MID(VLOOKUP($B295,Seqs!$A:$B,2,0),O295,1),"")</f>
        <v>H</v>
      </c>
      <c r="O295" s="3">
        <v>137</v>
      </c>
      <c r="P295" s="3" t="str">
        <f>IFERROR(MID(VLOOKUP($B295,Seqs!$A:$B,2,0),Q295,1),"")</f>
        <v>G</v>
      </c>
      <c r="Q295" s="3">
        <v>138</v>
      </c>
      <c r="R295" s="3" t="str">
        <f>IFERROR(MID(VLOOKUP($B295,Seqs!$A:$B,2,0),S295,1),"")</f>
        <v>Y</v>
      </c>
      <c r="S295" s="3">
        <v>143</v>
      </c>
      <c r="T295" s="3" t="str">
        <f>IFERROR(MID(VLOOKUP($B295,Seqs!$A:$B,2,0),U295,1),"")</f>
        <v>G</v>
      </c>
      <c r="U295" s="3">
        <v>144</v>
      </c>
      <c r="V295" s="3" t="str">
        <f>IFERROR(MID(VLOOKUP($B295,Seqs!$A:$B,2,0),W295,1),"")</f>
        <v>N</v>
      </c>
      <c r="W295" s="3">
        <v>179</v>
      </c>
      <c r="X295" s="3" t="str">
        <f>IFERROR(MID(VLOOKUP($B295,Seqs!$A:$B,2,0),Y295,1),"")</f>
        <v/>
      </c>
      <c r="Y295" s="3" t="s">
        <v>23</v>
      </c>
      <c r="Z295" s="3" t="str">
        <f>IFERROR(MID(VLOOKUP($B295,Seqs!$A:$B,2,0),AA295,1),"")</f>
        <v/>
      </c>
      <c r="AA295" s="3" t="s">
        <v>23</v>
      </c>
      <c r="AB295" s="3" t="str">
        <f>IFERROR(MID(VLOOKUP($B295,Seqs!$A:$B,2,0),AC295,1),"")</f>
        <v>H</v>
      </c>
      <c r="AC295" s="3">
        <v>183</v>
      </c>
      <c r="AD295" s="3" t="str">
        <f>IFERROR(MID(VLOOKUP($B295,Seqs!$A:$B,2,0),AE295,1),"")</f>
        <v>V</v>
      </c>
      <c r="AE295" s="3">
        <v>211</v>
      </c>
      <c r="AF295" s="3" t="str">
        <f>IFERROR(MID(VLOOKUP($B295,Seqs!$A:$B,2,0),AG295,1),"")</f>
        <v>C</v>
      </c>
      <c r="AG295" s="3">
        <v>226</v>
      </c>
      <c r="AH295" s="3" t="str">
        <f>IFERROR(MID(VLOOKUP($B295,Seqs!$A:$B,2,0),AI295,1),"")</f>
        <v>D</v>
      </c>
      <c r="AI295" s="3">
        <v>228</v>
      </c>
      <c r="AJ295" s="3" t="str">
        <f>IFERROR(MID(VLOOKUP($B295,Seqs!$A:$B,2,0),AK295,1),"")</f>
        <v>L</v>
      </c>
      <c r="AK295" s="3">
        <v>235</v>
      </c>
      <c r="AL295" s="3" t="str">
        <f>IFERROR(MID(VLOOKUP($B295,Seqs!$A:$B,2,0),AM295,1),"")</f>
        <v>L</v>
      </c>
      <c r="AM295" s="3">
        <v>269</v>
      </c>
      <c r="AN295" s="3" t="str">
        <f>IFERROR(MID(VLOOKUP($B295,Seqs!$A:$B,2,0),AO295,1),"")</f>
        <v>S</v>
      </c>
      <c r="AO295" s="3">
        <v>278</v>
      </c>
      <c r="AP295" s="3" t="str">
        <f>IFERROR(MID(VLOOKUP($B295,Seqs!$A:$B,2,0),AQ295,1),"")</f>
        <v>Q</v>
      </c>
      <c r="AQ295" s="3">
        <v>317</v>
      </c>
      <c r="AR295" s="3" t="str">
        <f>IFERROR(MID(VLOOKUP($B295,Seqs!$A:$B,2,0),AS295,1),"")</f>
        <v>V</v>
      </c>
      <c r="AS295" s="3">
        <v>322</v>
      </c>
      <c r="AT295" s="3" t="str">
        <f>IFERROR(MID(VLOOKUP($B295,Seqs!$A:$B,2,0),AU295,1),"")</f>
        <v>V</v>
      </c>
      <c r="AU295" s="3">
        <v>347</v>
      </c>
      <c r="AV295" s="3" t="str">
        <f>IFERROR(MID(VLOOKUP($B295,Seqs!$A:$B,2,0),AW295,1),"")</f>
        <v>S</v>
      </c>
      <c r="AW295" s="3">
        <v>348</v>
      </c>
      <c r="AX295" s="3" t="str">
        <f>IFERROR(MID(VLOOKUP($B295,Seqs!$A:$B,2,0),AY295,1),"")</f>
        <v>L</v>
      </c>
      <c r="AY295" s="3">
        <v>359</v>
      </c>
      <c r="AZ295" s="77" t="str">
        <f>VLOOKUP(B295,Classification!A:D,2,0)</f>
        <v>A</v>
      </c>
      <c r="BA295" s="94" t="str">
        <f>VLOOKUP(B295,Classification!A:D,4,0)</f>
        <v>Proteinase-activated</v>
      </c>
      <c r="BB295" s="27" t="b">
        <f t="shared" si="1734"/>
        <v>1</v>
      </c>
      <c r="BC295" s="23">
        <f t="shared" si="1735"/>
        <v>252</v>
      </c>
      <c r="BD295" s="2" t="s">
        <v>1429</v>
      </c>
      <c r="BE295" s="3" t="s">
        <v>1428</v>
      </c>
      <c r="BF295" s="119">
        <v>2.8</v>
      </c>
      <c r="BG295" s="49" t="s">
        <v>1</v>
      </c>
      <c r="BH295" s="49" t="s">
        <v>1377</v>
      </c>
      <c r="BI295" s="1"/>
      <c r="BJ295" s="70" t="s">
        <v>1287</v>
      </c>
      <c r="BK295" s="57" t="s">
        <v>1287</v>
      </c>
      <c r="BL295" s="57" t="s">
        <v>1287</v>
      </c>
      <c r="BM295" s="57" t="s">
        <v>1287</v>
      </c>
      <c r="BN295" s="57" t="s">
        <v>1287</v>
      </c>
      <c r="BO295" s="57" t="s">
        <v>1287</v>
      </c>
      <c r="BP295" s="57" t="s">
        <v>1287</v>
      </c>
      <c r="BQ295" s="57" t="s">
        <v>1287</v>
      </c>
      <c r="BR295" s="57" t="s">
        <v>1287</v>
      </c>
      <c r="BS295" s="57" t="s">
        <v>1287</v>
      </c>
      <c r="BT295" s="57" t="s">
        <v>1287</v>
      </c>
      <c r="BU295" s="57" t="s">
        <v>1287</v>
      </c>
      <c r="BV295" s="70">
        <f t="shared" si="1736"/>
        <v>71</v>
      </c>
      <c r="BW295" s="71" t="str">
        <f t="shared" si="1737"/>
        <v>-</v>
      </c>
      <c r="BX295" s="72">
        <f t="shared" si="1738"/>
        <v>108</v>
      </c>
      <c r="BY295" s="71">
        <f t="shared" si="1739"/>
        <v>138</v>
      </c>
      <c r="BZ295" s="72">
        <f t="shared" si="1740"/>
        <v>144</v>
      </c>
      <c r="CA295" s="71" t="str">
        <f t="shared" si="1741"/>
        <v>-</v>
      </c>
      <c r="CB295" s="72">
        <f t="shared" si="1742"/>
        <v>183</v>
      </c>
      <c r="CC295" s="71">
        <f t="shared" si="1743"/>
        <v>226</v>
      </c>
      <c r="CD295" s="72">
        <f t="shared" si="1744"/>
        <v>235</v>
      </c>
      <c r="CE295" s="71">
        <f t="shared" si="1745"/>
        <v>278</v>
      </c>
      <c r="CF295" s="72">
        <f t="shared" si="1746"/>
        <v>322</v>
      </c>
      <c r="CG295" s="71">
        <f t="shared" si="1747"/>
        <v>348</v>
      </c>
      <c r="CH295" s="70">
        <f t="shared" si="1748"/>
        <v>103</v>
      </c>
      <c r="CI295" s="71" t="str">
        <f t="shared" si="1749"/>
        <v>-</v>
      </c>
      <c r="CJ295" s="72">
        <f t="shared" si="1750"/>
        <v>137</v>
      </c>
      <c r="CK295" s="72">
        <f t="shared" si="1751"/>
        <v>143</v>
      </c>
      <c r="CL295" s="72">
        <f t="shared" si="1752"/>
        <v>179</v>
      </c>
      <c r="CM295" s="72" t="str">
        <f t="shared" si="1753"/>
        <v>-</v>
      </c>
      <c r="CN295" s="72">
        <f t="shared" si="1754"/>
        <v>211</v>
      </c>
      <c r="CO295" s="72">
        <f t="shared" si="1755"/>
        <v>228</v>
      </c>
      <c r="CP295" s="72">
        <f t="shared" si="1756"/>
        <v>269</v>
      </c>
      <c r="CQ295" s="72">
        <f t="shared" si="1757"/>
        <v>317</v>
      </c>
      <c r="CR295" s="72">
        <f t="shared" si="1758"/>
        <v>347</v>
      </c>
      <c r="CS295" s="72">
        <f t="shared" si="1759"/>
        <v>359</v>
      </c>
      <c r="CT295" s="23" t="e">
        <f t="shared" si="1760"/>
        <v>#VALUE!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29" x14ac:dyDescent="0.2">
      <c r="A296" s="3" t="str">
        <f t="shared" si="1733"/>
        <v>par2_human_5NDZ</v>
      </c>
      <c r="B296" s="3" t="s">
        <v>356</v>
      </c>
      <c r="C296" s="3" t="s">
        <v>1397</v>
      </c>
      <c r="D296" s="3" t="str">
        <f>IFERROR(MID(VLOOKUP($B296,Seqs!$A:$B,2,0),E296,1),"")</f>
        <v>G</v>
      </c>
      <c r="E296" s="3">
        <v>71</v>
      </c>
      <c r="F296" s="3" t="str">
        <f>IFERROR(MID(VLOOKUP($B296,Seqs!$A:$B,2,0),G296,1),"")</f>
        <v>R</v>
      </c>
      <c r="G296" s="3">
        <v>103</v>
      </c>
      <c r="H296" s="3" t="str">
        <f>IFERROR(MID(VLOOKUP($B296,Seqs!$A:$B,2,0),I296,1),"")</f>
        <v/>
      </c>
      <c r="I296" s="23" t="s">
        <v>23</v>
      </c>
      <c r="J296" s="3" t="str">
        <f>IFERROR(MID(VLOOKUP($B296,Seqs!$A:$B,2,0),K296,1),"")</f>
        <v/>
      </c>
      <c r="K296" s="23" t="s">
        <v>23</v>
      </c>
      <c r="L296" s="3" t="str">
        <f>IFERROR(MID(VLOOKUP($B296,Seqs!$A:$B,2,0),M296,1),"")</f>
        <v>H</v>
      </c>
      <c r="M296" s="3">
        <v>108</v>
      </c>
      <c r="N296" s="3" t="str">
        <f>IFERROR(MID(VLOOKUP($B296,Seqs!$A:$B,2,0),O296,1),"")</f>
        <v>H</v>
      </c>
      <c r="O296" s="3">
        <v>137</v>
      </c>
      <c r="P296" s="3" t="str">
        <f>IFERROR(MID(VLOOKUP($B296,Seqs!$A:$B,2,0),Q296,1),"")</f>
        <v>G</v>
      </c>
      <c r="Q296" s="3">
        <v>138</v>
      </c>
      <c r="R296" s="3" t="str">
        <f>IFERROR(MID(VLOOKUP($B296,Seqs!$A:$B,2,0),S296,1),"")</f>
        <v>Y</v>
      </c>
      <c r="S296" s="3">
        <v>143</v>
      </c>
      <c r="T296" s="3" t="str">
        <f>IFERROR(MID(VLOOKUP($B296,Seqs!$A:$B,2,0),U296,1),"")</f>
        <v>G</v>
      </c>
      <c r="U296" s="3">
        <v>144</v>
      </c>
      <c r="V296" s="3" t="str">
        <f>IFERROR(MID(VLOOKUP($B296,Seqs!$A:$B,2,0),W296,1),"")</f>
        <v>N</v>
      </c>
      <c r="W296" s="3">
        <v>179</v>
      </c>
      <c r="X296" s="3" t="str">
        <f>IFERROR(MID(VLOOKUP($B296,Seqs!$A:$B,2,0),Y296,1),"")</f>
        <v/>
      </c>
      <c r="Y296" s="3" t="s">
        <v>23</v>
      </c>
      <c r="Z296" s="3" t="str">
        <f>IFERROR(MID(VLOOKUP($B296,Seqs!$A:$B,2,0),AA296,1),"")</f>
        <v/>
      </c>
      <c r="AA296" s="3" t="s">
        <v>23</v>
      </c>
      <c r="AB296" s="3" t="str">
        <f>IFERROR(MID(VLOOKUP($B296,Seqs!$A:$B,2,0),AC296,1),"")</f>
        <v>H</v>
      </c>
      <c r="AC296" s="3">
        <v>183</v>
      </c>
      <c r="AD296" s="3" t="str">
        <f>IFERROR(MID(VLOOKUP($B296,Seqs!$A:$B,2,0),AE296,1),"")</f>
        <v>V</v>
      </c>
      <c r="AE296" s="3">
        <v>211</v>
      </c>
      <c r="AF296" s="3" t="str">
        <f>IFERROR(MID(VLOOKUP($B296,Seqs!$A:$B,2,0),AG296,1),"")</f>
        <v>C</v>
      </c>
      <c r="AG296" s="3">
        <v>226</v>
      </c>
      <c r="AH296" s="3" t="str">
        <f>IFERROR(MID(VLOOKUP($B296,Seqs!$A:$B,2,0),AI296,1),"")</f>
        <v>D</v>
      </c>
      <c r="AI296" s="3">
        <v>228</v>
      </c>
      <c r="AJ296" s="3" t="str">
        <f>IFERROR(MID(VLOOKUP($B296,Seqs!$A:$B,2,0),AK296,1),"")</f>
        <v>L</v>
      </c>
      <c r="AK296" s="3">
        <v>235</v>
      </c>
      <c r="AL296" s="3" t="str">
        <f>IFERROR(MID(VLOOKUP($B296,Seqs!$A:$B,2,0),AM296,1),"")</f>
        <v>L</v>
      </c>
      <c r="AM296" s="3">
        <v>269</v>
      </c>
      <c r="AN296" s="3" t="str">
        <f>IFERROR(MID(VLOOKUP($B296,Seqs!$A:$B,2,0),AO296,1),"")</f>
        <v>S</v>
      </c>
      <c r="AO296" s="3">
        <v>278</v>
      </c>
      <c r="AP296" s="3" t="str">
        <f>IFERROR(MID(VLOOKUP($B296,Seqs!$A:$B,2,0),AQ296,1),"")</f>
        <v>Q</v>
      </c>
      <c r="AQ296" s="3">
        <v>317</v>
      </c>
      <c r="AR296" s="3" t="str">
        <f>IFERROR(MID(VLOOKUP($B296,Seqs!$A:$B,2,0),AS296,1),"")</f>
        <v>V</v>
      </c>
      <c r="AS296" s="3">
        <v>322</v>
      </c>
      <c r="AT296" s="3" t="str">
        <f>IFERROR(MID(VLOOKUP($B296,Seqs!$A:$B,2,0),AU296,1),"")</f>
        <v>S</v>
      </c>
      <c r="AU296" s="3">
        <v>348</v>
      </c>
      <c r="AV296" s="3" t="str">
        <f>IFERROR(MID(VLOOKUP($B296,Seqs!$A:$B,2,0),AW296,1),"")</f>
        <v>H</v>
      </c>
      <c r="AW296" s="3">
        <v>349</v>
      </c>
      <c r="AX296" s="3" t="str">
        <f>IFERROR(MID(VLOOKUP($B296,Seqs!$A:$B,2,0),AY296,1),"")</f>
        <v>L</v>
      </c>
      <c r="AY296" s="3">
        <v>359</v>
      </c>
      <c r="AZ296" s="77" t="str">
        <f>VLOOKUP(B296,Classification!A:D,2,0)</f>
        <v>A</v>
      </c>
      <c r="BA296" s="94" t="str">
        <f>VLOOKUP(B296,Classification!A:D,4,0)</f>
        <v>Proteinase-activated</v>
      </c>
      <c r="BB296" s="27" t="b">
        <f t="shared" si="1734"/>
        <v>1</v>
      </c>
      <c r="BC296" s="23">
        <f t="shared" si="1735"/>
        <v>252</v>
      </c>
      <c r="BD296" s="2" t="s">
        <v>23</v>
      </c>
      <c r="BE296" s="3" t="s">
        <v>1428</v>
      </c>
      <c r="BF296" s="119">
        <v>3.6</v>
      </c>
      <c r="BG296" s="49" t="s">
        <v>1</v>
      </c>
      <c r="BH296" s="49" t="s">
        <v>1377</v>
      </c>
      <c r="BI296" s="1"/>
      <c r="BJ296" s="70" t="s">
        <v>1287</v>
      </c>
      <c r="BK296" s="57" t="s">
        <v>1287</v>
      </c>
      <c r="BL296" s="57" t="s">
        <v>1287</v>
      </c>
      <c r="BM296" s="57" t="s">
        <v>1287</v>
      </c>
      <c r="BN296" s="57" t="s">
        <v>1287</v>
      </c>
      <c r="BO296" s="57" t="s">
        <v>1287</v>
      </c>
      <c r="BP296" s="57" t="s">
        <v>1287</v>
      </c>
      <c r="BQ296" s="57" t="s">
        <v>1287</v>
      </c>
      <c r="BR296" s="57" t="s">
        <v>1287</v>
      </c>
      <c r="BS296" s="57" t="s">
        <v>1287</v>
      </c>
      <c r="BT296" s="57" t="s">
        <v>1287</v>
      </c>
      <c r="BU296" s="57" t="s">
        <v>1287</v>
      </c>
      <c r="BV296" s="70">
        <f t="shared" si="1736"/>
        <v>71</v>
      </c>
      <c r="BW296" s="71" t="str">
        <f t="shared" si="1737"/>
        <v>-</v>
      </c>
      <c r="BX296" s="72">
        <f t="shared" si="1738"/>
        <v>108</v>
      </c>
      <c r="BY296" s="71">
        <f t="shared" si="1739"/>
        <v>138</v>
      </c>
      <c r="BZ296" s="72">
        <f t="shared" si="1740"/>
        <v>144</v>
      </c>
      <c r="CA296" s="71" t="str">
        <f t="shared" si="1741"/>
        <v>-</v>
      </c>
      <c r="CB296" s="72">
        <f t="shared" si="1742"/>
        <v>183</v>
      </c>
      <c r="CC296" s="71">
        <f t="shared" si="1743"/>
        <v>226</v>
      </c>
      <c r="CD296" s="72">
        <f t="shared" si="1744"/>
        <v>235</v>
      </c>
      <c r="CE296" s="71">
        <f t="shared" si="1745"/>
        <v>278</v>
      </c>
      <c r="CF296" s="72">
        <f t="shared" si="1746"/>
        <v>322</v>
      </c>
      <c r="CG296" s="71">
        <f t="shared" si="1747"/>
        <v>349</v>
      </c>
      <c r="CH296" s="70">
        <f t="shared" si="1748"/>
        <v>103</v>
      </c>
      <c r="CI296" s="71" t="str">
        <f t="shared" si="1749"/>
        <v>-</v>
      </c>
      <c r="CJ296" s="72">
        <f t="shared" si="1750"/>
        <v>137</v>
      </c>
      <c r="CK296" s="72">
        <f t="shared" si="1751"/>
        <v>143</v>
      </c>
      <c r="CL296" s="72">
        <f t="shared" si="1752"/>
        <v>179</v>
      </c>
      <c r="CM296" s="72" t="str">
        <f t="shared" si="1753"/>
        <v>-</v>
      </c>
      <c r="CN296" s="72">
        <f t="shared" si="1754"/>
        <v>211</v>
      </c>
      <c r="CO296" s="72">
        <f t="shared" si="1755"/>
        <v>228</v>
      </c>
      <c r="CP296" s="72">
        <f t="shared" si="1756"/>
        <v>269</v>
      </c>
      <c r="CQ296" s="72">
        <f t="shared" si="1757"/>
        <v>317</v>
      </c>
      <c r="CR296" s="72">
        <f t="shared" si="1758"/>
        <v>348</v>
      </c>
      <c r="CS296" s="72">
        <f t="shared" si="1759"/>
        <v>359</v>
      </c>
      <c r="CT296" s="23" t="e">
        <f t="shared" si="1760"/>
        <v>#VALUE!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29" x14ac:dyDescent="0.2">
      <c r="A297" s="3" t="str">
        <f t="shared" si="1733"/>
        <v>par2_human_5NJ6</v>
      </c>
      <c r="B297" s="3" t="s">
        <v>356</v>
      </c>
      <c r="C297" s="3" t="s">
        <v>1398</v>
      </c>
      <c r="D297" s="3" t="str">
        <f>IFERROR(MID(VLOOKUP($B297,Seqs!$A:$B,2,0),E297,1),"")</f>
        <v>G</v>
      </c>
      <c r="E297" s="3">
        <v>71</v>
      </c>
      <c r="F297" s="3" t="str">
        <f>IFERROR(MID(VLOOKUP($B297,Seqs!$A:$B,2,0),G297,1),"")</f>
        <v>R</v>
      </c>
      <c r="G297" s="3">
        <v>103</v>
      </c>
      <c r="H297" s="3" t="str">
        <f>IFERROR(MID(VLOOKUP($B297,Seqs!$A:$B,2,0),I297,1),"")</f>
        <v/>
      </c>
      <c r="I297" s="23" t="s">
        <v>23</v>
      </c>
      <c r="J297" s="3" t="str">
        <f>IFERROR(MID(VLOOKUP($B297,Seqs!$A:$B,2,0),K297,1),"")</f>
        <v/>
      </c>
      <c r="K297" s="23" t="s">
        <v>23</v>
      </c>
      <c r="L297" s="3" t="str">
        <f>IFERROR(MID(VLOOKUP($B297,Seqs!$A:$B,2,0),M297,1),"")</f>
        <v>H</v>
      </c>
      <c r="M297" s="3">
        <v>108</v>
      </c>
      <c r="N297" s="3" t="str">
        <f>IFERROR(MID(VLOOKUP($B297,Seqs!$A:$B,2,0),O297,1),"")</f>
        <v>H</v>
      </c>
      <c r="O297" s="3">
        <v>137</v>
      </c>
      <c r="P297" s="3" t="str">
        <f>IFERROR(MID(VLOOKUP($B297,Seqs!$A:$B,2,0),Q297,1),"")</f>
        <v>G</v>
      </c>
      <c r="Q297" s="3">
        <v>138</v>
      </c>
      <c r="R297" s="3" t="str">
        <f>IFERROR(MID(VLOOKUP($B297,Seqs!$A:$B,2,0),S297,1),"")</f>
        <v>Y</v>
      </c>
      <c r="S297" s="3">
        <v>143</v>
      </c>
      <c r="T297" s="3" t="str">
        <f>IFERROR(MID(VLOOKUP($B297,Seqs!$A:$B,2,0),U297,1),"")</f>
        <v>G</v>
      </c>
      <c r="U297" s="3">
        <v>144</v>
      </c>
      <c r="V297" s="3" t="str">
        <f>IFERROR(MID(VLOOKUP($B297,Seqs!$A:$B,2,0),W297,1),"")</f>
        <v>N</v>
      </c>
      <c r="W297" s="3">
        <v>179</v>
      </c>
      <c r="X297" s="3" t="str">
        <f>IFERROR(MID(VLOOKUP($B297,Seqs!$A:$B,2,0),Y297,1),"")</f>
        <v/>
      </c>
      <c r="Y297" s="3" t="s">
        <v>23</v>
      </c>
      <c r="Z297" s="3" t="str">
        <f>IFERROR(MID(VLOOKUP($B297,Seqs!$A:$B,2,0),AA297,1),"")</f>
        <v/>
      </c>
      <c r="AA297" s="3" t="s">
        <v>23</v>
      </c>
      <c r="AB297" s="3" t="str">
        <f>IFERROR(MID(VLOOKUP($B297,Seqs!$A:$B,2,0),AC297,1),"")</f>
        <v>H</v>
      </c>
      <c r="AC297" s="3">
        <v>183</v>
      </c>
      <c r="AD297" s="3" t="str">
        <f>IFERROR(MID(VLOOKUP($B297,Seqs!$A:$B,2,0),AE297,1),"")</f>
        <v>V</v>
      </c>
      <c r="AE297" s="3">
        <v>211</v>
      </c>
      <c r="AF297" s="3" t="str">
        <f>IFERROR(MID(VLOOKUP($B297,Seqs!$A:$B,2,0),AG297,1),"")</f>
        <v>C</v>
      </c>
      <c r="AG297" s="3">
        <v>226</v>
      </c>
      <c r="AH297" s="3" t="str">
        <f>IFERROR(MID(VLOOKUP($B297,Seqs!$A:$B,2,0),AI297,1),"")</f>
        <v>D</v>
      </c>
      <c r="AI297" s="3">
        <v>228</v>
      </c>
      <c r="AJ297" s="3" t="str">
        <f>IFERROR(MID(VLOOKUP($B297,Seqs!$A:$B,2,0),AK297,1),"")</f>
        <v>L</v>
      </c>
      <c r="AK297" s="3">
        <v>235</v>
      </c>
      <c r="AL297" s="3" t="str">
        <f>IFERROR(MID(VLOOKUP($B297,Seqs!$A:$B,2,0),AM297,1),"")</f>
        <v>L</v>
      </c>
      <c r="AM297" s="3">
        <v>269</v>
      </c>
      <c r="AN297" s="3" t="str">
        <f>IFERROR(MID(VLOOKUP($B297,Seqs!$A:$B,2,0),AO297,1),"")</f>
        <v>S</v>
      </c>
      <c r="AO297" s="3">
        <v>278</v>
      </c>
      <c r="AP297" s="3" t="str">
        <f>IFERROR(MID(VLOOKUP($B297,Seqs!$A:$B,2,0),AQ297,1),"")</f>
        <v>Q</v>
      </c>
      <c r="AQ297" s="3">
        <v>317</v>
      </c>
      <c r="AR297" s="3" t="str">
        <f>IFERROR(MID(VLOOKUP($B297,Seqs!$A:$B,2,0),AS297,1),"")</f>
        <v>V</v>
      </c>
      <c r="AS297" s="3">
        <v>322</v>
      </c>
      <c r="AT297" s="3" t="str">
        <f>IFERROR(MID(VLOOKUP($B297,Seqs!$A:$B,2,0),AU297,1),"")</f>
        <v>S</v>
      </c>
      <c r="AU297" s="3">
        <v>348</v>
      </c>
      <c r="AV297" s="3" t="str">
        <f>IFERROR(MID(VLOOKUP($B297,Seqs!$A:$B,2,0),AW297,1),"")</f>
        <v>H</v>
      </c>
      <c r="AW297" s="3">
        <v>349</v>
      </c>
      <c r="AX297" s="3" t="str">
        <f>IFERROR(MID(VLOOKUP($B297,Seqs!$A:$B,2,0),AY297,1),"")</f>
        <v>L</v>
      </c>
      <c r="AY297" s="3">
        <v>359</v>
      </c>
      <c r="AZ297" s="77" t="str">
        <f>VLOOKUP(B297,Classification!A:D,2,0)</f>
        <v>A</v>
      </c>
      <c r="BA297" s="94" t="str">
        <f>VLOOKUP(B297,Classification!A:D,4,0)</f>
        <v>Proteinase-activated</v>
      </c>
      <c r="BB297" s="27" t="b">
        <f t="shared" si="1734"/>
        <v>1</v>
      </c>
      <c r="BC297" s="23">
        <f t="shared" si="1735"/>
        <v>252</v>
      </c>
      <c r="BD297" s="2" t="s">
        <v>23</v>
      </c>
      <c r="BE297" s="3" t="s">
        <v>1428</v>
      </c>
      <c r="BF297" s="119">
        <v>4</v>
      </c>
      <c r="BG297" s="49" t="s">
        <v>1</v>
      </c>
      <c r="BH297" s="49" t="s">
        <v>1377</v>
      </c>
      <c r="BI297" s="1"/>
      <c r="BJ297" s="70" t="s">
        <v>1287</v>
      </c>
      <c r="BK297" s="57" t="s">
        <v>1287</v>
      </c>
      <c r="BL297" s="57" t="s">
        <v>1287</v>
      </c>
      <c r="BM297" s="57" t="s">
        <v>1287</v>
      </c>
      <c r="BN297" s="57" t="s">
        <v>1287</v>
      </c>
      <c r="BO297" s="57" t="s">
        <v>1287</v>
      </c>
      <c r="BP297" s="57" t="s">
        <v>1287</v>
      </c>
      <c r="BQ297" s="57" t="s">
        <v>1287</v>
      </c>
      <c r="BR297" s="57" t="s">
        <v>1287</v>
      </c>
      <c r="BS297" s="57" t="s">
        <v>1287</v>
      </c>
      <c r="BT297" s="57" t="s">
        <v>1287</v>
      </c>
      <c r="BU297" s="57" t="s">
        <v>1287</v>
      </c>
      <c r="BV297" s="70">
        <f t="shared" si="1736"/>
        <v>71</v>
      </c>
      <c r="BW297" s="71" t="str">
        <f t="shared" si="1737"/>
        <v>-</v>
      </c>
      <c r="BX297" s="72">
        <f t="shared" si="1738"/>
        <v>108</v>
      </c>
      <c r="BY297" s="71">
        <f t="shared" si="1739"/>
        <v>138</v>
      </c>
      <c r="BZ297" s="72">
        <f t="shared" si="1740"/>
        <v>144</v>
      </c>
      <c r="CA297" s="71" t="str">
        <f t="shared" si="1741"/>
        <v>-</v>
      </c>
      <c r="CB297" s="72">
        <f t="shared" si="1742"/>
        <v>183</v>
      </c>
      <c r="CC297" s="71">
        <f t="shared" si="1743"/>
        <v>226</v>
      </c>
      <c r="CD297" s="72">
        <f t="shared" si="1744"/>
        <v>235</v>
      </c>
      <c r="CE297" s="71">
        <f t="shared" si="1745"/>
        <v>278</v>
      </c>
      <c r="CF297" s="72">
        <f t="shared" si="1746"/>
        <v>322</v>
      </c>
      <c r="CG297" s="71">
        <f t="shared" si="1747"/>
        <v>349</v>
      </c>
      <c r="CH297" s="70">
        <f t="shared" si="1748"/>
        <v>103</v>
      </c>
      <c r="CI297" s="71" t="str">
        <f t="shared" si="1749"/>
        <v>-</v>
      </c>
      <c r="CJ297" s="72">
        <f t="shared" si="1750"/>
        <v>137</v>
      </c>
      <c r="CK297" s="72">
        <f t="shared" si="1751"/>
        <v>143</v>
      </c>
      <c r="CL297" s="72">
        <f t="shared" si="1752"/>
        <v>179</v>
      </c>
      <c r="CM297" s="72" t="str">
        <f t="shared" si="1753"/>
        <v>-</v>
      </c>
      <c r="CN297" s="72">
        <f t="shared" si="1754"/>
        <v>211</v>
      </c>
      <c r="CO297" s="72">
        <f t="shared" si="1755"/>
        <v>228</v>
      </c>
      <c r="CP297" s="72">
        <f t="shared" si="1756"/>
        <v>269</v>
      </c>
      <c r="CQ297" s="72">
        <f t="shared" si="1757"/>
        <v>317</v>
      </c>
      <c r="CR297" s="72">
        <f t="shared" si="1758"/>
        <v>348</v>
      </c>
      <c r="CS297" s="72">
        <f t="shared" si="1759"/>
        <v>359</v>
      </c>
      <c r="CT297" s="23" t="e">
        <f t="shared" si="1760"/>
        <v>#VALUE!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29" x14ac:dyDescent="0.2">
      <c r="A298" s="3" t="str">
        <f t="shared" ref="A298" si="1761">CONCATENATE(B298,"_",C298)</f>
        <v>pd2r2_human__wt</v>
      </c>
      <c r="B298" s="3" t="s">
        <v>360</v>
      </c>
      <c r="C298" s="3" t="s">
        <v>100</v>
      </c>
      <c r="D298" s="3" t="str">
        <f>IFERROR(MID(VLOOKUP($B298,Seqs!$A:$B,2,0),E298,1),"")</f>
        <v>D</v>
      </c>
      <c r="E298" s="3">
        <v>32</v>
      </c>
      <c r="F298" s="3" t="str">
        <f>IFERROR(MID(VLOOKUP($B298,Seqs!$A:$B,2,0),G298,1),"")</f>
        <v>R</v>
      </c>
      <c r="G298" s="3">
        <v>60</v>
      </c>
      <c r="H298" s="3" t="str">
        <f>IFERROR(MID(VLOOKUP($B298,Seqs!$A:$B,2,0),I298,1),"")</f>
        <v/>
      </c>
      <c r="I298" s="23" t="s">
        <v>23</v>
      </c>
      <c r="J298" s="3" t="str">
        <f>IFERROR(MID(VLOOKUP($B298,Seqs!$A:$B,2,0),K298,1),"")</f>
        <v/>
      </c>
      <c r="K298" s="23" t="s">
        <v>23</v>
      </c>
      <c r="L298" s="3" t="str">
        <f>IFERROR(MID(VLOOKUP($B298,Seqs!$A:$B,2,0),M298,1),"")</f>
        <v>T</v>
      </c>
      <c r="M298" s="3">
        <v>64</v>
      </c>
      <c r="N298" s="3" t="str">
        <f>IFERROR(MID(VLOOKUP($B298,Seqs!$A:$B,2,0),O298,1),"")</f>
        <v>G</v>
      </c>
      <c r="O298" s="3">
        <v>94</v>
      </c>
      <c r="P298" s="3" t="str">
        <f>IFERROR(MID(VLOOKUP($B298,Seqs!$A:$B,2,0),Q298,1),"")</f>
        <v>S</v>
      </c>
      <c r="Q298" s="3">
        <v>96</v>
      </c>
      <c r="R298" s="3" t="str">
        <f>IFERROR(MID(VLOOKUP($B298,Seqs!$A:$B,2,0),S298,1),"")</f>
        <v>L</v>
      </c>
      <c r="S298" s="3">
        <v>99</v>
      </c>
      <c r="T298" s="3" t="str">
        <f>IFERROR(MID(VLOOKUP($B298,Seqs!$A:$B,2,0),U298,1),"")</f>
        <v>G</v>
      </c>
      <c r="U298" s="3">
        <v>100</v>
      </c>
      <c r="V298" s="3" t="str">
        <f>IFERROR(MID(VLOOKUP($B298,Seqs!$A:$B,2,0),W298,1),"")</f>
        <v>R</v>
      </c>
      <c r="W298" s="3">
        <v>135</v>
      </c>
      <c r="X298" s="3" t="str">
        <f>IFERROR(MID(VLOOKUP($B298,Seqs!$A:$B,2,0),Y298,1),"")</f>
        <v>P</v>
      </c>
      <c r="Y298" s="3">
        <v>136</v>
      </c>
      <c r="Z298" s="3" t="str">
        <f>IFERROR(MID(VLOOKUP($B298,Seqs!$A:$B,2,0),AA298,1),"")</f>
        <v>R</v>
      </c>
      <c r="AA298" s="3">
        <v>143</v>
      </c>
      <c r="AB298" s="3" t="str">
        <f>IFERROR(MID(VLOOKUP($B298,Seqs!$A:$B,2,0),AC298,1),"")</f>
        <v>T</v>
      </c>
      <c r="AC298" s="3">
        <v>144</v>
      </c>
      <c r="AD298" s="3" t="str">
        <f>IFERROR(MID(VLOOKUP($B298,Seqs!$A:$B,2,0),AE298,1),"")</f>
        <v>R</v>
      </c>
      <c r="AE298" s="3">
        <v>170</v>
      </c>
      <c r="AF298" s="3" t="str">
        <f>IFERROR(MID(VLOOKUP($B298,Seqs!$A:$B,2,0),AG298,1),"")</f>
        <v>C</v>
      </c>
      <c r="AG298" s="3">
        <v>182</v>
      </c>
      <c r="AH298" s="3" t="str">
        <f>IFERROR(MID(VLOOKUP($B298,Seqs!$A:$B,2,0),AI298,1),"")</f>
        <v>Y</v>
      </c>
      <c r="AI298" s="3">
        <v>184</v>
      </c>
      <c r="AJ298" s="3" t="str">
        <f>IFERROR(MID(VLOOKUP($B298,Seqs!$A:$B,2,0),AK298,1),"")</f>
        <v>D</v>
      </c>
      <c r="AK298" s="3">
        <v>194</v>
      </c>
      <c r="AL298" s="3" t="str">
        <f>IFERROR(MID(VLOOKUP($B298,Seqs!$A:$B,2,0),AM298,1),"")</f>
        <v>R</v>
      </c>
      <c r="AM298" s="3">
        <v>236</v>
      </c>
      <c r="AN298" s="3" t="str">
        <f>IFERROR(MID(VLOOKUP($B298,Seqs!$A:$B,2,0),AO298,1),"")</f>
        <v>P</v>
      </c>
      <c r="AO298" s="3">
        <v>241</v>
      </c>
      <c r="AP298" s="3" t="str">
        <f>IFERROR(MID(VLOOKUP($B298,Seqs!$A:$B,2,0),AQ298,1),"")</f>
        <v>A</v>
      </c>
      <c r="AQ298" s="3">
        <v>272</v>
      </c>
      <c r="AR298" s="3" t="str">
        <f>IFERROR(MID(VLOOKUP($B298,Seqs!$A:$B,2,0),AS298,1),"")</f>
        <v>L</v>
      </c>
      <c r="AS298" s="3">
        <v>278</v>
      </c>
      <c r="AT298" s="3" t="str">
        <f>IFERROR(MID(VLOOKUP($B298,Seqs!$A:$B,2,0),AU298,1),"")</f>
        <v>T</v>
      </c>
      <c r="AU298" s="3">
        <v>307</v>
      </c>
      <c r="AV298" s="3" t="str">
        <f>IFERROR(MID(VLOOKUP($B298,Seqs!$A:$B,2,0),AW298,1),"")</f>
        <v>C</v>
      </c>
      <c r="AW298" s="3">
        <v>308</v>
      </c>
      <c r="AX298" s="3" t="str">
        <f>IFERROR(MID(VLOOKUP($B298,Seqs!$A:$B,2,0),AY298,1),"")</f>
        <v>S</v>
      </c>
      <c r="AY298" s="3">
        <v>325</v>
      </c>
      <c r="AZ298" s="77" t="str">
        <f>VLOOKUP(B298,Classification!A:D,2,0)</f>
        <v>A</v>
      </c>
      <c r="BA298" s="94" t="str">
        <f>VLOOKUP(B298,Classification!A:D,4,0)</f>
        <v>Prostanoid</v>
      </c>
      <c r="BB298" s="27" t="b">
        <f t="shared" ref="BB298" si="1762">AND(E298&lt;G298,OR(G298&lt;I298,I298="-"),OR(I298&lt;K298,I298="-"),OR(K298&lt;M298,K298="-"),M298&lt;O298,OR(O298&lt;Q298,Q298="-"),OR(Q298&lt;S298,Q298="-"),OR(S298&lt;U298,S298="-"),U298&lt;W298,OR(W298&lt;Y298,Y298="-"),OR(Y298&lt;AA298,Y298="-"),OR(AA298&lt;AC298,AA298="-"),AC298&lt;AE298,OR(AE298&lt;AG298,AG298="-"),OR(AG298&lt;AI298,AG298="-"),OR(AI298&lt;AK298,AI298="-"),AK298&lt;AM298,AM298&lt;AO298,AO298&lt;AQ298,AQ298&lt;AS298,AS298&lt;AU298,OR(AU298&lt;AW298,AW298="-"),OR(AW298&lt;AY298,AW298="-"))</f>
        <v>1</v>
      </c>
      <c r="BC298" s="23">
        <f t="shared" ref="BC298" si="1763">_xlfn.AGGREGATE(9,6,CH298:CS298)-_xlfn.AGGREGATE(9,6,BV298:CG298)+12</f>
        <v>262</v>
      </c>
      <c r="BD298" s="2" t="s">
        <v>23</v>
      </c>
      <c r="BE298" s="3" t="s">
        <v>23</v>
      </c>
      <c r="BF298" s="119" t="s">
        <v>23</v>
      </c>
      <c r="BG298" s="49" t="s">
        <v>23</v>
      </c>
      <c r="BH298" s="49" t="s">
        <v>23</v>
      </c>
      <c r="BI298" s="1"/>
      <c r="BJ298" s="70" t="s">
        <v>1287</v>
      </c>
      <c r="BK298" s="57" t="s">
        <v>1287</v>
      </c>
      <c r="BL298" s="57" t="s">
        <v>1287</v>
      </c>
      <c r="BM298" s="57" t="s">
        <v>1287</v>
      </c>
      <c r="BN298" s="57" t="s">
        <v>1287</v>
      </c>
      <c r="BO298" s="57" t="s">
        <v>1287</v>
      </c>
      <c r="BP298" s="57" t="s">
        <v>1287</v>
      </c>
      <c r="BQ298" s="57" t="s">
        <v>1287</v>
      </c>
      <c r="BR298" s="57" t="s">
        <v>1287</v>
      </c>
      <c r="BS298" s="57" t="s">
        <v>1287</v>
      </c>
      <c r="BT298" s="57" t="s">
        <v>1287</v>
      </c>
      <c r="BU298" s="57" t="s">
        <v>1287</v>
      </c>
      <c r="BV298" s="70">
        <f t="shared" ref="BV298" si="1764">E298</f>
        <v>32</v>
      </c>
      <c r="BW298" s="71" t="str">
        <f t="shared" ref="BW298" si="1765">I298</f>
        <v>-</v>
      </c>
      <c r="BX298" s="72">
        <f t="shared" ref="BX298" si="1766">M298</f>
        <v>64</v>
      </c>
      <c r="BY298" s="71">
        <f t="shared" ref="BY298" si="1767">Q298</f>
        <v>96</v>
      </c>
      <c r="BZ298" s="72">
        <f t="shared" ref="BZ298" si="1768">U298</f>
        <v>100</v>
      </c>
      <c r="CA298" s="71">
        <f t="shared" ref="CA298" si="1769">Y298</f>
        <v>136</v>
      </c>
      <c r="CB298" s="72">
        <f t="shared" ref="CB298" si="1770">AC298</f>
        <v>144</v>
      </c>
      <c r="CC298" s="71">
        <f t="shared" ref="CC298" si="1771">AG298</f>
        <v>182</v>
      </c>
      <c r="CD298" s="72">
        <f t="shared" ref="CD298" si="1772">AK298</f>
        <v>194</v>
      </c>
      <c r="CE298" s="71">
        <f t="shared" ref="CE298" si="1773">AO298</f>
        <v>241</v>
      </c>
      <c r="CF298" s="72">
        <f t="shared" ref="CF298" si="1774">AS298</f>
        <v>278</v>
      </c>
      <c r="CG298" s="71">
        <f t="shared" ref="CG298" si="1775">AW298</f>
        <v>308</v>
      </c>
      <c r="CH298" s="70">
        <f t="shared" ref="CH298" si="1776">G298</f>
        <v>60</v>
      </c>
      <c r="CI298" s="71" t="str">
        <f t="shared" ref="CI298" si="1777">K298</f>
        <v>-</v>
      </c>
      <c r="CJ298" s="72">
        <f t="shared" ref="CJ298" si="1778">O298</f>
        <v>94</v>
      </c>
      <c r="CK298" s="72">
        <f t="shared" ref="CK298" si="1779">S298</f>
        <v>99</v>
      </c>
      <c r="CL298" s="72">
        <f t="shared" ref="CL298" si="1780">W298</f>
        <v>135</v>
      </c>
      <c r="CM298" s="72">
        <f t="shared" ref="CM298" si="1781">AA298</f>
        <v>143</v>
      </c>
      <c r="CN298" s="72">
        <f t="shared" ref="CN298" si="1782">AE298</f>
        <v>170</v>
      </c>
      <c r="CO298" s="72">
        <f t="shared" ref="CO298" si="1783">AI298</f>
        <v>184</v>
      </c>
      <c r="CP298" s="72">
        <f t="shared" ref="CP298" si="1784">AM298</f>
        <v>236</v>
      </c>
      <c r="CQ298" s="72">
        <f t="shared" ref="CQ298" si="1785">AQ298</f>
        <v>272</v>
      </c>
      <c r="CR298" s="72">
        <f t="shared" ref="CR298" si="1786">AU298</f>
        <v>307</v>
      </c>
      <c r="CS298" s="72">
        <f t="shared" ref="CS298" si="1787">AY298</f>
        <v>325</v>
      </c>
      <c r="CT298" s="23" t="e">
        <f t="shared" ref="CT298" si="1788">M298-K298</f>
        <v>#VALUE!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29" x14ac:dyDescent="0.2">
      <c r="A299" s="3" t="str">
        <f t="shared" ref="A299" si="1789">CONCATENATE(B299,"_",C299)</f>
        <v>pd2r2_human_6D26</v>
      </c>
      <c r="B299" s="3" t="s">
        <v>360</v>
      </c>
      <c r="C299" s="3" t="s">
        <v>1517</v>
      </c>
      <c r="D299" s="3" t="str">
        <f>IFERROR(MID(VLOOKUP($B299,Seqs!$A:$B,2,0),E299,1),"")</f>
        <v>D</v>
      </c>
      <c r="E299" s="3">
        <v>32</v>
      </c>
      <c r="F299" s="3" t="str">
        <f>IFERROR(MID(VLOOKUP($B299,Seqs!$A:$B,2,0),G299,1),"")</f>
        <v>R</v>
      </c>
      <c r="G299" s="3">
        <v>60</v>
      </c>
      <c r="H299" s="3" t="str">
        <f>IFERROR(MID(VLOOKUP($B299,Seqs!$A:$B,2,0),I299,1),"")</f>
        <v/>
      </c>
      <c r="I299" s="23" t="s">
        <v>23</v>
      </c>
      <c r="J299" s="3" t="str">
        <f>IFERROR(MID(VLOOKUP($B299,Seqs!$A:$B,2,0),K299,1),"")</f>
        <v/>
      </c>
      <c r="K299" s="23" t="s">
        <v>23</v>
      </c>
      <c r="L299" s="3" t="str">
        <f>IFERROR(MID(VLOOKUP($B299,Seqs!$A:$B,2,0),M299,1),"")</f>
        <v>T</v>
      </c>
      <c r="M299" s="3">
        <v>64</v>
      </c>
      <c r="N299" s="3" t="str">
        <f>IFERROR(MID(VLOOKUP($B299,Seqs!$A:$B,2,0),O299,1),"")</f>
        <v>G</v>
      </c>
      <c r="O299" s="3">
        <v>94</v>
      </c>
      <c r="P299" s="3" t="str">
        <f>IFERROR(MID(VLOOKUP($B299,Seqs!$A:$B,2,0),Q299,1),"")</f>
        <v>S</v>
      </c>
      <c r="Q299" s="3">
        <v>96</v>
      </c>
      <c r="R299" s="3" t="str">
        <f>IFERROR(MID(VLOOKUP($B299,Seqs!$A:$B,2,0),S299,1),"")</f>
        <v>L</v>
      </c>
      <c r="S299" s="3">
        <v>99</v>
      </c>
      <c r="T299" s="3" t="str">
        <f>IFERROR(MID(VLOOKUP($B299,Seqs!$A:$B,2,0),U299,1),"")</f>
        <v>T</v>
      </c>
      <c r="U299" s="3">
        <v>101</v>
      </c>
      <c r="V299" s="3" t="str">
        <f>IFERROR(MID(VLOOKUP($B299,Seqs!$A:$B,2,0),W299,1),"")</f>
        <v>R</v>
      </c>
      <c r="W299" s="3">
        <v>135</v>
      </c>
      <c r="X299" s="3" t="str">
        <f>IFERROR(MID(VLOOKUP($B299,Seqs!$A:$B,2,0),Y299,1),"")</f>
        <v>P</v>
      </c>
      <c r="Y299" s="3">
        <v>136</v>
      </c>
      <c r="Z299" s="3" t="str">
        <f>IFERROR(MID(VLOOKUP($B299,Seqs!$A:$B,2,0),AA299,1),"")</f>
        <v>R</v>
      </c>
      <c r="AA299" s="3">
        <v>143</v>
      </c>
      <c r="AB299" s="3" t="str">
        <f>IFERROR(MID(VLOOKUP($B299,Seqs!$A:$B,2,0),AC299,1),"")</f>
        <v>T</v>
      </c>
      <c r="AC299" s="3">
        <v>144</v>
      </c>
      <c r="AD299" s="3" t="str">
        <f>IFERROR(MID(VLOOKUP($B299,Seqs!$A:$B,2,0),AE299,1),"")</f>
        <v>R</v>
      </c>
      <c r="AE299" s="3">
        <v>170</v>
      </c>
      <c r="AF299" s="3" t="str">
        <f>IFERROR(MID(VLOOKUP($B299,Seqs!$A:$B,2,0),AG299,1),"")</f>
        <v>C</v>
      </c>
      <c r="AG299" s="3">
        <v>182</v>
      </c>
      <c r="AH299" s="3" t="str">
        <f>IFERROR(MID(VLOOKUP($B299,Seqs!$A:$B,2,0),AI299,1),"")</f>
        <v>Y</v>
      </c>
      <c r="AI299" s="3">
        <v>184</v>
      </c>
      <c r="AJ299" s="3" t="str">
        <f>IFERROR(MID(VLOOKUP($B299,Seqs!$A:$B,2,0),AK299,1),"")</f>
        <v>D</v>
      </c>
      <c r="AK299" s="3">
        <v>194</v>
      </c>
      <c r="AL299" s="3" t="str">
        <f>IFERROR(MID(VLOOKUP($B299,Seqs!$A:$B,2,0),AM299,1),"")</f>
        <v>R</v>
      </c>
      <c r="AM299" s="3">
        <v>236</v>
      </c>
      <c r="AN299" s="3" t="str">
        <f>IFERROR(MID(VLOOKUP($B299,Seqs!$A:$B,2,0),AO299,1),"")</f>
        <v/>
      </c>
      <c r="AO299" s="3">
        <v>2244</v>
      </c>
      <c r="AP299" s="3" t="str">
        <f>IFERROR(MID(VLOOKUP($B299,Seqs!$A:$B,2,0),AQ299,1),"")</f>
        <v/>
      </c>
      <c r="AQ299" s="3">
        <v>2271</v>
      </c>
      <c r="AR299" s="3" t="str">
        <f>IFERROR(MID(VLOOKUP($B299,Seqs!$A:$B,2,0),AS299,1),"")</f>
        <v/>
      </c>
      <c r="AS299" s="3">
        <v>2278</v>
      </c>
      <c r="AT299" s="3" t="str">
        <f>IFERROR(MID(VLOOKUP($B299,Seqs!$A:$B,2,0),AU299,1),"")</f>
        <v/>
      </c>
      <c r="AU299" s="3">
        <v>2307</v>
      </c>
      <c r="AV299" s="3" t="str">
        <f>IFERROR(MID(VLOOKUP($B299,Seqs!$A:$B,2,0),AW299,1),"")</f>
        <v/>
      </c>
      <c r="AW299" s="3">
        <v>2308</v>
      </c>
      <c r="AX299" s="3" t="str">
        <f>IFERROR(MID(VLOOKUP($B299,Seqs!$A:$B,2,0),AY299,1),"")</f>
        <v/>
      </c>
      <c r="AY299" s="3">
        <v>2325</v>
      </c>
      <c r="AZ299" s="77" t="str">
        <f>VLOOKUP(B299,Classification!A:D,2,0)</f>
        <v>A</v>
      </c>
      <c r="BA299" s="94" t="str">
        <f>VLOOKUP(B299,Classification!A:D,4,0)</f>
        <v>Prostanoid</v>
      </c>
      <c r="BB299" s="27" t="b">
        <f t="shared" ref="BB299" si="1790">AND(E299&lt;G299,OR(G299&lt;I299,I299="-"),OR(I299&lt;K299,I299="-"),OR(K299&lt;M299,K299="-"),M299&lt;O299,OR(O299&lt;Q299,Q299="-"),OR(Q299&lt;S299,Q299="-"),OR(S299&lt;U299,S299="-"),U299&lt;W299,OR(W299&lt;Y299,Y299="-"),OR(Y299&lt;AA299,Y299="-"),OR(AA299&lt;AC299,AA299="-"),AC299&lt;AE299,OR(AE299&lt;AG299,AG299="-"),OR(AG299&lt;AI299,AG299="-"),OR(AI299&lt;AK299,AI299="-"),AK299&lt;AM299,AM299&lt;AO299,AO299&lt;AQ299,AQ299&lt;AS299,AS299&lt;AU299,OR(AU299&lt;AW299,AW299="-"),OR(AW299&lt;AY299,AW299="-"))</f>
        <v>1</v>
      </c>
      <c r="BC299" s="23">
        <f t="shared" ref="BC299" si="1791">_xlfn.AGGREGATE(9,6,CH299:CS299)-_xlfn.AGGREGATE(9,6,BV299:CG299)+12</f>
        <v>257</v>
      </c>
      <c r="BD299" s="2" t="s">
        <v>23</v>
      </c>
      <c r="BE299" s="3" t="s">
        <v>1374</v>
      </c>
      <c r="BF299" s="119">
        <v>2.8</v>
      </c>
      <c r="BG299" s="49" t="s">
        <v>1</v>
      </c>
      <c r="BH299" s="49" t="s">
        <v>1</v>
      </c>
      <c r="BI299" s="1"/>
      <c r="BJ299" s="70" t="s">
        <v>1287</v>
      </c>
      <c r="BK299" s="57" t="s">
        <v>1287</v>
      </c>
      <c r="BL299" s="57" t="s">
        <v>1287</v>
      </c>
      <c r="BM299" s="57" t="s">
        <v>1287</v>
      </c>
      <c r="BN299" s="57" t="s">
        <v>1287</v>
      </c>
      <c r="BO299" s="57" t="s">
        <v>1287</v>
      </c>
      <c r="BP299" s="57" t="s">
        <v>1287</v>
      </c>
      <c r="BQ299" s="57" t="s">
        <v>1287</v>
      </c>
      <c r="BR299" s="57" t="s">
        <v>1287</v>
      </c>
      <c r="BS299" s="57" t="s">
        <v>1287</v>
      </c>
      <c r="BT299" s="57" t="s">
        <v>1287</v>
      </c>
      <c r="BU299" s="57" t="s">
        <v>1287</v>
      </c>
      <c r="BV299" s="70">
        <f t="shared" ref="BV299" si="1792">E299</f>
        <v>32</v>
      </c>
      <c r="BW299" s="71" t="str">
        <f t="shared" ref="BW299" si="1793">I299</f>
        <v>-</v>
      </c>
      <c r="BX299" s="72">
        <f t="shared" ref="BX299" si="1794">M299</f>
        <v>64</v>
      </c>
      <c r="BY299" s="71">
        <f t="shared" ref="BY299" si="1795">Q299</f>
        <v>96</v>
      </c>
      <c r="BZ299" s="72">
        <f t="shared" ref="BZ299" si="1796">U299</f>
        <v>101</v>
      </c>
      <c r="CA299" s="71">
        <f t="shared" ref="CA299" si="1797">Y299</f>
        <v>136</v>
      </c>
      <c r="CB299" s="72">
        <f t="shared" ref="CB299" si="1798">AC299</f>
        <v>144</v>
      </c>
      <c r="CC299" s="71">
        <f t="shared" ref="CC299" si="1799">AG299</f>
        <v>182</v>
      </c>
      <c r="CD299" s="72">
        <f t="shared" ref="CD299" si="1800">AK299</f>
        <v>194</v>
      </c>
      <c r="CE299" s="71">
        <f t="shared" ref="CE299" si="1801">AO299</f>
        <v>2244</v>
      </c>
      <c r="CF299" s="72">
        <f t="shared" ref="CF299" si="1802">AS299</f>
        <v>2278</v>
      </c>
      <c r="CG299" s="71">
        <f t="shared" ref="CG299" si="1803">AW299</f>
        <v>2308</v>
      </c>
      <c r="CH299" s="70">
        <f t="shared" ref="CH299" si="1804">G299</f>
        <v>60</v>
      </c>
      <c r="CI299" s="71" t="str">
        <f t="shared" ref="CI299" si="1805">K299</f>
        <v>-</v>
      </c>
      <c r="CJ299" s="72">
        <f t="shared" ref="CJ299" si="1806">O299</f>
        <v>94</v>
      </c>
      <c r="CK299" s="72">
        <f t="shared" ref="CK299" si="1807">S299</f>
        <v>99</v>
      </c>
      <c r="CL299" s="72">
        <f t="shared" ref="CL299" si="1808">W299</f>
        <v>135</v>
      </c>
      <c r="CM299" s="72">
        <f t="shared" ref="CM299" si="1809">AA299</f>
        <v>143</v>
      </c>
      <c r="CN299" s="72">
        <f t="shared" ref="CN299" si="1810">AE299</f>
        <v>170</v>
      </c>
      <c r="CO299" s="72">
        <f t="shared" ref="CO299" si="1811">AI299</f>
        <v>184</v>
      </c>
      <c r="CP299" s="72">
        <f t="shared" ref="CP299" si="1812">AM299</f>
        <v>236</v>
      </c>
      <c r="CQ299" s="72">
        <f t="shared" ref="CQ299" si="1813">AQ299</f>
        <v>2271</v>
      </c>
      <c r="CR299" s="72">
        <f t="shared" ref="CR299" si="1814">AU299</f>
        <v>2307</v>
      </c>
      <c r="CS299" s="72">
        <f t="shared" ref="CS299" si="1815">AY299</f>
        <v>2325</v>
      </c>
      <c r="CT299" s="23" t="e">
        <f t="shared" ref="CT299" si="1816">M299-K299</f>
        <v>#VALUE!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</row>
    <row r="300" spans="1:1029" x14ac:dyDescent="0.2">
      <c r="A300" s="3" t="str">
        <f t="shared" ref="A300" si="1817">CONCATENATE(B300,"_",C300)</f>
        <v>pd2r2_human_6D27</v>
      </c>
      <c r="B300" s="3" t="s">
        <v>360</v>
      </c>
      <c r="C300" s="3" t="s">
        <v>1542</v>
      </c>
      <c r="D300" s="3" t="str">
        <f>IFERROR(MID(VLOOKUP($B300,Seqs!$A:$B,2,0),E300,1),"")</f>
        <v>D</v>
      </c>
      <c r="E300" s="3">
        <v>32</v>
      </c>
      <c r="F300" s="3" t="str">
        <f>IFERROR(MID(VLOOKUP($B300,Seqs!$A:$B,2,0),G300,1),"")</f>
        <v>R</v>
      </c>
      <c r="G300" s="3">
        <v>60</v>
      </c>
      <c r="H300" s="3" t="str">
        <f>IFERROR(MID(VLOOKUP($B300,Seqs!$A:$B,2,0),I300,1),"")</f>
        <v/>
      </c>
      <c r="I300" s="23" t="s">
        <v>23</v>
      </c>
      <c r="J300" s="3" t="str">
        <f>IFERROR(MID(VLOOKUP($B300,Seqs!$A:$B,2,0),K300,1),"")</f>
        <v/>
      </c>
      <c r="K300" s="23" t="s">
        <v>23</v>
      </c>
      <c r="L300" s="3" t="str">
        <f>IFERROR(MID(VLOOKUP($B300,Seqs!$A:$B,2,0),M300,1),"")</f>
        <v>T</v>
      </c>
      <c r="M300" s="3">
        <v>64</v>
      </c>
      <c r="N300" s="3" t="str">
        <f>IFERROR(MID(VLOOKUP($B300,Seqs!$A:$B,2,0),O300,1),"")</f>
        <v>G</v>
      </c>
      <c r="O300" s="3">
        <v>94</v>
      </c>
      <c r="P300" s="3" t="str">
        <f>IFERROR(MID(VLOOKUP($B300,Seqs!$A:$B,2,0),Q300,1),"")</f>
        <v>S</v>
      </c>
      <c r="Q300" s="3">
        <v>96</v>
      </c>
      <c r="R300" s="3" t="str">
        <f>IFERROR(MID(VLOOKUP($B300,Seqs!$A:$B,2,0),S300,1),"")</f>
        <v>L</v>
      </c>
      <c r="S300" s="3">
        <v>99</v>
      </c>
      <c r="T300" s="3" t="str">
        <f>IFERROR(MID(VLOOKUP($B300,Seqs!$A:$B,2,0),U300,1),"")</f>
        <v>T</v>
      </c>
      <c r="U300" s="3">
        <v>101</v>
      </c>
      <c r="V300" s="3" t="str">
        <f>IFERROR(MID(VLOOKUP($B300,Seqs!$A:$B,2,0),W300,1),"")</f>
        <v>R</v>
      </c>
      <c r="W300" s="3">
        <v>135</v>
      </c>
      <c r="X300" s="3" t="str">
        <f>IFERROR(MID(VLOOKUP($B300,Seqs!$A:$B,2,0),Y300,1),"")</f>
        <v>P</v>
      </c>
      <c r="Y300" s="3">
        <v>136</v>
      </c>
      <c r="Z300" s="3" t="str">
        <f>IFERROR(MID(VLOOKUP($B300,Seqs!$A:$B,2,0),AA300,1),"")</f>
        <v>R</v>
      </c>
      <c r="AA300" s="3">
        <v>143</v>
      </c>
      <c r="AB300" s="3" t="str">
        <f>IFERROR(MID(VLOOKUP($B300,Seqs!$A:$B,2,0),AC300,1),"")</f>
        <v>T</v>
      </c>
      <c r="AC300" s="3">
        <v>144</v>
      </c>
      <c r="AD300" s="3" t="str">
        <f>IFERROR(MID(VLOOKUP($B300,Seqs!$A:$B,2,0),AE300,1),"")</f>
        <v>R</v>
      </c>
      <c r="AE300" s="3">
        <v>170</v>
      </c>
      <c r="AF300" s="3" t="str">
        <f>IFERROR(MID(VLOOKUP($B300,Seqs!$A:$B,2,0),AG300,1),"")</f>
        <v>C</v>
      </c>
      <c r="AG300" s="3">
        <v>182</v>
      </c>
      <c r="AH300" s="3" t="str">
        <f>IFERROR(MID(VLOOKUP($B300,Seqs!$A:$B,2,0),AI300,1),"")</f>
        <v>Y</v>
      </c>
      <c r="AI300" s="3">
        <v>184</v>
      </c>
      <c r="AJ300" s="3" t="str">
        <f>IFERROR(MID(VLOOKUP($B300,Seqs!$A:$B,2,0),AK300,1),"")</f>
        <v>D</v>
      </c>
      <c r="AK300" s="3">
        <v>194</v>
      </c>
      <c r="AL300" s="3" t="str">
        <f>IFERROR(MID(VLOOKUP($B300,Seqs!$A:$B,2,0),AM300,1),"")</f>
        <v>R</v>
      </c>
      <c r="AM300" s="3">
        <v>236</v>
      </c>
      <c r="AN300" s="3" t="str">
        <f>IFERROR(MID(VLOOKUP($B300,Seqs!$A:$B,2,0),AO300,1),"")</f>
        <v/>
      </c>
      <c r="AO300" s="3">
        <v>2244</v>
      </c>
      <c r="AP300" s="3" t="str">
        <f>IFERROR(MID(VLOOKUP($B300,Seqs!$A:$B,2,0),AQ300,1),"")</f>
        <v/>
      </c>
      <c r="AQ300" s="3">
        <v>2271</v>
      </c>
      <c r="AR300" s="3" t="str">
        <f>IFERROR(MID(VLOOKUP($B300,Seqs!$A:$B,2,0),AS300,1),"")</f>
        <v/>
      </c>
      <c r="AS300" s="3">
        <v>2278</v>
      </c>
      <c r="AT300" s="3" t="str">
        <f>IFERROR(MID(VLOOKUP($B300,Seqs!$A:$B,2,0),AU300,1),"")</f>
        <v/>
      </c>
      <c r="AU300" s="3">
        <v>2307</v>
      </c>
      <c r="AV300" s="3" t="str">
        <f>IFERROR(MID(VLOOKUP($B300,Seqs!$A:$B,2,0),AW300,1),"")</f>
        <v/>
      </c>
      <c r="AW300" s="3">
        <v>2308</v>
      </c>
      <c r="AX300" s="3" t="str">
        <f>IFERROR(MID(VLOOKUP($B300,Seqs!$A:$B,2,0),AY300,1),"")</f>
        <v/>
      </c>
      <c r="AY300" s="3">
        <v>2325</v>
      </c>
      <c r="AZ300" s="77" t="str">
        <f>VLOOKUP(B300,Classification!A:D,2,0)</f>
        <v>A</v>
      </c>
      <c r="BA300" s="94" t="str">
        <f>VLOOKUP(B300,Classification!A:D,4,0)</f>
        <v>Prostanoid</v>
      </c>
      <c r="BB300" s="27" t="b">
        <f t="shared" ref="BB300" si="1818">AND(E300&lt;G300,OR(G300&lt;I300,I300="-"),OR(I300&lt;K300,I300="-"),OR(K300&lt;M300,K300="-"),M300&lt;O300,OR(O300&lt;Q300,Q300="-"),OR(Q300&lt;S300,Q300="-"),OR(S300&lt;U300,S300="-"),U300&lt;W300,OR(W300&lt;Y300,Y300="-"),OR(Y300&lt;AA300,Y300="-"),OR(AA300&lt;AC300,AA300="-"),AC300&lt;AE300,OR(AE300&lt;AG300,AG300="-"),OR(AG300&lt;AI300,AG300="-"),OR(AI300&lt;AK300,AI300="-"),AK300&lt;AM300,AM300&lt;AO300,AO300&lt;AQ300,AQ300&lt;AS300,AS300&lt;AU300,OR(AU300&lt;AW300,AW300="-"),OR(AW300&lt;AY300,AW300="-"))</f>
        <v>1</v>
      </c>
      <c r="BC300" s="23">
        <f t="shared" ref="BC300" si="1819">_xlfn.AGGREGATE(9,6,CH300:CS300)-_xlfn.AGGREGATE(9,6,BV300:CG300)+12</f>
        <v>257</v>
      </c>
      <c r="BD300" s="2" t="s">
        <v>1376</v>
      </c>
      <c r="BE300" s="3" t="s">
        <v>1374</v>
      </c>
      <c r="BF300" s="119">
        <v>4.74</v>
      </c>
      <c r="BG300" s="49" t="s">
        <v>1</v>
      </c>
      <c r="BH300" s="49" t="s">
        <v>1</v>
      </c>
      <c r="BI300" s="1"/>
      <c r="BJ300" s="70" t="s">
        <v>1287</v>
      </c>
      <c r="BK300" s="57" t="s">
        <v>1287</v>
      </c>
      <c r="BL300" s="57" t="s">
        <v>1287</v>
      </c>
      <c r="BM300" s="57" t="s">
        <v>1287</v>
      </c>
      <c r="BN300" s="57" t="s">
        <v>1287</v>
      </c>
      <c r="BO300" s="57" t="s">
        <v>1287</v>
      </c>
      <c r="BP300" s="57" t="s">
        <v>1287</v>
      </c>
      <c r="BQ300" s="57" t="s">
        <v>1287</v>
      </c>
      <c r="BR300" s="57" t="s">
        <v>1287</v>
      </c>
      <c r="BS300" s="57" t="s">
        <v>1287</v>
      </c>
      <c r="BT300" s="57" t="s">
        <v>1287</v>
      </c>
      <c r="BU300" s="57" t="s">
        <v>1287</v>
      </c>
      <c r="BV300" s="70">
        <f t="shared" ref="BV300" si="1820">E300</f>
        <v>32</v>
      </c>
      <c r="BW300" s="71" t="str">
        <f t="shared" ref="BW300" si="1821">I300</f>
        <v>-</v>
      </c>
      <c r="BX300" s="72">
        <f t="shared" ref="BX300" si="1822">M300</f>
        <v>64</v>
      </c>
      <c r="BY300" s="71">
        <f t="shared" ref="BY300" si="1823">Q300</f>
        <v>96</v>
      </c>
      <c r="BZ300" s="72">
        <f t="shared" ref="BZ300" si="1824">U300</f>
        <v>101</v>
      </c>
      <c r="CA300" s="71">
        <f t="shared" ref="CA300" si="1825">Y300</f>
        <v>136</v>
      </c>
      <c r="CB300" s="72">
        <f t="shared" ref="CB300" si="1826">AC300</f>
        <v>144</v>
      </c>
      <c r="CC300" s="71">
        <f t="shared" ref="CC300" si="1827">AG300</f>
        <v>182</v>
      </c>
      <c r="CD300" s="72">
        <f t="shared" ref="CD300" si="1828">AK300</f>
        <v>194</v>
      </c>
      <c r="CE300" s="71">
        <f t="shared" ref="CE300" si="1829">AO300</f>
        <v>2244</v>
      </c>
      <c r="CF300" s="72">
        <f t="shared" ref="CF300" si="1830">AS300</f>
        <v>2278</v>
      </c>
      <c r="CG300" s="71">
        <f t="shared" ref="CG300" si="1831">AW300</f>
        <v>2308</v>
      </c>
      <c r="CH300" s="70">
        <f t="shared" ref="CH300" si="1832">G300</f>
        <v>60</v>
      </c>
      <c r="CI300" s="71" t="str">
        <f t="shared" ref="CI300" si="1833">K300</f>
        <v>-</v>
      </c>
      <c r="CJ300" s="72">
        <f t="shared" ref="CJ300" si="1834">O300</f>
        <v>94</v>
      </c>
      <c r="CK300" s="72">
        <f t="shared" ref="CK300" si="1835">S300</f>
        <v>99</v>
      </c>
      <c r="CL300" s="72">
        <f t="shared" ref="CL300" si="1836">W300</f>
        <v>135</v>
      </c>
      <c r="CM300" s="72">
        <f t="shared" ref="CM300" si="1837">AA300</f>
        <v>143</v>
      </c>
      <c r="CN300" s="72">
        <f t="shared" ref="CN300" si="1838">AE300</f>
        <v>170</v>
      </c>
      <c r="CO300" s="72">
        <f t="shared" ref="CO300" si="1839">AI300</f>
        <v>184</v>
      </c>
      <c r="CP300" s="72">
        <f t="shared" ref="CP300" si="1840">AM300</f>
        <v>236</v>
      </c>
      <c r="CQ300" s="72">
        <f t="shared" ref="CQ300" si="1841">AQ300</f>
        <v>2271</v>
      </c>
      <c r="CR300" s="72">
        <f t="shared" ref="CR300" si="1842">AU300</f>
        <v>2307</v>
      </c>
      <c r="CS300" s="72">
        <f t="shared" ref="CS300" si="1843">AY300</f>
        <v>2325</v>
      </c>
      <c r="CT300" s="23" t="e">
        <f t="shared" ref="CT300" si="1844">M300-K300</f>
        <v>#VALUE!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29" s="12" customFormat="1" x14ac:dyDescent="0.2">
      <c r="A301" s="9" t="str">
        <f t="shared" ref="A301:A303" si="1845">CONCATENATE(B301,"_",C301)</f>
        <v>pe2r3_human__wt</v>
      </c>
      <c r="B301" s="9" t="s">
        <v>363</v>
      </c>
      <c r="C301" s="9" t="s">
        <v>100</v>
      </c>
      <c r="D301" s="9" t="str">
        <f>IFERROR(MID(VLOOKUP($B301,Seqs!$A:$B,2,0),E301,1),"")</f>
        <v>V</v>
      </c>
      <c r="E301" s="9">
        <v>52</v>
      </c>
      <c r="F301" s="9" t="str">
        <f>IFERROR(MID(VLOOKUP($B301,Seqs!$A:$B,2,0),G301,1),"")</f>
        <v>R</v>
      </c>
      <c r="G301" s="9">
        <v>78</v>
      </c>
      <c r="H301" s="9" t="str">
        <f>IFERROR(MID(VLOOKUP($B301,Seqs!$A:$B,2,0),I301,1),"")</f>
        <v/>
      </c>
      <c r="I301" s="109" t="s">
        <v>23</v>
      </c>
      <c r="J301" s="9" t="str">
        <f>IFERROR(MID(VLOOKUP($B301,Seqs!$A:$B,2,0),K301,1),"")</f>
        <v/>
      </c>
      <c r="K301" s="109" t="s">
        <v>23</v>
      </c>
      <c r="L301" s="9" t="str">
        <f>IFERROR(MID(VLOOKUP($B301,Seqs!$A:$B,2,0),M301,1),"")</f>
        <v>K</v>
      </c>
      <c r="M301" s="9">
        <v>85</v>
      </c>
      <c r="N301" s="9" t="str">
        <f>IFERROR(MID(VLOOKUP($B301,Seqs!$A:$B,2,0),O301,1),"")</f>
        <v>K</v>
      </c>
      <c r="O301" s="9">
        <v>117</v>
      </c>
      <c r="P301" s="9" t="str">
        <f>IFERROR(MID(VLOOKUP($B301,Seqs!$A:$B,2,0),Q301,1),"")</f>
        <v>Q</v>
      </c>
      <c r="Q301" s="9">
        <v>118</v>
      </c>
      <c r="R301" s="9" t="str">
        <f>IFERROR(MID(VLOOKUP($B301,Seqs!$A:$B,2,0),S301,1),"")</f>
        <v>S</v>
      </c>
      <c r="S301" s="9">
        <v>126</v>
      </c>
      <c r="T301" s="9" t="str">
        <f>IFERROR(MID(VLOOKUP($B301,Seqs!$A:$B,2,0),U301,1),"")</f>
        <v>G</v>
      </c>
      <c r="U301" s="9">
        <v>127</v>
      </c>
      <c r="V301" s="9" t="str">
        <f>IFERROR(MID(VLOOKUP($B301,Seqs!$A:$B,2,0),W301,1),"")</f>
        <v>A</v>
      </c>
      <c r="W301" s="9">
        <v>161</v>
      </c>
      <c r="X301" s="9" t="str">
        <f>IFERROR(MID(VLOOKUP($B301,Seqs!$A:$B,2,0),Y301,1),"")</f>
        <v>P</v>
      </c>
      <c r="Y301" s="9">
        <v>162</v>
      </c>
      <c r="Z301" s="9" t="str">
        <f>IFERROR(MID(VLOOKUP($B301,Seqs!$A:$B,2,0),AA301,1),"")</f>
        <v>M</v>
      </c>
      <c r="AA301" s="9">
        <v>169</v>
      </c>
      <c r="AB301" s="9" t="str">
        <f>IFERROR(MID(VLOOKUP($B301,Seqs!$A:$B,2,0),AC301,1),"")</f>
        <v>K</v>
      </c>
      <c r="AC301" s="9">
        <v>170</v>
      </c>
      <c r="AD301" s="9" t="str">
        <f>IFERROR(MID(VLOOKUP($B301,Seqs!$A:$B,2,0),AE301,1),"")</f>
        <v>G</v>
      </c>
      <c r="AE301" s="9">
        <v>195</v>
      </c>
      <c r="AF301" s="9" t="str">
        <f>IFERROR(MID(VLOOKUP($B301,Seqs!$A:$B,2,0),AG301,1),"")</f>
        <v>C</v>
      </c>
      <c r="AG301" s="9">
        <v>208</v>
      </c>
      <c r="AH301" s="9" t="str">
        <f>IFERROR(MID(VLOOKUP($B301,Seqs!$A:$B,2,0),AI301,1),"")</f>
        <v>I</v>
      </c>
      <c r="AI301" s="9">
        <v>210</v>
      </c>
      <c r="AJ301" s="9" t="str">
        <f>IFERROR(MID(VLOOKUP($B301,Seqs!$A:$B,2,0),AK301,1),"")</f>
        <v>W</v>
      </c>
      <c r="AK301" s="9">
        <v>225</v>
      </c>
      <c r="AL301" s="9" t="str">
        <f>IFERROR(MID(VLOOKUP($B301,Seqs!$A:$B,2,0),AM301,1),"")</f>
        <v>T</v>
      </c>
      <c r="AM301" s="9">
        <v>265</v>
      </c>
      <c r="AN301" s="9" t="str">
        <f>IFERROR(MID(VLOOKUP($B301,Seqs!$A:$B,2,0),AO301,1),"")</f>
        <v>A</v>
      </c>
      <c r="AO301" s="9">
        <v>271</v>
      </c>
      <c r="AP301" s="9" t="str">
        <f>IFERROR(MID(VLOOKUP($B301,Seqs!$A:$B,2,0),AQ301,1),"")</f>
        <v>S</v>
      </c>
      <c r="AQ301" s="9">
        <v>311</v>
      </c>
      <c r="AR301" s="9" t="str">
        <f>IFERROR(MID(VLOOKUP($B301,Seqs!$A:$B,2,0),AS301,1),"")</f>
        <v>T</v>
      </c>
      <c r="AS301" s="9">
        <v>317</v>
      </c>
      <c r="AT301" s="9" t="str">
        <f>IFERROR(MID(VLOOKUP($B301,Seqs!$A:$B,2,0),AU301,1),"")</f>
        <v>Y</v>
      </c>
      <c r="AU301" s="9">
        <v>346</v>
      </c>
      <c r="AV301" s="9" t="str">
        <f>IFERROR(MID(VLOOKUP($B301,Seqs!$A:$B,2,0),AW301,1),"")</f>
        <v>L</v>
      </c>
      <c r="AW301" s="9">
        <v>347</v>
      </c>
      <c r="AX301" s="9" t="str">
        <f>IFERROR(MID(VLOOKUP($B301,Seqs!$A:$B,2,0),AY301,1),"")</f>
        <v>S</v>
      </c>
      <c r="AY301" s="9">
        <v>369</v>
      </c>
      <c r="AZ301" s="110" t="str">
        <f>VLOOKUP(B301,Classification!A:D,2,0)</f>
        <v>A</v>
      </c>
      <c r="BA301" s="98" t="str">
        <f>VLOOKUP(B301,Classification!A:D,4,0)</f>
        <v>Prostanoid</v>
      </c>
      <c r="BB301" s="36" t="b">
        <f t="shared" ref="BB301:BB303" si="1846">AND(E301&lt;G301,OR(G301&lt;I301,I301="-"),OR(I301&lt;K301,I301="-"),OR(K301&lt;M301,K301="-"),M301&lt;O301,OR(O301&lt;Q301,Q301="-"),OR(Q301&lt;S301,Q301="-"),OR(S301&lt;U301,S301="-"),U301&lt;W301,OR(W301&lt;Y301,Y301="-"),OR(Y301&lt;AA301,Y301="-"),OR(AA301&lt;AC301,AA301="-"),AC301&lt;AE301,OR(AE301&lt;AG301,AG301="-"),OR(AG301&lt;AI301,AG301="-"),OR(AI301&lt;AK301,AI301="-"),AK301&lt;AM301,AM301&lt;AO301,AO301&lt;AQ301,AQ301&lt;AS301,AS301&lt;AU301,OR(AU301&lt;AW301,AW301="-"),OR(AW301&lt;AY301,AW301="-"))</f>
        <v>1</v>
      </c>
      <c r="BC301" s="109">
        <f t="shared" ref="BC301:BC303" si="1847">_xlfn.AGGREGATE(9,6,CH301:CS301)-_xlfn.AGGREGATE(9,6,BV301:CG301)+12</f>
        <v>277</v>
      </c>
      <c r="BD301" s="40" t="s">
        <v>23</v>
      </c>
      <c r="BE301" s="9" t="s">
        <v>23</v>
      </c>
      <c r="BF301" s="120" t="s">
        <v>23</v>
      </c>
      <c r="BG301" s="51" t="s">
        <v>23</v>
      </c>
      <c r="BH301" s="51" t="s">
        <v>23</v>
      </c>
      <c r="BJ301" s="111" t="s">
        <v>1287</v>
      </c>
      <c r="BK301" s="112" t="s">
        <v>1287</v>
      </c>
      <c r="BL301" s="112" t="s">
        <v>1287</v>
      </c>
      <c r="BM301" s="112" t="s">
        <v>1287</v>
      </c>
      <c r="BN301" s="112" t="s">
        <v>1287</v>
      </c>
      <c r="BO301" s="112" t="s">
        <v>1287</v>
      </c>
      <c r="BP301" s="112" t="s">
        <v>1287</v>
      </c>
      <c r="BQ301" s="112" t="s">
        <v>1287</v>
      </c>
      <c r="BR301" s="112" t="s">
        <v>1287</v>
      </c>
      <c r="BS301" s="112" t="s">
        <v>1287</v>
      </c>
      <c r="BT301" s="112" t="s">
        <v>1287</v>
      </c>
      <c r="BU301" s="112" t="s">
        <v>1287</v>
      </c>
      <c r="BV301" s="111">
        <f t="shared" ref="BV301:BV303" si="1848">E301</f>
        <v>52</v>
      </c>
      <c r="BW301" s="113" t="str">
        <f t="shared" ref="BW301:BW303" si="1849">I301</f>
        <v>-</v>
      </c>
      <c r="BX301" s="114">
        <f t="shared" ref="BX301:BX303" si="1850">M301</f>
        <v>85</v>
      </c>
      <c r="BY301" s="113">
        <f t="shared" ref="BY301:BY303" si="1851">Q301</f>
        <v>118</v>
      </c>
      <c r="BZ301" s="114">
        <f t="shared" ref="BZ301:BZ303" si="1852">U301</f>
        <v>127</v>
      </c>
      <c r="CA301" s="113">
        <f t="shared" ref="CA301:CA303" si="1853">Y301</f>
        <v>162</v>
      </c>
      <c r="CB301" s="114">
        <f t="shared" ref="CB301:CB303" si="1854">AC301</f>
        <v>170</v>
      </c>
      <c r="CC301" s="113">
        <f t="shared" ref="CC301:CC303" si="1855">AG301</f>
        <v>208</v>
      </c>
      <c r="CD301" s="114">
        <f t="shared" ref="CD301:CD303" si="1856">AK301</f>
        <v>225</v>
      </c>
      <c r="CE301" s="113">
        <f t="shared" ref="CE301:CE303" si="1857">AO301</f>
        <v>271</v>
      </c>
      <c r="CF301" s="114">
        <f t="shared" ref="CF301:CF303" si="1858">AS301</f>
        <v>317</v>
      </c>
      <c r="CG301" s="113">
        <f t="shared" ref="CG301:CG303" si="1859">AW301</f>
        <v>347</v>
      </c>
      <c r="CH301" s="111">
        <f t="shared" ref="CH301:CH303" si="1860">G301</f>
        <v>78</v>
      </c>
      <c r="CI301" s="113" t="str">
        <f t="shared" ref="CI301:CI303" si="1861">K301</f>
        <v>-</v>
      </c>
      <c r="CJ301" s="114">
        <f t="shared" ref="CJ301:CJ303" si="1862">O301</f>
        <v>117</v>
      </c>
      <c r="CK301" s="114">
        <f t="shared" ref="CK301:CK303" si="1863">S301</f>
        <v>126</v>
      </c>
      <c r="CL301" s="114">
        <f t="shared" ref="CL301:CL303" si="1864">W301</f>
        <v>161</v>
      </c>
      <c r="CM301" s="114">
        <f t="shared" ref="CM301:CM303" si="1865">AA301</f>
        <v>169</v>
      </c>
      <c r="CN301" s="114">
        <f t="shared" ref="CN301:CN303" si="1866">AE301</f>
        <v>195</v>
      </c>
      <c r="CO301" s="114">
        <f t="shared" ref="CO301:CO303" si="1867">AI301</f>
        <v>210</v>
      </c>
      <c r="CP301" s="114">
        <f t="shared" ref="CP301:CP303" si="1868">AM301</f>
        <v>265</v>
      </c>
      <c r="CQ301" s="114">
        <f t="shared" ref="CQ301:CQ303" si="1869">AQ301</f>
        <v>311</v>
      </c>
      <c r="CR301" s="114">
        <f t="shared" ref="CR301:CR303" si="1870">AU301</f>
        <v>346</v>
      </c>
      <c r="CS301" s="114">
        <f t="shared" ref="CS301:CS303" si="1871">AY301</f>
        <v>369</v>
      </c>
      <c r="CT301" s="109" t="e">
        <f t="shared" ref="CT301:CT303" si="1872">M301-K301</f>
        <v>#VALUE!</v>
      </c>
    </row>
    <row r="302" spans="1:1029" s="12" customFormat="1" x14ac:dyDescent="0.2">
      <c r="A302" s="9" t="str">
        <f t="shared" ref="A302" si="1873">CONCATENATE(B302,"_",C302)</f>
        <v>pe2r3_human_6AK3</v>
      </c>
      <c r="B302" s="9" t="s">
        <v>363</v>
      </c>
      <c r="C302" s="9" t="s">
        <v>1539</v>
      </c>
      <c r="D302" s="9" t="str">
        <f>IFERROR(MID(VLOOKUP($B302,Seqs!$A:$B,2,0),E302,1),"")</f>
        <v>V</v>
      </c>
      <c r="E302" s="9">
        <v>52</v>
      </c>
      <c r="F302" s="9" t="str">
        <f>IFERROR(MID(VLOOKUP($B302,Seqs!$A:$B,2,0),G302,1),"")</f>
        <v>Y</v>
      </c>
      <c r="G302" s="9">
        <v>77</v>
      </c>
      <c r="H302" s="9" t="str">
        <f>IFERROR(MID(VLOOKUP($B302,Seqs!$A:$B,2,0),I302,1),"")</f>
        <v/>
      </c>
      <c r="I302" s="109" t="s">
        <v>23</v>
      </c>
      <c r="J302" s="9" t="str">
        <f>IFERROR(MID(VLOOKUP($B302,Seqs!$A:$B,2,0),K302,1),"")</f>
        <v/>
      </c>
      <c r="K302" s="109" t="s">
        <v>23</v>
      </c>
      <c r="L302" s="9" t="str">
        <f>IFERROR(MID(VLOOKUP($B302,Seqs!$A:$B,2,0),M302,1),"")</f>
        <v>K</v>
      </c>
      <c r="M302" s="9">
        <v>86</v>
      </c>
      <c r="N302" s="9" t="str">
        <f>IFERROR(MID(VLOOKUP($B302,Seqs!$A:$B,2,0),O302,1),"")</f>
        <v>K</v>
      </c>
      <c r="O302" s="9">
        <v>117</v>
      </c>
      <c r="P302" s="9" t="str">
        <f>IFERROR(MID(VLOOKUP($B302,Seqs!$A:$B,2,0),Q302,1),"")</f>
        <v/>
      </c>
      <c r="Q302" s="9" t="s">
        <v>23</v>
      </c>
      <c r="R302" s="9" t="str">
        <f>IFERROR(MID(VLOOKUP($B302,Seqs!$A:$B,2,0),S302,1),"")</f>
        <v/>
      </c>
      <c r="S302" s="9" t="s">
        <v>23</v>
      </c>
      <c r="T302" s="9" t="str">
        <f>IFERROR(MID(VLOOKUP($B302,Seqs!$A:$B,2,0),U302,1),"")</f>
        <v>G</v>
      </c>
      <c r="U302" s="9">
        <v>127</v>
      </c>
      <c r="V302" s="9" t="str">
        <f>IFERROR(MID(VLOOKUP($B302,Seqs!$A:$B,2,0),W302,1),"")</f>
        <v>A</v>
      </c>
      <c r="W302" s="9">
        <v>161</v>
      </c>
      <c r="X302" s="9" t="str">
        <f>IFERROR(MID(VLOOKUP($B302,Seqs!$A:$B,2,0),Y302,1),"")</f>
        <v>P</v>
      </c>
      <c r="Y302" s="9">
        <v>162</v>
      </c>
      <c r="Z302" s="9" t="str">
        <f>IFERROR(MID(VLOOKUP($B302,Seqs!$A:$B,2,0),AA302,1),"")</f>
        <v>M</v>
      </c>
      <c r="AA302" s="9">
        <v>169</v>
      </c>
      <c r="AB302" s="9" t="str">
        <f>IFERROR(MID(VLOOKUP($B302,Seqs!$A:$B,2,0),AC302,1),"")</f>
        <v>K</v>
      </c>
      <c r="AC302" s="9">
        <v>170</v>
      </c>
      <c r="AD302" s="9" t="str">
        <f>IFERROR(MID(VLOOKUP($B302,Seqs!$A:$B,2,0),AE302,1),"")</f>
        <v>G</v>
      </c>
      <c r="AE302" s="9">
        <v>195</v>
      </c>
      <c r="AF302" s="9" t="str">
        <f>IFERROR(MID(VLOOKUP($B302,Seqs!$A:$B,2,0),AG302,1),"")</f>
        <v>C</v>
      </c>
      <c r="AG302" s="9">
        <v>208</v>
      </c>
      <c r="AH302" s="9" t="str">
        <f>IFERROR(MID(VLOOKUP($B302,Seqs!$A:$B,2,0),AI302,1),"")</f>
        <v>I</v>
      </c>
      <c r="AI302" s="9">
        <v>210</v>
      </c>
      <c r="AJ302" s="9" t="str">
        <f>IFERROR(MID(VLOOKUP($B302,Seqs!$A:$B,2,0),AK302,1),"")</f>
        <v>G</v>
      </c>
      <c r="AK302" s="9">
        <v>226</v>
      </c>
      <c r="AL302" s="9" t="str">
        <f>IFERROR(MID(VLOOKUP($B302,Seqs!$A:$B,2,0),AM302,1),"")</f>
        <v>A</v>
      </c>
      <c r="AM302" s="9">
        <v>264</v>
      </c>
      <c r="AN302" s="9" t="str">
        <f>IFERROR(MID(VLOOKUP($B302,Seqs!$A:$B,2,0),AO302,1),"")</f>
        <v>A</v>
      </c>
      <c r="AO302" s="9">
        <v>271</v>
      </c>
      <c r="AP302" s="9" t="str">
        <f>IFERROR(MID(VLOOKUP($B302,Seqs!$A:$B,2,0),AQ302,1),"")</f>
        <v>F</v>
      </c>
      <c r="AQ302" s="9">
        <v>307</v>
      </c>
      <c r="AR302" s="9" t="str">
        <f>IFERROR(MID(VLOOKUP($B302,Seqs!$A:$B,2,0),AS302,1),"")</f>
        <v>K</v>
      </c>
      <c r="AS302" s="9">
        <v>323</v>
      </c>
      <c r="AT302" s="9" t="str">
        <f>IFERROR(MID(VLOOKUP($B302,Seqs!$A:$B,2,0),AU302,1),"")</f>
        <v>Y</v>
      </c>
      <c r="AU302" s="9">
        <v>346</v>
      </c>
      <c r="AV302" s="9" t="str">
        <f>IFERROR(MID(VLOOKUP($B302,Seqs!$A:$B,2,0),AW302,1),"")</f>
        <v>L</v>
      </c>
      <c r="AW302" s="9">
        <v>347</v>
      </c>
      <c r="AX302" s="9" t="str">
        <f>IFERROR(MID(VLOOKUP($B302,Seqs!$A:$B,2,0),AY302,1),"")</f>
        <v>L</v>
      </c>
      <c r="AY302" s="9">
        <v>353</v>
      </c>
      <c r="AZ302" s="110" t="str">
        <f>VLOOKUP(B302,Classification!A:D,2,0)</f>
        <v>A</v>
      </c>
      <c r="BA302" s="98" t="str">
        <f>VLOOKUP(B302,Classification!A:D,4,0)</f>
        <v>Prostanoid</v>
      </c>
      <c r="BB302" s="36" t="b">
        <f t="shared" ref="BB302" si="1874"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109">
        <f t="shared" ref="BC302" si="1875">_xlfn.AGGREGATE(9,6,CH302:CS302)-_xlfn.AGGREGATE(9,6,BV302:CG302)+12</f>
        <v>239</v>
      </c>
      <c r="BD302" s="40" t="s">
        <v>1375</v>
      </c>
      <c r="BE302" s="9" t="s">
        <v>1291</v>
      </c>
      <c r="BF302" s="120">
        <v>2.9</v>
      </c>
      <c r="BG302" s="51" t="s">
        <v>1281</v>
      </c>
      <c r="BH302" s="51" t="s">
        <v>1281</v>
      </c>
      <c r="BJ302" s="111" t="s">
        <v>1287</v>
      </c>
      <c r="BK302" s="112" t="s">
        <v>1287</v>
      </c>
      <c r="BL302" s="112" t="s">
        <v>1287</v>
      </c>
      <c r="BM302" s="112" t="s">
        <v>1287</v>
      </c>
      <c r="BN302" s="112" t="s">
        <v>1287</v>
      </c>
      <c r="BO302" s="112" t="s">
        <v>1287</v>
      </c>
      <c r="BP302" s="112" t="s">
        <v>1287</v>
      </c>
      <c r="BQ302" s="112" t="s">
        <v>1287</v>
      </c>
      <c r="BR302" s="112" t="s">
        <v>1287</v>
      </c>
      <c r="BS302" s="112" t="s">
        <v>1287</v>
      </c>
      <c r="BT302" s="112" t="s">
        <v>1287</v>
      </c>
      <c r="BU302" s="112" t="s">
        <v>1287</v>
      </c>
      <c r="BV302" s="111">
        <f t="shared" ref="BV302" si="1876">E302</f>
        <v>52</v>
      </c>
      <c r="BW302" s="113" t="str">
        <f t="shared" ref="BW302" si="1877">I302</f>
        <v>-</v>
      </c>
      <c r="BX302" s="114">
        <f t="shared" ref="BX302" si="1878">M302</f>
        <v>86</v>
      </c>
      <c r="BY302" s="113" t="str">
        <f t="shared" ref="BY302" si="1879">Q302</f>
        <v>-</v>
      </c>
      <c r="BZ302" s="114">
        <f t="shared" ref="BZ302" si="1880">U302</f>
        <v>127</v>
      </c>
      <c r="CA302" s="113">
        <f t="shared" ref="CA302" si="1881">Y302</f>
        <v>162</v>
      </c>
      <c r="CB302" s="114">
        <f t="shared" ref="CB302" si="1882">AC302</f>
        <v>170</v>
      </c>
      <c r="CC302" s="113">
        <f t="shared" ref="CC302" si="1883">AG302</f>
        <v>208</v>
      </c>
      <c r="CD302" s="114">
        <f t="shared" ref="CD302" si="1884">AK302</f>
        <v>226</v>
      </c>
      <c r="CE302" s="113">
        <f t="shared" ref="CE302" si="1885">AO302</f>
        <v>271</v>
      </c>
      <c r="CF302" s="114">
        <f t="shared" ref="CF302" si="1886">AS302</f>
        <v>323</v>
      </c>
      <c r="CG302" s="113">
        <f t="shared" ref="CG302" si="1887">AW302</f>
        <v>347</v>
      </c>
      <c r="CH302" s="111">
        <f t="shared" ref="CH302" si="1888">G302</f>
        <v>77</v>
      </c>
      <c r="CI302" s="113" t="str">
        <f t="shared" ref="CI302" si="1889">K302</f>
        <v>-</v>
      </c>
      <c r="CJ302" s="114">
        <f t="shared" ref="CJ302" si="1890">O302</f>
        <v>117</v>
      </c>
      <c r="CK302" s="114" t="str">
        <f t="shared" ref="CK302" si="1891">S302</f>
        <v>-</v>
      </c>
      <c r="CL302" s="114">
        <f t="shared" ref="CL302" si="1892">W302</f>
        <v>161</v>
      </c>
      <c r="CM302" s="114">
        <f t="shared" ref="CM302" si="1893">AA302</f>
        <v>169</v>
      </c>
      <c r="CN302" s="114">
        <f t="shared" ref="CN302" si="1894">AE302</f>
        <v>195</v>
      </c>
      <c r="CO302" s="114">
        <f t="shared" ref="CO302" si="1895">AI302</f>
        <v>210</v>
      </c>
      <c r="CP302" s="114">
        <f t="shared" ref="CP302" si="1896">AM302</f>
        <v>264</v>
      </c>
      <c r="CQ302" s="114">
        <f t="shared" ref="CQ302" si="1897">AQ302</f>
        <v>307</v>
      </c>
      <c r="CR302" s="114">
        <f t="shared" ref="CR302" si="1898">AU302</f>
        <v>346</v>
      </c>
      <c r="CS302" s="114">
        <f t="shared" ref="CS302" si="1899">AY302</f>
        <v>353</v>
      </c>
      <c r="CT302" s="109" t="e">
        <f t="shared" ref="CT302" si="1900">M302-K302</f>
        <v>#VALUE!</v>
      </c>
    </row>
    <row r="303" spans="1:1029" s="12" customFormat="1" x14ac:dyDescent="0.2">
      <c r="A303" s="9" t="str">
        <f t="shared" si="1845"/>
        <v>pe2r3_human_6M9T</v>
      </c>
      <c r="B303" s="9" t="s">
        <v>363</v>
      </c>
      <c r="C303" s="9" t="s">
        <v>1538</v>
      </c>
      <c r="D303" s="9" t="str">
        <f>IFERROR(MID(VLOOKUP($B303,Seqs!$A:$B,2,0),E303,1),"")</f>
        <v>V</v>
      </c>
      <c r="E303" s="9">
        <v>52</v>
      </c>
      <c r="F303" s="9" t="str">
        <f>IFERROR(MID(VLOOKUP($B303,Seqs!$A:$B,2,0),G303,1),"")</f>
        <v>R</v>
      </c>
      <c r="G303" s="9">
        <v>78</v>
      </c>
      <c r="H303" s="9" t="str">
        <f>IFERROR(MID(VLOOKUP($B303,Seqs!$A:$B,2,0),I303,1),"")</f>
        <v/>
      </c>
      <c r="I303" s="109" t="s">
        <v>23</v>
      </c>
      <c r="J303" s="9" t="str">
        <f>IFERROR(MID(VLOOKUP($B303,Seqs!$A:$B,2,0),K303,1),"")</f>
        <v/>
      </c>
      <c r="K303" s="109" t="s">
        <v>23</v>
      </c>
      <c r="L303" s="9" t="str">
        <f>IFERROR(MID(VLOOKUP($B303,Seqs!$A:$B,2,0),M303,1),"")</f>
        <v>K</v>
      </c>
      <c r="M303" s="9">
        <v>85</v>
      </c>
      <c r="N303" s="9" t="str">
        <f>IFERROR(MID(VLOOKUP($B303,Seqs!$A:$B,2,0),O303,1),"")</f>
        <v>K</v>
      </c>
      <c r="O303" s="9">
        <v>117</v>
      </c>
      <c r="P303" s="9" t="str">
        <f>IFERROR(MID(VLOOKUP($B303,Seqs!$A:$B,2,0),Q303,1),"")</f>
        <v>Q</v>
      </c>
      <c r="Q303" s="9">
        <v>118</v>
      </c>
      <c r="R303" s="9" t="str">
        <f>IFERROR(MID(VLOOKUP($B303,Seqs!$A:$B,2,0),S303,1),"")</f>
        <v>S</v>
      </c>
      <c r="S303" s="9">
        <v>126</v>
      </c>
      <c r="T303" s="9" t="str">
        <f>IFERROR(MID(VLOOKUP($B303,Seqs!$A:$B,2,0),U303,1),"")</f>
        <v>G</v>
      </c>
      <c r="U303" s="9">
        <v>127</v>
      </c>
      <c r="V303" s="9" t="str">
        <f>IFERROR(MID(VLOOKUP($B303,Seqs!$A:$B,2,0),W303,1),"")</f>
        <v>A</v>
      </c>
      <c r="W303" s="9">
        <v>161</v>
      </c>
      <c r="X303" s="9" t="str">
        <f>IFERROR(MID(VLOOKUP($B303,Seqs!$A:$B,2,0),Y303,1),"")</f>
        <v>P</v>
      </c>
      <c r="Y303" s="9">
        <v>162</v>
      </c>
      <c r="Z303" s="9" t="str">
        <f>IFERROR(MID(VLOOKUP($B303,Seqs!$A:$B,2,0),AA303,1),"")</f>
        <v>M</v>
      </c>
      <c r="AA303" s="9">
        <v>169</v>
      </c>
      <c r="AB303" s="9" t="str">
        <f>IFERROR(MID(VLOOKUP($B303,Seqs!$A:$B,2,0),AC303,1),"")</f>
        <v>K</v>
      </c>
      <c r="AC303" s="9">
        <v>170</v>
      </c>
      <c r="AD303" s="9" t="str">
        <f>IFERROR(MID(VLOOKUP($B303,Seqs!$A:$B,2,0),AE303,1),"")</f>
        <v>G</v>
      </c>
      <c r="AE303" s="9">
        <v>195</v>
      </c>
      <c r="AF303" s="9" t="str">
        <f>IFERROR(MID(VLOOKUP($B303,Seqs!$A:$B,2,0),AG303,1),"")</f>
        <v>C</v>
      </c>
      <c r="AG303" s="9">
        <v>208</v>
      </c>
      <c r="AH303" s="9" t="str">
        <f>IFERROR(MID(VLOOKUP($B303,Seqs!$A:$B,2,0),AI303,1),"")</f>
        <v>I</v>
      </c>
      <c r="AI303" s="9">
        <v>210</v>
      </c>
      <c r="AJ303" s="9" t="str">
        <f>IFERROR(MID(VLOOKUP($B303,Seqs!$A:$B,2,0),AK303,1),"")</f>
        <v>W</v>
      </c>
      <c r="AK303" s="9">
        <v>225</v>
      </c>
      <c r="AL303" s="9" t="str">
        <f>IFERROR(MID(VLOOKUP($B303,Seqs!$A:$B,2,0),AM303,1),"")</f>
        <v>S</v>
      </c>
      <c r="AM303" s="9">
        <v>258</v>
      </c>
      <c r="AN303" s="9" t="str">
        <f>IFERROR(MID(VLOOKUP($B303,Seqs!$A:$B,2,0),AO303,1),"")</f>
        <v>R</v>
      </c>
      <c r="AO303" s="9">
        <v>275</v>
      </c>
      <c r="AP303" s="9" t="str">
        <f>IFERROR(MID(VLOOKUP($B303,Seqs!$A:$B,2,0),AQ303,1),"")</f>
        <v>F</v>
      </c>
      <c r="AQ303" s="9">
        <v>307</v>
      </c>
      <c r="AR303" s="9" t="str">
        <f>IFERROR(MID(VLOOKUP($B303,Seqs!$A:$B,2,0),AS303,1),"")</f>
        <v>K</v>
      </c>
      <c r="AS303" s="9">
        <v>323</v>
      </c>
      <c r="AT303" s="9" t="str">
        <f>IFERROR(MID(VLOOKUP($B303,Seqs!$A:$B,2,0),AU303,1),"")</f>
        <v>Y</v>
      </c>
      <c r="AU303" s="9">
        <v>346</v>
      </c>
      <c r="AV303" s="9" t="str">
        <f>IFERROR(MID(VLOOKUP($B303,Seqs!$A:$B,2,0),AW303,1),"")</f>
        <v>L</v>
      </c>
      <c r="AW303" s="9">
        <v>347</v>
      </c>
      <c r="AX303" s="9" t="str">
        <f>IFERROR(MID(VLOOKUP($B303,Seqs!$A:$B,2,0),AY303,1),"")</f>
        <v>L</v>
      </c>
      <c r="AY303" s="9">
        <v>353</v>
      </c>
      <c r="AZ303" s="110" t="str">
        <f>VLOOKUP(B303,Classification!A:D,2,0)</f>
        <v>A</v>
      </c>
      <c r="BA303" s="98" t="str">
        <f>VLOOKUP(B303,Classification!A:D,4,0)</f>
        <v>Prostanoid</v>
      </c>
      <c r="BB303" s="36" t="b">
        <f t="shared" si="1846"/>
        <v>1</v>
      </c>
      <c r="BC303" s="109">
        <f t="shared" si="1847"/>
        <v>240</v>
      </c>
      <c r="BD303" s="40" t="s">
        <v>1429</v>
      </c>
      <c r="BE303" s="9" t="s">
        <v>1471</v>
      </c>
      <c r="BF303" s="120">
        <v>2.5</v>
      </c>
      <c r="BG303" s="51" t="s">
        <v>1</v>
      </c>
      <c r="BH303" s="51" t="s">
        <v>1</v>
      </c>
      <c r="BJ303" s="111" t="s">
        <v>1287</v>
      </c>
      <c r="BK303" s="112" t="s">
        <v>1287</v>
      </c>
      <c r="BL303" s="112" t="s">
        <v>1287</v>
      </c>
      <c r="BM303" s="112" t="s">
        <v>1287</v>
      </c>
      <c r="BN303" s="112" t="s">
        <v>1287</v>
      </c>
      <c r="BO303" s="112" t="s">
        <v>1287</v>
      </c>
      <c r="BP303" s="112" t="s">
        <v>1287</v>
      </c>
      <c r="BQ303" s="112" t="s">
        <v>1287</v>
      </c>
      <c r="BR303" s="112" t="s">
        <v>1287</v>
      </c>
      <c r="BS303" s="112" t="s">
        <v>1287</v>
      </c>
      <c r="BT303" s="112" t="s">
        <v>1287</v>
      </c>
      <c r="BU303" s="112" t="s">
        <v>1287</v>
      </c>
      <c r="BV303" s="111">
        <f t="shared" si="1848"/>
        <v>52</v>
      </c>
      <c r="BW303" s="113" t="str">
        <f t="shared" si="1849"/>
        <v>-</v>
      </c>
      <c r="BX303" s="114">
        <f t="shared" si="1850"/>
        <v>85</v>
      </c>
      <c r="BY303" s="113">
        <f t="shared" si="1851"/>
        <v>118</v>
      </c>
      <c r="BZ303" s="114">
        <f t="shared" si="1852"/>
        <v>127</v>
      </c>
      <c r="CA303" s="113">
        <f t="shared" si="1853"/>
        <v>162</v>
      </c>
      <c r="CB303" s="114">
        <f t="shared" si="1854"/>
        <v>170</v>
      </c>
      <c r="CC303" s="113">
        <f t="shared" si="1855"/>
        <v>208</v>
      </c>
      <c r="CD303" s="114">
        <f t="shared" si="1856"/>
        <v>225</v>
      </c>
      <c r="CE303" s="113">
        <f t="shared" si="1857"/>
        <v>275</v>
      </c>
      <c r="CF303" s="114">
        <f t="shared" si="1858"/>
        <v>323</v>
      </c>
      <c r="CG303" s="113">
        <f t="shared" si="1859"/>
        <v>347</v>
      </c>
      <c r="CH303" s="111">
        <f t="shared" si="1860"/>
        <v>78</v>
      </c>
      <c r="CI303" s="113" t="str">
        <f t="shared" si="1861"/>
        <v>-</v>
      </c>
      <c r="CJ303" s="114">
        <f t="shared" si="1862"/>
        <v>117</v>
      </c>
      <c r="CK303" s="114">
        <f t="shared" si="1863"/>
        <v>126</v>
      </c>
      <c r="CL303" s="114">
        <f t="shared" si="1864"/>
        <v>161</v>
      </c>
      <c r="CM303" s="114">
        <f t="shared" si="1865"/>
        <v>169</v>
      </c>
      <c r="CN303" s="114">
        <f t="shared" si="1866"/>
        <v>195</v>
      </c>
      <c r="CO303" s="114">
        <f t="shared" si="1867"/>
        <v>210</v>
      </c>
      <c r="CP303" s="114">
        <f t="shared" si="1868"/>
        <v>258</v>
      </c>
      <c r="CQ303" s="114">
        <f t="shared" si="1869"/>
        <v>307</v>
      </c>
      <c r="CR303" s="114">
        <f t="shared" si="1870"/>
        <v>346</v>
      </c>
      <c r="CS303" s="114">
        <f t="shared" si="1871"/>
        <v>353</v>
      </c>
      <c r="CT303" s="109" t="e">
        <f t="shared" si="1872"/>
        <v>#VALUE!</v>
      </c>
    </row>
    <row r="304" spans="1:1029" x14ac:dyDescent="0.2">
      <c r="A304" s="9" t="str">
        <f t="shared" ref="A304" si="1901">CONCATENATE(B304,"_",C304)</f>
        <v>pe2r4_human__wt</v>
      </c>
      <c r="B304" s="9" t="s">
        <v>364</v>
      </c>
      <c r="C304" s="9" t="s">
        <v>100</v>
      </c>
      <c r="D304" s="9" t="str">
        <f>IFERROR(MID(VLOOKUP($B304,Seqs!$A:$B,2,0),E304,1),"")</f>
        <v>N</v>
      </c>
      <c r="E304" s="9">
        <v>18</v>
      </c>
      <c r="F304" s="9" t="str">
        <f>IFERROR(MID(VLOOKUP($B304,Seqs!$A:$B,2,0),G304,1),"")</f>
        <v>C</v>
      </c>
      <c r="G304" s="9">
        <v>43</v>
      </c>
      <c r="H304" s="9" t="str">
        <f>IFERROR(MID(VLOOKUP($B304,Seqs!$A:$B,2,0),I304,1),"")</f>
        <v/>
      </c>
      <c r="I304" s="109" t="s">
        <v>23</v>
      </c>
      <c r="J304" s="9" t="str">
        <f>IFERROR(MID(VLOOKUP($B304,Seqs!$A:$B,2,0),K304,1),"")</f>
        <v/>
      </c>
      <c r="K304" s="109" t="s">
        <v>23</v>
      </c>
      <c r="L304" s="9" t="str">
        <f>IFERROR(MID(VLOOKUP($B304,Seqs!$A:$B,2,0),M304,1),"")</f>
        <v>E</v>
      </c>
      <c r="M304" s="9">
        <v>51</v>
      </c>
      <c r="N304" s="9" t="str">
        <f>IFERROR(MID(VLOOKUP($B304,Seqs!$A:$B,2,0),O304,1),"")</f>
        <v>K</v>
      </c>
      <c r="O304" s="9">
        <v>82</v>
      </c>
      <c r="P304" s="9" t="str">
        <f>IFERROR(MID(VLOOKUP($B304,Seqs!$A:$B,2,0),Q304,1),"")</f>
        <v>Q</v>
      </c>
      <c r="Q304" s="9">
        <v>84</v>
      </c>
      <c r="R304" s="9" t="str">
        <f>IFERROR(MID(VLOOKUP($B304,Seqs!$A:$B,2,0),S304,1),"")</f>
        <v>G</v>
      </c>
      <c r="S304" s="9">
        <v>87</v>
      </c>
      <c r="T304" s="9" t="str">
        <f>IFERROR(MID(VLOOKUP($B304,Seqs!$A:$B,2,0),U304,1),"")</f>
        <v>G</v>
      </c>
      <c r="U304" s="9">
        <v>88</v>
      </c>
      <c r="V304" s="9" t="str">
        <f>IFERROR(MID(VLOOKUP($B304,Seqs!$A:$B,2,0),W304,1),"")</f>
        <v>H</v>
      </c>
      <c r="W304" s="9">
        <v>123</v>
      </c>
      <c r="X304" s="9" t="str">
        <f>IFERROR(MID(VLOOKUP($B304,Seqs!$A:$B,2,0),Y304,1),"")</f>
        <v>A</v>
      </c>
      <c r="Y304" s="9">
        <v>124</v>
      </c>
      <c r="Z304" s="9" t="str">
        <f>IFERROR(MID(VLOOKUP($B304,Seqs!$A:$B,2,0),AA304,1),"")</f>
        <v>V</v>
      </c>
      <c r="AA304" s="9">
        <v>131</v>
      </c>
      <c r="AB304" s="9" t="str">
        <f>IFERROR(MID(VLOOKUP($B304,Seqs!$A:$B,2,0),AC304,1),"")</f>
        <v>D</v>
      </c>
      <c r="AC304" s="9">
        <v>132</v>
      </c>
      <c r="AD304" s="9" t="str">
        <f>IFERROR(MID(VLOOKUP($B304,Seqs!$A:$B,2,0),AE304,1),"")</f>
        <v>G</v>
      </c>
      <c r="AE304" s="9">
        <v>157</v>
      </c>
      <c r="AF304" s="9" t="str">
        <f>IFERROR(MID(VLOOKUP($B304,Seqs!$A:$B,2,0),AG304,1),"")</f>
        <v>C</v>
      </c>
      <c r="AG304" s="9">
        <v>170</v>
      </c>
      <c r="AH304" s="9" t="str">
        <f>IFERROR(MID(VLOOKUP($B304,Seqs!$A:$B,2,0),AI304,1),"")</f>
        <v>I</v>
      </c>
      <c r="AI304" s="9">
        <v>172</v>
      </c>
      <c r="AJ304" s="9" t="str">
        <f>IFERROR(MID(VLOOKUP($B304,Seqs!$A:$B,2,0),AK304,1),"")</f>
        <v>V</v>
      </c>
      <c r="AK304" s="9">
        <v>178</v>
      </c>
      <c r="AL304" s="9" t="str">
        <f>IFERROR(MID(VLOOKUP($B304,Seqs!$A:$B,2,0),AM304,1),"")</f>
        <v>L</v>
      </c>
      <c r="AM304" s="9">
        <v>223</v>
      </c>
      <c r="AN304" s="9" t="str">
        <f>IFERROR(MID(VLOOKUP($B304,Seqs!$A:$B,2,0),AO304,1),"")</f>
        <v>R</v>
      </c>
      <c r="AO304" s="9">
        <v>261</v>
      </c>
      <c r="AP304" s="9" t="str">
        <f>IFERROR(MID(VLOOKUP($B304,Seqs!$A:$B,2,0),AQ304,1),"")</f>
        <v>Y</v>
      </c>
      <c r="AQ304" s="9">
        <v>298</v>
      </c>
      <c r="AR304" s="9" t="str">
        <f>IFERROR(MID(VLOOKUP($B304,Seqs!$A:$B,2,0),AS304,1),"")</f>
        <v>N</v>
      </c>
      <c r="AS304" s="9">
        <v>309</v>
      </c>
      <c r="AT304" s="9" t="str">
        <f>IFERROR(MID(VLOOKUP($B304,Seqs!$A:$B,2,0),AU304,1),"")</f>
        <v>L</v>
      </c>
      <c r="AU304" s="9">
        <v>332</v>
      </c>
      <c r="AV304" s="9" t="str">
        <f>IFERROR(MID(VLOOKUP($B304,Seqs!$A:$B,2,0),AW304,1),"")</f>
        <v>R</v>
      </c>
      <c r="AW304" s="9">
        <v>333</v>
      </c>
      <c r="AX304" s="9" t="str">
        <f>IFERROR(MID(VLOOKUP($B304,Seqs!$A:$B,2,0),AY304,1),"")</f>
        <v>C</v>
      </c>
      <c r="AY304" s="9">
        <v>346</v>
      </c>
      <c r="AZ304" s="110" t="str">
        <f>VLOOKUP(B304,Classification!A:D,2,0)</f>
        <v>A</v>
      </c>
      <c r="BA304" s="98" t="str">
        <f>VLOOKUP(B304,Classification!A:D,4,0)</f>
        <v>Prostanoid</v>
      </c>
      <c r="BB304" s="36" t="b">
        <f t="shared" ref="BB304" si="1902"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109">
        <f t="shared" ref="BC304" si="1903">_xlfn.AGGREGATE(9,6,CH304:CS304)-_xlfn.AGGREGATE(9,6,BV304:CG304)+12</f>
        <v>258</v>
      </c>
      <c r="BD304" s="40" t="s">
        <v>23</v>
      </c>
      <c r="BE304" s="9" t="s">
        <v>23</v>
      </c>
      <c r="BF304" s="120" t="s">
        <v>23</v>
      </c>
      <c r="BG304" s="51" t="s">
        <v>23</v>
      </c>
      <c r="BH304" s="51" t="s">
        <v>23</v>
      </c>
      <c r="BI304" s="12"/>
      <c r="BJ304" s="111" t="s">
        <v>1287</v>
      </c>
      <c r="BK304" s="112" t="s">
        <v>1287</v>
      </c>
      <c r="BL304" s="112" t="s">
        <v>1287</v>
      </c>
      <c r="BM304" s="112" t="s">
        <v>1287</v>
      </c>
      <c r="BN304" s="112" t="s">
        <v>1287</v>
      </c>
      <c r="BO304" s="112" t="s">
        <v>1287</v>
      </c>
      <c r="BP304" s="112" t="s">
        <v>1287</v>
      </c>
      <c r="BQ304" s="112" t="s">
        <v>1287</v>
      </c>
      <c r="BR304" s="112" t="s">
        <v>1287</v>
      </c>
      <c r="BS304" s="112" t="s">
        <v>1287</v>
      </c>
      <c r="BT304" s="112" t="s">
        <v>1287</v>
      </c>
      <c r="BU304" s="112" t="s">
        <v>1287</v>
      </c>
      <c r="BV304" s="111">
        <f t="shared" ref="BV304" si="1904">E304</f>
        <v>18</v>
      </c>
      <c r="BW304" s="113" t="str">
        <f t="shared" ref="BW304" si="1905">I304</f>
        <v>-</v>
      </c>
      <c r="BX304" s="114">
        <f t="shared" ref="BX304" si="1906">M304</f>
        <v>51</v>
      </c>
      <c r="BY304" s="113">
        <f t="shared" ref="BY304" si="1907">Q304</f>
        <v>84</v>
      </c>
      <c r="BZ304" s="114">
        <f t="shared" ref="BZ304" si="1908">U304</f>
        <v>88</v>
      </c>
      <c r="CA304" s="113">
        <f t="shared" ref="CA304" si="1909">Y304</f>
        <v>124</v>
      </c>
      <c r="CB304" s="114">
        <f t="shared" ref="CB304" si="1910">AC304</f>
        <v>132</v>
      </c>
      <c r="CC304" s="113">
        <f t="shared" ref="CC304" si="1911">AG304</f>
        <v>170</v>
      </c>
      <c r="CD304" s="114">
        <f t="shared" ref="CD304" si="1912">AK304</f>
        <v>178</v>
      </c>
      <c r="CE304" s="113">
        <f t="shared" ref="CE304" si="1913">AO304</f>
        <v>261</v>
      </c>
      <c r="CF304" s="114">
        <f t="shared" ref="CF304" si="1914">AS304</f>
        <v>309</v>
      </c>
      <c r="CG304" s="113">
        <f t="shared" ref="CG304" si="1915">AW304</f>
        <v>333</v>
      </c>
      <c r="CH304" s="111">
        <f t="shared" ref="CH304" si="1916">G304</f>
        <v>43</v>
      </c>
      <c r="CI304" s="113" t="str">
        <f t="shared" ref="CI304" si="1917">K304</f>
        <v>-</v>
      </c>
      <c r="CJ304" s="114">
        <f t="shared" ref="CJ304" si="1918">O304</f>
        <v>82</v>
      </c>
      <c r="CK304" s="114">
        <f t="shared" ref="CK304" si="1919">S304</f>
        <v>87</v>
      </c>
      <c r="CL304" s="114">
        <f t="shared" ref="CL304" si="1920">W304</f>
        <v>123</v>
      </c>
      <c r="CM304" s="114">
        <f t="shared" ref="CM304" si="1921">AA304</f>
        <v>131</v>
      </c>
      <c r="CN304" s="114">
        <f t="shared" ref="CN304" si="1922">AE304</f>
        <v>157</v>
      </c>
      <c r="CO304" s="114">
        <f t="shared" ref="CO304" si="1923">AI304</f>
        <v>172</v>
      </c>
      <c r="CP304" s="114">
        <f t="shared" ref="CP304" si="1924">AM304</f>
        <v>223</v>
      </c>
      <c r="CQ304" s="114">
        <f t="shared" ref="CQ304" si="1925">AQ304</f>
        <v>298</v>
      </c>
      <c r="CR304" s="114">
        <f t="shared" ref="CR304" si="1926">AU304</f>
        <v>332</v>
      </c>
      <c r="CS304" s="114">
        <f t="shared" ref="CS304" si="1927">AY304</f>
        <v>346</v>
      </c>
      <c r="CT304" s="109" t="e">
        <f t="shared" ref="CT304" si="1928">M304-K304</f>
        <v>#VALUE!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30" x14ac:dyDescent="0.2">
      <c r="A305" s="9" t="str">
        <f>CONCATENATE(B305,"_",C305)</f>
        <v>pe2r4_human_5YWY</v>
      </c>
      <c r="B305" s="9" t="s">
        <v>364</v>
      </c>
      <c r="C305" s="9" t="s">
        <v>1536</v>
      </c>
      <c r="D305" s="9" t="str">
        <f>IFERROR(MID(VLOOKUP($B305,Seqs!$A:$B,2,0),E305,1),"")</f>
        <v>N</v>
      </c>
      <c r="E305" s="9">
        <v>18</v>
      </c>
      <c r="F305" s="9" t="str">
        <f>IFERROR(MID(VLOOKUP($B305,Seqs!$A:$B,2,0),G305,1),"")</f>
        <v>C</v>
      </c>
      <c r="G305" s="9">
        <v>43</v>
      </c>
      <c r="H305" s="9" t="str">
        <f>IFERROR(MID(VLOOKUP($B305,Seqs!$A:$B,2,0),I305,1),"")</f>
        <v/>
      </c>
      <c r="I305" s="109" t="s">
        <v>23</v>
      </c>
      <c r="J305" s="9" t="str">
        <f>IFERROR(MID(VLOOKUP($B305,Seqs!$A:$B,2,0),K305,1),"")</f>
        <v/>
      </c>
      <c r="K305" s="109" t="s">
        <v>23</v>
      </c>
      <c r="L305" s="9" t="str">
        <f>IFERROR(MID(VLOOKUP($B305,Seqs!$A:$B,2,0),M305,1),"")</f>
        <v>E</v>
      </c>
      <c r="M305" s="9">
        <v>51</v>
      </c>
      <c r="N305" s="9" t="str">
        <f>IFERROR(MID(VLOOKUP($B305,Seqs!$A:$B,2,0),O305,1),"")</f>
        <v>K</v>
      </c>
      <c r="O305" s="9">
        <v>82</v>
      </c>
      <c r="P305" s="9" t="str">
        <f>IFERROR(MID(VLOOKUP($B305,Seqs!$A:$B,2,0),Q305,1),"")</f>
        <v>Q</v>
      </c>
      <c r="Q305" s="9">
        <v>84</v>
      </c>
      <c r="R305" s="9" t="str">
        <f>IFERROR(MID(VLOOKUP($B305,Seqs!$A:$B,2,0),S305,1),"")</f>
        <v>G</v>
      </c>
      <c r="S305" s="9">
        <v>87</v>
      </c>
      <c r="T305" s="9" t="str">
        <f>IFERROR(MID(VLOOKUP($B305,Seqs!$A:$B,2,0),U305,1),"")</f>
        <v>G</v>
      </c>
      <c r="U305" s="9">
        <v>88</v>
      </c>
      <c r="V305" s="9" t="str">
        <f>IFERROR(MID(VLOOKUP($B305,Seqs!$A:$B,2,0),W305,1),"")</f>
        <v>H</v>
      </c>
      <c r="W305" s="9">
        <v>123</v>
      </c>
      <c r="X305" s="9" t="str">
        <f>IFERROR(MID(VLOOKUP($B305,Seqs!$A:$B,2,0),Y305,1),"")</f>
        <v>A</v>
      </c>
      <c r="Y305" s="9">
        <v>124</v>
      </c>
      <c r="Z305" s="9" t="str">
        <f>IFERROR(MID(VLOOKUP($B305,Seqs!$A:$B,2,0),AA305,1),"")</f>
        <v>V</v>
      </c>
      <c r="AA305" s="9">
        <v>131</v>
      </c>
      <c r="AB305" s="9" t="str">
        <f>IFERROR(MID(VLOOKUP($B305,Seqs!$A:$B,2,0),AC305,1),"")</f>
        <v>D</v>
      </c>
      <c r="AC305" s="9">
        <v>132</v>
      </c>
      <c r="AD305" s="9" t="str">
        <f>IFERROR(MID(VLOOKUP($B305,Seqs!$A:$B,2,0),AE305,1),"")</f>
        <v>G</v>
      </c>
      <c r="AE305" s="9">
        <v>157</v>
      </c>
      <c r="AF305" s="9" t="str">
        <f>IFERROR(MID(VLOOKUP($B305,Seqs!$A:$B,2,0),AG305,1),"")</f>
        <v>C</v>
      </c>
      <c r="AG305" s="9">
        <v>170</v>
      </c>
      <c r="AH305" s="9" t="str">
        <f>IFERROR(MID(VLOOKUP($B305,Seqs!$A:$B,2,0),AI305,1),"")</f>
        <v>I</v>
      </c>
      <c r="AI305" s="9">
        <v>172</v>
      </c>
      <c r="AJ305" s="9" t="str">
        <f>IFERROR(MID(VLOOKUP($B305,Seqs!$A:$B,2,0),AK305,1),"")</f>
        <v>V</v>
      </c>
      <c r="AK305" s="9">
        <v>178</v>
      </c>
      <c r="AL305" s="9" t="str">
        <f>IFERROR(MID(VLOOKUP($B305,Seqs!$A:$B,2,0),AM305,1),"")</f>
        <v>H</v>
      </c>
      <c r="AM305" s="9">
        <v>214</v>
      </c>
      <c r="AN305" s="9" t="str">
        <f>IFERROR(MID(VLOOKUP($B305,Seqs!$A:$B,2,0),AO305,1),"")</f>
        <v>A</v>
      </c>
      <c r="AO305" s="9">
        <v>266</v>
      </c>
      <c r="AP305" s="9" t="str">
        <f>IFERROR(MID(VLOOKUP($B305,Seqs!$A:$B,2,0),AQ305,1),"")</f>
        <v>Y</v>
      </c>
      <c r="AQ305" s="9">
        <v>298</v>
      </c>
      <c r="AR305" s="9" t="str">
        <f>IFERROR(MID(VLOOKUP($B305,Seqs!$A:$B,2,0),AS305,1),"")</f>
        <v>N</v>
      </c>
      <c r="AS305" s="9">
        <v>309</v>
      </c>
      <c r="AT305" s="9" t="str">
        <f>IFERROR(MID(VLOOKUP($B305,Seqs!$A:$B,2,0),AU305,1),"")</f>
        <v>L</v>
      </c>
      <c r="AU305" s="9">
        <v>332</v>
      </c>
      <c r="AV305" s="9" t="str">
        <f>IFERROR(MID(VLOOKUP($B305,Seqs!$A:$B,2,0),AW305,1),"")</f>
        <v>R</v>
      </c>
      <c r="AW305" s="9">
        <v>333</v>
      </c>
      <c r="AX305" s="9" t="str">
        <f>IFERROR(MID(VLOOKUP($B305,Seqs!$A:$B,2,0),AY305,1),"")</f>
        <v>I</v>
      </c>
      <c r="AY305" s="9">
        <v>344</v>
      </c>
      <c r="AZ305" s="110" t="str">
        <f>VLOOKUP(B305,Classification!A:D,2,0)</f>
        <v>A</v>
      </c>
      <c r="BA305" s="98" t="str">
        <f>VLOOKUP(B305,Classification!A:D,4,0)</f>
        <v>Prostanoid</v>
      </c>
      <c r="BB305" s="36" t="b">
        <f>AND(E305&lt;G305,OR(G305&lt;I305,I305="-"),OR(I305&lt;K305,I305="-"),OR(K305&lt;M305,K305="-"),M305&lt;O305,OR(O305&lt;Q305,Q305="-"),OR(Q305&lt;S305,Q305="-"),OR(S305&lt;U305,S305="-"),U305&lt;W305,OR(W305&lt;Y305,Y305="-"),OR(Y305&lt;AA305,Y305="-"),OR(AA305&lt;AC305,AA305="-"),AC305&lt;AE305,OR(AE305&lt;AG305,AG305="-"),OR(AG305&lt;AI305,AG305="-"),OR(AI305&lt;AK305,AI305="-"),AK305&lt;AM305,AM305&lt;AO305,AO305&lt;AQ305,AQ305&lt;AS305,AS305&lt;AU305,OR(AU305&lt;AW305,AW305="-"),OR(AW305&lt;AY305,AW305="-"))</f>
        <v>1</v>
      </c>
      <c r="BC305" s="109">
        <f>_xlfn.AGGREGATE(9,6,CH305:CS305)-_xlfn.AGGREGATE(9,6,BV305:CG305)+12</f>
        <v>242</v>
      </c>
      <c r="BD305" s="40" t="s">
        <v>1376</v>
      </c>
      <c r="BE305" s="9" t="s">
        <v>1374</v>
      </c>
      <c r="BF305" s="120">
        <v>3.2</v>
      </c>
      <c r="BG305" s="51" t="s">
        <v>1</v>
      </c>
      <c r="BH305" s="51" t="s">
        <v>1</v>
      </c>
      <c r="BI305" s="12"/>
      <c r="BJ305" s="111" t="s">
        <v>1287</v>
      </c>
      <c r="BK305" s="112" t="s">
        <v>1287</v>
      </c>
      <c r="BL305" s="112" t="s">
        <v>1287</v>
      </c>
      <c r="BM305" s="112" t="s">
        <v>1287</v>
      </c>
      <c r="BN305" s="112" t="s">
        <v>1287</v>
      </c>
      <c r="BO305" s="112" t="s">
        <v>1287</v>
      </c>
      <c r="BP305" s="112" t="s">
        <v>1287</v>
      </c>
      <c r="BQ305" s="112" t="s">
        <v>1287</v>
      </c>
      <c r="BR305" s="112" t="s">
        <v>1287</v>
      </c>
      <c r="BS305" s="112" t="s">
        <v>1287</v>
      </c>
      <c r="BT305" s="112" t="s">
        <v>1287</v>
      </c>
      <c r="BU305" s="112" t="s">
        <v>1287</v>
      </c>
      <c r="BV305" s="111">
        <f>E305</f>
        <v>18</v>
      </c>
      <c r="BW305" s="113" t="str">
        <f>I305</f>
        <v>-</v>
      </c>
      <c r="BX305" s="114">
        <f>M305</f>
        <v>51</v>
      </c>
      <c r="BY305" s="113">
        <f>Q305</f>
        <v>84</v>
      </c>
      <c r="BZ305" s="114">
        <f>U305</f>
        <v>88</v>
      </c>
      <c r="CA305" s="113">
        <f>Y305</f>
        <v>124</v>
      </c>
      <c r="CB305" s="114">
        <f>AC305</f>
        <v>132</v>
      </c>
      <c r="CC305" s="113">
        <f>AG305</f>
        <v>170</v>
      </c>
      <c r="CD305" s="114">
        <f>AK305</f>
        <v>178</v>
      </c>
      <c r="CE305" s="113">
        <f>AO305</f>
        <v>266</v>
      </c>
      <c r="CF305" s="114">
        <f>AS305</f>
        <v>309</v>
      </c>
      <c r="CG305" s="113">
        <f>AW305</f>
        <v>333</v>
      </c>
      <c r="CH305" s="111">
        <f>G305</f>
        <v>43</v>
      </c>
      <c r="CI305" s="113" t="str">
        <f>K305</f>
        <v>-</v>
      </c>
      <c r="CJ305" s="114">
        <f>O305</f>
        <v>82</v>
      </c>
      <c r="CK305" s="114">
        <f>S305</f>
        <v>87</v>
      </c>
      <c r="CL305" s="114">
        <f>W305</f>
        <v>123</v>
      </c>
      <c r="CM305" s="114">
        <f>AA305</f>
        <v>131</v>
      </c>
      <c r="CN305" s="114">
        <f>AE305</f>
        <v>157</v>
      </c>
      <c r="CO305" s="114">
        <f>AI305</f>
        <v>172</v>
      </c>
      <c r="CP305" s="114">
        <f>AM305</f>
        <v>214</v>
      </c>
      <c r="CQ305" s="114">
        <f>AQ305</f>
        <v>298</v>
      </c>
      <c r="CR305" s="114">
        <f>AU305</f>
        <v>332</v>
      </c>
      <c r="CS305" s="114">
        <f>AY305</f>
        <v>344</v>
      </c>
      <c r="CT305" s="109" t="e">
        <f>M305-K305</f>
        <v>#VALUE!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30" x14ac:dyDescent="0.2">
      <c r="A306" s="9" t="str">
        <f>CONCATENATE(B306,"_",C306)</f>
        <v>pe2r4_human_5YHL</v>
      </c>
      <c r="B306" s="9" t="s">
        <v>364</v>
      </c>
      <c r="C306" s="9" t="s">
        <v>1537</v>
      </c>
      <c r="D306" s="9" t="str">
        <f>IFERROR(MID(VLOOKUP($B306,Seqs!$A:$B,2,0),E306,1),"")</f>
        <v>N</v>
      </c>
      <c r="E306" s="9">
        <v>18</v>
      </c>
      <c r="F306" s="9" t="str">
        <f>IFERROR(MID(VLOOKUP($B306,Seqs!$A:$B,2,0),G306,1),"")</f>
        <v>C</v>
      </c>
      <c r="G306" s="9">
        <v>43</v>
      </c>
      <c r="H306" s="9" t="str">
        <f>IFERROR(MID(VLOOKUP($B306,Seqs!$A:$B,2,0),I306,1),"")</f>
        <v/>
      </c>
      <c r="I306" s="109" t="s">
        <v>23</v>
      </c>
      <c r="J306" s="9" t="str">
        <f>IFERROR(MID(VLOOKUP($B306,Seqs!$A:$B,2,0),K306,1),"")</f>
        <v/>
      </c>
      <c r="K306" s="109" t="s">
        <v>23</v>
      </c>
      <c r="L306" s="9" t="str">
        <f>IFERROR(MID(VLOOKUP($B306,Seqs!$A:$B,2,0),M306,1),"")</f>
        <v>E</v>
      </c>
      <c r="M306" s="9">
        <v>51</v>
      </c>
      <c r="N306" s="9" t="str">
        <f>IFERROR(MID(VLOOKUP($B306,Seqs!$A:$B,2,0),O306,1),"")</f>
        <v>K</v>
      </c>
      <c r="O306" s="9">
        <v>82</v>
      </c>
      <c r="P306" s="9" t="str">
        <f>IFERROR(MID(VLOOKUP($B306,Seqs!$A:$B,2,0),Q306,1),"")</f>
        <v>Q</v>
      </c>
      <c r="Q306" s="9">
        <v>84</v>
      </c>
      <c r="R306" s="9" t="str">
        <f>IFERROR(MID(VLOOKUP($B306,Seqs!$A:$B,2,0),S306,1),"")</f>
        <v>G</v>
      </c>
      <c r="S306" s="9">
        <v>87</v>
      </c>
      <c r="T306" s="9" t="str">
        <f>IFERROR(MID(VLOOKUP($B306,Seqs!$A:$B,2,0),U306,1),"")</f>
        <v>G</v>
      </c>
      <c r="U306" s="9">
        <v>88</v>
      </c>
      <c r="V306" s="9" t="str">
        <f>IFERROR(MID(VLOOKUP($B306,Seqs!$A:$B,2,0),W306,1),"")</f>
        <v>H</v>
      </c>
      <c r="W306" s="9">
        <v>123</v>
      </c>
      <c r="X306" s="9" t="str">
        <f>IFERROR(MID(VLOOKUP($B306,Seqs!$A:$B,2,0),Y306,1),"")</f>
        <v>A</v>
      </c>
      <c r="Y306" s="9">
        <v>124</v>
      </c>
      <c r="Z306" s="9" t="str">
        <f>IFERROR(MID(VLOOKUP($B306,Seqs!$A:$B,2,0),AA306,1),"")</f>
        <v>V</v>
      </c>
      <c r="AA306" s="9">
        <v>131</v>
      </c>
      <c r="AB306" s="9" t="str">
        <f>IFERROR(MID(VLOOKUP($B306,Seqs!$A:$B,2,0),AC306,1),"")</f>
        <v>D</v>
      </c>
      <c r="AC306" s="9">
        <v>132</v>
      </c>
      <c r="AD306" s="9" t="str">
        <f>IFERROR(MID(VLOOKUP($B306,Seqs!$A:$B,2,0),AE306,1),"")</f>
        <v>G</v>
      </c>
      <c r="AE306" s="9">
        <v>157</v>
      </c>
      <c r="AF306" s="9" t="str">
        <f>IFERROR(MID(VLOOKUP($B306,Seqs!$A:$B,2,0),AG306,1),"")</f>
        <v>C</v>
      </c>
      <c r="AG306" s="9">
        <v>170</v>
      </c>
      <c r="AH306" s="9" t="str">
        <f>IFERROR(MID(VLOOKUP($B306,Seqs!$A:$B,2,0),AI306,1),"")</f>
        <v>I</v>
      </c>
      <c r="AI306" s="9">
        <v>172</v>
      </c>
      <c r="AJ306" s="9" t="str">
        <f>IFERROR(MID(VLOOKUP($B306,Seqs!$A:$B,2,0),AK306,1),"")</f>
        <v>V</v>
      </c>
      <c r="AK306" s="9">
        <v>178</v>
      </c>
      <c r="AL306" s="9" t="str">
        <f>IFERROR(MID(VLOOKUP($B306,Seqs!$A:$B,2,0),AM306,1),"")</f>
        <v>H</v>
      </c>
      <c r="AM306" s="9">
        <v>214</v>
      </c>
      <c r="AN306" s="9" t="str">
        <f>IFERROR(MID(VLOOKUP($B306,Seqs!$A:$B,2,0),AO306,1),"")</f>
        <v>A</v>
      </c>
      <c r="AO306" s="9">
        <v>266</v>
      </c>
      <c r="AP306" s="9" t="str">
        <f>IFERROR(MID(VLOOKUP($B306,Seqs!$A:$B,2,0),AQ306,1),"")</f>
        <v>Y</v>
      </c>
      <c r="AQ306" s="9">
        <v>298</v>
      </c>
      <c r="AR306" s="9" t="str">
        <f>IFERROR(MID(VLOOKUP($B306,Seqs!$A:$B,2,0),AS306,1),"")</f>
        <v>N</v>
      </c>
      <c r="AS306" s="9">
        <v>309</v>
      </c>
      <c r="AT306" s="9" t="str">
        <f>IFERROR(MID(VLOOKUP($B306,Seqs!$A:$B,2,0),AU306,1),"")</f>
        <v>L</v>
      </c>
      <c r="AU306" s="9">
        <v>332</v>
      </c>
      <c r="AV306" s="9" t="str">
        <f>IFERROR(MID(VLOOKUP($B306,Seqs!$A:$B,2,0),AW306,1),"")</f>
        <v>R</v>
      </c>
      <c r="AW306" s="9">
        <v>333</v>
      </c>
      <c r="AX306" s="9" t="str">
        <f>IFERROR(MID(VLOOKUP($B306,Seqs!$A:$B,2,0),AY306,1),"")</f>
        <v>I</v>
      </c>
      <c r="AY306" s="9">
        <v>344</v>
      </c>
      <c r="AZ306" s="110" t="str">
        <f>VLOOKUP(B306,Classification!A:D,2,0)</f>
        <v>A</v>
      </c>
      <c r="BA306" s="98" t="str">
        <f>VLOOKUP(B306,Classification!A:D,4,0)</f>
        <v>Prostanoid</v>
      </c>
      <c r="BB306" s="36" t="b">
        <f>AND(E306&lt;G306,OR(G306&lt;I306,I306="-"),OR(I306&lt;K306,I306="-"),OR(K306&lt;M306,K306="-"),M306&lt;O306,OR(O306&lt;Q306,Q306="-"),OR(Q306&lt;S306,Q306="-"),OR(S306&lt;U306,S306="-"),U306&lt;W306,OR(W306&lt;Y306,Y306="-"),OR(Y306&lt;AA306,Y306="-"),OR(AA306&lt;AC306,AA306="-"),AC306&lt;AE306,OR(AE306&lt;AG306,AG306="-"),OR(AG306&lt;AI306,AG306="-"),OR(AI306&lt;AK306,AI306="-"),AK306&lt;AM306,AM306&lt;AO306,AO306&lt;AQ306,AQ306&lt;AS306,AS306&lt;AU306,OR(AU306&lt;AW306,AW306="-"),OR(AW306&lt;AY306,AW306="-"))</f>
        <v>1</v>
      </c>
      <c r="BC306" s="109">
        <f>_xlfn.AGGREGATE(9,6,CH306:CS306)-_xlfn.AGGREGATE(9,6,BV306:CG306)+12</f>
        <v>242</v>
      </c>
      <c r="BD306" s="40" t="s">
        <v>23</v>
      </c>
      <c r="BE306" s="9" t="s">
        <v>1374</v>
      </c>
      <c r="BF306" s="120">
        <v>4.2</v>
      </c>
      <c r="BG306" s="51" t="s">
        <v>1</v>
      </c>
      <c r="BH306" s="51" t="s">
        <v>1</v>
      </c>
      <c r="BI306" s="12"/>
      <c r="BJ306" s="111" t="s">
        <v>1287</v>
      </c>
      <c r="BK306" s="112" t="s">
        <v>1287</v>
      </c>
      <c r="BL306" s="112" t="s">
        <v>1287</v>
      </c>
      <c r="BM306" s="112" t="s">
        <v>1287</v>
      </c>
      <c r="BN306" s="112" t="s">
        <v>1287</v>
      </c>
      <c r="BO306" s="112" t="s">
        <v>1287</v>
      </c>
      <c r="BP306" s="112" t="s">
        <v>1287</v>
      </c>
      <c r="BQ306" s="112" t="s">
        <v>1287</v>
      </c>
      <c r="BR306" s="112" t="s">
        <v>1287</v>
      </c>
      <c r="BS306" s="112" t="s">
        <v>1287</v>
      </c>
      <c r="BT306" s="112" t="s">
        <v>1287</v>
      </c>
      <c r="BU306" s="112" t="s">
        <v>1287</v>
      </c>
      <c r="BV306" s="111">
        <f>E306</f>
        <v>18</v>
      </c>
      <c r="BW306" s="113" t="str">
        <f>I306</f>
        <v>-</v>
      </c>
      <c r="BX306" s="114">
        <f>M306</f>
        <v>51</v>
      </c>
      <c r="BY306" s="113">
        <f>Q306</f>
        <v>84</v>
      </c>
      <c r="BZ306" s="114">
        <f>U306</f>
        <v>88</v>
      </c>
      <c r="CA306" s="113">
        <f>Y306</f>
        <v>124</v>
      </c>
      <c r="CB306" s="114">
        <f>AC306</f>
        <v>132</v>
      </c>
      <c r="CC306" s="113">
        <f>AG306</f>
        <v>170</v>
      </c>
      <c r="CD306" s="114">
        <f>AK306</f>
        <v>178</v>
      </c>
      <c r="CE306" s="113">
        <f>AO306</f>
        <v>266</v>
      </c>
      <c r="CF306" s="114">
        <f>AS306</f>
        <v>309</v>
      </c>
      <c r="CG306" s="113">
        <f>AW306</f>
        <v>333</v>
      </c>
      <c r="CH306" s="111">
        <f>G306</f>
        <v>43</v>
      </c>
      <c r="CI306" s="113" t="str">
        <f>K306</f>
        <v>-</v>
      </c>
      <c r="CJ306" s="114">
        <f>O306</f>
        <v>82</v>
      </c>
      <c r="CK306" s="114">
        <f>S306</f>
        <v>87</v>
      </c>
      <c r="CL306" s="114">
        <f>W306</f>
        <v>123</v>
      </c>
      <c r="CM306" s="114">
        <f>AA306</f>
        <v>131</v>
      </c>
      <c r="CN306" s="114">
        <f>AE306</f>
        <v>157</v>
      </c>
      <c r="CO306" s="114">
        <f>AI306</f>
        <v>172</v>
      </c>
      <c r="CP306" s="114">
        <f>AM306</f>
        <v>214</v>
      </c>
      <c r="CQ306" s="114">
        <f>AQ306</f>
        <v>298</v>
      </c>
      <c r="CR306" s="114">
        <f>AU306</f>
        <v>332</v>
      </c>
      <c r="CS306" s="114">
        <f>AY306</f>
        <v>344</v>
      </c>
      <c r="CT306" s="109" t="e">
        <f>M306-K306</f>
        <v>#VALUE!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30" x14ac:dyDescent="0.2">
      <c r="A307" s="3" t="str">
        <f>CONCATENATE(B307,"_",C307)</f>
        <v>ptafr_human__wt</v>
      </c>
      <c r="B307" s="3" t="s">
        <v>371</v>
      </c>
      <c r="C307" s="3" t="s">
        <v>100</v>
      </c>
      <c r="D307" s="3" t="str">
        <f>IFERROR(MID(VLOOKUP($B307,Seqs!$A:$B,2,0),E307,1),"")</f>
        <v>D</v>
      </c>
      <c r="E307" s="3">
        <v>10</v>
      </c>
      <c r="F307" s="3" t="str">
        <f>IFERROR(MID(VLOOKUP($B307,Seqs!$A:$B,2,0),G307,1),"")</f>
        <v>Y</v>
      </c>
      <c r="G307" s="3">
        <v>44</v>
      </c>
      <c r="H307" s="3" t="str">
        <f>IFERROR(MID(VLOOKUP($B307,Seqs!$A:$B,2,0),I307,1),"")</f>
        <v/>
      </c>
      <c r="I307" s="23" t="s">
        <v>23</v>
      </c>
      <c r="J307" s="3" t="str">
        <f>IFERROR(MID(VLOOKUP($B307,Seqs!$A:$B,2,0),K307,1),"")</f>
        <v/>
      </c>
      <c r="K307" s="23" t="s">
        <v>23</v>
      </c>
      <c r="L307" s="3" t="str">
        <f>IFERROR(MID(VLOOKUP($B307,Seqs!$A:$B,2,0),M307,1),"")</f>
        <v>F</v>
      </c>
      <c r="M307" s="3">
        <v>49</v>
      </c>
      <c r="N307" s="3" t="str">
        <f>IFERROR(MID(VLOOKUP($B307,Seqs!$A:$B,2,0),O307,1),"")</f>
        <v>Q</v>
      </c>
      <c r="O307" s="3">
        <v>80</v>
      </c>
      <c r="P307" s="3" t="str">
        <f>IFERROR(MID(VLOOKUP($B307,Seqs!$A:$B,2,0),Q307,1),"")</f>
        <v>N</v>
      </c>
      <c r="Q307" s="3">
        <v>82</v>
      </c>
      <c r="R307" s="3" t="str">
        <f>IFERROR(MID(VLOOKUP($B307,Seqs!$A:$B,2,0),S307,1),"")</f>
        <v>L</v>
      </c>
      <c r="S307" s="3">
        <v>85</v>
      </c>
      <c r="T307" s="3" t="str">
        <f>IFERROR(MID(VLOOKUP($B307,Seqs!$A:$B,2,0),U307,1),"")</f>
        <v>P</v>
      </c>
      <c r="U307" s="3">
        <v>86</v>
      </c>
      <c r="V307" s="3" t="str">
        <f>IFERROR(MID(VLOOKUP($B307,Seqs!$A:$B,2,0),W307,1),"")</f>
        <v>R</v>
      </c>
      <c r="W307" s="3">
        <v>121</v>
      </c>
      <c r="X307" s="3" t="str">
        <f>IFERROR(MID(VLOOKUP($B307,Seqs!$A:$B,2,0),Y307,1),"")</f>
        <v>P</v>
      </c>
      <c r="Y307" s="3">
        <v>122</v>
      </c>
      <c r="Z307" s="3" t="str">
        <f>IFERROR(MID(VLOOKUP($B307,Seqs!$A:$B,2,0),AA307,1),"")</f>
        <v>N</v>
      </c>
      <c r="AA307" s="3">
        <v>129</v>
      </c>
      <c r="AB307" s="3" t="str">
        <f>IFERROR(MID(VLOOKUP($B307,Seqs!$A:$B,2,0),AC307,1),"")</f>
        <v>T</v>
      </c>
      <c r="AC307" s="3">
        <v>130</v>
      </c>
      <c r="AD307" s="3" t="str">
        <f>IFERROR(MID(VLOOKUP($B307,Seqs!$A:$B,2,0),AE307,1),"")</f>
        <v>L</v>
      </c>
      <c r="AE307" s="3">
        <v>155</v>
      </c>
      <c r="AF307" s="3" t="str">
        <f>IFERROR(MID(VLOOKUP($B307,Seqs!$A:$B,2,0),AG307,1),"")</f>
        <v>C</v>
      </c>
      <c r="AG307" s="3">
        <v>173</v>
      </c>
      <c r="AH307" s="3" t="str">
        <f>IFERROR(MID(VLOOKUP($B307,Seqs!$A:$B,2,0),AI307,1),"")</f>
        <v>E</v>
      </c>
      <c r="AI307" s="3">
        <v>175</v>
      </c>
      <c r="AJ307" s="3" t="str">
        <f>IFERROR(MID(VLOOKUP($B307,Seqs!$A:$B,2,0),AK307,1),"")</f>
        <v>S</v>
      </c>
      <c r="AK307" s="3">
        <v>181</v>
      </c>
      <c r="AL307" s="3" t="str">
        <f>IFERROR(MID(VLOOKUP($B307,Seqs!$A:$B,2,0),AM307,1),"")</f>
        <v>Q</v>
      </c>
      <c r="AM307" s="3">
        <v>216</v>
      </c>
      <c r="AN307" s="3" t="str">
        <f>IFERROR(MID(VLOOKUP($B307,Seqs!$A:$B,2,0),AO307,1),"")</f>
        <v>Q</v>
      </c>
      <c r="AO307" s="3">
        <v>221</v>
      </c>
      <c r="AP307" s="3" t="str">
        <f>IFERROR(MID(VLOOKUP($B307,Seqs!$A:$B,2,0),AQ307,1),"")</f>
        <v>G</v>
      </c>
      <c r="AQ307" s="3">
        <v>261</v>
      </c>
      <c r="AR307" s="3" t="str">
        <f>IFERROR(MID(VLOOKUP($B307,Seqs!$A:$B,2,0),AS307,1),"")</f>
        <v>D</v>
      </c>
      <c r="AS307" s="3">
        <v>264</v>
      </c>
      <c r="AT307" s="3" t="str">
        <f>IFERROR(MID(VLOOKUP($B307,Seqs!$A:$B,2,0),AU307,1),"")</f>
        <v>K</v>
      </c>
      <c r="AU307" s="3">
        <v>299</v>
      </c>
      <c r="AV307" s="3" t="str">
        <f>IFERROR(MID(VLOOKUP($B307,Seqs!$A:$B,2,0),AW307,1),"")</f>
        <v>F</v>
      </c>
      <c r="AW307" s="3">
        <v>300</v>
      </c>
      <c r="AX307" s="3" t="str">
        <f>IFERROR(MID(VLOOKUP($B307,Seqs!$A:$B,2,0),AY307,1),"")</f>
        <v>S</v>
      </c>
      <c r="AY307" s="3">
        <v>313</v>
      </c>
      <c r="AZ307" s="77" t="str">
        <f>VLOOKUP(B307,Classification!A:D,2,0)</f>
        <v>A</v>
      </c>
      <c r="BA307" s="94" t="str">
        <f>VLOOKUP(B307,Classification!A:D,4,0)</f>
        <v>Platelet-activatingfactor</v>
      </c>
      <c r="BB307" s="27" t="b">
        <f>AND(E307&lt;G307,OR(G307&lt;I307,I307="-"),OR(I307&lt;K307,I307="-"),OR(K307&lt;M307,K307="-"),M307&lt;O307,OR(O307&lt;Q307,Q307="-"),OR(Q307&lt;S307,Q307="-"),OR(S307&lt;U307,S307="-"),U307&lt;W307,OR(W307&lt;Y307,Y307="-"),OR(Y307&lt;AA307,Y307="-"),OR(AA307&lt;AC307,AA307="-"),AC307&lt;AE307,OR(AE307&lt;AG307,AG307="-"),OR(AG307&lt;AI307,AG307="-"),OR(AI307&lt;AK307,AI307="-"),AK307&lt;AM307,AM307&lt;AO307,AO307&lt;AQ307,AQ307&lt;AS307,AS307&lt;AU307,OR(AU307&lt;AW307,AW307="-"),OR(AW307&lt;AY307,AW307="-"))</f>
        <v>1</v>
      </c>
      <c r="BC307" s="23">
        <f>_xlfn.AGGREGATE(9,6,CH307:CS307)-_xlfn.AGGREGATE(9,6,BV307:CG307)+12</f>
        <v>272</v>
      </c>
      <c r="BD307" s="2" t="s">
        <v>23</v>
      </c>
      <c r="BE307" s="3" t="s">
        <v>23</v>
      </c>
      <c r="BF307" s="119" t="s">
        <v>23</v>
      </c>
      <c r="BG307" s="49" t="s">
        <v>1377</v>
      </c>
      <c r="BH307" s="49" t="s">
        <v>1377</v>
      </c>
      <c r="BI307" s="1"/>
      <c r="BJ307" s="70" t="s">
        <v>1287</v>
      </c>
      <c r="BK307" s="57" t="s">
        <v>1287</v>
      </c>
      <c r="BL307" s="57" t="s">
        <v>1287</v>
      </c>
      <c r="BM307" s="57" t="s">
        <v>1287</v>
      </c>
      <c r="BN307" s="57" t="s">
        <v>1287</v>
      </c>
      <c r="BO307" s="57" t="s">
        <v>1287</v>
      </c>
      <c r="BP307" s="57" t="s">
        <v>1287</v>
      </c>
      <c r="BQ307" s="57" t="s">
        <v>1287</v>
      </c>
      <c r="BR307" s="57" t="s">
        <v>1287</v>
      </c>
      <c r="BS307" s="57" t="s">
        <v>1287</v>
      </c>
      <c r="BT307" s="57" t="s">
        <v>1287</v>
      </c>
      <c r="BU307" s="57" t="s">
        <v>1287</v>
      </c>
      <c r="BV307" s="70">
        <f>E307</f>
        <v>10</v>
      </c>
      <c r="BW307" s="71" t="str">
        <f>I307</f>
        <v>-</v>
      </c>
      <c r="BX307" s="72">
        <f>M307</f>
        <v>49</v>
      </c>
      <c r="BY307" s="71">
        <f>Q307</f>
        <v>82</v>
      </c>
      <c r="BZ307" s="72">
        <f>U307</f>
        <v>86</v>
      </c>
      <c r="CA307" s="71">
        <f>Y307</f>
        <v>122</v>
      </c>
      <c r="CB307" s="72">
        <f>AC307</f>
        <v>130</v>
      </c>
      <c r="CC307" s="71">
        <f>AG307</f>
        <v>173</v>
      </c>
      <c r="CD307" s="72">
        <f>AK307</f>
        <v>181</v>
      </c>
      <c r="CE307" s="71">
        <f>AO307</f>
        <v>221</v>
      </c>
      <c r="CF307" s="72">
        <f>AS307</f>
        <v>264</v>
      </c>
      <c r="CG307" s="71">
        <f>AW307</f>
        <v>300</v>
      </c>
      <c r="CH307" s="70">
        <f>G307</f>
        <v>44</v>
      </c>
      <c r="CI307" s="71" t="str">
        <f>K307</f>
        <v>-</v>
      </c>
      <c r="CJ307" s="72">
        <f>O307</f>
        <v>80</v>
      </c>
      <c r="CK307" s="72">
        <f>S307</f>
        <v>85</v>
      </c>
      <c r="CL307" s="72">
        <f>W307</f>
        <v>121</v>
      </c>
      <c r="CM307" s="72">
        <f>AA307</f>
        <v>129</v>
      </c>
      <c r="CN307" s="72">
        <f>AE307</f>
        <v>155</v>
      </c>
      <c r="CO307" s="72">
        <f>AI307</f>
        <v>175</v>
      </c>
      <c r="CP307" s="72">
        <f>AM307</f>
        <v>216</v>
      </c>
      <c r="CQ307" s="72">
        <f>AQ307</f>
        <v>261</v>
      </c>
      <c r="CR307" s="72">
        <f>AU307</f>
        <v>299</v>
      </c>
      <c r="CS307" s="72">
        <f>AY307</f>
        <v>313</v>
      </c>
      <c r="CT307" s="23" t="e">
        <f>M307-K307</f>
        <v>#VALUE!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30" x14ac:dyDescent="0.2">
      <c r="A308" s="3" t="str">
        <f>CONCATENATE(B308,"_",C308)</f>
        <v>ptafr_human_5ZKP</v>
      </c>
      <c r="B308" s="3" t="s">
        <v>371</v>
      </c>
      <c r="C308" s="3" t="s">
        <v>1505</v>
      </c>
      <c r="D308" s="3" t="str">
        <f>IFERROR(MID(VLOOKUP($B308,Seqs!$A:$B,2,0),E308,1),"")</f>
        <v>S</v>
      </c>
      <c r="E308" s="3">
        <v>11</v>
      </c>
      <c r="F308" s="3" t="str">
        <f>IFERROR(MID(VLOOKUP($B308,Seqs!$A:$B,2,0),G308,1),"")</f>
        <v>Y</v>
      </c>
      <c r="G308" s="3">
        <v>44</v>
      </c>
      <c r="H308" s="3" t="str">
        <f>IFERROR(MID(VLOOKUP($B308,Seqs!$A:$B,2,0),I308,1),"")</f>
        <v/>
      </c>
      <c r="I308" s="23" t="s">
        <v>23</v>
      </c>
      <c r="J308" s="3" t="str">
        <f>IFERROR(MID(VLOOKUP($B308,Seqs!$A:$B,2,0),K308,1),"")</f>
        <v/>
      </c>
      <c r="K308" s="23" t="s">
        <v>23</v>
      </c>
      <c r="L308" s="3" t="str">
        <f>IFERROR(MID(VLOOKUP($B308,Seqs!$A:$B,2,0),M308,1),"")</f>
        <v>F</v>
      </c>
      <c r="M308" s="3">
        <v>49</v>
      </c>
      <c r="N308" s="3" t="str">
        <f>IFERROR(MID(VLOOKUP($B308,Seqs!$A:$B,2,0),O308,1),"")</f>
        <v>Q</v>
      </c>
      <c r="O308" s="3">
        <v>80</v>
      </c>
      <c r="P308" s="3" t="str">
        <f>IFERROR(MID(VLOOKUP($B308,Seqs!$A:$B,2,0),Q308,1),"")</f>
        <v>N</v>
      </c>
      <c r="Q308" s="3">
        <v>82</v>
      </c>
      <c r="R308" s="3" t="str">
        <f>IFERROR(MID(VLOOKUP($B308,Seqs!$A:$B,2,0),S308,1),"")</f>
        <v>L</v>
      </c>
      <c r="S308" s="3">
        <v>85</v>
      </c>
      <c r="T308" s="3" t="str">
        <f>IFERROR(MID(VLOOKUP($B308,Seqs!$A:$B,2,0),U308,1),"")</f>
        <v>P</v>
      </c>
      <c r="U308" s="3">
        <v>86</v>
      </c>
      <c r="V308" s="3" t="str">
        <f>IFERROR(MID(VLOOKUP($B308,Seqs!$A:$B,2,0),W308,1),"")</f>
        <v>T</v>
      </c>
      <c r="W308" s="3">
        <v>120</v>
      </c>
      <c r="X308" s="3" t="str">
        <f>IFERROR(MID(VLOOKUP($B308,Seqs!$A:$B,2,0),Y308,1),"")</f>
        <v/>
      </c>
      <c r="Y308" s="3" t="s">
        <v>23</v>
      </c>
      <c r="Z308" s="3" t="str">
        <f>IFERROR(MID(VLOOKUP($B308,Seqs!$A:$B,2,0),AA308,1),"")</f>
        <v/>
      </c>
      <c r="AA308" s="3" t="s">
        <v>23</v>
      </c>
      <c r="AB308" s="3" t="str">
        <f>IFERROR(MID(VLOOKUP($B308,Seqs!$A:$B,2,0),AC308,1),"")</f>
        <v>I</v>
      </c>
      <c r="AC308" s="3">
        <v>141</v>
      </c>
      <c r="AD308" s="3" t="str">
        <f>IFERROR(MID(VLOOKUP($B308,Seqs!$A:$B,2,0),AE308,1),"")</f>
        <v>L</v>
      </c>
      <c r="AE308" s="3">
        <v>155</v>
      </c>
      <c r="AF308" s="3" t="str">
        <f>IFERROR(MID(VLOOKUP($B308,Seqs!$A:$B,2,0),AG308,1),"")</f>
        <v>C</v>
      </c>
      <c r="AG308" s="3">
        <v>173</v>
      </c>
      <c r="AH308" s="3" t="str">
        <f>IFERROR(MID(VLOOKUP($B308,Seqs!$A:$B,2,0),AI308,1),"")</f>
        <v>E</v>
      </c>
      <c r="AI308" s="3">
        <v>175</v>
      </c>
      <c r="AJ308" s="3" t="str">
        <f>IFERROR(MID(VLOOKUP($B308,Seqs!$A:$B,2,0),AK308,1),"")</f>
        <v>P</v>
      </c>
      <c r="AK308" s="3">
        <v>183</v>
      </c>
      <c r="AL308" s="3" t="str">
        <f>IFERROR(MID(VLOOKUP($B308,Seqs!$A:$B,2,0),AM308,1),"")</f>
        <v>L</v>
      </c>
      <c r="AM308" s="3">
        <v>214</v>
      </c>
      <c r="AN308" s="3" t="str">
        <f>IFERROR(MID(VLOOKUP($B308,Seqs!$A:$B,2,0),AO308,1),"")</f>
        <v>A</v>
      </c>
      <c r="AO308" s="3">
        <v>224</v>
      </c>
      <c r="AP308" s="3" t="str">
        <f>IFERROR(MID(VLOOKUP($B308,Seqs!$A:$B,2,0),AQ308,1),"")</f>
        <v>G</v>
      </c>
      <c r="AQ308" s="3">
        <v>261</v>
      </c>
      <c r="AR308" s="3" t="str">
        <f>IFERROR(MID(VLOOKUP($B308,Seqs!$A:$B,2,0),AS308,1),"")</f>
        <v>D</v>
      </c>
      <c r="AS308" s="3">
        <v>264</v>
      </c>
      <c r="AT308" s="3" t="str">
        <f>IFERROR(MID(VLOOKUP($B308,Seqs!$A:$B,2,0),AU308,1),"")</f>
        <v>K</v>
      </c>
      <c r="AU308" s="3">
        <v>299</v>
      </c>
      <c r="AV308" s="3" t="str">
        <f>IFERROR(MID(VLOOKUP($B308,Seqs!$A:$B,2,0),AW308,1),"")</f>
        <v>F</v>
      </c>
      <c r="AW308" s="3">
        <v>300</v>
      </c>
      <c r="AX308" s="3" t="str">
        <f>IFERROR(MID(VLOOKUP($B308,Seqs!$A:$B,2,0),AY308,1),"")</f>
        <v>S</v>
      </c>
      <c r="AY308" s="3">
        <v>313</v>
      </c>
      <c r="AZ308" s="77" t="str">
        <f>VLOOKUP(B308,Classification!A:D,2,0)</f>
        <v>A</v>
      </c>
      <c r="BA308" s="94" t="str">
        <f>VLOOKUP(B308,Classification!A:D,4,0)</f>
        <v>Platelet-activatingfactor</v>
      </c>
      <c r="BB308" s="27" t="b">
        <f>AND(E308&lt;G308,OR(G308&lt;I308,I308="-"),OR(I308&lt;K308,I308="-"),OR(K308&lt;M308,K308="-"),M308&lt;O308,OR(O308&lt;Q308,Q308="-"),OR(Q308&lt;S308,Q308="-"),OR(S308&lt;U308,S308="-"),U308&lt;W308,OR(W308&lt;Y308,Y308="-"),OR(Y308&lt;AA308,Y308="-"),OR(AA308&lt;AC308,AA308="-"),AC308&lt;AE308,OR(AE308&lt;AG308,AG308="-"),OR(AG308&lt;AI308,AG308="-"),OR(AI308&lt;AK308,AI308="-"),AK308&lt;AM308,AM308&lt;AO308,AO308&lt;AQ308,AQ308&lt;AS308,AS308&lt;AU308,OR(AU308&lt;AW308,AW308="-"),OR(AW308&lt;AY308,AW308="-"))</f>
        <v>1</v>
      </c>
      <c r="BC308" s="23">
        <f>_xlfn.AGGREGATE(9,6,CH308:CS308)-_xlfn.AGGREGATE(9,6,BV308:CG308)+12</f>
        <v>245</v>
      </c>
      <c r="BD308" s="2" t="s">
        <v>1375</v>
      </c>
      <c r="BE308" s="3" t="s">
        <v>1291</v>
      </c>
      <c r="BF308" s="119">
        <v>2.81</v>
      </c>
      <c r="BG308" s="49" t="s">
        <v>1</v>
      </c>
      <c r="BH308" s="49" t="s">
        <v>1</v>
      </c>
      <c r="BI308" s="1"/>
      <c r="BJ308" s="70" t="s">
        <v>1287</v>
      </c>
      <c r="BK308" s="57" t="s">
        <v>1287</v>
      </c>
      <c r="BL308" s="57" t="s">
        <v>1287</v>
      </c>
      <c r="BM308" s="57" t="s">
        <v>1287</v>
      </c>
      <c r="BN308" s="57" t="s">
        <v>1287</v>
      </c>
      <c r="BO308" s="57" t="s">
        <v>1287</v>
      </c>
      <c r="BP308" s="57" t="s">
        <v>1287</v>
      </c>
      <c r="BQ308" s="57" t="s">
        <v>1287</v>
      </c>
      <c r="BR308" s="57" t="s">
        <v>1287</v>
      </c>
      <c r="BS308" s="57" t="s">
        <v>1287</v>
      </c>
      <c r="BT308" s="57" t="s">
        <v>1287</v>
      </c>
      <c r="BU308" s="57" t="s">
        <v>1287</v>
      </c>
      <c r="BV308" s="70">
        <f>E308</f>
        <v>11</v>
      </c>
      <c r="BW308" s="71" t="str">
        <f>I308</f>
        <v>-</v>
      </c>
      <c r="BX308" s="72">
        <f>M308</f>
        <v>49</v>
      </c>
      <c r="BY308" s="71">
        <f>Q308</f>
        <v>82</v>
      </c>
      <c r="BZ308" s="72">
        <f>U308</f>
        <v>86</v>
      </c>
      <c r="CA308" s="71" t="str">
        <f>Y308</f>
        <v>-</v>
      </c>
      <c r="CB308" s="72">
        <f>AC308</f>
        <v>141</v>
      </c>
      <c r="CC308" s="71">
        <f>AG308</f>
        <v>173</v>
      </c>
      <c r="CD308" s="72">
        <f>AK308</f>
        <v>183</v>
      </c>
      <c r="CE308" s="71">
        <f>AO308</f>
        <v>224</v>
      </c>
      <c r="CF308" s="72">
        <f>AS308</f>
        <v>264</v>
      </c>
      <c r="CG308" s="71">
        <f>AW308</f>
        <v>300</v>
      </c>
      <c r="CH308" s="70">
        <f>G308</f>
        <v>44</v>
      </c>
      <c r="CI308" s="71" t="str">
        <f>K308</f>
        <v>-</v>
      </c>
      <c r="CJ308" s="72">
        <f>O308</f>
        <v>80</v>
      </c>
      <c r="CK308" s="72">
        <f>S308</f>
        <v>85</v>
      </c>
      <c r="CL308" s="72">
        <f>W308</f>
        <v>120</v>
      </c>
      <c r="CM308" s="72" t="str">
        <f>AA308</f>
        <v>-</v>
      </c>
      <c r="CN308" s="72">
        <f>AE308</f>
        <v>155</v>
      </c>
      <c r="CO308" s="72">
        <f>AI308</f>
        <v>175</v>
      </c>
      <c r="CP308" s="72">
        <f>AM308</f>
        <v>214</v>
      </c>
      <c r="CQ308" s="72">
        <f>AQ308</f>
        <v>261</v>
      </c>
      <c r="CR308" s="72">
        <f>AU308</f>
        <v>299</v>
      </c>
      <c r="CS308" s="72">
        <f>AY308</f>
        <v>313</v>
      </c>
      <c r="CT308" s="23" t="e">
        <f>M308-K308</f>
        <v>#VALUE!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30" x14ac:dyDescent="0.2">
      <c r="A309" s="3" t="str">
        <f>CONCATENATE(B309,"_",C309)</f>
        <v>ptafr_human_5ZKQ</v>
      </c>
      <c r="B309" s="3" t="s">
        <v>371</v>
      </c>
      <c r="C309" s="3" t="s">
        <v>1506</v>
      </c>
      <c r="D309" s="3" t="str">
        <f>IFERROR(MID(VLOOKUP($B309,Seqs!$A:$B,2,0),E309,1),"")</f>
        <v>D</v>
      </c>
      <c r="E309" s="3">
        <v>10</v>
      </c>
      <c r="F309" s="3" t="str">
        <f>IFERROR(MID(VLOOKUP($B309,Seqs!$A:$B,2,0),G309,1),"")</f>
        <v>L</v>
      </c>
      <c r="G309" s="3">
        <v>43</v>
      </c>
      <c r="H309" s="3" t="str">
        <f>IFERROR(MID(VLOOKUP($B309,Seqs!$A:$B,2,0),I309,1),"")</f>
        <v/>
      </c>
      <c r="I309" s="23" t="s">
        <v>23</v>
      </c>
      <c r="J309" s="3" t="str">
        <f>IFERROR(MID(VLOOKUP($B309,Seqs!$A:$B,2,0),K309,1),"")</f>
        <v/>
      </c>
      <c r="K309" s="23" t="s">
        <v>23</v>
      </c>
      <c r="L309" s="3" t="str">
        <f>IFERROR(MID(VLOOKUP($B309,Seqs!$A:$B,2,0),M309,1),"")</f>
        <v>F</v>
      </c>
      <c r="M309" s="3">
        <v>49</v>
      </c>
      <c r="N309" s="3" t="str">
        <f>IFERROR(MID(VLOOKUP($B309,Seqs!$A:$B,2,0),O309,1),"")</f>
        <v>Q</v>
      </c>
      <c r="O309" s="3">
        <v>80</v>
      </c>
      <c r="P309" s="3" t="str">
        <f>IFERROR(MID(VLOOKUP($B309,Seqs!$A:$B,2,0),Q309,1),"")</f>
        <v>N</v>
      </c>
      <c r="Q309" s="3">
        <v>82</v>
      </c>
      <c r="R309" s="3" t="str">
        <f>IFERROR(MID(VLOOKUP($B309,Seqs!$A:$B,2,0),S309,1),"")</f>
        <v>L</v>
      </c>
      <c r="S309" s="3">
        <v>85</v>
      </c>
      <c r="T309" s="3" t="str">
        <f>IFERROR(MID(VLOOKUP($B309,Seqs!$A:$B,2,0),U309,1),"")</f>
        <v>P</v>
      </c>
      <c r="U309" s="3">
        <v>86</v>
      </c>
      <c r="V309" s="3" t="str">
        <f>IFERROR(MID(VLOOKUP($B309,Seqs!$A:$B,2,0),W309,1),"")</f>
        <v>R</v>
      </c>
      <c r="W309" s="3">
        <v>121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T</v>
      </c>
      <c r="AC309" s="3">
        <v>130</v>
      </c>
      <c r="AD309" s="3" t="str">
        <f>IFERROR(MID(VLOOKUP($B309,Seqs!$A:$B,2,0),AE309,1),"")</f>
        <v>I</v>
      </c>
      <c r="AE309" s="3">
        <v>154</v>
      </c>
      <c r="AF309" s="3" t="str">
        <f>IFERROR(MID(VLOOKUP($B309,Seqs!$A:$B,2,0),AG309,1),"")</f>
        <v>C</v>
      </c>
      <c r="AG309" s="3">
        <v>173</v>
      </c>
      <c r="AH309" s="3" t="str">
        <f>IFERROR(MID(VLOOKUP($B309,Seqs!$A:$B,2,0),AI309,1),"")</f>
        <v>E</v>
      </c>
      <c r="AI309" s="3">
        <v>175</v>
      </c>
      <c r="AJ309" s="3" t="str">
        <f>IFERROR(MID(VLOOKUP($B309,Seqs!$A:$B,2,0),AK309,1),"")</f>
        <v>S</v>
      </c>
      <c r="AK309" s="3">
        <v>181</v>
      </c>
      <c r="AL309" s="3" t="str">
        <f>IFERROR(MID(VLOOKUP($B309,Seqs!$A:$B,2,0),AM309,1),"")</f>
        <v>M</v>
      </c>
      <c r="AM309" s="3">
        <v>215</v>
      </c>
      <c r="AN309" s="3" t="str">
        <f>IFERROR(MID(VLOOKUP($B309,Seqs!$A:$B,2,0),AO309,1),"")</f>
        <v>K</v>
      </c>
      <c r="AO309" s="3">
        <v>227</v>
      </c>
      <c r="AP309" s="3" t="str">
        <f>IFERROR(MID(VLOOKUP($B309,Seqs!$A:$B,2,0),AQ309,1),"")</f>
        <v>G</v>
      </c>
      <c r="AQ309" s="3">
        <v>261</v>
      </c>
      <c r="AR309" s="3" t="str">
        <f>IFERROR(MID(VLOOKUP($B309,Seqs!$A:$B,2,0),AS309,1),"")</f>
        <v>D</v>
      </c>
      <c r="AS309" s="3">
        <v>264</v>
      </c>
      <c r="AT309" s="3" t="str">
        <f>IFERROR(MID(VLOOKUP($B309,Seqs!$A:$B,2,0),AU309,1),"")</f>
        <v>T</v>
      </c>
      <c r="AU309" s="3">
        <v>297</v>
      </c>
      <c r="AV309" s="3" t="str">
        <f>IFERROR(MID(VLOOKUP($B309,Seqs!$A:$B,2,0),AW309,1),"")</f>
        <v/>
      </c>
      <c r="AW309" s="3" t="s">
        <v>23</v>
      </c>
      <c r="AX309" s="3" t="str">
        <f>IFERROR(MID(VLOOKUP($B309,Seqs!$A:$B,2,0),AY309,1),"")</f>
        <v/>
      </c>
      <c r="AY309" s="3" t="s">
        <v>23</v>
      </c>
      <c r="AZ309" s="77" t="str">
        <f>VLOOKUP(B309,Classification!A:D,2,0)</f>
        <v>A</v>
      </c>
      <c r="BA309" s="94" t="str">
        <f>VLOOKUP(B309,Classification!A:D,4,0)</f>
        <v>Platelet-activatingfactor</v>
      </c>
      <c r="BB309" s="27" t="b">
        <f>AND(E309&lt;G309,OR(G309&lt;I309,I309="-"),OR(I309&lt;K309,I309="-"),OR(K309&lt;M309,K309="-"),M309&lt;O309,OR(O309&lt;Q309,Q309="-"),OR(Q309&lt;S309,Q309="-"),OR(S309&lt;U309,S309="-"),U309&lt;W309,OR(W309&lt;Y309,Y309="-"),OR(Y309&lt;AA309,Y309="-"),OR(AA309&lt;AC309,AA309="-"),AC309&lt;AE309,OR(AE309&lt;AG309,AG309="-"),OR(AG309&lt;AI309,AG309="-"),OR(AI309&lt;AK309,AI309="-"),AK309&lt;AM309,AM309&lt;AO309,AO309&lt;AQ309,AQ309&lt;AS309,AS309&lt;AU309,OR(AU309&lt;AW309,AW309="-"),OR(AW309&lt;AY309,AW309="-"))</f>
        <v>1</v>
      </c>
      <c r="BC309" s="23">
        <f>_xlfn.AGGREGATE(9,6,CH309:CS309)-_xlfn.AGGREGATE(9,6,BV309:CG309)+12</f>
        <v>241</v>
      </c>
      <c r="BD309" s="2" t="s">
        <v>1429</v>
      </c>
      <c r="BE309" s="3" t="s">
        <v>1428</v>
      </c>
      <c r="BF309" s="119">
        <v>2.9</v>
      </c>
      <c r="BG309" s="49" t="s">
        <v>1281</v>
      </c>
      <c r="BH309" s="49" t="s">
        <v>1281</v>
      </c>
      <c r="BI309" s="1"/>
      <c r="BJ309" s="70" t="s">
        <v>1287</v>
      </c>
      <c r="BK309" s="57" t="s">
        <v>1287</v>
      </c>
      <c r="BL309" s="57" t="s">
        <v>1287</v>
      </c>
      <c r="BM309" s="57" t="s">
        <v>1287</v>
      </c>
      <c r="BN309" s="57" t="s">
        <v>1287</v>
      </c>
      <c r="BO309" s="57" t="s">
        <v>1287</v>
      </c>
      <c r="BP309" s="57" t="s">
        <v>1287</v>
      </c>
      <c r="BQ309" s="57" t="s">
        <v>1287</v>
      </c>
      <c r="BR309" s="57" t="s">
        <v>1287</v>
      </c>
      <c r="BS309" s="57" t="s">
        <v>1287</v>
      </c>
      <c r="BT309" s="57" t="s">
        <v>1287</v>
      </c>
      <c r="BU309" s="57" t="s">
        <v>1287</v>
      </c>
      <c r="BV309" s="70">
        <f>E309</f>
        <v>10</v>
      </c>
      <c r="BW309" s="71" t="str">
        <f>I309</f>
        <v>-</v>
      </c>
      <c r="BX309" s="72">
        <f>M309</f>
        <v>49</v>
      </c>
      <c r="BY309" s="71">
        <f>Q309</f>
        <v>82</v>
      </c>
      <c r="BZ309" s="72">
        <f>U309</f>
        <v>86</v>
      </c>
      <c r="CA309" s="71" t="str">
        <f>Y309</f>
        <v>-</v>
      </c>
      <c r="CB309" s="72">
        <f>AC309</f>
        <v>130</v>
      </c>
      <c r="CC309" s="71">
        <f>AG309</f>
        <v>173</v>
      </c>
      <c r="CD309" s="72">
        <f>AK309</f>
        <v>181</v>
      </c>
      <c r="CE309" s="71">
        <f>AO309</f>
        <v>227</v>
      </c>
      <c r="CF309" s="72">
        <f>AS309</f>
        <v>264</v>
      </c>
      <c r="CG309" s="71" t="str">
        <f>AW309</f>
        <v>-</v>
      </c>
      <c r="CH309" s="70">
        <f>G309</f>
        <v>43</v>
      </c>
      <c r="CI309" s="71" t="str">
        <f>K309</f>
        <v>-</v>
      </c>
      <c r="CJ309" s="72">
        <f>O309</f>
        <v>80</v>
      </c>
      <c r="CK309" s="72">
        <f>S309</f>
        <v>85</v>
      </c>
      <c r="CL309" s="72">
        <f>W309</f>
        <v>121</v>
      </c>
      <c r="CM309" s="72" t="str">
        <f>AA309</f>
        <v>-</v>
      </c>
      <c r="CN309" s="72">
        <f>AE309</f>
        <v>154</v>
      </c>
      <c r="CO309" s="72">
        <f>AI309</f>
        <v>175</v>
      </c>
      <c r="CP309" s="72">
        <f>AM309</f>
        <v>215</v>
      </c>
      <c r="CQ309" s="72">
        <f>AQ309</f>
        <v>261</v>
      </c>
      <c r="CR309" s="72">
        <f>AU309</f>
        <v>297</v>
      </c>
      <c r="CS309" s="72" t="str">
        <f>AY309</f>
        <v>-</v>
      </c>
      <c r="CT309" s="23" t="e">
        <f>M309-K309</f>
        <v>#VALUE!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30" x14ac:dyDescent="0.2">
      <c r="A310" s="3" t="str">
        <f t="shared" si="1733"/>
        <v>q08bg4_danre__wt</v>
      </c>
      <c r="B310" s="3" t="s">
        <v>1440</v>
      </c>
      <c r="C310" s="3" t="s">
        <v>100</v>
      </c>
      <c r="D310" s="3" t="str">
        <f>IFERROR(MID(VLOOKUP($B310,Seqs!$A:$B,2,0),E310,1),"")</f>
        <v>K</v>
      </c>
      <c r="E310" s="3">
        <v>26</v>
      </c>
      <c r="F310" s="3" t="str">
        <f>IFERROR(MID(VLOOKUP($B310,Seqs!$A:$B,2,0),G310,1),"")</f>
        <v>S</v>
      </c>
      <c r="G310" s="3">
        <v>55</v>
      </c>
      <c r="H310" s="3" t="str">
        <f>IFERROR(MID(VLOOKUP($B310,Seqs!$A:$B,2,0),I310,1),"")</f>
        <v>L</v>
      </c>
      <c r="I310" s="23">
        <v>56</v>
      </c>
      <c r="J310" s="3" t="str">
        <f>IFERROR(MID(VLOOKUP($B310,Seqs!$A:$B,2,0),K310,1),"")</f>
        <v>R</v>
      </c>
      <c r="K310" s="23">
        <v>59</v>
      </c>
      <c r="L310" s="3" t="str">
        <f>IFERROR(MID(VLOOKUP($B310,Seqs!$A:$B,2,0),M310,1),"")</f>
        <v>N</v>
      </c>
      <c r="M310" s="3">
        <v>60</v>
      </c>
      <c r="N310" s="3" t="str">
        <f>IFERROR(MID(VLOOKUP($B310,Seqs!$A:$B,2,0),O310,1),"")</f>
        <v>Q</v>
      </c>
      <c r="O310" s="3">
        <v>89</v>
      </c>
      <c r="P310" s="3" t="str">
        <f>IFERROR(MID(VLOOKUP($B310,Seqs!$A:$B,2,0),Q310,1),"")</f>
        <v>N</v>
      </c>
      <c r="Q310" s="3">
        <v>91</v>
      </c>
      <c r="R310" s="3" t="str">
        <f>IFERROR(MID(VLOOKUP($B310,Seqs!$A:$B,2,0),S310,1),"")</f>
        <v>F</v>
      </c>
      <c r="S310" s="3">
        <v>94</v>
      </c>
      <c r="T310" s="3" t="str">
        <f>IFERROR(MID(VLOOKUP($B310,Seqs!$A:$B,2,0),U310,1),"")</f>
        <v>G</v>
      </c>
      <c r="U310" s="3">
        <v>95</v>
      </c>
      <c r="V310" s="3" t="str">
        <f>IFERROR(MID(VLOOKUP($B310,Seqs!$A:$B,2,0),W310,1),"")</f>
        <v>Y</v>
      </c>
      <c r="W310" s="3">
        <v>130</v>
      </c>
      <c r="X310" s="3" t="str">
        <f>IFERROR(MID(VLOOKUP($B310,Seqs!$A:$B,2,0),Y310,1),"")</f>
        <v>P</v>
      </c>
      <c r="Y310" s="3">
        <v>131</v>
      </c>
      <c r="Z310" s="3" t="str">
        <f>IFERROR(MID(VLOOKUP($B310,Seqs!$A:$B,2,0),AA310,1),"")</f>
        <v>R</v>
      </c>
      <c r="AA310" s="3">
        <v>138</v>
      </c>
      <c r="AB310" s="3" t="str">
        <f>IFERROR(MID(VLOOKUP($B310,Seqs!$A:$B,2,0),AC310,1),"")</f>
        <v>T</v>
      </c>
      <c r="AC310" s="3">
        <v>139</v>
      </c>
      <c r="AD310" s="3" t="str">
        <f>IFERROR(MID(VLOOKUP($B310,Seqs!$A:$B,2,0),AE310,1),"")</f>
        <v>N</v>
      </c>
      <c r="AE310" s="3">
        <v>166</v>
      </c>
      <c r="AF310" s="3" t="str">
        <f>IFERROR(MID(VLOOKUP($B310,Seqs!$A:$B,2,0),AG310,1),"")</f>
        <v>C</v>
      </c>
      <c r="AG310" s="3">
        <v>178</v>
      </c>
      <c r="AH310" s="3" t="str">
        <f>IFERROR(MID(VLOOKUP($B310,Seqs!$A:$B,2,0),AI310,1),"")</f>
        <v>E</v>
      </c>
      <c r="AI310" s="3">
        <v>180</v>
      </c>
      <c r="AJ310" s="3" t="str">
        <f>IFERROR(MID(VLOOKUP($B310,Seqs!$A:$B,2,0),AK310,1),"")</f>
        <v>W</v>
      </c>
      <c r="AK310" s="3">
        <v>187</v>
      </c>
      <c r="AL310" s="3" t="str">
        <f>IFERROR(MID(VLOOKUP($B310,Seqs!$A:$B,2,0),AM310,1),"")</f>
        <v>P</v>
      </c>
      <c r="AM310" s="3">
        <v>224</v>
      </c>
      <c r="AN310" s="3" t="str">
        <f>IFERROR(MID(VLOOKUP($B310,Seqs!$A:$B,2,0),AO310,1),"")</f>
        <v>R</v>
      </c>
      <c r="AO310" s="3">
        <v>229</v>
      </c>
      <c r="AP310" s="3" t="str">
        <f>IFERROR(MID(VLOOKUP($B310,Seqs!$A:$B,2,0),AQ310,1),"")</f>
        <v>N</v>
      </c>
      <c r="AQ310" s="3">
        <v>269</v>
      </c>
      <c r="AR310" s="3" t="str">
        <f>IFERROR(MID(VLOOKUP($B310,Seqs!$A:$B,2,0),AS310,1),"")</f>
        <v>G</v>
      </c>
      <c r="AS310" s="3">
        <v>273</v>
      </c>
      <c r="AT310" s="3" t="str">
        <f>IFERROR(MID(VLOOKUP($B310,Seqs!$A:$B,2,0),AU310,1),"")</f>
        <v>T</v>
      </c>
      <c r="AU310" s="3">
        <v>305</v>
      </c>
      <c r="AV310" s="3" t="str">
        <f>IFERROR(MID(VLOOKUP($B310,Seqs!$A:$B,2,0),AW310,1),"")</f>
        <v>S</v>
      </c>
      <c r="AW310" s="3">
        <v>306</v>
      </c>
      <c r="AX310" s="3" t="str">
        <f>IFERROR(MID(VLOOKUP($B310,Seqs!$A:$B,2,0),AY310,1),"")</f>
        <v>G</v>
      </c>
      <c r="AY310" s="3">
        <v>320</v>
      </c>
      <c r="AZ310" s="77" t="str">
        <f>VLOOKUP(B310,Classification!A:D,2,0)</f>
        <v>A</v>
      </c>
      <c r="BA310" s="94" t="str">
        <f>VLOOKUP(B310,Classification!A:D,4,0)</f>
        <v>Lysophospholipid(LPA)</v>
      </c>
      <c r="BB310" s="27" t="b">
        <f t="shared" si="1734"/>
        <v>1</v>
      </c>
      <c r="BC310" s="23">
        <f t="shared" si="1735"/>
        <v>270</v>
      </c>
      <c r="BD310" s="2" t="s">
        <v>23</v>
      </c>
      <c r="BE310" s="3" t="s">
        <v>23</v>
      </c>
      <c r="BF310" s="119" t="s">
        <v>23</v>
      </c>
      <c r="BG310" s="49" t="s">
        <v>1</v>
      </c>
      <c r="BH310" s="49" t="s">
        <v>1377</v>
      </c>
      <c r="BI310" s="1"/>
      <c r="BJ310" s="70" t="s">
        <v>1287</v>
      </c>
      <c r="BK310" s="57" t="s">
        <v>1287</v>
      </c>
      <c r="BL310" s="57" t="s">
        <v>1287</v>
      </c>
      <c r="BM310" s="57" t="s">
        <v>1287</v>
      </c>
      <c r="BN310" s="57" t="s">
        <v>1287</v>
      </c>
      <c r="BO310" s="57" t="s">
        <v>1287</v>
      </c>
      <c r="BP310" s="57" t="s">
        <v>1287</v>
      </c>
      <c r="BQ310" s="57" t="s">
        <v>1287</v>
      </c>
      <c r="BR310" s="57" t="s">
        <v>1287</v>
      </c>
      <c r="BS310" s="57" t="s">
        <v>1287</v>
      </c>
      <c r="BT310" s="57" t="s">
        <v>1287</v>
      </c>
      <c r="BU310" s="57" t="s">
        <v>1287</v>
      </c>
      <c r="BV310" s="70">
        <f t="shared" si="1736"/>
        <v>26</v>
      </c>
      <c r="BW310" s="71">
        <f t="shared" si="1737"/>
        <v>56</v>
      </c>
      <c r="BX310" s="72">
        <f t="shared" si="1738"/>
        <v>60</v>
      </c>
      <c r="BY310" s="71">
        <f t="shared" si="1739"/>
        <v>91</v>
      </c>
      <c r="BZ310" s="72">
        <f t="shared" si="1740"/>
        <v>95</v>
      </c>
      <c r="CA310" s="71">
        <f t="shared" si="1741"/>
        <v>131</v>
      </c>
      <c r="CB310" s="72">
        <f t="shared" si="1742"/>
        <v>139</v>
      </c>
      <c r="CC310" s="71">
        <f t="shared" si="1743"/>
        <v>178</v>
      </c>
      <c r="CD310" s="72">
        <f t="shared" si="1744"/>
        <v>187</v>
      </c>
      <c r="CE310" s="71">
        <f t="shared" si="1745"/>
        <v>229</v>
      </c>
      <c r="CF310" s="72">
        <f t="shared" si="1746"/>
        <v>273</v>
      </c>
      <c r="CG310" s="71">
        <f t="shared" si="1747"/>
        <v>306</v>
      </c>
      <c r="CH310" s="70">
        <f t="shared" si="1748"/>
        <v>55</v>
      </c>
      <c r="CI310" s="71">
        <f t="shared" si="1749"/>
        <v>59</v>
      </c>
      <c r="CJ310" s="72">
        <f t="shared" si="1750"/>
        <v>89</v>
      </c>
      <c r="CK310" s="72">
        <f t="shared" si="1751"/>
        <v>94</v>
      </c>
      <c r="CL310" s="72">
        <f t="shared" si="1752"/>
        <v>130</v>
      </c>
      <c r="CM310" s="72">
        <f t="shared" si="1753"/>
        <v>138</v>
      </c>
      <c r="CN310" s="72">
        <f t="shared" si="1754"/>
        <v>166</v>
      </c>
      <c r="CO310" s="72">
        <f t="shared" si="1755"/>
        <v>180</v>
      </c>
      <c r="CP310" s="72">
        <f t="shared" si="1756"/>
        <v>224</v>
      </c>
      <c r="CQ310" s="72">
        <f t="shared" si="1757"/>
        <v>269</v>
      </c>
      <c r="CR310" s="72">
        <f t="shared" si="1758"/>
        <v>305</v>
      </c>
      <c r="CS310" s="72">
        <f t="shared" si="1759"/>
        <v>320</v>
      </c>
      <c r="CT310" s="23">
        <f t="shared" si="1760"/>
        <v>1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30" x14ac:dyDescent="0.2">
      <c r="A311" s="3" t="str">
        <f t="shared" si="1733"/>
        <v>q08bg4_danre_5XSZ</v>
      </c>
      <c r="B311" s="3" t="s">
        <v>1440</v>
      </c>
      <c r="C311" s="3" t="s">
        <v>1442</v>
      </c>
      <c r="D311" s="3" t="str">
        <f>IFERROR(MID(VLOOKUP($B311,Seqs!$A:$B,2,0),E311,1),"")</f>
        <v>K</v>
      </c>
      <c r="E311" s="3">
        <v>26</v>
      </c>
      <c r="F311" s="3" t="str">
        <f>IFERROR(MID(VLOOKUP($B311,Seqs!$A:$B,2,0),G311,1),"")</f>
        <v>S</v>
      </c>
      <c r="G311" s="3">
        <v>55</v>
      </c>
      <c r="H311" s="3" t="str">
        <f>IFERROR(MID(VLOOKUP($B311,Seqs!$A:$B,2,0),I311,1),"")</f>
        <v/>
      </c>
      <c r="I311" s="23" t="s">
        <v>23</v>
      </c>
      <c r="J311" s="3" t="str">
        <f>IFERROR(MID(VLOOKUP($B311,Seqs!$A:$B,2,0),K311,1),"")</f>
        <v/>
      </c>
      <c r="K311" s="23" t="s">
        <v>23</v>
      </c>
      <c r="L311" s="3" t="str">
        <f>IFERROR(MID(VLOOKUP($B311,Seqs!$A:$B,2,0),M311,1),"")</f>
        <v>N</v>
      </c>
      <c r="M311" s="3">
        <v>60</v>
      </c>
      <c r="N311" s="3" t="str">
        <f>IFERROR(MID(VLOOKUP($B311,Seqs!$A:$B,2,0),O311,1),"")</f>
        <v>Q</v>
      </c>
      <c r="O311" s="3">
        <v>89</v>
      </c>
      <c r="P311" s="3" t="str">
        <f>IFERROR(MID(VLOOKUP($B311,Seqs!$A:$B,2,0),Q311,1),"")</f>
        <v>N</v>
      </c>
      <c r="Q311" s="3">
        <v>91</v>
      </c>
      <c r="R311" s="3" t="str">
        <f>IFERROR(MID(VLOOKUP($B311,Seqs!$A:$B,2,0),S311,1),"")</f>
        <v>F</v>
      </c>
      <c r="S311" s="3">
        <v>94</v>
      </c>
      <c r="T311" s="3" t="str">
        <f>IFERROR(MID(VLOOKUP($B311,Seqs!$A:$B,2,0),U311,1),"")</f>
        <v>G</v>
      </c>
      <c r="U311" s="3">
        <v>95</v>
      </c>
      <c r="V311" s="3" t="str">
        <f>IFERROR(MID(VLOOKUP($B311,Seqs!$A:$B,2,0),W311,1),"")</f>
        <v>Y</v>
      </c>
      <c r="W311" s="3">
        <v>130</v>
      </c>
      <c r="X311" s="3" t="str">
        <f>IFERROR(MID(VLOOKUP($B311,Seqs!$A:$B,2,0),Y311,1),"")</f>
        <v>P</v>
      </c>
      <c r="Y311" s="3">
        <v>131</v>
      </c>
      <c r="Z311" s="3" t="str">
        <f>IFERROR(MID(VLOOKUP($B311,Seqs!$A:$B,2,0),AA311,1),"")</f>
        <v>R</v>
      </c>
      <c r="AA311" s="3">
        <v>138</v>
      </c>
      <c r="AB311" s="3" t="str">
        <f>IFERROR(MID(VLOOKUP($B311,Seqs!$A:$B,2,0),AC311,1),"")</f>
        <v>T</v>
      </c>
      <c r="AC311" s="3">
        <v>139</v>
      </c>
      <c r="AD311" s="3" t="str">
        <f>IFERROR(MID(VLOOKUP($B311,Seqs!$A:$B,2,0),AE311,1),"")</f>
        <v>N</v>
      </c>
      <c r="AE311" s="3">
        <v>166</v>
      </c>
      <c r="AF311" s="3" t="str">
        <f>IFERROR(MID(VLOOKUP($B311,Seqs!$A:$B,2,0),AG311,1),"")</f>
        <v>C</v>
      </c>
      <c r="AG311" s="3">
        <v>178</v>
      </c>
      <c r="AH311" s="3" t="str">
        <f>IFERROR(MID(VLOOKUP($B311,Seqs!$A:$B,2,0),AI311,1),"")</f>
        <v>F</v>
      </c>
      <c r="AI311" s="3">
        <v>179</v>
      </c>
      <c r="AJ311" s="3" t="str">
        <f>IFERROR(MID(VLOOKUP($B311,Seqs!$A:$B,2,0),AK311,1),"")</f>
        <v>W</v>
      </c>
      <c r="AK311" s="3">
        <v>187</v>
      </c>
      <c r="AL311" s="3" t="str">
        <f>IFERROR(MID(VLOOKUP($B311,Seqs!$A:$B,2,0),AM311,1),"")</f>
        <v>R</v>
      </c>
      <c r="AM311" s="3">
        <v>223</v>
      </c>
      <c r="AN311" s="3" t="str">
        <f>IFERROR(MID(VLOOKUP($B311,Seqs!$A:$B,2,0),AO311,1),"")</f>
        <v>N</v>
      </c>
      <c r="AO311" s="3">
        <v>234</v>
      </c>
      <c r="AP311" s="3" t="str">
        <f>IFERROR(MID(VLOOKUP($B311,Seqs!$A:$B,2,0),AQ311,1),"")</f>
        <v>N</v>
      </c>
      <c r="AQ311" s="3">
        <v>269</v>
      </c>
      <c r="AR311" s="3" t="str">
        <f>IFERROR(MID(VLOOKUP($B311,Seqs!$A:$B,2,0),AS311,1),"")</f>
        <v>G</v>
      </c>
      <c r="AS311" s="3">
        <v>273</v>
      </c>
      <c r="AT311" s="3" t="str">
        <f>IFERROR(MID(VLOOKUP($B311,Seqs!$A:$B,2,0),AU311,1),"")</f>
        <v>T</v>
      </c>
      <c r="AU311" s="3">
        <v>308</v>
      </c>
      <c r="AV311" s="3" t="str">
        <f>IFERROR(MID(VLOOKUP($B311,Seqs!$A:$B,2,0),AW311,1),"")</f>
        <v/>
      </c>
      <c r="AW311" s="3" t="s">
        <v>23</v>
      </c>
      <c r="AX311" s="3" t="str">
        <f>IFERROR(MID(VLOOKUP($B311,Seqs!$A:$B,2,0),AY311,1),"")</f>
        <v/>
      </c>
      <c r="AY311" s="3" t="s">
        <v>23</v>
      </c>
      <c r="AZ311" s="77" t="str">
        <f>VLOOKUP(B311,Classification!A:D,2,0)</f>
        <v>A</v>
      </c>
      <c r="BA311" s="94" t="str">
        <f>VLOOKUP(B311,Classification!A:D,4,0)</f>
        <v>Lysophospholipid(LPA)</v>
      </c>
      <c r="BB311" s="27" t="b">
        <f t="shared" si="1734"/>
        <v>1</v>
      </c>
      <c r="BC311" s="23">
        <f t="shared" si="1735"/>
        <v>249</v>
      </c>
      <c r="BD311" s="2" t="s">
        <v>1375</v>
      </c>
      <c r="BE311" s="3" t="s">
        <v>1291</v>
      </c>
      <c r="BF311" s="119">
        <v>3.2</v>
      </c>
      <c r="BG311" s="49" t="s">
        <v>1</v>
      </c>
      <c r="BH311" s="49" t="s">
        <v>1377</v>
      </c>
      <c r="BI311" s="1"/>
      <c r="BJ311" s="70" t="s">
        <v>1287</v>
      </c>
      <c r="BK311" s="57" t="s">
        <v>1287</v>
      </c>
      <c r="BL311" s="57" t="s">
        <v>1287</v>
      </c>
      <c r="BM311" s="57" t="s">
        <v>1287</v>
      </c>
      <c r="BN311" s="57" t="s">
        <v>1287</v>
      </c>
      <c r="BO311" s="57" t="s">
        <v>1287</v>
      </c>
      <c r="BP311" s="57" t="s">
        <v>1287</v>
      </c>
      <c r="BQ311" s="57" t="s">
        <v>1287</v>
      </c>
      <c r="BR311" s="57" t="s">
        <v>1287</v>
      </c>
      <c r="BS311" s="57" t="s">
        <v>1287</v>
      </c>
      <c r="BT311" s="57" t="s">
        <v>1287</v>
      </c>
      <c r="BU311" s="57" t="s">
        <v>1287</v>
      </c>
      <c r="BV311" s="70">
        <f t="shared" si="1736"/>
        <v>26</v>
      </c>
      <c r="BW311" s="71" t="str">
        <f t="shared" si="1737"/>
        <v>-</v>
      </c>
      <c r="BX311" s="72">
        <f t="shared" si="1738"/>
        <v>60</v>
      </c>
      <c r="BY311" s="71">
        <f t="shared" si="1739"/>
        <v>91</v>
      </c>
      <c r="BZ311" s="72">
        <f t="shared" si="1740"/>
        <v>95</v>
      </c>
      <c r="CA311" s="71">
        <f t="shared" si="1741"/>
        <v>131</v>
      </c>
      <c r="CB311" s="72">
        <f t="shared" si="1742"/>
        <v>139</v>
      </c>
      <c r="CC311" s="71">
        <f t="shared" si="1743"/>
        <v>178</v>
      </c>
      <c r="CD311" s="72">
        <f t="shared" si="1744"/>
        <v>187</v>
      </c>
      <c r="CE311" s="71">
        <f t="shared" si="1745"/>
        <v>234</v>
      </c>
      <c r="CF311" s="72">
        <f t="shared" si="1746"/>
        <v>273</v>
      </c>
      <c r="CG311" s="71" t="str">
        <f t="shared" si="1747"/>
        <v>-</v>
      </c>
      <c r="CH311" s="70">
        <f t="shared" si="1748"/>
        <v>55</v>
      </c>
      <c r="CI311" s="71" t="str">
        <f t="shared" si="1749"/>
        <v>-</v>
      </c>
      <c r="CJ311" s="72">
        <f t="shared" si="1750"/>
        <v>89</v>
      </c>
      <c r="CK311" s="72">
        <f t="shared" si="1751"/>
        <v>94</v>
      </c>
      <c r="CL311" s="72">
        <f t="shared" si="1752"/>
        <v>130</v>
      </c>
      <c r="CM311" s="72">
        <f t="shared" si="1753"/>
        <v>138</v>
      </c>
      <c r="CN311" s="72">
        <f t="shared" si="1754"/>
        <v>166</v>
      </c>
      <c r="CO311" s="72">
        <f t="shared" si="1755"/>
        <v>179</v>
      </c>
      <c r="CP311" s="72">
        <f t="shared" si="1756"/>
        <v>223</v>
      </c>
      <c r="CQ311" s="72">
        <f t="shared" si="1757"/>
        <v>269</v>
      </c>
      <c r="CR311" s="72">
        <f t="shared" si="1758"/>
        <v>308</v>
      </c>
      <c r="CS311" s="72" t="str">
        <f t="shared" si="1759"/>
        <v>-</v>
      </c>
      <c r="CT311" s="23" t="e">
        <f t="shared" si="1760"/>
        <v>#VALUE!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30" x14ac:dyDescent="0.2">
      <c r="A312" s="3" t="str">
        <f t="shared" si="1733"/>
        <v>q9wtk1_cavpo__wt</v>
      </c>
      <c r="B312" s="3" t="s">
        <v>1451</v>
      </c>
      <c r="C312" s="3" t="s">
        <v>100</v>
      </c>
      <c r="D312" s="3" t="str">
        <f>IFERROR(MID(VLOOKUP($B312,Seqs!$A:$B,2,0),E312,1),"")</f>
        <v>T</v>
      </c>
      <c r="E312" s="3">
        <v>17</v>
      </c>
      <c r="F312" s="3" t="str">
        <f>IFERROR(MID(VLOOKUP($B312,Seqs!$A:$B,2,0),G312,1),"")</f>
        <v>R</v>
      </c>
      <c r="G312" s="3">
        <v>48</v>
      </c>
      <c r="H312" s="3" t="str">
        <f>IFERROR(MID(VLOOKUP($B312,Seqs!$A:$B,2,0),I312,1),"")</f>
        <v>M</v>
      </c>
      <c r="I312" s="23">
        <v>49</v>
      </c>
      <c r="J312" s="3" t="str">
        <f>IFERROR(MID(VLOOKUP($B312,Seqs!$A:$B,2,0),K312,1),"")</f>
        <v>R</v>
      </c>
      <c r="K312" s="23">
        <v>52</v>
      </c>
      <c r="L312" s="3" t="str">
        <f>IFERROR(MID(VLOOKUP($B312,Seqs!$A:$B,2,0),M312,1),"")</f>
        <v>S</v>
      </c>
      <c r="M312" s="3">
        <v>53</v>
      </c>
      <c r="N312" s="3" t="str">
        <f>IFERROR(MID(VLOOKUP($B312,Seqs!$A:$B,2,0),O312,1),"")</f>
        <v>H</v>
      </c>
      <c r="O312" s="3">
        <v>83</v>
      </c>
      <c r="P312" s="3" t="str">
        <f>IFERROR(MID(VLOOKUP($B312,Seqs!$A:$B,2,0),Q312,1),"")</f>
        <v>T</v>
      </c>
      <c r="Q312" s="3">
        <v>84</v>
      </c>
      <c r="R312" s="3" t="str">
        <f>IFERROR(MID(VLOOKUP($B312,Seqs!$A:$B,2,0),S312,1),"")</f>
        <v>F</v>
      </c>
      <c r="S312" s="3">
        <v>87</v>
      </c>
      <c r="T312" s="3" t="str">
        <f>IFERROR(MID(VLOOKUP($B312,Seqs!$A:$B,2,0),U312,1),"")</f>
        <v>K</v>
      </c>
      <c r="U312" s="3">
        <v>88</v>
      </c>
      <c r="V312" s="3" t="str">
        <f>IFERROR(MID(VLOOKUP($B312,Seqs!$A:$B,2,0),W312,1),"")</f>
        <v>S</v>
      </c>
      <c r="W312" s="3">
        <v>123</v>
      </c>
      <c r="X312" s="3" t="str">
        <f>IFERROR(MID(VLOOKUP($B312,Seqs!$A:$B,2,0),Y312,1),"")</f>
        <v>P</v>
      </c>
      <c r="Y312" s="3">
        <v>124</v>
      </c>
      <c r="Z312" s="3" t="str">
        <f>IFERROR(MID(VLOOKUP($B312,Seqs!$A:$B,2,0),AA312,1),"")</f>
        <v>R</v>
      </c>
      <c r="AA312" s="3">
        <v>131</v>
      </c>
      <c r="AB312" s="3" t="str">
        <f>IFERROR(MID(VLOOKUP($B312,Seqs!$A:$B,2,0),AC312,1),"")</f>
        <v>T</v>
      </c>
      <c r="AC312" s="3">
        <v>132</v>
      </c>
      <c r="AD312" s="3" t="str">
        <f>IFERROR(MID(VLOOKUP($B312,Seqs!$A:$B,2,0),AE312,1),"")</f>
        <v>R</v>
      </c>
      <c r="AE312" s="3">
        <v>158</v>
      </c>
      <c r="AF312" s="3" t="str">
        <f>IFERROR(MID(VLOOKUP($B312,Seqs!$A:$B,2,0),AG312,1),"")</f>
        <v>C</v>
      </c>
      <c r="AG312" s="3">
        <v>170</v>
      </c>
      <c r="AH312" s="3" t="str">
        <f>IFERROR(MID(VLOOKUP($B312,Seqs!$A:$B,2,0),AI312,1),"")</f>
        <v>A</v>
      </c>
      <c r="AI312" s="3">
        <v>172</v>
      </c>
      <c r="AJ312" s="3" t="str">
        <f>IFERROR(MID(VLOOKUP($B312,Seqs!$A:$B,2,0),AK312,1),"")</f>
        <v>S</v>
      </c>
      <c r="AK312" s="3">
        <v>176</v>
      </c>
      <c r="AL312" s="3" t="str">
        <f>IFERROR(MID(VLOOKUP($B312,Seqs!$A:$B,2,0),AM312,1),"")</f>
        <v>R</v>
      </c>
      <c r="AM312" s="3">
        <v>213</v>
      </c>
      <c r="AN312" s="3" t="str">
        <f>IFERROR(MID(VLOOKUP($B312,Seqs!$A:$B,2,0),AO312,1),"")</f>
        <v>R</v>
      </c>
      <c r="AO312" s="3">
        <v>218</v>
      </c>
      <c r="AP312" s="3" t="str">
        <f>IFERROR(MID(VLOOKUP($B312,Seqs!$A:$B,2,0),AQ312,1),"")</f>
        <v>A</v>
      </c>
      <c r="AQ312" s="3">
        <v>252</v>
      </c>
      <c r="AR312" s="3" t="str">
        <f>IFERROR(MID(VLOOKUP($B312,Seqs!$A:$B,2,0),AS312,1),"")</f>
        <v>L</v>
      </c>
      <c r="AS312" s="3">
        <v>255</v>
      </c>
      <c r="AT312" s="3" t="str">
        <f>IFERROR(MID(VLOOKUP($B312,Seqs!$A:$B,2,0),AU312,1),"")</f>
        <v>A</v>
      </c>
      <c r="AU312" s="3">
        <v>287</v>
      </c>
      <c r="AV312" s="3" t="str">
        <f>IFERROR(MID(VLOOKUP($B312,Seqs!$A:$B,2,0),AW312,1),"")</f>
        <v>G</v>
      </c>
      <c r="AW312" s="3">
        <v>288</v>
      </c>
      <c r="AX312" s="3" t="str">
        <f>IFERROR(MID(VLOOKUP($B312,Seqs!$A:$B,2,0),AY312,1),"")</f>
        <v>K</v>
      </c>
      <c r="AY312" s="3">
        <v>302</v>
      </c>
      <c r="AZ312" s="77" t="str">
        <f>VLOOKUP(B312,Classification!A:D,2,0)</f>
        <v>A</v>
      </c>
      <c r="BA312" s="94" t="str">
        <f>VLOOKUP(B312,Classification!A:D,4,0)</f>
        <v>Leukotriene</v>
      </c>
      <c r="BB312" s="27" t="b">
        <f t="shared" si="1734"/>
        <v>1</v>
      </c>
      <c r="BC312" s="23">
        <f t="shared" si="1735"/>
        <v>266</v>
      </c>
      <c r="BD312" s="2" t="s">
        <v>23</v>
      </c>
      <c r="BE312" s="3" t="s">
        <v>23</v>
      </c>
      <c r="BF312" s="119" t="s">
        <v>23</v>
      </c>
      <c r="BG312" s="49" t="s">
        <v>1</v>
      </c>
      <c r="BH312" s="49" t="s">
        <v>1</v>
      </c>
      <c r="BI312" s="1"/>
      <c r="BJ312" s="70" t="s">
        <v>1287</v>
      </c>
      <c r="BK312" s="57" t="s">
        <v>1287</v>
      </c>
      <c r="BL312" s="57" t="s">
        <v>1287</v>
      </c>
      <c r="BM312" s="57" t="s">
        <v>1287</v>
      </c>
      <c r="BN312" s="57" t="s">
        <v>1287</v>
      </c>
      <c r="BO312" s="57" t="s">
        <v>1287</v>
      </c>
      <c r="BP312" s="57" t="s">
        <v>1287</v>
      </c>
      <c r="BQ312" s="57" t="s">
        <v>1287</v>
      </c>
      <c r="BR312" s="57" t="s">
        <v>1287</v>
      </c>
      <c r="BS312" s="57" t="s">
        <v>1287</v>
      </c>
      <c r="BT312" s="57" t="s">
        <v>1287</v>
      </c>
      <c r="BU312" s="57" t="s">
        <v>1287</v>
      </c>
      <c r="BV312" s="70">
        <f t="shared" si="1736"/>
        <v>17</v>
      </c>
      <c r="BW312" s="71">
        <f t="shared" si="1737"/>
        <v>49</v>
      </c>
      <c r="BX312" s="72">
        <f t="shared" si="1738"/>
        <v>53</v>
      </c>
      <c r="BY312" s="71">
        <f t="shared" si="1739"/>
        <v>84</v>
      </c>
      <c r="BZ312" s="72">
        <f t="shared" si="1740"/>
        <v>88</v>
      </c>
      <c r="CA312" s="71">
        <f t="shared" si="1741"/>
        <v>124</v>
      </c>
      <c r="CB312" s="72">
        <f t="shared" si="1742"/>
        <v>132</v>
      </c>
      <c r="CC312" s="71">
        <f t="shared" si="1743"/>
        <v>170</v>
      </c>
      <c r="CD312" s="72">
        <f t="shared" si="1744"/>
        <v>176</v>
      </c>
      <c r="CE312" s="71">
        <f t="shared" si="1745"/>
        <v>218</v>
      </c>
      <c r="CF312" s="72">
        <f t="shared" si="1746"/>
        <v>255</v>
      </c>
      <c r="CG312" s="71">
        <f t="shared" si="1747"/>
        <v>288</v>
      </c>
      <c r="CH312" s="70">
        <f t="shared" si="1748"/>
        <v>48</v>
      </c>
      <c r="CI312" s="71">
        <f t="shared" si="1749"/>
        <v>52</v>
      </c>
      <c r="CJ312" s="72">
        <f t="shared" si="1750"/>
        <v>83</v>
      </c>
      <c r="CK312" s="72">
        <f t="shared" si="1751"/>
        <v>87</v>
      </c>
      <c r="CL312" s="72">
        <f t="shared" si="1752"/>
        <v>123</v>
      </c>
      <c r="CM312" s="72">
        <f t="shared" si="1753"/>
        <v>131</v>
      </c>
      <c r="CN312" s="72">
        <f t="shared" si="1754"/>
        <v>158</v>
      </c>
      <c r="CO312" s="72">
        <f t="shared" si="1755"/>
        <v>172</v>
      </c>
      <c r="CP312" s="72">
        <f t="shared" si="1756"/>
        <v>213</v>
      </c>
      <c r="CQ312" s="72">
        <f t="shared" si="1757"/>
        <v>252</v>
      </c>
      <c r="CR312" s="72">
        <f t="shared" si="1758"/>
        <v>287</v>
      </c>
      <c r="CS312" s="72">
        <f t="shared" si="1759"/>
        <v>302</v>
      </c>
      <c r="CT312" s="23">
        <f t="shared" si="1760"/>
        <v>1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30" x14ac:dyDescent="0.2">
      <c r="A313" s="3" t="str">
        <f t="shared" si="1733"/>
        <v>q9wtk1_cavpo_5X33</v>
      </c>
      <c r="B313" s="3" t="s">
        <v>1451</v>
      </c>
      <c r="C313" s="3" t="s">
        <v>1452</v>
      </c>
      <c r="D313" s="3" t="str">
        <f>IFERROR(MID(VLOOKUP($B313,Seqs!$A:$B,2,0),E313,1),"")</f>
        <v>T</v>
      </c>
      <c r="E313" s="3">
        <v>17</v>
      </c>
      <c r="F313" s="3" t="str">
        <f>IFERROR(MID(VLOOKUP($B313,Seqs!$A:$B,2,0),G313,1),"")</f>
        <v>R</v>
      </c>
      <c r="G313" s="3">
        <v>48</v>
      </c>
      <c r="H313" s="3" t="str">
        <f>IFERROR(MID(VLOOKUP($B313,Seqs!$A:$B,2,0),I313,1),"")</f>
        <v/>
      </c>
      <c r="I313" s="23" t="s">
        <v>23</v>
      </c>
      <c r="J313" s="3" t="str">
        <f>IFERROR(MID(VLOOKUP($B313,Seqs!$A:$B,2,0),K313,1),"")</f>
        <v/>
      </c>
      <c r="K313" s="23" t="s">
        <v>23</v>
      </c>
      <c r="L313" s="3" t="str">
        <f>IFERROR(MID(VLOOKUP($B313,Seqs!$A:$B,2,0),M313,1),"")</f>
        <v>S</v>
      </c>
      <c r="M313" s="3">
        <v>53</v>
      </c>
      <c r="N313" s="3" t="str">
        <f>IFERROR(MID(VLOOKUP($B313,Seqs!$A:$B,2,0),O313,1),"")</f>
        <v>H</v>
      </c>
      <c r="O313" s="3">
        <v>83</v>
      </c>
      <c r="P313" s="3" t="str">
        <f>IFERROR(MID(VLOOKUP($B313,Seqs!$A:$B,2,0),Q313,1),"")</f>
        <v>T</v>
      </c>
      <c r="Q313" s="3">
        <v>84</v>
      </c>
      <c r="R313" s="3" t="str">
        <f>IFERROR(MID(VLOOKUP($B313,Seqs!$A:$B,2,0),S313,1),"")</f>
        <v>F</v>
      </c>
      <c r="S313" s="3">
        <v>87</v>
      </c>
      <c r="T313" s="3" t="str">
        <f>IFERROR(MID(VLOOKUP($B313,Seqs!$A:$B,2,0),U313,1),"")</f>
        <v>K</v>
      </c>
      <c r="U313" s="3">
        <v>88</v>
      </c>
      <c r="V313" s="3" t="str">
        <f>IFERROR(MID(VLOOKUP($B313,Seqs!$A:$B,2,0),W313,1),"")</f>
        <v>S</v>
      </c>
      <c r="W313" s="3">
        <v>123</v>
      </c>
      <c r="X313" s="3" t="str">
        <f>IFERROR(MID(VLOOKUP($B313,Seqs!$A:$B,2,0),Y313,1),"")</f>
        <v>P</v>
      </c>
      <c r="Y313" s="3">
        <v>124</v>
      </c>
      <c r="Z313" s="3" t="str">
        <f>IFERROR(MID(VLOOKUP($B313,Seqs!$A:$B,2,0),AA313,1),"")</f>
        <v>R</v>
      </c>
      <c r="AA313" s="3">
        <v>131</v>
      </c>
      <c r="AB313" s="3" t="str">
        <f>IFERROR(MID(VLOOKUP($B313,Seqs!$A:$B,2,0),AC313,1),"")</f>
        <v>T</v>
      </c>
      <c r="AC313" s="3">
        <v>132</v>
      </c>
      <c r="AD313" s="3" t="str">
        <f>IFERROR(MID(VLOOKUP($B313,Seqs!$A:$B,2,0),AE313,1),"")</f>
        <v>R</v>
      </c>
      <c r="AE313" s="3">
        <v>158</v>
      </c>
      <c r="AF313" s="3" t="str">
        <f>IFERROR(MID(VLOOKUP($B313,Seqs!$A:$B,2,0),AG313,1),"")</f>
        <v>C</v>
      </c>
      <c r="AG313" s="3">
        <v>170</v>
      </c>
      <c r="AH313" s="3" t="str">
        <f>IFERROR(MID(VLOOKUP($B313,Seqs!$A:$B,2,0),AI313,1),"")</f>
        <v>A</v>
      </c>
      <c r="AI313" s="3">
        <v>172</v>
      </c>
      <c r="AJ313" s="3" t="str">
        <f>IFERROR(MID(VLOOKUP($B313,Seqs!$A:$B,2,0),AK313,1),"")</f>
        <v>S</v>
      </c>
      <c r="AK313" s="3">
        <v>176</v>
      </c>
      <c r="AL313" s="3" t="str">
        <f>IFERROR(MID(VLOOKUP($B313,Seqs!$A:$B,2,0),AM313,1),"")</f>
        <v>R</v>
      </c>
      <c r="AM313" s="3">
        <v>213</v>
      </c>
      <c r="AN313" s="3" t="str">
        <f>IFERROR(MID(VLOOKUP($B313,Seqs!$A:$B,2,0),AO313,1),"")</f>
        <v>I</v>
      </c>
      <c r="AO313" s="3">
        <v>227</v>
      </c>
      <c r="AP313" s="3" t="str">
        <f>IFERROR(MID(VLOOKUP($B313,Seqs!$A:$B,2,0),AQ313,1),"")</f>
        <v>R</v>
      </c>
      <c r="AQ313" s="3">
        <v>249</v>
      </c>
      <c r="AR313" s="3" t="str">
        <f>IFERROR(MID(VLOOKUP($B313,Seqs!$A:$B,2,0),AS313,1),"")</f>
        <v>Q</v>
      </c>
      <c r="AS313" s="3">
        <v>261</v>
      </c>
      <c r="AT313" s="3" t="str">
        <f>IFERROR(MID(VLOOKUP($B313,Seqs!$A:$B,2,0),AU313,1),"")</f>
        <v>S</v>
      </c>
      <c r="AU313" s="3">
        <v>278</v>
      </c>
      <c r="AV313" s="3" t="str">
        <f>IFERROR(MID(VLOOKUP($B313,Seqs!$A:$B,2,0),AW313,1),"")</f>
        <v/>
      </c>
      <c r="AW313" s="3" t="s">
        <v>23</v>
      </c>
      <c r="AX313" s="3" t="str">
        <f>IFERROR(MID(VLOOKUP($B313,Seqs!$A:$B,2,0),AY313,1),"")</f>
        <v/>
      </c>
      <c r="AY313" s="3" t="s">
        <v>23</v>
      </c>
      <c r="AZ313" s="77" t="str">
        <f>VLOOKUP(B313,Classification!A:D,2,0)</f>
        <v>A</v>
      </c>
      <c r="BA313" s="94" t="str">
        <f>VLOOKUP(B313,Classification!A:D,4,0)</f>
        <v>Leukotriene</v>
      </c>
      <c r="BB313" s="27" t="b">
        <f t="shared" si="1734"/>
        <v>1</v>
      </c>
      <c r="BC313" s="23">
        <f t="shared" si="1735"/>
        <v>222</v>
      </c>
      <c r="BD313" s="2" t="s">
        <v>1376</v>
      </c>
      <c r="BE313" s="3" t="s">
        <v>1374</v>
      </c>
      <c r="BF313" s="119">
        <v>3.7</v>
      </c>
      <c r="BG313" s="49" t="s">
        <v>1</v>
      </c>
      <c r="BH313" s="49" t="s">
        <v>1377</v>
      </c>
      <c r="BI313" s="1"/>
      <c r="BJ313" s="70" t="s">
        <v>1287</v>
      </c>
      <c r="BK313" s="57" t="s">
        <v>1287</v>
      </c>
      <c r="BL313" s="57" t="s">
        <v>1287</v>
      </c>
      <c r="BM313" s="57" t="s">
        <v>1287</v>
      </c>
      <c r="BN313" s="57" t="s">
        <v>1287</v>
      </c>
      <c r="BO313" s="57" t="s">
        <v>1287</v>
      </c>
      <c r="BP313" s="57" t="s">
        <v>1287</v>
      </c>
      <c r="BQ313" s="57" t="s">
        <v>1287</v>
      </c>
      <c r="BR313" s="57" t="s">
        <v>1287</v>
      </c>
      <c r="BS313" s="57" t="s">
        <v>1287</v>
      </c>
      <c r="BT313" s="57" t="s">
        <v>1287</v>
      </c>
      <c r="BU313" s="57" t="s">
        <v>1287</v>
      </c>
      <c r="BV313" s="70">
        <f t="shared" si="1736"/>
        <v>17</v>
      </c>
      <c r="BW313" s="71" t="str">
        <f t="shared" si="1737"/>
        <v>-</v>
      </c>
      <c r="BX313" s="72">
        <f t="shared" si="1738"/>
        <v>53</v>
      </c>
      <c r="BY313" s="71">
        <f t="shared" si="1739"/>
        <v>84</v>
      </c>
      <c r="BZ313" s="72">
        <f t="shared" si="1740"/>
        <v>88</v>
      </c>
      <c r="CA313" s="71">
        <f t="shared" si="1741"/>
        <v>124</v>
      </c>
      <c r="CB313" s="72">
        <f t="shared" si="1742"/>
        <v>132</v>
      </c>
      <c r="CC313" s="71">
        <f t="shared" si="1743"/>
        <v>170</v>
      </c>
      <c r="CD313" s="72">
        <f t="shared" si="1744"/>
        <v>176</v>
      </c>
      <c r="CE313" s="71">
        <f t="shared" si="1745"/>
        <v>227</v>
      </c>
      <c r="CF313" s="72">
        <f t="shared" si="1746"/>
        <v>261</v>
      </c>
      <c r="CG313" s="71" t="str">
        <f t="shared" si="1747"/>
        <v>-</v>
      </c>
      <c r="CH313" s="70">
        <f t="shared" si="1748"/>
        <v>48</v>
      </c>
      <c r="CI313" s="71" t="str">
        <f t="shared" si="1749"/>
        <v>-</v>
      </c>
      <c r="CJ313" s="72">
        <f t="shared" si="1750"/>
        <v>83</v>
      </c>
      <c r="CK313" s="72">
        <f t="shared" si="1751"/>
        <v>87</v>
      </c>
      <c r="CL313" s="72">
        <f t="shared" si="1752"/>
        <v>123</v>
      </c>
      <c r="CM313" s="72">
        <f t="shared" si="1753"/>
        <v>131</v>
      </c>
      <c r="CN313" s="72">
        <f t="shared" si="1754"/>
        <v>158</v>
      </c>
      <c r="CO313" s="72">
        <f t="shared" si="1755"/>
        <v>172</v>
      </c>
      <c r="CP313" s="72">
        <f t="shared" si="1756"/>
        <v>213</v>
      </c>
      <c r="CQ313" s="72">
        <f t="shared" si="1757"/>
        <v>249</v>
      </c>
      <c r="CR313" s="72">
        <f t="shared" si="1758"/>
        <v>278</v>
      </c>
      <c r="CS313" s="72" t="str">
        <f t="shared" si="1759"/>
        <v>-</v>
      </c>
      <c r="CT313" s="23" t="e">
        <f t="shared" si="1760"/>
        <v>#VALUE!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30" x14ac:dyDescent="0.2">
      <c r="A314" s="3" t="str">
        <f t="shared" si="1591"/>
        <v>s1pr1_human__wt</v>
      </c>
      <c r="B314" s="3" t="s">
        <v>104</v>
      </c>
      <c r="C314" s="3" t="s">
        <v>100</v>
      </c>
      <c r="D314" s="3" t="str">
        <f>IFERROR(MID(VLOOKUP($B314,Seqs!$A:$B,2,0),E314,1),"")</f>
        <v>E</v>
      </c>
      <c r="E314" s="3">
        <v>42</v>
      </c>
      <c r="F314" s="3" t="str">
        <f>IFERROR(MID(VLOOKUP($B314,Seqs!$A:$B,2,0),G314,1),"")</f>
        <v>T</v>
      </c>
      <c r="G314" s="3">
        <v>73</v>
      </c>
      <c r="H314" s="3" t="str">
        <f>IFERROR(MID(VLOOKUP($B314,Seqs!$A:$B,2,0),I314,1),"")</f>
        <v>K</v>
      </c>
      <c r="I314" s="23">
        <v>74</v>
      </c>
      <c r="J314" s="3" t="str">
        <f>IFERROR(MID(VLOOKUP($B314,Seqs!$A:$B,2,0),K314,1),"")</f>
        <v>H</v>
      </c>
      <c r="K314" s="23">
        <v>77</v>
      </c>
      <c r="L314" s="3" t="str">
        <f>IFERROR(MID(VLOOKUP($B314,Seqs!$A:$B,2,0),M314,1),"")</f>
        <v>R</v>
      </c>
      <c r="M314" s="3">
        <v>78</v>
      </c>
      <c r="N314" s="3" t="str">
        <f>IFERROR(MID(VLOOKUP($B314,Seqs!$A:$B,2,0),O314,1),"")</f>
        <v>L</v>
      </c>
      <c r="O314" s="3">
        <v>104</v>
      </c>
      <c r="P314" s="3" t="str">
        <f>IFERROR(MID(VLOOKUP($B314,Seqs!$A:$B,2,0),Q314,1),"")</f>
        <v>G</v>
      </c>
      <c r="Q314" s="3">
        <v>106</v>
      </c>
      <c r="R314" s="3" t="str">
        <f>IFERROR(MID(VLOOKUP($B314,Seqs!$A:$B,2,0),S314,1),"")</f>
        <v>L</v>
      </c>
      <c r="S314" s="3">
        <v>112</v>
      </c>
      <c r="T314" s="3" t="str">
        <f>IFERROR(MID(VLOOKUP($B314,Seqs!$A:$B,2,0),U314,1),"")</f>
        <v>T</v>
      </c>
      <c r="U314" s="3">
        <v>113</v>
      </c>
      <c r="V314" s="3" t="str">
        <f>IFERROR(MID(VLOOKUP($B314,Seqs!$A:$B,2,0),W314,1),"")</f>
        <v>K</v>
      </c>
      <c r="W314" s="105">
        <v>148</v>
      </c>
      <c r="X314" s="3" t="str">
        <f>IFERROR(MID(VLOOKUP($B314,Seqs!$A:$B,2,0),Y314,1),"")</f>
        <v>M</v>
      </c>
      <c r="Y314" s="105">
        <v>149</v>
      </c>
      <c r="Z314" s="3" t="str">
        <f>IFERROR(MID(VLOOKUP($B314,Seqs!$A:$B,2,0),AA314,1),"")</f>
        <v>S</v>
      </c>
      <c r="AA314" s="105">
        <v>155</v>
      </c>
      <c r="AB314" s="3" t="str">
        <f>IFERROR(MID(VLOOKUP($B314,Seqs!$A:$B,2,0),AC314,1),"")</f>
        <v>N</v>
      </c>
      <c r="AC314" s="105">
        <v>156</v>
      </c>
      <c r="AD314" s="3" t="str">
        <f>IFERROR(MID(VLOOKUP($B314,Seqs!$A:$B,2,0),AE314,1),"")</f>
        <v>G</v>
      </c>
      <c r="AE314" s="3">
        <v>181</v>
      </c>
      <c r="AF314" s="3" t="str">
        <f>IFERROR(MID(VLOOKUP($B314,Seqs!$A:$B,2,0),AG314,1),"")</f>
        <v/>
      </c>
      <c r="AG314" s="3" t="s">
        <v>23</v>
      </c>
      <c r="AH314" s="3" t="str">
        <f>IFERROR(MID(VLOOKUP($B314,Seqs!$A:$B,2,0),AI314,1),"")</f>
        <v/>
      </c>
      <c r="AI314" s="3" t="s">
        <v>23</v>
      </c>
      <c r="AJ314" s="3" t="str">
        <f>IFERROR(MID(VLOOKUP($B314,Seqs!$A:$B,2,0),AK314,1),"")</f>
        <v>H</v>
      </c>
      <c r="AK314" s="3">
        <v>199</v>
      </c>
      <c r="AL314" s="3" t="str">
        <f>IFERROR(MID(VLOOKUP($B314,Seqs!$A:$B,2,0),AM314,1),"")</f>
        <v>T</v>
      </c>
      <c r="AM314" s="3">
        <v>236</v>
      </c>
      <c r="AN314" s="3" t="str">
        <f>IFERROR(MID(VLOOKUP($B314,Seqs!$A:$B,2,0),AO314,1),"")</f>
        <v>S</v>
      </c>
      <c r="AO314" s="3">
        <v>245</v>
      </c>
      <c r="AP314" s="3" t="str">
        <f>IFERROR(MID(VLOOKUP($B314,Seqs!$A:$B,2,0),AQ314,1),"")</f>
        <v>C</v>
      </c>
      <c r="AQ314" s="3">
        <v>282</v>
      </c>
      <c r="AR314" s="3" t="str">
        <f>IFERROR(MID(VLOOKUP($B314,Seqs!$A:$B,2,0),AS314,1),"")</f>
        <v>D</v>
      </c>
      <c r="AS314" s="3">
        <v>288</v>
      </c>
      <c r="AT314" s="3" t="str">
        <f>IFERROR(MID(VLOOKUP($B314,Seqs!$A:$B,2,0),AU314,1),"")</f>
        <v>T</v>
      </c>
      <c r="AU314" s="3">
        <v>314</v>
      </c>
      <c r="AV314" s="3" t="str">
        <f>IFERROR(MID(VLOOKUP($B314,Seqs!$A:$B,2,0),AW314,1),"")</f>
        <v>N</v>
      </c>
      <c r="AW314" s="3">
        <v>315</v>
      </c>
      <c r="AX314" s="3" t="str">
        <f>IFERROR(MID(VLOOKUP($B314,Seqs!$A:$B,2,0),AY314,1),"")</f>
        <v>S</v>
      </c>
      <c r="AY314" s="3">
        <v>327</v>
      </c>
      <c r="AZ314" s="77" t="str">
        <f>VLOOKUP(B314,Classification!A:D,2,0)</f>
        <v>A</v>
      </c>
      <c r="BA314" s="94" t="str">
        <f>VLOOKUP(B314,Classification!A:D,4,0)</f>
        <v>Lysophospholipid(S1P)</v>
      </c>
      <c r="BB314" s="27" t="b">
        <f t="shared" si="1592"/>
        <v>1</v>
      </c>
      <c r="BC314" s="23">
        <f t="shared" si="1565"/>
        <v>256</v>
      </c>
      <c r="BD314" s="56" t="s">
        <v>23</v>
      </c>
      <c r="BE314" s="3" t="s">
        <v>23</v>
      </c>
      <c r="BF314" s="119" t="s">
        <v>23</v>
      </c>
      <c r="BG314" s="49" t="s">
        <v>1372</v>
      </c>
      <c r="BH314" s="49" t="s">
        <v>1377</v>
      </c>
      <c r="BI314" s="1"/>
      <c r="BJ314" s="70" t="s">
        <v>1287</v>
      </c>
      <c r="BK314" s="57" t="s">
        <v>1287</v>
      </c>
      <c r="BL314" s="57" t="s">
        <v>1287</v>
      </c>
      <c r="BM314" s="57" t="s">
        <v>1287</v>
      </c>
      <c r="BN314" s="57" t="s">
        <v>1287</v>
      </c>
      <c r="BO314" s="57" t="s">
        <v>1287</v>
      </c>
      <c r="BP314" s="57" t="s">
        <v>1287</v>
      </c>
      <c r="BQ314" s="57" t="s">
        <v>1287</v>
      </c>
      <c r="BR314" s="57" t="s">
        <v>1287</v>
      </c>
      <c r="BS314" s="57" t="s">
        <v>1287</v>
      </c>
      <c r="BT314" s="57" t="s">
        <v>1287</v>
      </c>
      <c r="BU314" s="57" t="s">
        <v>1287</v>
      </c>
      <c r="BV314" s="70">
        <f t="shared" si="1566"/>
        <v>42</v>
      </c>
      <c r="BW314" s="71">
        <f t="shared" si="1567"/>
        <v>74</v>
      </c>
      <c r="BX314" s="72">
        <f t="shared" si="1568"/>
        <v>78</v>
      </c>
      <c r="BY314" s="71">
        <f t="shared" si="1569"/>
        <v>106</v>
      </c>
      <c r="BZ314" s="72">
        <f t="shared" si="1570"/>
        <v>113</v>
      </c>
      <c r="CA314" s="71">
        <f t="shared" si="1571"/>
        <v>149</v>
      </c>
      <c r="CB314" s="72">
        <f t="shared" si="1572"/>
        <v>156</v>
      </c>
      <c r="CC314" s="71" t="str">
        <f t="shared" si="1573"/>
        <v>-</v>
      </c>
      <c r="CD314" s="72">
        <f t="shared" si="1574"/>
        <v>199</v>
      </c>
      <c r="CE314" s="71">
        <f t="shared" si="1575"/>
        <v>245</v>
      </c>
      <c r="CF314" s="72">
        <f t="shared" si="1576"/>
        <v>288</v>
      </c>
      <c r="CG314" s="71">
        <f t="shared" si="1577"/>
        <v>315</v>
      </c>
      <c r="CH314" s="70">
        <f t="shared" si="1578"/>
        <v>73</v>
      </c>
      <c r="CI314" s="71">
        <f t="shared" si="1579"/>
        <v>77</v>
      </c>
      <c r="CJ314" s="72">
        <f t="shared" si="1580"/>
        <v>104</v>
      </c>
      <c r="CK314" s="72">
        <f t="shared" si="1581"/>
        <v>112</v>
      </c>
      <c r="CL314" s="72">
        <f t="shared" si="1582"/>
        <v>148</v>
      </c>
      <c r="CM314" s="72">
        <f t="shared" si="1583"/>
        <v>155</v>
      </c>
      <c r="CN314" s="72">
        <f t="shared" si="1584"/>
        <v>181</v>
      </c>
      <c r="CO314" s="72" t="str">
        <f t="shared" si="1585"/>
        <v>-</v>
      </c>
      <c r="CP314" s="72">
        <f t="shared" si="1586"/>
        <v>236</v>
      </c>
      <c r="CQ314" s="72">
        <f t="shared" si="1587"/>
        <v>282</v>
      </c>
      <c r="CR314" s="72">
        <f t="shared" si="1588"/>
        <v>314</v>
      </c>
      <c r="CS314" s="72">
        <f t="shared" si="1589"/>
        <v>327</v>
      </c>
      <c r="CT314" s="23">
        <f t="shared" si="1590"/>
        <v>1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30" x14ac:dyDescent="0.2">
      <c r="A315" s="3" t="str">
        <f t="shared" si="1591"/>
        <v>s1pr1_human_3V2Y</v>
      </c>
      <c r="B315" s="3" t="s">
        <v>104</v>
      </c>
      <c r="C315" s="3" t="s">
        <v>94</v>
      </c>
      <c r="D315" s="3" t="str">
        <f>IFERROR(MID(VLOOKUP($B315,Seqs!$A:$B,2,0),E315,1),"")</f>
        <v>E</v>
      </c>
      <c r="E315" s="3">
        <v>42</v>
      </c>
      <c r="F315" s="3" t="str">
        <f>IFERROR(MID(VLOOKUP($B315,Seqs!$A:$B,2,0),G315,1),"")</f>
        <v>T</v>
      </c>
      <c r="G315" s="3">
        <v>73</v>
      </c>
      <c r="H315" s="3" t="str">
        <f>IFERROR(MID(VLOOKUP($B315,Seqs!$A:$B,2,0),I315,1),"")</f>
        <v>K</v>
      </c>
      <c r="I315" s="23">
        <v>74</v>
      </c>
      <c r="J315" s="3" t="str">
        <f>IFERROR(MID(VLOOKUP($B315,Seqs!$A:$B,2,0),K315,1),"")</f>
        <v>H</v>
      </c>
      <c r="K315" s="23">
        <v>77</v>
      </c>
      <c r="L315" s="3" t="str">
        <f>IFERROR(MID(VLOOKUP($B315,Seqs!$A:$B,2,0),M315,1),"")</f>
        <v>R</v>
      </c>
      <c r="M315" s="3">
        <v>78</v>
      </c>
      <c r="N315" s="3" t="str">
        <f>IFERROR(MID(VLOOKUP($B315,Seqs!$A:$B,2,0),O315,1),"")</f>
        <v>L</v>
      </c>
      <c r="O315" s="3">
        <v>104</v>
      </c>
      <c r="P315" s="3" t="str">
        <f>IFERROR(MID(VLOOKUP($B315,Seqs!$A:$B,2,0),Q315,1),"")</f>
        <v>G</v>
      </c>
      <c r="Q315" s="3">
        <v>106</v>
      </c>
      <c r="R315" s="3" t="str">
        <f>IFERROR(MID(VLOOKUP($B315,Seqs!$A:$B,2,0),S315,1),"")</f>
        <v>L</v>
      </c>
      <c r="S315" s="3">
        <v>112</v>
      </c>
      <c r="T315" s="3" t="str">
        <f>IFERROR(MID(VLOOKUP($B315,Seqs!$A:$B,2,0),U315,1),"")</f>
        <v>T</v>
      </c>
      <c r="U315" s="3">
        <v>113</v>
      </c>
      <c r="V315" s="3" t="str">
        <f>IFERROR(MID(VLOOKUP($B315,Seqs!$A:$B,2,0),W315,1),"")</f>
        <v>T</v>
      </c>
      <c r="W315" s="105">
        <v>145</v>
      </c>
      <c r="X315" s="3" t="str">
        <f>IFERROR(MID(VLOOKUP($B315,Seqs!$A:$B,2,0),Y315,1),"")</f>
        <v/>
      </c>
      <c r="Y315" s="3" t="s">
        <v>23</v>
      </c>
      <c r="Z315" s="3" t="str">
        <f>IFERROR(MID(VLOOKUP($B315,Seqs!$A:$B,2,0),AA315,1),"")</f>
        <v/>
      </c>
      <c r="AA315" s="3" t="s">
        <v>23</v>
      </c>
      <c r="AB315" s="3" t="str">
        <f>IFERROR(MID(VLOOKUP($B315,Seqs!$A:$B,2,0),AC315,1),"")</f>
        <v>N</v>
      </c>
      <c r="AC315" s="105">
        <v>156</v>
      </c>
      <c r="AD315" s="3" t="str">
        <f>IFERROR(MID(VLOOKUP($B315,Seqs!$A:$B,2,0),AE315,1),"")</f>
        <v>G</v>
      </c>
      <c r="AE315" s="3">
        <v>181</v>
      </c>
      <c r="AF315" s="3" t="str">
        <f>IFERROR(MID(VLOOKUP($B315,Seqs!$A:$B,2,0),AG315,1),"")</f>
        <v/>
      </c>
      <c r="AG315" s="3" t="s">
        <v>23</v>
      </c>
      <c r="AH315" s="3" t="str">
        <f>IFERROR(MID(VLOOKUP($B315,Seqs!$A:$B,2,0),AI315,1),"")</f>
        <v/>
      </c>
      <c r="AI315" s="3" t="s">
        <v>23</v>
      </c>
      <c r="AJ315" s="3" t="str">
        <f>IFERROR(MID(VLOOKUP($B315,Seqs!$A:$B,2,0),AK315,1),"")</f>
        <v>H</v>
      </c>
      <c r="AK315" s="3">
        <v>199</v>
      </c>
      <c r="AL315" s="3" t="str">
        <f>IFERROR(MID(VLOOKUP($B315,Seqs!$A:$B,2,0),AM315,1),"")</f>
        <v>R</v>
      </c>
      <c r="AM315" s="3">
        <v>231</v>
      </c>
      <c r="AN315" s="3" t="str">
        <f>IFERROR(MID(VLOOKUP($B315,Seqs!$A:$B,2,0),AO315,1),"")</f>
        <v>S</v>
      </c>
      <c r="AO315" s="3">
        <v>251</v>
      </c>
      <c r="AP315" s="3" t="str">
        <f>IFERROR(MID(VLOOKUP($B315,Seqs!$A:$B,2,0),AQ315,1),"")</f>
        <v>C</v>
      </c>
      <c r="AQ315" s="3">
        <v>282</v>
      </c>
      <c r="AR315" s="3" t="str">
        <f>IFERROR(MID(VLOOKUP($B315,Seqs!$A:$B,2,0),AS315,1),"")</f>
        <v>D</v>
      </c>
      <c r="AS315" s="3">
        <v>288</v>
      </c>
      <c r="AT315" s="3" t="str">
        <f>IFERROR(MID(VLOOKUP($B315,Seqs!$A:$B,2,0),AU315,1),"")</f>
        <v>T</v>
      </c>
      <c r="AU315" s="3">
        <v>314</v>
      </c>
      <c r="AV315" s="3" t="str">
        <f>IFERROR(MID(VLOOKUP($B315,Seqs!$A:$B,2,0),AW315,1),"")</f>
        <v>N</v>
      </c>
      <c r="AW315" s="3">
        <v>315</v>
      </c>
      <c r="AX315" s="3" t="str">
        <f>IFERROR(MID(VLOOKUP($B315,Seqs!$A:$B,2,0),AY315,1),"")</f>
        <v>I</v>
      </c>
      <c r="AY315" s="3">
        <v>323</v>
      </c>
      <c r="AZ315" s="77" t="str">
        <f>VLOOKUP(B315,Classification!A:D,2,0)</f>
        <v>A</v>
      </c>
      <c r="BA315" s="94" t="str">
        <f>VLOOKUP(B315,Classification!A:D,4,0)</f>
        <v>Lysophospholipid(S1P)</v>
      </c>
      <c r="BB315" s="27" t="b">
        <f t="shared" si="1592"/>
        <v>1</v>
      </c>
      <c r="BC315" s="23">
        <f t="shared" si="1565"/>
        <v>232</v>
      </c>
      <c r="BD315" s="2" t="s">
        <v>1376</v>
      </c>
      <c r="BE315" s="3" t="s">
        <v>1374</v>
      </c>
      <c r="BF315" s="119">
        <v>2.8</v>
      </c>
      <c r="BG315" s="49" t="s">
        <v>1377</v>
      </c>
      <c r="BH315" s="49" t="s">
        <v>1377</v>
      </c>
      <c r="BI315" s="1"/>
      <c r="BJ315" s="70" t="s">
        <v>1287</v>
      </c>
      <c r="BK315" s="57" t="s">
        <v>1287</v>
      </c>
      <c r="BL315" s="57" t="s">
        <v>1287</v>
      </c>
      <c r="BM315" s="57" t="s">
        <v>1287</v>
      </c>
      <c r="BN315" s="57" t="s">
        <v>1287</v>
      </c>
      <c r="BO315" s="57" t="s">
        <v>1287</v>
      </c>
      <c r="BP315" s="57" t="s">
        <v>1287</v>
      </c>
      <c r="BQ315" s="57" t="s">
        <v>1287</v>
      </c>
      <c r="BR315" s="57" t="s">
        <v>1287</v>
      </c>
      <c r="BS315" s="57" t="s">
        <v>1287</v>
      </c>
      <c r="BT315" s="57" t="s">
        <v>1287</v>
      </c>
      <c r="BU315" s="57" t="s">
        <v>1287</v>
      </c>
      <c r="BV315" s="70">
        <f t="shared" si="1566"/>
        <v>42</v>
      </c>
      <c r="BW315" s="71">
        <f t="shared" si="1567"/>
        <v>74</v>
      </c>
      <c r="BX315" s="72">
        <f t="shared" si="1568"/>
        <v>78</v>
      </c>
      <c r="BY315" s="71">
        <f t="shared" si="1569"/>
        <v>106</v>
      </c>
      <c r="BZ315" s="72">
        <f t="shared" si="1570"/>
        <v>113</v>
      </c>
      <c r="CA315" s="71" t="str">
        <f t="shared" si="1571"/>
        <v>-</v>
      </c>
      <c r="CB315" s="72">
        <f t="shared" si="1572"/>
        <v>156</v>
      </c>
      <c r="CC315" s="71" t="str">
        <f t="shared" si="1573"/>
        <v>-</v>
      </c>
      <c r="CD315" s="72">
        <f t="shared" si="1574"/>
        <v>199</v>
      </c>
      <c r="CE315" s="71">
        <f t="shared" si="1575"/>
        <v>251</v>
      </c>
      <c r="CF315" s="72">
        <f t="shared" si="1576"/>
        <v>288</v>
      </c>
      <c r="CG315" s="71">
        <f t="shared" si="1577"/>
        <v>315</v>
      </c>
      <c r="CH315" s="70">
        <f t="shared" si="1578"/>
        <v>73</v>
      </c>
      <c r="CI315" s="71">
        <f t="shared" si="1579"/>
        <v>77</v>
      </c>
      <c r="CJ315" s="72">
        <f t="shared" si="1580"/>
        <v>104</v>
      </c>
      <c r="CK315" s="72">
        <f t="shared" si="1581"/>
        <v>112</v>
      </c>
      <c r="CL315" s="72">
        <f t="shared" si="1582"/>
        <v>145</v>
      </c>
      <c r="CM315" s="72" t="str">
        <f t="shared" si="1583"/>
        <v>-</v>
      </c>
      <c r="CN315" s="72">
        <f t="shared" si="1584"/>
        <v>181</v>
      </c>
      <c r="CO315" s="72" t="str">
        <f t="shared" si="1585"/>
        <v>-</v>
      </c>
      <c r="CP315" s="72">
        <f t="shared" si="1586"/>
        <v>231</v>
      </c>
      <c r="CQ315" s="72">
        <f t="shared" si="1587"/>
        <v>282</v>
      </c>
      <c r="CR315" s="72">
        <f t="shared" si="1588"/>
        <v>314</v>
      </c>
      <c r="CS315" s="72">
        <f t="shared" si="1589"/>
        <v>323</v>
      </c>
      <c r="CT315" s="23">
        <f t="shared" si="1590"/>
        <v>1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30" x14ac:dyDescent="0.2">
      <c r="A316" s="3" t="str">
        <f t="shared" si="1591"/>
        <v>us28_hcmva__wt</v>
      </c>
      <c r="B316" s="3" t="s">
        <v>923</v>
      </c>
      <c r="C316" s="3" t="s">
        <v>100</v>
      </c>
      <c r="D316" s="3" t="str">
        <f>IFERROR(MID(VLOOKUP($B316,Seqs!$A:$B,2,0),E316,1),"")</f>
        <v>F</v>
      </c>
      <c r="E316" s="105">
        <v>25</v>
      </c>
      <c r="F316" s="3" t="str">
        <f>IFERROR(MID(VLOOKUP($B316,Seqs!$A:$B,2,0),G316,1),"")</f>
        <v>R</v>
      </c>
      <c r="G316" s="3">
        <v>61</v>
      </c>
      <c r="H316" s="3" t="str">
        <f>IFERROR(MID(VLOOKUP($B316,Seqs!$A:$B,2,0),I316,1),"")</f>
        <v>R</v>
      </c>
      <c r="I316" s="23">
        <v>62</v>
      </c>
      <c r="J316" s="3" t="str">
        <f>IFERROR(MID(VLOOKUP($B316,Seqs!$A:$B,2,0),K316,1),"")</f>
        <v>Q</v>
      </c>
      <c r="K316" s="23">
        <v>65</v>
      </c>
      <c r="L316" s="3" t="str">
        <f>IFERROR(MID(VLOOKUP($B316,Seqs!$A:$B,2,0),M316,1),"")</f>
        <v>C</v>
      </c>
      <c r="M316" s="3">
        <v>66</v>
      </c>
      <c r="N316" s="3" t="str">
        <f>IFERROR(MID(VLOOKUP($B316,Seqs!$A:$B,2,0),O316,1),"")</f>
        <v>D</v>
      </c>
      <c r="O316" s="3">
        <v>95</v>
      </c>
      <c r="P316" s="3" t="str">
        <f>IFERROR(MID(VLOOKUP($B316,Seqs!$A:$B,2,0),Q316,1),"")</f>
        <v/>
      </c>
      <c r="Q316" s="3" t="s">
        <v>23</v>
      </c>
      <c r="R316" s="3" t="str">
        <f>IFERROR(MID(VLOOKUP($B316,Seqs!$A:$B,2,0),S316,1),"")</f>
        <v/>
      </c>
      <c r="S316" s="3" t="s">
        <v>23</v>
      </c>
      <c r="T316" s="3" t="str">
        <f>IFERROR(MID(VLOOKUP($B316,Seqs!$A:$B,2,0),U316,1),"")</f>
        <v>A</v>
      </c>
      <c r="U316" s="105">
        <v>100</v>
      </c>
      <c r="V316" s="3" t="str">
        <f>IFERROR(MID(VLOOKUP($B316,Seqs!$A:$B,2,0),W316,1),"")</f>
        <v>V</v>
      </c>
      <c r="W316" s="105">
        <v>134</v>
      </c>
      <c r="X316" s="3" t="str">
        <f>IFERROR(MID(VLOOKUP($B316,Seqs!$A:$B,2,0),Y316,1),"")</f>
        <v/>
      </c>
      <c r="Y316" s="3" t="s">
        <v>23</v>
      </c>
      <c r="Z316" s="3" t="str">
        <f>IFERROR(MID(VLOOKUP($B316,Seqs!$A:$B,2,0),AA316,1),"")</f>
        <v/>
      </c>
      <c r="AA316" s="3" t="s">
        <v>23</v>
      </c>
      <c r="AB316" s="3" t="str">
        <f>IFERROR(MID(VLOOKUP($B316,Seqs!$A:$B,2,0),AC316,1),"")</f>
        <v>P</v>
      </c>
      <c r="AC316" s="9">
        <v>140</v>
      </c>
      <c r="AD316" s="3" t="str">
        <f>IFERROR(MID(VLOOKUP($B316,Seqs!$A:$B,2,0),AE316,1),"")</f>
        <v>M</v>
      </c>
      <c r="AE316" s="105">
        <v>164</v>
      </c>
      <c r="AF316" s="3" t="str">
        <f>IFERROR(MID(VLOOKUP($B316,Seqs!$A:$B,2,0),AG316,1),"")</f>
        <v>C</v>
      </c>
      <c r="AG316" s="3">
        <v>173</v>
      </c>
      <c r="AH316" s="3" t="str">
        <f>IFERROR(MID(VLOOKUP($B316,Seqs!$A:$B,2,0),AI316,1),"")</f>
        <v>T</v>
      </c>
      <c r="AI316" s="3">
        <v>175</v>
      </c>
      <c r="AJ316" s="3" t="str">
        <f>IFERROR(MID(VLOOKUP($B316,Seqs!$A:$B,2,0),AK316,1),"")</f>
        <v>S</v>
      </c>
      <c r="AK316" s="105">
        <v>183</v>
      </c>
      <c r="AL316" s="3" t="str">
        <f>IFERROR(MID(VLOOKUP($B316,Seqs!$A:$B,2,0),AM316,1),"")</f>
        <v>S</v>
      </c>
      <c r="AM316" s="3">
        <v>218</v>
      </c>
      <c r="AN316" s="3" t="str">
        <f>IFERROR(MID(VLOOKUP($B316,Seqs!$A:$B,2,0),AO316,1),"")</f>
        <v>H</v>
      </c>
      <c r="AO316" s="3">
        <v>222</v>
      </c>
      <c r="AP316" s="3" t="str">
        <f>IFERROR(MID(VLOOKUP($B316,Seqs!$A:$B,2,0),AQ316,1),"")</f>
        <v>K</v>
      </c>
      <c r="AQ316" s="3">
        <v>257</v>
      </c>
      <c r="AR316" s="3" t="str">
        <f>IFERROR(MID(VLOOKUP($B316,Seqs!$A:$B,2,0),AS316,1),"")</f>
        <v>S</v>
      </c>
      <c r="AS316" s="3">
        <v>262</v>
      </c>
      <c r="AT316" s="3" t="str">
        <f>IFERROR(MID(VLOOKUP($B316,Seqs!$A:$B,2,0),AU316,1),"")</f>
        <v>V</v>
      </c>
      <c r="AU316" s="3">
        <v>294</v>
      </c>
      <c r="AV316" s="3" t="str">
        <f>IFERROR(MID(VLOOKUP($B316,Seqs!$A:$B,2,0),AW316,1),"")</f>
        <v>G</v>
      </c>
      <c r="AW316" s="3">
        <v>295</v>
      </c>
      <c r="AX316" s="3" t="str">
        <f>IFERROR(MID(VLOOKUP($B316,Seqs!$A:$B,2,0),AY316,1),"")</f>
        <v>R</v>
      </c>
      <c r="AY316" s="3">
        <v>310</v>
      </c>
      <c r="AZ316" s="77" t="str">
        <f>VLOOKUP(B316,Classification!A:D,2,0)</f>
        <v>A</v>
      </c>
      <c r="BA316" s="94" t="str">
        <f>VLOOKUP(B316,Classification!A:D,4,0)</f>
        <v>Chemokine</v>
      </c>
      <c r="BB316" s="27" t="b">
        <f t="shared" si="1592"/>
        <v>1</v>
      </c>
      <c r="BC316" s="23">
        <f t="shared" si="1565"/>
        <v>257</v>
      </c>
      <c r="BD316" s="56" t="s">
        <v>23</v>
      </c>
      <c r="BE316" s="3" t="s">
        <v>23</v>
      </c>
      <c r="BF316" s="119" t="s">
        <v>23</v>
      </c>
      <c r="BG316" s="49" t="s">
        <v>1372</v>
      </c>
      <c r="BH316" s="49" t="s">
        <v>1377</v>
      </c>
      <c r="BI316" s="1"/>
      <c r="BJ316" s="70" t="s">
        <v>1287</v>
      </c>
      <c r="BK316" s="57" t="s">
        <v>1287</v>
      </c>
      <c r="BL316" s="57" t="s">
        <v>1287</v>
      </c>
      <c r="BM316" s="57" t="s">
        <v>1287</v>
      </c>
      <c r="BN316" s="57" t="s">
        <v>1287</v>
      </c>
      <c r="BO316" s="57" t="s">
        <v>1287</v>
      </c>
      <c r="BP316" s="57" t="s">
        <v>1287</v>
      </c>
      <c r="BQ316" s="57" t="s">
        <v>1287</v>
      </c>
      <c r="BR316" s="57" t="s">
        <v>1287</v>
      </c>
      <c r="BS316" s="57" t="s">
        <v>1287</v>
      </c>
      <c r="BT316" s="57" t="s">
        <v>1287</v>
      </c>
      <c r="BU316" s="57" t="s">
        <v>1287</v>
      </c>
      <c r="BV316" s="70">
        <f t="shared" si="1566"/>
        <v>25</v>
      </c>
      <c r="BW316" s="71">
        <f t="shared" si="1567"/>
        <v>62</v>
      </c>
      <c r="BX316" s="72">
        <f t="shared" si="1568"/>
        <v>66</v>
      </c>
      <c r="BY316" s="71" t="str">
        <f t="shared" si="1569"/>
        <v>-</v>
      </c>
      <c r="BZ316" s="72">
        <f t="shared" si="1570"/>
        <v>100</v>
      </c>
      <c r="CA316" s="71" t="str">
        <f t="shared" si="1571"/>
        <v>-</v>
      </c>
      <c r="CB316" s="72">
        <f t="shared" si="1572"/>
        <v>140</v>
      </c>
      <c r="CC316" s="71">
        <f t="shared" si="1573"/>
        <v>173</v>
      </c>
      <c r="CD316" s="72">
        <f t="shared" si="1574"/>
        <v>183</v>
      </c>
      <c r="CE316" s="71">
        <f t="shared" si="1575"/>
        <v>222</v>
      </c>
      <c r="CF316" s="72">
        <f t="shared" si="1576"/>
        <v>262</v>
      </c>
      <c r="CG316" s="71">
        <f t="shared" si="1577"/>
        <v>295</v>
      </c>
      <c r="CH316" s="70">
        <f t="shared" si="1578"/>
        <v>61</v>
      </c>
      <c r="CI316" s="71">
        <f t="shared" si="1579"/>
        <v>65</v>
      </c>
      <c r="CJ316" s="72">
        <f t="shared" si="1580"/>
        <v>95</v>
      </c>
      <c r="CK316" s="72" t="str">
        <f t="shared" si="1581"/>
        <v>-</v>
      </c>
      <c r="CL316" s="72">
        <f t="shared" si="1582"/>
        <v>134</v>
      </c>
      <c r="CM316" s="72" t="str">
        <f t="shared" si="1583"/>
        <v>-</v>
      </c>
      <c r="CN316" s="72">
        <f t="shared" si="1584"/>
        <v>164</v>
      </c>
      <c r="CO316" s="72">
        <f t="shared" si="1585"/>
        <v>175</v>
      </c>
      <c r="CP316" s="72">
        <f t="shared" si="1586"/>
        <v>218</v>
      </c>
      <c r="CQ316" s="72">
        <f t="shared" si="1587"/>
        <v>257</v>
      </c>
      <c r="CR316" s="72">
        <f t="shared" si="1588"/>
        <v>294</v>
      </c>
      <c r="CS316" s="72">
        <f t="shared" si="1589"/>
        <v>310</v>
      </c>
      <c r="CT316" s="23">
        <f t="shared" si="1590"/>
        <v>1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</row>
    <row r="317" spans="1:1030" x14ac:dyDescent="0.2">
      <c r="A317" s="3" t="str">
        <f t="shared" si="1591"/>
        <v>us28_hcmva_4XT1</v>
      </c>
      <c r="B317" s="3" t="s">
        <v>923</v>
      </c>
      <c r="C317" s="3" t="s">
        <v>1123</v>
      </c>
      <c r="D317" s="3" t="str">
        <f>IFERROR(MID(VLOOKUP($B317,Seqs!$A:$B,2,0),E317,1),"")</f>
        <v>F</v>
      </c>
      <c r="E317" s="105">
        <v>25</v>
      </c>
      <c r="F317" s="3" t="str">
        <f>IFERROR(MID(VLOOKUP($B317,Seqs!$A:$B,2,0),G317,1),"")</f>
        <v>R</v>
      </c>
      <c r="G317" s="3">
        <v>61</v>
      </c>
      <c r="H317" s="3" t="str">
        <f>IFERROR(MID(VLOOKUP($B317,Seqs!$A:$B,2,0),I317,1),"")</f>
        <v/>
      </c>
      <c r="I317" s="23" t="s">
        <v>23</v>
      </c>
      <c r="J317" s="3" t="str">
        <f>IFERROR(MID(VLOOKUP($B317,Seqs!$A:$B,2,0),K317,1),"")</f>
        <v/>
      </c>
      <c r="K317" s="23" t="s">
        <v>23</v>
      </c>
      <c r="L317" s="3" t="str">
        <f>IFERROR(MID(VLOOKUP($B317,Seqs!$A:$B,2,0),M317,1),"")</f>
        <v>C</v>
      </c>
      <c r="M317" s="3">
        <v>66</v>
      </c>
      <c r="N317" s="3" t="str">
        <f>IFERROR(MID(VLOOKUP($B317,Seqs!$A:$B,2,0),O317,1),"")</f>
        <v>D</v>
      </c>
      <c r="O317" s="3">
        <v>95</v>
      </c>
      <c r="P317" s="3" t="str">
        <f>IFERROR(MID(VLOOKUP($B317,Seqs!$A:$B,2,0),Q317,1),"")</f>
        <v/>
      </c>
      <c r="Q317" s="3" t="s">
        <v>23</v>
      </c>
      <c r="R317" s="3" t="str">
        <f>IFERROR(MID(VLOOKUP($B317,Seqs!$A:$B,2,0),S317,1),"")</f>
        <v/>
      </c>
      <c r="S317" s="3" t="s">
        <v>23</v>
      </c>
      <c r="T317" s="3" t="str">
        <f>IFERROR(MID(VLOOKUP($B317,Seqs!$A:$B,2,0),U317,1),"")</f>
        <v>P</v>
      </c>
      <c r="U317" s="3">
        <v>103</v>
      </c>
      <c r="V317" s="3" t="str">
        <f>IFERROR(MID(VLOOKUP($B317,Seqs!$A:$B,2,0),W317,1),"")</f>
        <v>V</v>
      </c>
      <c r="W317" s="105">
        <v>134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P</v>
      </c>
      <c r="AC317" s="9">
        <v>140</v>
      </c>
      <c r="AD317" s="3" t="str">
        <f>IFERROR(MID(VLOOKUP($B317,Seqs!$A:$B,2,0),AE317,1),"")</f>
        <v>M</v>
      </c>
      <c r="AE317" s="105">
        <v>164</v>
      </c>
      <c r="AF317" s="3" t="str">
        <f>IFERROR(MID(VLOOKUP($B317,Seqs!$A:$B,2,0),AG317,1),"")</f>
        <v>C</v>
      </c>
      <c r="AG317" s="3">
        <v>173</v>
      </c>
      <c r="AH317" s="3" t="str">
        <f>IFERROR(MID(VLOOKUP($B317,Seqs!$A:$B,2,0),AI317,1),"")</f>
        <v>T</v>
      </c>
      <c r="AI317" s="3">
        <v>175</v>
      </c>
      <c r="AJ317" s="3" t="str">
        <f>IFERROR(MID(VLOOKUP($B317,Seqs!$A:$B,2,0),AK317,1),"")</f>
        <v>S</v>
      </c>
      <c r="AK317" s="105">
        <v>183</v>
      </c>
      <c r="AL317" s="3" t="str">
        <f>IFERROR(MID(VLOOKUP($B317,Seqs!$A:$B,2,0),AM317,1),"")</f>
        <v>S</v>
      </c>
      <c r="AM317" s="3">
        <v>218</v>
      </c>
      <c r="AN317" s="3" t="str">
        <f>IFERROR(MID(VLOOKUP($B317,Seqs!$A:$B,2,0),AO317,1),"")</f>
        <v>H</v>
      </c>
      <c r="AO317" s="3">
        <v>222</v>
      </c>
      <c r="AP317" s="3" t="str">
        <f>IFERROR(MID(VLOOKUP($B317,Seqs!$A:$B,2,0),AQ317,1),"")</f>
        <v>K</v>
      </c>
      <c r="AQ317" s="3">
        <v>257</v>
      </c>
      <c r="AR317" s="3" t="str">
        <f>IFERROR(MID(VLOOKUP($B317,Seqs!$A:$B,2,0),AS317,1),"")</f>
        <v>C</v>
      </c>
      <c r="AS317" s="3">
        <v>263</v>
      </c>
      <c r="AT317" s="3" t="str">
        <f>IFERROR(MID(VLOOKUP($B317,Seqs!$A:$B,2,0),AU317,1),"")</f>
        <v>V</v>
      </c>
      <c r="AU317" s="3">
        <v>294</v>
      </c>
      <c r="AV317" s="3" t="str">
        <f>IFERROR(MID(VLOOKUP($B317,Seqs!$A:$B,2,0),AW317,1),"")</f>
        <v>G</v>
      </c>
      <c r="AW317" s="3">
        <v>295</v>
      </c>
      <c r="AX317" s="3" t="str">
        <f>IFERROR(MID(VLOOKUP($B317,Seqs!$A:$B,2,0),AY317,1),"")</f>
        <v>R</v>
      </c>
      <c r="AY317" s="3">
        <v>310</v>
      </c>
      <c r="AZ317" s="77" t="str">
        <f>VLOOKUP(B317,Classification!A:D,2,0)</f>
        <v>A</v>
      </c>
      <c r="BA317" s="94" t="str">
        <f>VLOOKUP(B317,Classification!A:D,4,0)</f>
        <v>Chemokine</v>
      </c>
      <c r="BB317" s="27" t="b">
        <f t="shared" si="1592"/>
        <v>1</v>
      </c>
      <c r="BC317" s="23">
        <f t="shared" si="1565"/>
        <v>250</v>
      </c>
      <c r="BD317" s="4" t="s">
        <v>1375</v>
      </c>
      <c r="BE317" s="3" t="s">
        <v>1291</v>
      </c>
      <c r="BF317" s="119">
        <v>2.89</v>
      </c>
      <c r="BG317" s="49" t="s">
        <v>1377</v>
      </c>
      <c r="BH317" s="49" t="s">
        <v>1377</v>
      </c>
      <c r="BI317" s="1"/>
      <c r="BJ317" s="70" t="s">
        <v>1287</v>
      </c>
      <c r="BK317" s="57" t="s">
        <v>1287</v>
      </c>
      <c r="BL317" s="57" t="s">
        <v>1287</v>
      </c>
      <c r="BM317" s="57" t="s">
        <v>1287</v>
      </c>
      <c r="BN317" s="57" t="s">
        <v>1287</v>
      </c>
      <c r="BO317" s="57" t="s">
        <v>1287</v>
      </c>
      <c r="BP317" s="57" t="s">
        <v>1287</v>
      </c>
      <c r="BQ317" s="57" t="s">
        <v>1287</v>
      </c>
      <c r="BR317" s="57" t="s">
        <v>1287</v>
      </c>
      <c r="BS317" s="57" t="s">
        <v>1287</v>
      </c>
      <c r="BT317" s="57" t="s">
        <v>1287</v>
      </c>
      <c r="BU317" s="57" t="s">
        <v>1287</v>
      </c>
      <c r="BV317" s="70">
        <f t="shared" si="1566"/>
        <v>25</v>
      </c>
      <c r="BW317" s="71" t="str">
        <f t="shared" si="1567"/>
        <v>-</v>
      </c>
      <c r="BX317" s="72">
        <f t="shared" si="1568"/>
        <v>66</v>
      </c>
      <c r="BY317" s="71" t="str">
        <f t="shared" si="1569"/>
        <v>-</v>
      </c>
      <c r="BZ317" s="72">
        <f t="shared" si="1570"/>
        <v>103</v>
      </c>
      <c r="CA317" s="71" t="str">
        <f t="shared" si="1571"/>
        <v>-</v>
      </c>
      <c r="CB317" s="72">
        <f t="shared" si="1572"/>
        <v>140</v>
      </c>
      <c r="CC317" s="71">
        <f t="shared" si="1573"/>
        <v>173</v>
      </c>
      <c r="CD317" s="72">
        <f t="shared" si="1574"/>
        <v>183</v>
      </c>
      <c r="CE317" s="71">
        <f t="shared" si="1575"/>
        <v>222</v>
      </c>
      <c r="CF317" s="72">
        <f t="shared" si="1576"/>
        <v>263</v>
      </c>
      <c r="CG317" s="71">
        <f t="shared" si="1577"/>
        <v>295</v>
      </c>
      <c r="CH317" s="70">
        <f t="shared" si="1578"/>
        <v>61</v>
      </c>
      <c r="CI317" s="71" t="str">
        <f t="shared" si="1579"/>
        <v>-</v>
      </c>
      <c r="CJ317" s="72">
        <f t="shared" si="1580"/>
        <v>95</v>
      </c>
      <c r="CK317" s="72" t="str">
        <f t="shared" si="1581"/>
        <v>-</v>
      </c>
      <c r="CL317" s="72">
        <f t="shared" si="1582"/>
        <v>134</v>
      </c>
      <c r="CM317" s="72" t="str">
        <f t="shared" si="1583"/>
        <v>-</v>
      </c>
      <c r="CN317" s="72">
        <f t="shared" si="1584"/>
        <v>164</v>
      </c>
      <c r="CO317" s="72">
        <f t="shared" si="1585"/>
        <v>175</v>
      </c>
      <c r="CP317" s="72">
        <f t="shared" si="1586"/>
        <v>218</v>
      </c>
      <c r="CQ317" s="72">
        <f t="shared" si="1587"/>
        <v>257</v>
      </c>
      <c r="CR317" s="72">
        <f t="shared" si="1588"/>
        <v>294</v>
      </c>
      <c r="CS317" s="72">
        <f t="shared" si="1589"/>
        <v>310</v>
      </c>
      <c r="CT317" s="23" t="e">
        <f t="shared" si="1590"/>
        <v>#VALUE!</v>
      </c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</row>
    <row r="318" spans="1:1030" x14ac:dyDescent="0.2">
      <c r="A318" s="3" t="str">
        <f t="shared" si="1591"/>
        <v>us28_hcmva_4XT3</v>
      </c>
      <c r="B318" s="2" t="s">
        <v>923</v>
      </c>
      <c r="C318" s="3" t="s">
        <v>1371</v>
      </c>
      <c r="D318" s="3" t="str">
        <f>IFERROR(MID(VLOOKUP($B318,Seqs!$A:$B,2,0),E318,1),"")</f>
        <v>F</v>
      </c>
      <c r="E318" s="105">
        <v>25</v>
      </c>
      <c r="F318" s="3" t="str">
        <f>IFERROR(MID(VLOOKUP($B318,Seqs!$A:$B,2,0),G318,1),"")</f>
        <v>R</v>
      </c>
      <c r="G318" s="105">
        <v>62</v>
      </c>
      <c r="H318" s="3" t="str">
        <f>IFERROR(MID(VLOOKUP($B318,Seqs!$A:$B,2,0),I318,1),"")</f>
        <v/>
      </c>
      <c r="I318" s="23" t="s">
        <v>23</v>
      </c>
      <c r="J318" s="3" t="str">
        <f>IFERROR(MID(VLOOKUP($B318,Seqs!$A:$B,2,0),K318,1),"")</f>
        <v/>
      </c>
      <c r="K318" s="23" t="s">
        <v>23</v>
      </c>
      <c r="L318" s="3" t="str">
        <f>IFERROR(MID(VLOOKUP($B318,Seqs!$A:$B,2,0),M318,1),"")</f>
        <v>C</v>
      </c>
      <c r="M318" s="3">
        <v>66</v>
      </c>
      <c r="N318" s="3" t="str">
        <f>IFERROR(MID(VLOOKUP($B318,Seqs!$A:$B,2,0),O318,1),"")</f>
        <v>D</v>
      </c>
      <c r="O318" s="3">
        <v>95</v>
      </c>
      <c r="P318" s="3" t="str">
        <f>IFERROR(MID(VLOOKUP($B318,Seqs!$A:$B,2,0),Q318,1),"")</f>
        <v/>
      </c>
      <c r="Q318" s="3" t="s">
        <v>23</v>
      </c>
      <c r="R318" s="3" t="str">
        <f>IFERROR(MID(VLOOKUP($B318,Seqs!$A:$B,2,0),S318,1),"")</f>
        <v/>
      </c>
      <c r="S318" s="3" t="s">
        <v>23</v>
      </c>
      <c r="T318" s="3" t="str">
        <f>IFERROR(MID(VLOOKUP($B318,Seqs!$A:$B,2,0),U318,1),"")</f>
        <v>P</v>
      </c>
      <c r="U318" s="3">
        <v>103</v>
      </c>
      <c r="V318" s="3" t="str">
        <f>IFERROR(MID(VLOOKUP($B318,Seqs!$A:$B,2,0),W318,1),"")</f>
        <v>V</v>
      </c>
      <c r="W318" s="105">
        <v>134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P</v>
      </c>
      <c r="AC318" s="9">
        <v>140</v>
      </c>
      <c r="AD318" s="3" t="str">
        <f>IFERROR(MID(VLOOKUP($B318,Seqs!$A:$B,2,0),AE318,1),"")</f>
        <v>M</v>
      </c>
      <c r="AE318" s="105">
        <v>164</v>
      </c>
      <c r="AF318" s="3" t="str">
        <f>IFERROR(MID(VLOOKUP($B318,Seqs!$A:$B,2,0),AG318,1),"")</f>
        <v>C</v>
      </c>
      <c r="AG318" s="3">
        <v>173</v>
      </c>
      <c r="AH318" s="3" t="str">
        <f>IFERROR(MID(VLOOKUP($B318,Seqs!$A:$B,2,0),AI318,1),"")</f>
        <v>T</v>
      </c>
      <c r="AI318" s="3">
        <v>175</v>
      </c>
      <c r="AJ318" s="3" t="str">
        <f>IFERROR(MID(VLOOKUP($B318,Seqs!$A:$B,2,0),AK318,1),"")</f>
        <v>S</v>
      </c>
      <c r="AK318" s="105">
        <v>183</v>
      </c>
      <c r="AL318" s="3" t="str">
        <f>IFERROR(MID(VLOOKUP($B318,Seqs!$A:$B,2,0),AM318,1),"")</f>
        <v>S</v>
      </c>
      <c r="AM318" s="3">
        <v>218</v>
      </c>
      <c r="AN318" s="3" t="str">
        <f>IFERROR(MID(VLOOKUP($B318,Seqs!$A:$B,2,0),AO318,1),"")</f>
        <v>H</v>
      </c>
      <c r="AO318" s="3">
        <v>222</v>
      </c>
      <c r="AP318" s="3" t="str">
        <f>IFERROR(MID(VLOOKUP($B318,Seqs!$A:$B,2,0),AQ318,1),"")</f>
        <v>K</v>
      </c>
      <c r="AQ318" s="3">
        <v>257</v>
      </c>
      <c r="AR318" s="3" t="str">
        <f>IFERROR(MID(VLOOKUP($B318,Seqs!$A:$B,2,0),AS318,1),"")</f>
        <v>C</v>
      </c>
      <c r="AS318" s="3">
        <v>263</v>
      </c>
      <c r="AT318" s="3" t="str">
        <f>IFERROR(MID(VLOOKUP($B318,Seqs!$A:$B,2,0),AU318,1),"")</f>
        <v>V</v>
      </c>
      <c r="AU318" s="3">
        <v>294</v>
      </c>
      <c r="AV318" s="3" t="str">
        <f>IFERROR(MID(VLOOKUP($B318,Seqs!$A:$B,2,0),AW318,1),"")</f>
        <v/>
      </c>
      <c r="AW318" s="3" t="s">
        <v>23</v>
      </c>
      <c r="AX318" s="3" t="str">
        <f>IFERROR(MID(VLOOKUP($B318,Seqs!$A:$B,2,0),AY318,1),"")</f>
        <v/>
      </c>
      <c r="AY318" s="3" t="s">
        <v>23</v>
      </c>
      <c r="AZ318" s="77" t="str">
        <f>VLOOKUP(B318,Classification!A:D,2,0)</f>
        <v>A</v>
      </c>
      <c r="BA318" s="94" t="str">
        <f>VLOOKUP(B318,Classification!A:D,4,0)</f>
        <v>Chemokine</v>
      </c>
      <c r="BB318" s="27" t="b">
        <f t="shared" ref="BB318:BB326" si="1929">AND(E318&lt;G318,OR(G318&lt;I318,I318="-"),OR(I318&lt;K318,I318="-"),OR(K318&lt;M318,K318="-"),M318&lt;O318,OR(O318&lt;Q318,Q318="-"),OR(Q318&lt;S318,Q318="-"),OR(S318&lt;U318,S318="-"),U318&lt;W318,OR(W318&lt;Y318,Y318="-"),OR(Y318&lt;AA318,Y318="-"),OR(AA318&lt;AC318,AA318="-"),AC318&lt;AE318,OR(AE318&lt;AG318,AG318="-"),OR(AG318&lt;AI318,AG318="-"),OR(AI318&lt;AK318,AI318="-"),AK318&lt;AM318,AM318&lt;AO318,AO318&lt;AQ318,AQ318&lt;AS318,AS318&lt;AU318,OR(AU318&lt;AW318,AW318="-"),OR(AW318&lt;AY318,AW318="-"))</f>
        <v>1</v>
      </c>
      <c r="BC318" s="23">
        <f t="shared" ref="BC318:BC326" si="1930">_xlfn.AGGREGATE(9,6,CH318:CS318)-_xlfn.AGGREGATE(9,6,BV318:CG318)+12</f>
        <v>236</v>
      </c>
      <c r="BD318" s="4" t="s">
        <v>23</v>
      </c>
      <c r="BE318" s="3" t="s">
        <v>1291</v>
      </c>
      <c r="BF318" s="119">
        <v>3.8</v>
      </c>
      <c r="BG318" s="49" t="s">
        <v>1377</v>
      </c>
      <c r="BH318" s="49" t="s">
        <v>1377</v>
      </c>
      <c r="BI318" s="1"/>
      <c r="BJ318" s="70" t="s">
        <v>1287</v>
      </c>
      <c r="BK318" s="57" t="s">
        <v>1287</v>
      </c>
      <c r="BL318" s="57" t="s">
        <v>1287</v>
      </c>
      <c r="BM318" s="57" t="s">
        <v>1287</v>
      </c>
      <c r="BN318" s="57" t="s">
        <v>1287</v>
      </c>
      <c r="BO318" s="57" t="s">
        <v>1287</v>
      </c>
      <c r="BP318" s="57" t="s">
        <v>1287</v>
      </c>
      <c r="BQ318" s="57" t="s">
        <v>1287</v>
      </c>
      <c r="BR318" s="57" t="s">
        <v>1287</v>
      </c>
      <c r="BS318" s="57" t="s">
        <v>1287</v>
      </c>
      <c r="BT318" s="57" t="s">
        <v>1287</v>
      </c>
      <c r="BU318" s="57" t="s">
        <v>1287</v>
      </c>
      <c r="BV318" s="70">
        <f t="shared" ref="BV318:BV326" si="1931">E318</f>
        <v>25</v>
      </c>
      <c r="BW318" s="71" t="str">
        <f t="shared" ref="BW318:BW326" si="1932">I318</f>
        <v>-</v>
      </c>
      <c r="BX318" s="72">
        <f t="shared" ref="BX318:BX326" si="1933">M318</f>
        <v>66</v>
      </c>
      <c r="BY318" s="71" t="str">
        <f t="shared" ref="BY318:BY326" si="1934">Q318</f>
        <v>-</v>
      </c>
      <c r="BZ318" s="72">
        <f t="shared" ref="BZ318:BZ326" si="1935">U318</f>
        <v>103</v>
      </c>
      <c r="CA318" s="71" t="str">
        <f t="shared" ref="CA318:CA326" si="1936">Y318</f>
        <v>-</v>
      </c>
      <c r="CB318" s="72">
        <f t="shared" ref="CB318:CB326" si="1937">AC318</f>
        <v>140</v>
      </c>
      <c r="CC318" s="71">
        <f t="shared" ref="CC318:CC326" si="1938">AG318</f>
        <v>173</v>
      </c>
      <c r="CD318" s="72">
        <f t="shared" ref="CD318:CD326" si="1939">AK318</f>
        <v>183</v>
      </c>
      <c r="CE318" s="71">
        <f t="shared" ref="CE318:CE326" si="1940">AO318</f>
        <v>222</v>
      </c>
      <c r="CF318" s="72">
        <f t="shared" ref="CF318:CF326" si="1941">AS318</f>
        <v>263</v>
      </c>
      <c r="CG318" s="71" t="str">
        <f t="shared" ref="CG318:CG326" si="1942">AW318</f>
        <v>-</v>
      </c>
      <c r="CH318" s="70">
        <f t="shared" ref="CH318:CH326" si="1943">G318</f>
        <v>62</v>
      </c>
      <c r="CI318" s="71" t="str">
        <f t="shared" ref="CI318:CI326" si="1944">K318</f>
        <v>-</v>
      </c>
      <c r="CJ318" s="72">
        <f t="shared" ref="CJ318:CJ326" si="1945">O318</f>
        <v>95</v>
      </c>
      <c r="CK318" s="72" t="str">
        <f t="shared" ref="CK318:CK326" si="1946">S318</f>
        <v>-</v>
      </c>
      <c r="CL318" s="72">
        <f t="shared" ref="CL318:CL326" si="1947">W318</f>
        <v>134</v>
      </c>
      <c r="CM318" s="72" t="str">
        <f t="shared" ref="CM318:CM326" si="1948">AA318</f>
        <v>-</v>
      </c>
      <c r="CN318" s="72">
        <f t="shared" ref="CN318:CN326" si="1949">AE318</f>
        <v>164</v>
      </c>
      <c r="CO318" s="72">
        <f t="shared" ref="CO318:CO326" si="1950">AI318</f>
        <v>175</v>
      </c>
      <c r="CP318" s="72">
        <f t="shared" ref="CP318:CP326" si="1951">AM318</f>
        <v>218</v>
      </c>
      <c r="CQ318" s="72">
        <f t="shared" ref="CQ318:CQ326" si="1952">AQ318</f>
        <v>257</v>
      </c>
      <c r="CR318" s="72">
        <f t="shared" ref="CR318:CR326" si="1953">AU318</f>
        <v>294</v>
      </c>
      <c r="CS318" s="72" t="str">
        <f t="shared" ref="CS318:CS326" si="1954">AY318</f>
        <v>-</v>
      </c>
      <c r="CT318" s="23" t="e">
        <f t="shared" ref="CT318:CT326" si="1955">M318-K318</f>
        <v>#VALUE!</v>
      </c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6"/>
      <c r="II318" s="6"/>
      <c r="IJ318" s="6"/>
      <c r="IK318" s="6"/>
      <c r="IL318" s="6"/>
      <c r="IM318" s="6"/>
      <c r="IN318" s="6"/>
      <c r="IO318" s="6"/>
      <c r="IP318" s="6"/>
      <c r="IQ318" s="6"/>
      <c r="IR318" s="6"/>
      <c r="IS318" s="6"/>
      <c r="IT318" s="6"/>
      <c r="IU318" s="6"/>
      <c r="IV318" s="6"/>
      <c r="IW318" s="6"/>
      <c r="IX318" s="6"/>
      <c r="IY318" s="6"/>
      <c r="IZ318" s="6"/>
      <c r="JA318" s="6"/>
      <c r="JB318" s="6"/>
      <c r="JC318" s="6"/>
      <c r="JD318" s="6"/>
      <c r="JE318" s="6"/>
      <c r="JF318" s="6"/>
      <c r="JG318" s="6"/>
      <c r="JH318" s="6"/>
      <c r="JI318" s="6"/>
      <c r="JJ318" s="6"/>
      <c r="JK318" s="6"/>
      <c r="JL318" s="6"/>
      <c r="JM318" s="6"/>
      <c r="JN318" s="6"/>
      <c r="JO318" s="6"/>
      <c r="JP318" s="6"/>
      <c r="JQ318" s="6"/>
      <c r="JR318" s="6"/>
      <c r="JS318" s="6"/>
      <c r="JT318" s="6"/>
      <c r="JU318" s="6"/>
      <c r="JV318" s="6"/>
      <c r="JW318" s="6"/>
      <c r="JX318" s="6"/>
      <c r="JY318" s="6"/>
      <c r="JZ318" s="6"/>
      <c r="KA318" s="6"/>
      <c r="KB318" s="6"/>
      <c r="KC318" s="6"/>
      <c r="KD318" s="6"/>
      <c r="KE318" s="6"/>
      <c r="KF318" s="6"/>
      <c r="KG318" s="6"/>
      <c r="KH318" s="6"/>
      <c r="KI318" s="6"/>
      <c r="KJ318" s="6"/>
      <c r="KK318" s="6"/>
      <c r="KL318" s="6"/>
      <c r="KM318" s="6"/>
      <c r="KN318" s="6"/>
      <c r="KO318" s="6"/>
      <c r="KP318" s="6"/>
      <c r="KQ318" s="6"/>
      <c r="KR318" s="6"/>
      <c r="KS318" s="6"/>
      <c r="KT318" s="6"/>
      <c r="KU318" s="6"/>
      <c r="KV318" s="6"/>
      <c r="KW318" s="6"/>
      <c r="KX318" s="6"/>
      <c r="KY318" s="6"/>
      <c r="KZ318" s="6"/>
      <c r="LA318" s="6"/>
      <c r="LB318" s="6"/>
      <c r="LC318" s="6"/>
      <c r="LD318" s="6"/>
      <c r="LE318" s="6"/>
      <c r="LF318" s="6"/>
      <c r="LG318" s="6"/>
      <c r="LH318" s="6"/>
      <c r="LI318" s="6"/>
      <c r="LJ318" s="6"/>
      <c r="LK318" s="6"/>
      <c r="LL318" s="6"/>
      <c r="LM318" s="6"/>
      <c r="LN318" s="6"/>
      <c r="LO318" s="6"/>
      <c r="LP318" s="6"/>
      <c r="LQ318" s="6"/>
      <c r="LR318" s="6"/>
      <c r="LS318" s="6"/>
      <c r="LT318" s="6"/>
      <c r="LU318" s="6"/>
      <c r="LV318" s="6"/>
      <c r="LW318" s="6"/>
      <c r="LX318" s="6"/>
      <c r="LY318" s="6"/>
      <c r="LZ318" s="6"/>
      <c r="MA318" s="6"/>
      <c r="MB318" s="6"/>
      <c r="MC318" s="6"/>
      <c r="MD318" s="6"/>
      <c r="ME318" s="6"/>
      <c r="MF318" s="6"/>
      <c r="MG318" s="6"/>
      <c r="MH318" s="6"/>
      <c r="MI318" s="6"/>
      <c r="MJ318" s="6"/>
      <c r="MK318" s="6"/>
      <c r="ML318" s="6"/>
      <c r="MM318" s="6"/>
      <c r="MN318" s="6"/>
      <c r="MO318" s="6"/>
      <c r="MP318" s="6"/>
      <c r="MQ318" s="6"/>
      <c r="MR318" s="6"/>
      <c r="MS318" s="6"/>
      <c r="MT318" s="6"/>
      <c r="MU318" s="6"/>
      <c r="MV318" s="6"/>
      <c r="MW318" s="6"/>
      <c r="MX318" s="6"/>
      <c r="MY318" s="6"/>
      <c r="MZ318" s="6"/>
      <c r="NA318" s="6"/>
      <c r="NB318" s="6"/>
      <c r="NC318" s="6"/>
      <c r="ND318" s="6"/>
      <c r="NE318" s="6"/>
      <c r="NF318" s="6"/>
      <c r="NG318" s="6"/>
      <c r="NH318" s="6"/>
      <c r="NI318" s="6"/>
      <c r="NJ318" s="6"/>
      <c r="NK318" s="6"/>
      <c r="NL318" s="6"/>
      <c r="NM318" s="6"/>
      <c r="NN318" s="6"/>
      <c r="NO318" s="6"/>
      <c r="NP318" s="6"/>
      <c r="NQ318" s="6"/>
      <c r="NR318" s="6"/>
      <c r="NS318" s="6"/>
      <c r="NT318" s="6"/>
      <c r="NU318" s="6"/>
      <c r="NV318" s="6"/>
      <c r="NW318" s="6"/>
      <c r="NX318" s="6"/>
      <c r="NY318" s="6"/>
      <c r="NZ318" s="6"/>
      <c r="OA318" s="6"/>
      <c r="OB318" s="6"/>
      <c r="OC318" s="6"/>
      <c r="OD318" s="6"/>
      <c r="OE318" s="6"/>
      <c r="OF318" s="6"/>
      <c r="OG318" s="6"/>
      <c r="OH318" s="6"/>
      <c r="OI318" s="6"/>
      <c r="OJ318" s="6"/>
      <c r="OK318" s="6"/>
      <c r="OL318" s="6"/>
      <c r="OM318" s="6"/>
      <c r="ON318" s="6"/>
      <c r="OO318" s="6"/>
      <c r="OP318" s="6"/>
      <c r="OQ318" s="6"/>
      <c r="OR318" s="6"/>
      <c r="OS318" s="6"/>
      <c r="OT318" s="6"/>
      <c r="OU318" s="6"/>
      <c r="OV318" s="6"/>
      <c r="OW318" s="6"/>
      <c r="OX318" s="6"/>
      <c r="OY318" s="6"/>
      <c r="OZ318" s="6"/>
      <c r="PA318" s="6"/>
      <c r="PB318" s="6"/>
      <c r="PC318" s="6"/>
      <c r="PD318" s="6"/>
      <c r="PE318" s="6"/>
      <c r="PF318" s="6"/>
      <c r="PG318" s="6"/>
      <c r="PH318" s="6"/>
      <c r="PI318" s="6"/>
      <c r="PJ318" s="6"/>
      <c r="PK318" s="6"/>
      <c r="PL318" s="6"/>
      <c r="PM318" s="6"/>
      <c r="PN318" s="6"/>
      <c r="PO318" s="6"/>
      <c r="PP318" s="6"/>
      <c r="PQ318" s="6"/>
      <c r="PR318" s="6"/>
      <c r="PS318" s="6"/>
      <c r="PT318" s="6"/>
      <c r="PU318" s="6"/>
      <c r="PV318" s="6"/>
      <c r="PW318" s="6"/>
      <c r="PX318" s="6"/>
      <c r="PY318" s="6"/>
      <c r="PZ318" s="6"/>
      <c r="QA318" s="6"/>
      <c r="QB318" s="6"/>
      <c r="QC318" s="6"/>
      <c r="QD318" s="6"/>
      <c r="QE318" s="6"/>
      <c r="QF318" s="6"/>
      <c r="QG318" s="6"/>
      <c r="QH318" s="6"/>
      <c r="QI318" s="6"/>
      <c r="QJ318" s="6"/>
      <c r="QK318" s="6"/>
      <c r="QL318" s="6"/>
      <c r="QM318" s="6"/>
      <c r="QN318" s="6"/>
      <c r="QO318" s="6"/>
      <c r="QP318" s="6"/>
      <c r="QQ318" s="6"/>
      <c r="QR318" s="6"/>
      <c r="QS318" s="6"/>
      <c r="QT318" s="6"/>
      <c r="QU318" s="6"/>
      <c r="QV318" s="6"/>
      <c r="QW318" s="6"/>
      <c r="QX318" s="6"/>
      <c r="QY318" s="6"/>
      <c r="QZ318" s="6"/>
      <c r="RA318" s="6"/>
      <c r="RB318" s="6"/>
      <c r="RC318" s="6"/>
      <c r="RD318" s="6"/>
      <c r="RE318" s="6"/>
      <c r="RF318" s="6"/>
      <c r="RG318" s="6"/>
      <c r="RH318" s="6"/>
      <c r="RI318" s="6"/>
      <c r="RJ318" s="6"/>
      <c r="RK318" s="6"/>
      <c r="RL318" s="6"/>
      <c r="RM318" s="6"/>
      <c r="RN318" s="6"/>
      <c r="RO318" s="6"/>
      <c r="RP318" s="6"/>
      <c r="RQ318" s="6"/>
      <c r="RR318" s="6"/>
      <c r="RS318" s="6"/>
      <c r="RT318" s="6"/>
      <c r="RU318" s="6"/>
      <c r="RV318" s="6"/>
      <c r="RW318" s="6"/>
      <c r="RX318" s="6"/>
      <c r="RY318" s="6"/>
      <c r="RZ318" s="6"/>
      <c r="SA318" s="6"/>
      <c r="SB318" s="6"/>
      <c r="SC318" s="6"/>
      <c r="SD318" s="6"/>
      <c r="SE318" s="6"/>
      <c r="SF318" s="6"/>
      <c r="SG318" s="6"/>
      <c r="SH318" s="6"/>
      <c r="SI318" s="6"/>
      <c r="SJ318" s="6"/>
      <c r="SK318" s="6"/>
      <c r="SL318" s="6"/>
      <c r="SM318" s="6"/>
      <c r="SN318" s="6"/>
      <c r="SO318" s="6"/>
      <c r="SP318" s="6"/>
      <c r="SQ318" s="6"/>
      <c r="SR318" s="6"/>
      <c r="SS318" s="6"/>
      <c r="ST318" s="6"/>
      <c r="SU318" s="6"/>
      <c r="SV318" s="6"/>
      <c r="SW318" s="6"/>
      <c r="SX318" s="6"/>
      <c r="SY318" s="6"/>
      <c r="SZ318" s="6"/>
      <c r="TA318" s="6"/>
      <c r="TB318" s="6"/>
      <c r="TC318" s="6"/>
      <c r="TD318" s="6"/>
      <c r="TE318" s="6"/>
      <c r="TF318" s="6"/>
      <c r="TG318" s="6"/>
      <c r="TH318" s="6"/>
      <c r="TI318" s="6"/>
      <c r="TJ318" s="6"/>
      <c r="TK318" s="6"/>
      <c r="TL318" s="6"/>
      <c r="TM318" s="6"/>
      <c r="TN318" s="6"/>
      <c r="TO318" s="6"/>
      <c r="TP318" s="6"/>
      <c r="TQ318" s="6"/>
      <c r="TR318" s="6"/>
      <c r="TS318" s="6"/>
      <c r="TT318" s="6"/>
      <c r="TU318" s="6"/>
      <c r="TV318" s="6"/>
      <c r="TW318" s="6"/>
      <c r="TX318" s="6"/>
      <c r="TY318" s="6"/>
      <c r="TZ318" s="6"/>
      <c r="UA318" s="6"/>
      <c r="UB318" s="6"/>
      <c r="UC318" s="6"/>
      <c r="UD318" s="6"/>
      <c r="UE318" s="6"/>
      <c r="UF318" s="6"/>
      <c r="UG318" s="6"/>
      <c r="UH318" s="6"/>
      <c r="UI318" s="6"/>
      <c r="UJ318" s="6"/>
      <c r="UK318" s="6"/>
      <c r="UL318" s="6"/>
      <c r="UM318" s="6"/>
      <c r="UN318" s="6"/>
      <c r="UO318" s="6"/>
      <c r="UP318" s="6"/>
      <c r="UQ318" s="6"/>
      <c r="UR318" s="6"/>
      <c r="US318" s="6"/>
      <c r="UT318" s="6"/>
      <c r="UU318" s="6"/>
      <c r="UV318" s="6"/>
      <c r="UW318" s="6"/>
      <c r="UX318" s="6"/>
      <c r="UY318" s="6"/>
      <c r="UZ318" s="6"/>
      <c r="VA318" s="6"/>
      <c r="VB318" s="6"/>
      <c r="VC318" s="6"/>
      <c r="VD318" s="6"/>
      <c r="VE318" s="6"/>
      <c r="VF318" s="6"/>
      <c r="VG318" s="6"/>
      <c r="VH318" s="6"/>
      <c r="VI318" s="6"/>
      <c r="VJ318" s="6"/>
      <c r="VK318" s="6"/>
      <c r="VL318" s="6"/>
      <c r="VM318" s="6"/>
      <c r="VN318" s="6"/>
      <c r="VO318" s="6"/>
      <c r="VP318" s="6"/>
      <c r="VQ318" s="6"/>
      <c r="VR318" s="6"/>
      <c r="VS318" s="6"/>
      <c r="VT318" s="6"/>
      <c r="VU318" s="6"/>
      <c r="VV318" s="6"/>
      <c r="VW318" s="6"/>
      <c r="VX318" s="6"/>
      <c r="VY318" s="6"/>
      <c r="VZ318" s="6"/>
      <c r="WA318" s="6"/>
      <c r="WB318" s="6"/>
      <c r="WC318" s="6"/>
      <c r="WD318" s="6"/>
      <c r="WE318" s="6"/>
      <c r="WF318" s="6"/>
      <c r="WG318" s="6"/>
      <c r="WH318" s="6"/>
      <c r="WI318" s="6"/>
      <c r="WJ318" s="6"/>
      <c r="WK318" s="6"/>
      <c r="WL318" s="6"/>
      <c r="WM318" s="6"/>
      <c r="WN318" s="6"/>
      <c r="WO318" s="6"/>
      <c r="WP318" s="6"/>
      <c r="WQ318" s="6"/>
      <c r="WR318" s="6"/>
      <c r="WS318" s="6"/>
      <c r="WT318" s="6"/>
      <c r="WU318" s="6"/>
      <c r="WV318" s="6"/>
      <c r="WW318" s="6"/>
      <c r="WX318" s="6"/>
      <c r="WY318" s="6"/>
      <c r="WZ318" s="6"/>
      <c r="XA318" s="6"/>
      <c r="XB318" s="6"/>
      <c r="XC318" s="6"/>
      <c r="XD318" s="6"/>
      <c r="XE318" s="6"/>
      <c r="XF318" s="6"/>
      <c r="XG318" s="6"/>
      <c r="XH318" s="6"/>
      <c r="XI318" s="6"/>
      <c r="XJ318" s="6"/>
      <c r="XK318" s="6"/>
      <c r="XL318" s="6"/>
      <c r="XM318" s="6"/>
      <c r="XN318" s="6"/>
      <c r="XO318" s="6"/>
      <c r="XP318" s="6"/>
      <c r="XQ318" s="6"/>
      <c r="XR318" s="6"/>
      <c r="XS318" s="6"/>
      <c r="XT318" s="6"/>
      <c r="XU318" s="6"/>
      <c r="XV318" s="6"/>
      <c r="XW318" s="6"/>
      <c r="XX318" s="6"/>
      <c r="XY318" s="6"/>
      <c r="XZ318" s="6"/>
      <c r="YA318" s="6"/>
      <c r="YB318" s="6"/>
      <c r="YC318" s="6"/>
      <c r="YD318" s="6"/>
      <c r="YE318" s="6"/>
      <c r="YF318" s="6"/>
      <c r="YG318" s="6"/>
      <c r="YH318" s="6"/>
      <c r="YI318" s="6"/>
      <c r="YJ318" s="6"/>
      <c r="YK318" s="6"/>
      <c r="YL318" s="6"/>
      <c r="YM318" s="6"/>
      <c r="YN318" s="6"/>
      <c r="YO318" s="6"/>
      <c r="YP318" s="6"/>
      <c r="YQ318" s="6"/>
      <c r="YR318" s="6"/>
      <c r="YS318" s="6"/>
      <c r="YT318" s="6"/>
      <c r="YU318" s="6"/>
      <c r="YV318" s="6"/>
      <c r="YW318" s="6"/>
      <c r="YX318" s="6"/>
      <c r="YY318" s="6"/>
      <c r="YZ318" s="6"/>
      <c r="ZA318" s="6"/>
      <c r="ZB318" s="6"/>
      <c r="ZC318" s="6"/>
      <c r="ZD318" s="6"/>
      <c r="ZE318" s="6"/>
      <c r="ZF318" s="6"/>
      <c r="ZG318" s="6"/>
      <c r="ZH318" s="6"/>
      <c r="ZI318" s="6"/>
      <c r="ZJ318" s="6"/>
      <c r="ZK318" s="6"/>
      <c r="ZL318" s="6"/>
      <c r="ZM318" s="6"/>
      <c r="ZN318" s="6"/>
      <c r="ZO318" s="6"/>
      <c r="ZP318" s="6"/>
      <c r="ZQ318" s="6"/>
      <c r="ZR318" s="6"/>
      <c r="ZS318" s="6"/>
      <c r="ZT318" s="6"/>
      <c r="ZU318" s="6"/>
      <c r="ZV318" s="6"/>
      <c r="ZW318" s="6"/>
      <c r="ZX318" s="6"/>
      <c r="ZY318" s="6"/>
      <c r="ZZ318" s="6"/>
      <c r="AAA318" s="6"/>
      <c r="AAB318" s="6"/>
      <c r="AAC318" s="6"/>
      <c r="AAD318" s="6"/>
      <c r="AAE318" s="6"/>
      <c r="AAF318" s="6"/>
      <c r="AAG318" s="6"/>
      <c r="AAH318" s="6"/>
      <c r="AAI318" s="6"/>
      <c r="AAJ318" s="6"/>
      <c r="AAK318" s="6"/>
      <c r="AAL318" s="6"/>
      <c r="AAM318" s="6"/>
      <c r="AAN318" s="6"/>
      <c r="AAO318" s="6"/>
      <c r="AAP318" s="6"/>
      <c r="AAQ318" s="6"/>
      <c r="AAR318" s="6"/>
      <c r="AAS318" s="6"/>
      <c r="AAT318" s="6"/>
      <c r="AAU318" s="6"/>
      <c r="AAV318" s="6"/>
      <c r="AAW318" s="6"/>
      <c r="AAX318" s="6"/>
      <c r="AAY318" s="6"/>
      <c r="AAZ318" s="6"/>
      <c r="ABA318" s="6"/>
      <c r="ABB318" s="6"/>
      <c r="ABC318" s="6"/>
      <c r="ABD318" s="6"/>
      <c r="ABE318" s="6"/>
      <c r="ABF318" s="6"/>
      <c r="ABG318" s="6"/>
      <c r="ABH318" s="6"/>
      <c r="ABI318" s="6"/>
      <c r="ABJ318" s="6"/>
      <c r="ABK318" s="6"/>
      <c r="ABL318" s="6"/>
      <c r="ABM318" s="6"/>
      <c r="ABN318" s="6"/>
      <c r="ABO318" s="6"/>
      <c r="ABP318" s="6"/>
      <c r="ABQ318" s="6"/>
      <c r="ABR318" s="6"/>
      <c r="ABS318" s="6"/>
      <c r="ABT318" s="6"/>
      <c r="ABU318" s="6"/>
      <c r="ABV318" s="6"/>
      <c r="ABW318" s="6"/>
      <c r="ABX318" s="6"/>
      <c r="ABY318" s="6"/>
      <c r="ABZ318" s="6"/>
      <c r="ACA318" s="6"/>
      <c r="ACB318" s="6"/>
      <c r="ACC318" s="6"/>
      <c r="ACD318" s="6"/>
      <c r="ACE318" s="6"/>
      <c r="ACF318" s="6"/>
      <c r="ACG318" s="6"/>
      <c r="ACH318" s="6"/>
      <c r="ACI318" s="6"/>
      <c r="ACJ318" s="6"/>
      <c r="ACK318" s="6"/>
      <c r="ACL318" s="6"/>
      <c r="ACM318" s="6"/>
      <c r="ACN318" s="6"/>
      <c r="ACO318" s="6"/>
      <c r="ACP318" s="6"/>
      <c r="ACQ318" s="6"/>
      <c r="ACR318" s="6"/>
      <c r="ACS318" s="6"/>
      <c r="ACT318" s="6"/>
      <c r="ACU318" s="6"/>
      <c r="ACV318" s="6"/>
      <c r="ACW318" s="6"/>
      <c r="ACX318" s="6"/>
      <c r="ACY318" s="6"/>
      <c r="ACZ318" s="6"/>
      <c r="ADA318" s="6"/>
      <c r="ADB318" s="6"/>
      <c r="ADC318" s="6"/>
      <c r="ADD318" s="6"/>
      <c r="ADE318" s="6"/>
      <c r="ADF318" s="6"/>
      <c r="ADG318" s="6"/>
      <c r="ADH318" s="6"/>
      <c r="ADI318" s="6"/>
      <c r="ADJ318" s="6"/>
      <c r="ADK318" s="6"/>
      <c r="ADL318" s="6"/>
      <c r="ADM318" s="6"/>
      <c r="ADN318" s="6"/>
      <c r="ADO318" s="6"/>
      <c r="ADP318" s="6"/>
      <c r="ADQ318" s="6"/>
      <c r="ADR318" s="6"/>
      <c r="ADS318" s="6"/>
      <c r="ADT318" s="6"/>
      <c r="ADU318" s="6"/>
      <c r="ADV318" s="6"/>
      <c r="ADW318" s="6"/>
      <c r="ADX318" s="6"/>
      <c r="ADY318" s="6"/>
      <c r="ADZ318" s="6"/>
      <c r="AEA318" s="6"/>
      <c r="AEB318" s="6"/>
      <c r="AEC318" s="6"/>
      <c r="AED318" s="6"/>
      <c r="AEE318" s="6"/>
      <c r="AEF318" s="6"/>
      <c r="AEG318" s="6"/>
      <c r="AEH318" s="6"/>
      <c r="AEI318" s="6"/>
      <c r="AEJ318" s="6"/>
      <c r="AEK318" s="6"/>
      <c r="AEL318" s="6"/>
      <c r="AEM318" s="6"/>
      <c r="AEN318" s="6"/>
      <c r="AEO318" s="6"/>
      <c r="AEP318" s="6"/>
      <c r="AEQ318" s="6"/>
      <c r="AER318" s="6"/>
      <c r="AES318" s="6"/>
      <c r="AET318" s="6"/>
      <c r="AEU318" s="6"/>
      <c r="AEV318" s="6"/>
      <c r="AEW318" s="6"/>
      <c r="AEX318" s="6"/>
      <c r="AEY318" s="6"/>
      <c r="AEZ318" s="6"/>
      <c r="AFA318" s="6"/>
      <c r="AFB318" s="6"/>
      <c r="AFC318" s="6"/>
      <c r="AFD318" s="6"/>
      <c r="AFE318" s="6"/>
      <c r="AFF318" s="6"/>
      <c r="AFG318" s="6"/>
      <c r="AFH318" s="6"/>
      <c r="AFI318" s="6"/>
      <c r="AFJ318" s="6"/>
      <c r="AFK318" s="6"/>
      <c r="AFL318" s="6"/>
      <c r="AFM318" s="6"/>
      <c r="AFN318" s="6"/>
      <c r="AFO318" s="6"/>
      <c r="AFP318" s="6"/>
      <c r="AFQ318" s="6"/>
      <c r="AFR318" s="6"/>
      <c r="AFS318" s="6"/>
      <c r="AFT318" s="6"/>
      <c r="AFU318" s="6"/>
      <c r="AFV318" s="6"/>
      <c r="AFW318" s="6"/>
      <c r="AFX318" s="6"/>
      <c r="AFY318" s="6"/>
      <c r="AFZ318" s="6"/>
      <c r="AGA318" s="6"/>
      <c r="AGB318" s="6"/>
      <c r="AGC318" s="6"/>
      <c r="AGD318" s="6"/>
      <c r="AGE318" s="6"/>
      <c r="AGF318" s="6"/>
      <c r="AGG318" s="6"/>
      <c r="AGH318" s="6"/>
      <c r="AGI318" s="6"/>
      <c r="AGJ318" s="6"/>
      <c r="AGK318" s="6"/>
      <c r="AGL318" s="6"/>
      <c r="AGM318" s="6"/>
      <c r="AGN318" s="6"/>
      <c r="AGO318" s="6"/>
      <c r="AGP318" s="6"/>
      <c r="AGQ318" s="6"/>
      <c r="AGR318" s="6"/>
      <c r="AGS318" s="6"/>
      <c r="AGT318" s="6"/>
      <c r="AGU318" s="6"/>
      <c r="AGV318" s="6"/>
      <c r="AGW318" s="6"/>
      <c r="AGX318" s="6"/>
      <c r="AGY318" s="6"/>
      <c r="AGZ318" s="6"/>
      <c r="AHA318" s="6"/>
      <c r="AHB318" s="6"/>
      <c r="AHC318" s="6"/>
      <c r="AHD318" s="6"/>
      <c r="AHE318" s="6"/>
      <c r="AHF318" s="6"/>
      <c r="AHG318" s="6"/>
      <c r="AHH318" s="6"/>
      <c r="AHI318" s="6"/>
      <c r="AHJ318" s="6"/>
      <c r="AHK318" s="6"/>
      <c r="AHL318" s="6"/>
      <c r="AHM318" s="6"/>
      <c r="AHN318" s="6"/>
      <c r="AHO318" s="6"/>
      <c r="AHP318" s="6"/>
      <c r="AHQ318" s="6"/>
      <c r="AHR318" s="6"/>
      <c r="AHS318" s="6"/>
      <c r="AHT318" s="6"/>
      <c r="AHU318" s="6"/>
      <c r="AHV318" s="6"/>
      <c r="AHW318" s="6"/>
      <c r="AHX318" s="6"/>
      <c r="AHY318" s="6"/>
      <c r="AHZ318" s="6"/>
      <c r="AIA318" s="6"/>
      <c r="AIB318" s="6"/>
      <c r="AIC318" s="6"/>
      <c r="AID318" s="6"/>
      <c r="AIE318" s="6"/>
      <c r="AIF318" s="6"/>
      <c r="AIG318" s="6"/>
      <c r="AIH318" s="6"/>
      <c r="AII318" s="6"/>
      <c r="AIJ318" s="6"/>
      <c r="AIK318" s="6"/>
      <c r="AIL318" s="6"/>
      <c r="AIM318" s="6"/>
      <c r="AIN318" s="6"/>
      <c r="AIO318" s="6"/>
      <c r="AIP318" s="6"/>
      <c r="AIQ318" s="6"/>
      <c r="AIR318" s="6"/>
      <c r="AIS318" s="6"/>
      <c r="AIT318" s="6"/>
      <c r="AIU318" s="6"/>
      <c r="AIV318" s="6"/>
      <c r="AIW318" s="6"/>
      <c r="AIX318" s="6"/>
      <c r="AIY318" s="6"/>
      <c r="AIZ318" s="6"/>
      <c r="AJA318" s="6"/>
      <c r="AJB318" s="6"/>
      <c r="AJC318" s="6"/>
      <c r="AJD318" s="6"/>
      <c r="AJE318" s="6"/>
      <c r="AJF318" s="6"/>
      <c r="AJG318" s="6"/>
      <c r="AJH318" s="6"/>
      <c r="AJI318" s="6"/>
      <c r="AJJ318" s="6"/>
      <c r="AJK318" s="6"/>
      <c r="AJL318" s="6"/>
      <c r="AJM318" s="6"/>
      <c r="AJN318" s="6"/>
      <c r="AJO318" s="6"/>
      <c r="AJP318" s="6"/>
      <c r="AJQ318" s="6"/>
      <c r="AJR318" s="6"/>
      <c r="AJS318" s="6"/>
      <c r="AJT318" s="6"/>
      <c r="AJU318" s="6"/>
      <c r="AJV318" s="6"/>
      <c r="AJW318" s="6"/>
      <c r="AJX318" s="6"/>
      <c r="AJY318" s="6"/>
      <c r="AJZ318" s="6"/>
      <c r="AKA318" s="6"/>
      <c r="AKB318" s="6"/>
      <c r="AKC318" s="6"/>
      <c r="AKD318" s="6"/>
      <c r="AKE318" s="6"/>
      <c r="AKF318" s="6"/>
      <c r="AKG318" s="6"/>
      <c r="AKH318" s="6"/>
      <c r="AKI318" s="6"/>
      <c r="AKJ318" s="6"/>
      <c r="AKK318" s="6"/>
      <c r="AKL318" s="6"/>
      <c r="AKM318" s="6"/>
      <c r="AKN318" s="6"/>
      <c r="AKO318" s="6"/>
      <c r="AKP318" s="6"/>
      <c r="AKQ318" s="6"/>
      <c r="AKR318" s="6"/>
      <c r="AKS318" s="6"/>
      <c r="AKT318" s="6"/>
      <c r="AKU318" s="6"/>
      <c r="AKV318" s="6"/>
      <c r="AKW318" s="6"/>
      <c r="AKX318" s="6"/>
      <c r="AKY318" s="6"/>
      <c r="AKZ318" s="6"/>
      <c r="ALA318" s="6"/>
      <c r="ALB318" s="6"/>
      <c r="ALC318" s="6"/>
      <c r="ALD318" s="6"/>
      <c r="ALE318" s="6"/>
      <c r="ALF318" s="6"/>
      <c r="ALG318" s="6"/>
      <c r="ALH318" s="6"/>
      <c r="ALI318" s="6"/>
      <c r="ALJ318" s="6"/>
      <c r="ALK318" s="6"/>
      <c r="ALL318" s="6"/>
      <c r="ALM318" s="6"/>
      <c r="ALN318" s="6"/>
      <c r="ALO318" s="6"/>
      <c r="ALP318" s="6"/>
      <c r="ALQ318" s="6"/>
      <c r="ALR318" s="6"/>
      <c r="ALS318" s="6"/>
      <c r="ALT318" s="6"/>
      <c r="ALU318" s="6"/>
      <c r="ALV318" s="6"/>
      <c r="ALW318" s="6"/>
      <c r="ALX318" s="6"/>
      <c r="ALY318" s="6"/>
      <c r="ALZ318" s="6"/>
      <c r="AMA318" s="6"/>
      <c r="AMB318" s="6"/>
      <c r="AMC318" s="6"/>
      <c r="AMD318" s="6"/>
      <c r="AME318" s="6"/>
      <c r="AMF318" s="6"/>
      <c r="AMG318" s="6"/>
      <c r="AMH318" s="6"/>
      <c r="AMI318" s="6"/>
      <c r="AMJ318" s="6"/>
      <c r="AMK318" s="6"/>
      <c r="AML318" s="6"/>
      <c r="AMM318" s="6"/>
      <c r="AMN318" s="6"/>
      <c r="AMO318" s="6"/>
      <c r="AMP318" s="6"/>
    </row>
    <row r="319" spans="1:1030" x14ac:dyDescent="0.2">
      <c r="A319" s="9" t="str">
        <f t="shared" ref="A319:A329" si="1956">CONCATENATE(B319,"_",C319)</f>
        <v>q80km9_hcmv__wt</v>
      </c>
      <c r="B319" s="40" t="s">
        <v>1507</v>
      </c>
      <c r="C319" s="9" t="s">
        <v>100</v>
      </c>
      <c r="D319" s="9" t="str">
        <f>IFERROR(MID(VLOOKUP($B319,Seqs!$A:$B,2,0),E319,1),"")</f>
        <v>F</v>
      </c>
      <c r="E319" s="9">
        <v>25</v>
      </c>
      <c r="F319" s="9" t="str">
        <f>IFERROR(MID(VLOOKUP($B319,Seqs!$A:$B,2,0),G319,1),"")</f>
        <v>R</v>
      </c>
      <c r="G319" s="9">
        <v>61</v>
      </c>
      <c r="H319" s="9" t="str">
        <f>IFERROR(MID(VLOOKUP($B319,Seqs!$A:$B,2,0),I319,1),"")</f>
        <v>R</v>
      </c>
      <c r="I319" s="109">
        <v>62</v>
      </c>
      <c r="J319" s="9" t="str">
        <f>IFERROR(MID(VLOOKUP($B319,Seqs!$A:$B,2,0),K319,1),"")</f>
        <v>Q</v>
      </c>
      <c r="K319" s="109">
        <v>65</v>
      </c>
      <c r="L319" s="9" t="str">
        <f>IFERROR(MID(VLOOKUP($B319,Seqs!$A:$B,2,0),M319,1),"")</f>
        <v>C</v>
      </c>
      <c r="M319" s="9">
        <v>66</v>
      </c>
      <c r="N319" s="9" t="str">
        <f>IFERROR(MID(VLOOKUP($B319,Seqs!$A:$B,2,0),O319,1),"")</f>
        <v>D</v>
      </c>
      <c r="O319" s="9">
        <v>95</v>
      </c>
      <c r="P319" s="9" t="str">
        <f>IFERROR(MID(VLOOKUP($B319,Seqs!$A:$B,2,0),Q319,1),"")</f>
        <v/>
      </c>
      <c r="Q319" s="9" t="s">
        <v>23</v>
      </c>
      <c r="R319" s="9" t="str">
        <f>IFERROR(MID(VLOOKUP($B319,Seqs!$A:$B,2,0),S319,1),"")</f>
        <v/>
      </c>
      <c r="S319" s="9" t="s">
        <v>23</v>
      </c>
      <c r="T319" s="9" t="str">
        <f>IFERROR(MID(VLOOKUP($B319,Seqs!$A:$B,2,0),U319,1),"")</f>
        <v>A</v>
      </c>
      <c r="U319" s="9">
        <v>100</v>
      </c>
      <c r="V319" s="9" t="str">
        <f>IFERROR(MID(VLOOKUP($B319,Seqs!$A:$B,2,0),W319,1),"")</f>
        <v>V</v>
      </c>
      <c r="W319" s="9">
        <v>134</v>
      </c>
      <c r="X319" s="9" t="str">
        <f>IFERROR(MID(VLOOKUP($B319,Seqs!$A:$B,2,0),Y319,1),"")</f>
        <v/>
      </c>
      <c r="Y319" s="9" t="s">
        <v>23</v>
      </c>
      <c r="Z319" s="9" t="str">
        <f>IFERROR(MID(VLOOKUP($B319,Seqs!$A:$B,2,0),AA319,1),"")</f>
        <v/>
      </c>
      <c r="AA319" s="9" t="s">
        <v>23</v>
      </c>
      <c r="AB319" s="9" t="str">
        <f>IFERROR(MID(VLOOKUP($B319,Seqs!$A:$B,2,0),AC319,1),"")</f>
        <v>P</v>
      </c>
      <c r="AC319" s="9">
        <v>140</v>
      </c>
      <c r="AD319" s="9" t="str">
        <f>IFERROR(MID(VLOOKUP($B319,Seqs!$A:$B,2,0),AE319,1),"")</f>
        <v>M</v>
      </c>
      <c r="AE319" s="9">
        <v>164</v>
      </c>
      <c r="AF319" s="9" t="str">
        <f>IFERROR(MID(VLOOKUP($B319,Seqs!$A:$B,2,0),AG319,1),"")</f>
        <v>C</v>
      </c>
      <c r="AG319" s="9">
        <v>173</v>
      </c>
      <c r="AH319" s="9" t="str">
        <f>IFERROR(MID(VLOOKUP($B319,Seqs!$A:$B,2,0),AI319,1),"")</f>
        <v>T</v>
      </c>
      <c r="AI319" s="9">
        <v>175</v>
      </c>
      <c r="AJ319" s="9" t="str">
        <f>IFERROR(MID(VLOOKUP($B319,Seqs!$A:$B,2,0),AK319,1),"")</f>
        <v>S</v>
      </c>
      <c r="AK319" s="9">
        <v>183</v>
      </c>
      <c r="AL319" s="9" t="str">
        <f>IFERROR(MID(VLOOKUP($B319,Seqs!$A:$B,2,0),AM319,1),"")</f>
        <v>S</v>
      </c>
      <c r="AM319" s="9">
        <v>218</v>
      </c>
      <c r="AN319" s="9" t="str">
        <f>IFERROR(MID(VLOOKUP($B319,Seqs!$A:$B,2,0),AO319,1),"")</f>
        <v>H</v>
      </c>
      <c r="AO319" s="9">
        <v>222</v>
      </c>
      <c r="AP319" s="9" t="str">
        <f>IFERROR(MID(VLOOKUP($B319,Seqs!$A:$B,2,0),AQ319,1),"")</f>
        <v>K</v>
      </c>
      <c r="AQ319" s="9">
        <v>257</v>
      </c>
      <c r="AR319" s="9" t="str">
        <f>IFERROR(MID(VLOOKUP($B319,Seqs!$A:$B,2,0),AS319,1),"")</f>
        <v>S</v>
      </c>
      <c r="AS319" s="9">
        <v>262</v>
      </c>
      <c r="AT319" s="9" t="str">
        <f>IFERROR(MID(VLOOKUP($B319,Seqs!$A:$B,2,0),AU319,1),"")</f>
        <v>V</v>
      </c>
      <c r="AU319" s="9">
        <v>294</v>
      </c>
      <c r="AV319" s="9" t="str">
        <f>IFERROR(MID(VLOOKUP($B319,Seqs!$A:$B,2,0),AW319,1),"")</f>
        <v>G</v>
      </c>
      <c r="AW319" s="9">
        <v>295</v>
      </c>
      <c r="AX319" s="9" t="str">
        <f>IFERROR(MID(VLOOKUP($B319,Seqs!$A:$B,2,0),AY319,1),"")</f>
        <v>R</v>
      </c>
      <c r="AY319" s="9">
        <v>310</v>
      </c>
      <c r="AZ319" s="110" t="str">
        <f>VLOOKUP(B319,Classification!A:D,2,0)</f>
        <v>A</v>
      </c>
      <c r="BA319" s="98" t="str">
        <f>VLOOKUP(B319,Classification!A:D,4,0)</f>
        <v>Chemokine</v>
      </c>
      <c r="BB319" s="36" t="b">
        <f t="shared" si="1929"/>
        <v>1</v>
      </c>
      <c r="BC319" s="109">
        <f t="shared" si="1930"/>
        <v>257</v>
      </c>
      <c r="BD319" s="11" t="s">
        <v>23</v>
      </c>
      <c r="BE319" s="9" t="s">
        <v>23</v>
      </c>
      <c r="BF319" s="120" t="s">
        <v>23</v>
      </c>
      <c r="BG319" s="51" t="s">
        <v>1377</v>
      </c>
      <c r="BH319" s="51" t="s">
        <v>1377</v>
      </c>
      <c r="BI319" s="12"/>
      <c r="BJ319" s="111" t="s">
        <v>1287</v>
      </c>
      <c r="BK319" s="112" t="s">
        <v>1287</v>
      </c>
      <c r="BL319" s="112" t="s">
        <v>1287</v>
      </c>
      <c r="BM319" s="112" t="s">
        <v>1287</v>
      </c>
      <c r="BN319" s="112" t="s">
        <v>1287</v>
      </c>
      <c r="BO319" s="112" t="s">
        <v>1287</v>
      </c>
      <c r="BP319" s="112" t="s">
        <v>1287</v>
      </c>
      <c r="BQ319" s="112" t="s">
        <v>1287</v>
      </c>
      <c r="BR319" s="112" t="s">
        <v>1287</v>
      </c>
      <c r="BS319" s="112" t="s">
        <v>1287</v>
      </c>
      <c r="BT319" s="112" t="s">
        <v>1287</v>
      </c>
      <c r="BU319" s="112" t="s">
        <v>1287</v>
      </c>
      <c r="BV319" s="111">
        <f t="shared" si="1931"/>
        <v>25</v>
      </c>
      <c r="BW319" s="113">
        <f t="shared" si="1932"/>
        <v>62</v>
      </c>
      <c r="BX319" s="114">
        <f t="shared" si="1933"/>
        <v>66</v>
      </c>
      <c r="BY319" s="113" t="str">
        <f t="shared" si="1934"/>
        <v>-</v>
      </c>
      <c r="BZ319" s="114">
        <f t="shared" si="1935"/>
        <v>100</v>
      </c>
      <c r="CA319" s="113" t="str">
        <f t="shared" si="1936"/>
        <v>-</v>
      </c>
      <c r="CB319" s="114">
        <f t="shared" si="1937"/>
        <v>140</v>
      </c>
      <c r="CC319" s="113">
        <f t="shared" si="1938"/>
        <v>173</v>
      </c>
      <c r="CD319" s="114">
        <f t="shared" si="1939"/>
        <v>183</v>
      </c>
      <c r="CE319" s="113">
        <f t="shared" si="1940"/>
        <v>222</v>
      </c>
      <c r="CF319" s="114">
        <f t="shared" si="1941"/>
        <v>262</v>
      </c>
      <c r="CG319" s="113">
        <f t="shared" si="1942"/>
        <v>295</v>
      </c>
      <c r="CH319" s="111">
        <f t="shared" si="1943"/>
        <v>61</v>
      </c>
      <c r="CI319" s="113">
        <f t="shared" si="1944"/>
        <v>65</v>
      </c>
      <c r="CJ319" s="114">
        <f t="shared" si="1945"/>
        <v>95</v>
      </c>
      <c r="CK319" s="114" t="str">
        <f t="shared" si="1946"/>
        <v>-</v>
      </c>
      <c r="CL319" s="114">
        <f t="shared" si="1947"/>
        <v>134</v>
      </c>
      <c r="CM319" s="114" t="str">
        <f t="shared" si="1948"/>
        <v>-</v>
      </c>
      <c r="CN319" s="114">
        <f t="shared" si="1949"/>
        <v>164</v>
      </c>
      <c r="CO319" s="114">
        <f t="shared" si="1950"/>
        <v>175</v>
      </c>
      <c r="CP319" s="114">
        <f t="shared" si="1951"/>
        <v>218</v>
      </c>
      <c r="CQ319" s="114">
        <f t="shared" si="1952"/>
        <v>257</v>
      </c>
      <c r="CR319" s="114">
        <f t="shared" si="1953"/>
        <v>294</v>
      </c>
      <c r="CS319" s="114">
        <f t="shared" si="1954"/>
        <v>310</v>
      </c>
      <c r="CT319" s="109">
        <f t="shared" si="1955"/>
        <v>1</v>
      </c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6"/>
      <c r="KC319" s="6"/>
      <c r="KD319" s="6"/>
      <c r="KE319" s="6"/>
      <c r="KF319" s="6"/>
      <c r="KG319" s="6"/>
      <c r="KH319" s="6"/>
      <c r="KI319" s="6"/>
      <c r="KJ319" s="6"/>
      <c r="KK319" s="6"/>
      <c r="KL319" s="6"/>
      <c r="KM319" s="6"/>
      <c r="KN319" s="6"/>
      <c r="KO319" s="6"/>
      <c r="KP319" s="6"/>
      <c r="KQ319" s="6"/>
      <c r="KR319" s="6"/>
      <c r="KS319" s="6"/>
      <c r="KT319" s="6"/>
      <c r="KU319" s="6"/>
      <c r="KV319" s="6"/>
      <c r="KW319" s="6"/>
      <c r="KX319" s="6"/>
      <c r="KY319" s="6"/>
      <c r="KZ319" s="6"/>
      <c r="LA319" s="6"/>
      <c r="LB319" s="6"/>
      <c r="LC319" s="6"/>
      <c r="LD319" s="6"/>
      <c r="LE319" s="6"/>
      <c r="LF319" s="6"/>
      <c r="LG319" s="6"/>
      <c r="LH319" s="6"/>
      <c r="LI319" s="6"/>
      <c r="LJ319" s="6"/>
      <c r="LK319" s="6"/>
      <c r="LL319" s="6"/>
      <c r="LM319" s="6"/>
      <c r="LN319" s="6"/>
      <c r="LO319" s="6"/>
      <c r="LP319" s="6"/>
      <c r="LQ319" s="6"/>
      <c r="LR319" s="6"/>
      <c r="LS319" s="6"/>
      <c r="LT319" s="6"/>
      <c r="LU319" s="6"/>
      <c r="LV319" s="6"/>
      <c r="LW319" s="6"/>
      <c r="LX319" s="6"/>
      <c r="LY319" s="6"/>
      <c r="LZ319" s="6"/>
      <c r="MA319" s="6"/>
      <c r="MB319" s="6"/>
      <c r="MC319" s="6"/>
      <c r="MD319" s="6"/>
      <c r="ME319" s="6"/>
      <c r="MF319" s="6"/>
      <c r="MG319" s="6"/>
      <c r="MH319" s="6"/>
      <c r="MI319" s="6"/>
      <c r="MJ319" s="6"/>
      <c r="MK319" s="6"/>
      <c r="ML319" s="6"/>
      <c r="MM319" s="6"/>
      <c r="MN319" s="6"/>
      <c r="MO319" s="6"/>
      <c r="MP319" s="6"/>
      <c r="MQ319" s="6"/>
      <c r="MR319" s="6"/>
      <c r="MS319" s="6"/>
      <c r="MT319" s="6"/>
      <c r="MU319" s="6"/>
      <c r="MV319" s="6"/>
      <c r="MW319" s="6"/>
      <c r="MX319" s="6"/>
      <c r="MY319" s="6"/>
      <c r="MZ319" s="6"/>
      <c r="NA319" s="6"/>
      <c r="NB319" s="6"/>
      <c r="NC319" s="6"/>
      <c r="ND319" s="6"/>
      <c r="NE319" s="6"/>
      <c r="NF319" s="6"/>
      <c r="NG319" s="6"/>
      <c r="NH319" s="6"/>
      <c r="NI319" s="6"/>
      <c r="NJ319" s="6"/>
      <c r="NK319" s="6"/>
      <c r="NL319" s="6"/>
      <c r="NM319" s="6"/>
      <c r="NN319" s="6"/>
      <c r="NO319" s="6"/>
      <c r="NP319" s="6"/>
      <c r="NQ319" s="6"/>
      <c r="NR319" s="6"/>
      <c r="NS319" s="6"/>
      <c r="NT319" s="6"/>
      <c r="NU319" s="6"/>
      <c r="NV319" s="6"/>
      <c r="NW319" s="6"/>
      <c r="NX319" s="6"/>
      <c r="NY319" s="6"/>
      <c r="NZ319" s="6"/>
      <c r="OA319" s="6"/>
      <c r="OB319" s="6"/>
      <c r="OC319" s="6"/>
      <c r="OD319" s="6"/>
      <c r="OE319" s="6"/>
      <c r="OF319" s="6"/>
      <c r="OG319" s="6"/>
      <c r="OH319" s="6"/>
      <c r="OI319" s="6"/>
      <c r="OJ319" s="6"/>
      <c r="OK319" s="6"/>
      <c r="OL319" s="6"/>
      <c r="OM319" s="6"/>
      <c r="ON319" s="6"/>
      <c r="OO319" s="6"/>
      <c r="OP319" s="6"/>
      <c r="OQ319" s="6"/>
      <c r="OR319" s="6"/>
      <c r="OS319" s="6"/>
      <c r="OT319" s="6"/>
      <c r="OU319" s="6"/>
      <c r="OV319" s="6"/>
      <c r="OW319" s="6"/>
      <c r="OX319" s="6"/>
      <c r="OY319" s="6"/>
      <c r="OZ319" s="6"/>
      <c r="PA319" s="6"/>
      <c r="PB319" s="6"/>
      <c r="PC319" s="6"/>
      <c r="PD319" s="6"/>
      <c r="PE319" s="6"/>
      <c r="PF319" s="6"/>
      <c r="PG319" s="6"/>
      <c r="PH319" s="6"/>
      <c r="PI319" s="6"/>
      <c r="PJ319" s="6"/>
      <c r="PK319" s="6"/>
      <c r="PL319" s="6"/>
      <c r="PM319" s="6"/>
      <c r="PN319" s="6"/>
      <c r="PO319" s="6"/>
      <c r="PP319" s="6"/>
      <c r="PQ319" s="6"/>
      <c r="PR319" s="6"/>
      <c r="PS319" s="6"/>
      <c r="PT319" s="6"/>
      <c r="PU319" s="6"/>
      <c r="PV319" s="6"/>
      <c r="PW319" s="6"/>
      <c r="PX319" s="6"/>
      <c r="PY319" s="6"/>
      <c r="PZ319" s="6"/>
      <c r="QA319" s="6"/>
      <c r="QB319" s="6"/>
      <c r="QC319" s="6"/>
      <c r="QD319" s="6"/>
      <c r="QE319" s="6"/>
      <c r="QF319" s="6"/>
      <c r="QG319" s="6"/>
      <c r="QH319" s="6"/>
      <c r="QI319" s="6"/>
      <c r="QJ319" s="6"/>
      <c r="QK319" s="6"/>
      <c r="QL319" s="6"/>
      <c r="QM319" s="6"/>
      <c r="QN319" s="6"/>
      <c r="QO319" s="6"/>
      <c r="QP319" s="6"/>
      <c r="QQ319" s="6"/>
      <c r="QR319" s="6"/>
      <c r="QS319" s="6"/>
      <c r="QT319" s="6"/>
      <c r="QU319" s="6"/>
      <c r="QV319" s="6"/>
      <c r="QW319" s="6"/>
      <c r="QX319" s="6"/>
      <c r="QY319" s="6"/>
      <c r="QZ319" s="6"/>
      <c r="RA319" s="6"/>
      <c r="RB319" s="6"/>
      <c r="RC319" s="6"/>
      <c r="RD319" s="6"/>
      <c r="RE319" s="6"/>
      <c r="RF319" s="6"/>
      <c r="RG319" s="6"/>
      <c r="RH319" s="6"/>
      <c r="RI319" s="6"/>
      <c r="RJ319" s="6"/>
      <c r="RK319" s="6"/>
      <c r="RL319" s="6"/>
      <c r="RM319" s="6"/>
      <c r="RN319" s="6"/>
      <c r="RO319" s="6"/>
      <c r="RP319" s="6"/>
      <c r="RQ319" s="6"/>
      <c r="RR319" s="6"/>
      <c r="RS319" s="6"/>
      <c r="RT319" s="6"/>
      <c r="RU319" s="6"/>
      <c r="RV319" s="6"/>
      <c r="RW319" s="6"/>
      <c r="RX319" s="6"/>
      <c r="RY319" s="6"/>
      <c r="RZ319" s="6"/>
      <c r="SA319" s="6"/>
      <c r="SB319" s="6"/>
      <c r="SC319" s="6"/>
      <c r="SD319" s="6"/>
      <c r="SE319" s="6"/>
      <c r="SF319" s="6"/>
      <c r="SG319" s="6"/>
      <c r="SH319" s="6"/>
      <c r="SI319" s="6"/>
      <c r="SJ319" s="6"/>
      <c r="SK319" s="6"/>
      <c r="SL319" s="6"/>
      <c r="SM319" s="6"/>
      <c r="SN319" s="6"/>
      <c r="SO319" s="6"/>
      <c r="SP319" s="6"/>
      <c r="SQ319" s="6"/>
      <c r="SR319" s="6"/>
      <c r="SS319" s="6"/>
      <c r="ST319" s="6"/>
      <c r="SU319" s="6"/>
      <c r="SV319" s="6"/>
      <c r="SW319" s="6"/>
      <c r="SX319" s="6"/>
      <c r="SY319" s="6"/>
      <c r="SZ319" s="6"/>
      <c r="TA319" s="6"/>
      <c r="TB319" s="6"/>
      <c r="TC319" s="6"/>
      <c r="TD319" s="6"/>
      <c r="TE319" s="6"/>
      <c r="TF319" s="6"/>
      <c r="TG319" s="6"/>
      <c r="TH319" s="6"/>
      <c r="TI319" s="6"/>
      <c r="TJ319" s="6"/>
      <c r="TK319" s="6"/>
      <c r="TL319" s="6"/>
      <c r="TM319" s="6"/>
      <c r="TN319" s="6"/>
      <c r="TO319" s="6"/>
      <c r="TP319" s="6"/>
      <c r="TQ319" s="6"/>
      <c r="TR319" s="6"/>
      <c r="TS319" s="6"/>
      <c r="TT319" s="6"/>
      <c r="TU319" s="6"/>
      <c r="TV319" s="6"/>
      <c r="TW319" s="6"/>
      <c r="TX319" s="6"/>
      <c r="TY319" s="6"/>
      <c r="TZ319" s="6"/>
      <c r="UA319" s="6"/>
      <c r="UB319" s="6"/>
      <c r="UC319" s="6"/>
      <c r="UD319" s="6"/>
      <c r="UE319" s="6"/>
      <c r="UF319" s="6"/>
      <c r="UG319" s="6"/>
      <c r="UH319" s="6"/>
      <c r="UI319" s="6"/>
      <c r="UJ319" s="6"/>
      <c r="UK319" s="6"/>
      <c r="UL319" s="6"/>
      <c r="UM319" s="6"/>
      <c r="UN319" s="6"/>
      <c r="UO319" s="6"/>
      <c r="UP319" s="6"/>
      <c r="UQ319" s="6"/>
      <c r="UR319" s="6"/>
      <c r="US319" s="6"/>
      <c r="UT319" s="6"/>
      <c r="UU319" s="6"/>
      <c r="UV319" s="6"/>
      <c r="UW319" s="6"/>
      <c r="UX319" s="6"/>
      <c r="UY319" s="6"/>
      <c r="UZ319" s="6"/>
      <c r="VA319" s="6"/>
      <c r="VB319" s="6"/>
      <c r="VC319" s="6"/>
      <c r="VD319" s="6"/>
      <c r="VE319" s="6"/>
      <c r="VF319" s="6"/>
      <c r="VG319" s="6"/>
      <c r="VH319" s="6"/>
      <c r="VI319" s="6"/>
      <c r="VJ319" s="6"/>
      <c r="VK319" s="6"/>
      <c r="VL319" s="6"/>
      <c r="VM319" s="6"/>
      <c r="VN319" s="6"/>
      <c r="VO319" s="6"/>
      <c r="VP319" s="6"/>
      <c r="VQ319" s="6"/>
      <c r="VR319" s="6"/>
      <c r="VS319" s="6"/>
      <c r="VT319" s="6"/>
      <c r="VU319" s="6"/>
      <c r="VV319" s="6"/>
      <c r="VW319" s="6"/>
      <c r="VX319" s="6"/>
      <c r="VY319" s="6"/>
      <c r="VZ319" s="6"/>
      <c r="WA319" s="6"/>
      <c r="WB319" s="6"/>
      <c r="WC319" s="6"/>
      <c r="WD319" s="6"/>
      <c r="WE319" s="6"/>
      <c r="WF319" s="6"/>
      <c r="WG319" s="6"/>
      <c r="WH319" s="6"/>
      <c r="WI319" s="6"/>
      <c r="WJ319" s="6"/>
      <c r="WK319" s="6"/>
      <c r="WL319" s="6"/>
      <c r="WM319" s="6"/>
      <c r="WN319" s="6"/>
      <c r="WO319" s="6"/>
      <c r="WP319" s="6"/>
      <c r="WQ319" s="6"/>
      <c r="WR319" s="6"/>
      <c r="WS319" s="6"/>
      <c r="WT319" s="6"/>
      <c r="WU319" s="6"/>
      <c r="WV319" s="6"/>
      <c r="WW319" s="6"/>
      <c r="WX319" s="6"/>
      <c r="WY319" s="6"/>
      <c r="WZ319" s="6"/>
      <c r="XA319" s="6"/>
      <c r="XB319" s="6"/>
      <c r="XC319" s="6"/>
      <c r="XD319" s="6"/>
      <c r="XE319" s="6"/>
      <c r="XF319" s="6"/>
      <c r="XG319" s="6"/>
      <c r="XH319" s="6"/>
      <c r="XI319" s="6"/>
      <c r="XJ319" s="6"/>
      <c r="XK319" s="6"/>
      <c r="XL319" s="6"/>
      <c r="XM319" s="6"/>
      <c r="XN319" s="6"/>
      <c r="XO319" s="6"/>
      <c r="XP319" s="6"/>
      <c r="XQ319" s="6"/>
      <c r="XR319" s="6"/>
      <c r="XS319" s="6"/>
      <c r="XT319" s="6"/>
      <c r="XU319" s="6"/>
      <c r="XV319" s="6"/>
      <c r="XW319" s="6"/>
      <c r="XX319" s="6"/>
      <c r="XY319" s="6"/>
      <c r="XZ319" s="6"/>
      <c r="YA319" s="6"/>
      <c r="YB319" s="6"/>
      <c r="YC319" s="6"/>
      <c r="YD319" s="6"/>
      <c r="YE319" s="6"/>
      <c r="YF319" s="6"/>
      <c r="YG319" s="6"/>
      <c r="YH319" s="6"/>
      <c r="YI319" s="6"/>
      <c r="YJ319" s="6"/>
      <c r="YK319" s="6"/>
      <c r="YL319" s="6"/>
      <c r="YM319" s="6"/>
      <c r="YN319" s="6"/>
      <c r="YO319" s="6"/>
      <c r="YP319" s="6"/>
      <c r="YQ319" s="6"/>
      <c r="YR319" s="6"/>
      <c r="YS319" s="6"/>
      <c r="YT319" s="6"/>
      <c r="YU319" s="6"/>
      <c r="YV319" s="6"/>
      <c r="YW319" s="6"/>
      <c r="YX319" s="6"/>
      <c r="YY319" s="6"/>
      <c r="YZ319" s="6"/>
      <c r="ZA319" s="6"/>
      <c r="ZB319" s="6"/>
      <c r="ZC319" s="6"/>
      <c r="ZD319" s="6"/>
      <c r="ZE319" s="6"/>
      <c r="ZF319" s="6"/>
      <c r="ZG319" s="6"/>
      <c r="ZH319" s="6"/>
      <c r="ZI319" s="6"/>
      <c r="ZJ319" s="6"/>
      <c r="ZK319" s="6"/>
      <c r="ZL319" s="6"/>
      <c r="ZM319" s="6"/>
      <c r="ZN319" s="6"/>
      <c r="ZO319" s="6"/>
      <c r="ZP319" s="6"/>
      <c r="ZQ319" s="6"/>
      <c r="ZR319" s="6"/>
      <c r="ZS319" s="6"/>
      <c r="ZT319" s="6"/>
      <c r="ZU319" s="6"/>
      <c r="ZV319" s="6"/>
      <c r="ZW319" s="6"/>
      <c r="ZX319" s="6"/>
      <c r="ZY319" s="6"/>
      <c r="ZZ319" s="6"/>
      <c r="AAA319" s="6"/>
      <c r="AAB319" s="6"/>
      <c r="AAC319" s="6"/>
      <c r="AAD319" s="6"/>
      <c r="AAE319" s="6"/>
      <c r="AAF319" s="6"/>
      <c r="AAG319" s="6"/>
      <c r="AAH319" s="6"/>
      <c r="AAI319" s="6"/>
      <c r="AAJ319" s="6"/>
      <c r="AAK319" s="6"/>
      <c r="AAL319" s="6"/>
      <c r="AAM319" s="6"/>
      <c r="AAN319" s="6"/>
      <c r="AAO319" s="6"/>
      <c r="AAP319" s="6"/>
      <c r="AAQ319" s="6"/>
      <c r="AAR319" s="6"/>
      <c r="AAS319" s="6"/>
      <c r="AAT319" s="6"/>
      <c r="AAU319" s="6"/>
      <c r="AAV319" s="6"/>
      <c r="AAW319" s="6"/>
      <c r="AAX319" s="6"/>
      <c r="AAY319" s="6"/>
      <c r="AAZ319" s="6"/>
      <c r="ABA319" s="6"/>
      <c r="ABB319" s="6"/>
      <c r="ABC319" s="6"/>
      <c r="ABD319" s="6"/>
      <c r="ABE319" s="6"/>
      <c r="ABF319" s="6"/>
      <c r="ABG319" s="6"/>
      <c r="ABH319" s="6"/>
      <c r="ABI319" s="6"/>
      <c r="ABJ319" s="6"/>
      <c r="ABK319" s="6"/>
      <c r="ABL319" s="6"/>
      <c r="ABM319" s="6"/>
      <c r="ABN319" s="6"/>
      <c r="ABO319" s="6"/>
      <c r="ABP319" s="6"/>
      <c r="ABQ319" s="6"/>
      <c r="ABR319" s="6"/>
      <c r="ABS319" s="6"/>
      <c r="ABT319" s="6"/>
      <c r="ABU319" s="6"/>
      <c r="ABV319" s="6"/>
      <c r="ABW319" s="6"/>
      <c r="ABX319" s="6"/>
      <c r="ABY319" s="6"/>
      <c r="ABZ319" s="6"/>
      <c r="ACA319" s="6"/>
      <c r="ACB319" s="6"/>
      <c r="ACC319" s="6"/>
      <c r="ACD319" s="6"/>
      <c r="ACE319" s="6"/>
      <c r="ACF319" s="6"/>
      <c r="ACG319" s="6"/>
      <c r="ACH319" s="6"/>
      <c r="ACI319" s="6"/>
      <c r="ACJ319" s="6"/>
      <c r="ACK319" s="6"/>
      <c r="ACL319" s="6"/>
      <c r="ACM319" s="6"/>
      <c r="ACN319" s="6"/>
      <c r="ACO319" s="6"/>
      <c r="ACP319" s="6"/>
      <c r="ACQ319" s="6"/>
      <c r="ACR319" s="6"/>
      <c r="ACS319" s="6"/>
      <c r="ACT319" s="6"/>
      <c r="ACU319" s="6"/>
      <c r="ACV319" s="6"/>
      <c r="ACW319" s="6"/>
      <c r="ACX319" s="6"/>
      <c r="ACY319" s="6"/>
      <c r="ACZ319" s="6"/>
      <c r="ADA319" s="6"/>
      <c r="ADB319" s="6"/>
      <c r="ADC319" s="6"/>
      <c r="ADD319" s="6"/>
      <c r="ADE319" s="6"/>
      <c r="ADF319" s="6"/>
      <c r="ADG319" s="6"/>
      <c r="ADH319" s="6"/>
      <c r="ADI319" s="6"/>
      <c r="ADJ319" s="6"/>
      <c r="ADK319" s="6"/>
      <c r="ADL319" s="6"/>
      <c r="ADM319" s="6"/>
      <c r="ADN319" s="6"/>
      <c r="ADO319" s="6"/>
      <c r="ADP319" s="6"/>
      <c r="ADQ319" s="6"/>
      <c r="ADR319" s="6"/>
      <c r="ADS319" s="6"/>
      <c r="ADT319" s="6"/>
      <c r="ADU319" s="6"/>
      <c r="ADV319" s="6"/>
      <c r="ADW319" s="6"/>
      <c r="ADX319" s="6"/>
      <c r="ADY319" s="6"/>
      <c r="ADZ319" s="6"/>
      <c r="AEA319" s="6"/>
      <c r="AEB319" s="6"/>
      <c r="AEC319" s="6"/>
      <c r="AED319" s="6"/>
      <c r="AEE319" s="6"/>
      <c r="AEF319" s="6"/>
      <c r="AEG319" s="6"/>
      <c r="AEH319" s="6"/>
      <c r="AEI319" s="6"/>
      <c r="AEJ319" s="6"/>
      <c r="AEK319" s="6"/>
      <c r="AEL319" s="6"/>
      <c r="AEM319" s="6"/>
      <c r="AEN319" s="6"/>
      <c r="AEO319" s="6"/>
      <c r="AEP319" s="6"/>
      <c r="AEQ319" s="6"/>
      <c r="AER319" s="6"/>
      <c r="AES319" s="6"/>
      <c r="AET319" s="6"/>
      <c r="AEU319" s="6"/>
      <c r="AEV319" s="6"/>
      <c r="AEW319" s="6"/>
      <c r="AEX319" s="6"/>
      <c r="AEY319" s="6"/>
      <c r="AEZ319" s="6"/>
      <c r="AFA319" s="6"/>
      <c r="AFB319" s="6"/>
      <c r="AFC319" s="6"/>
      <c r="AFD319" s="6"/>
      <c r="AFE319" s="6"/>
      <c r="AFF319" s="6"/>
      <c r="AFG319" s="6"/>
      <c r="AFH319" s="6"/>
      <c r="AFI319" s="6"/>
      <c r="AFJ319" s="6"/>
      <c r="AFK319" s="6"/>
      <c r="AFL319" s="6"/>
      <c r="AFM319" s="6"/>
      <c r="AFN319" s="6"/>
      <c r="AFO319" s="6"/>
      <c r="AFP319" s="6"/>
      <c r="AFQ319" s="6"/>
      <c r="AFR319" s="6"/>
      <c r="AFS319" s="6"/>
      <c r="AFT319" s="6"/>
      <c r="AFU319" s="6"/>
      <c r="AFV319" s="6"/>
      <c r="AFW319" s="6"/>
      <c r="AFX319" s="6"/>
      <c r="AFY319" s="6"/>
      <c r="AFZ319" s="6"/>
      <c r="AGA319" s="6"/>
      <c r="AGB319" s="6"/>
      <c r="AGC319" s="6"/>
      <c r="AGD319" s="6"/>
      <c r="AGE319" s="6"/>
      <c r="AGF319" s="6"/>
      <c r="AGG319" s="6"/>
      <c r="AGH319" s="6"/>
      <c r="AGI319" s="6"/>
      <c r="AGJ319" s="6"/>
      <c r="AGK319" s="6"/>
      <c r="AGL319" s="6"/>
      <c r="AGM319" s="6"/>
      <c r="AGN319" s="6"/>
      <c r="AGO319" s="6"/>
      <c r="AGP319" s="6"/>
      <c r="AGQ319" s="6"/>
      <c r="AGR319" s="6"/>
      <c r="AGS319" s="6"/>
      <c r="AGT319" s="6"/>
      <c r="AGU319" s="6"/>
      <c r="AGV319" s="6"/>
      <c r="AGW319" s="6"/>
      <c r="AGX319" s="6"/>
      <c r="AGY319" s="6"/>
      <c r="AGZ319" s="6"/>
      <c r="AHA319" s="6"/>
      <c r="AHB319" s="6"/>
      <c r="AHC319" s="6"/>
      <c r="AHD319" s="6"/>
      <c r="AHE319" s="6"/>
      <c r="AHF319" s="6"/>
      <c r="AHG319" s="6"/>
      <c r="AHH319" s="6"/>
      <c r="AHI319" s="6"/>
      <c r="AHJ319" s="6"/>
      <c r="AHK319" s="6"/>
      <c r="AHL319" s="6"/>
      <c r="AHM319" s="6"/>
      <c r="AHN319" s="6"/>
      <c r="AHO319" s="6"/>
      <c r="AHP319" s="6"/>
      <c r="AHQ319" s="6"/>
      <c r="AHR319" s="6"/>
      <c r="AHS319" s="6"/>
      <c r="AHT319" s="6"/>
      <c r="AHU319" s="6"/>
      <c r="AHV319" s="6"/>
      <c r="AHW319" s="6"/>
      <c r="AHX319" s="6"/>
      <c r="AHY319" s="6"/>
      <c r="AHZ319" s="6"/>
      <c r="AIA319" s="6"/>
      <c r="AIB319" s="6"/>
      <c r="AIC319" s="6"/>
      <c r="AID319" s="6"/>
      <c r="AIE319" s="6"/>
      <c r="AIF319" s="6"/>
      <c r="AIG319" s="6"/>
      <c r="AIH319" s="6"/>
      <c r="AII319" s="6"/>
      <c r="AIJ319" s="6"/>
      <c r="AIK319" s="6"/>
      <c r="AIL319" s="6"/>
      <c r="AIM319" s="6"/>
      <c r="AIN319" s="6"/>
      <c r="AIO319" s="6"/>
      <c r="AIP319" s="6"/>
      <c r="AIQ319" s="6"/>
      <c r="AIR319" s="6"/>
      <c r="AIS319" s="6"/>
      <c r="AIT319" s="6"/>
      <c r="AIU319" s="6"/>
      <c r="AIV319" s="6"/>
      <c r="AIW319" s="6"/>
      <c r="AIX319" s="6"/>
      <c r="AIY319" s="6"/>
      <c r="AIZ319" s="6"/>
      <c r="AJA319" s="6"/>
      <c r="AJB319" s="6"/>
      <c r="AJC319" s="6"/>
      <c r="AJD319" s="6"/>
      <c r="AJE319" s="6"/>
      <c r="AJF319" s="6"/>
      <c r="AJG319" s="6"/>
      <c r="AJH319" s="6"/>
      <c r="AJI319" s="6"/>
      <c r="AJJ319" s="6"/>
      <c r="AJK319" s="6"/>
      <c r="AJL319" s="6"/>
      <c r="AJM319" s="6"/>
      <c r="AJN319" s="6"/>
      <c r="AJO319" s="6"/>
      <c r="AJP319" s="6"/>
      <c r="AJQ319" s="6"/>
      <c r="AJR319" s="6"/>
      <c r="AJS319" s="6"/>
      <c r="AJT319" s="6"/>
      <c r="AJU319" s="6"/>
      <c r="AJV319" s="6"/>
      <c r="AJW319" s="6"/>
      <c r="AJX319" s="6"/>
      <c r="AJY319" s="6"/>
      <c r="AJZ319" s="6"/>
      <c r="AKA319" s="6"/>
      <c r="AKB319" s="6"/>
      <c r="AKC319" s="6"/>
      <c r="AKD319" s="6"/>
      <c r="AKE319" s="6"/>
      <c r="AKF319" s="6"/>
      <c r="AKG319" s="6"/>
      <c r="AKH319" s="6"/>
      <c r="AKI319" s="6"/>
      <c r="AKJ319" s="6"/>
      <c r="AKK319" s="6"/>
      <c r="AKL319" s="6"/>
      <c r="AKM319" s="6"/>
      <c r="AKN319" s="6"/>
      <c r="AKO319" s="6"/>
      <c r="AKP319" s="6"/>
      <c r="AKQ319" s="6"/>
      <c r="AKR319" s="6"/>
      <c r="AKS319" s="6"/>
      <c r="AKT319" s="6"/>
      <c r="AKU319" s="6"/>
      <c r="AKV319" s="6"/>
      <c r="AKW319" s="6"/>
      <c r="AKX319" s="6"/>
      <c r="AKY319" s="6"/>
      <c r="AKZ319" s="6"/>
      <c r="ALA319" s="6"/>
      <c r="ALB319" s="6"/>
      <c r="ALC319" s="6"/>
      <c r="ALD319" s="6"/>
      <c r="ALE319" s="6"/>
      <c r="ALF319" s="6"/>
      <c r="ALG319" s="6"/>
      <c r="ALH319" s="6"/>
      <c r="ALI319" s="6"/>
      <c r="ALJ319" s="6"/>
      <c r="ALK319" s="6"/>
      <c r="ALL319" s="6"/>
      <c r="ALM319" s="6"/>
      <c r="ALN319" s="6"/>
      <c r="ALO319" s="6"/>
      <c r="ALP319" s="6"/>
      <c r="ALQ319" s="6"/>
      <c r="ALR319" s="6"/>
      <c r="ALS319" s="6"/>
      <c r="ALT319" s="6"/>
      <c r="ALU319" s="6"/>
      <c r="ALV319" s="6"/>
      <c r="ALW319" s="6"/>
      <c r="ALX319" s="6"/>
      <c r="ALY319" s="6"/>
      <c r="ALZ319" s="6"/>
      <c r="AMA319" s="6"/>
      <c r="AMB319" s="6"/>
      <c r="AMC319" s="6"/>
      <c r="AMD319" s="6"/>
      <c r="AME319" s="6"/>
      <c r="AMF319" s="6"/>
      <c r="AMG319" s="6"/>
      <c r="AMH319" s="6"/>
      <c r="AMI319" s="6"/>
      <c r="AMJ319" s="6"/>
      <c r="AMK319" s="6"/>
      <c r="AML319" s="6"/>
      <c r="AMM319" s="6"/>
      <c r="AMN319" s="6"/>
      <c r="AMO319" s="6"/>
      <c r="AMP319" s="6"/>
    </row>
    <row r="320" spans="1:1030" x14ac:dyDescent="0.2">
      <c r="A320" s="9" t="str">
        <f t="shared" si="1956"/>
        <v>q80km9_hcmv_5WB1</v>
      </c>
      <c r="B320" s="40" t="s">
        <v>1507</v>
      </c>
      <c r="C320" s="9" t="s">
        <v>1509</v>
      </c>
      <c r="D320" s="9" t="str">
        <f>IFERROR(MID(VLOOKUP($B320,Seqs!$A:$B,2,0),E320,1),"")</f>
        <v>F</v>
      </c>
      <c r="E320" s="9">
        <v>25</v>
      </c>
      <c r="F320" s="9" t="str">
        <f>IFERROR(MID(VLOOKUP($B320,Seqs!$A:$B,2,0),G320,1),"")</f>
        <v>W</v>
      </c>
      <c r="G320" s="9">
        <v>60</v>
      </c>
      <c r="H320" s="9" t="str">
        <f>IFERROR(MID(VLOOKUP($B320,Seqs!$A:$B,2,0),I320,1),"")</f>
        <v/>
      </c>
      <c r="I320" s="109" t="s">
        <v>23</v>
      </c>
      <c r="J320" s="9" t="str">
        <f>IFERROR(MID(VLOOKUP($B320,Seqs!$A:$B,2,0),K320,1),"")</f>
        <v/>
      </c>
      <c r="K320" s="109" t="s">
        <v>23</v>
      </c>
      <c r="L320" s="9" t="str">
        <f>IFERROR(MID(VLOOKUP($B320,Seqs!$A:$B,2,0),M320,1),"")</f>
        <v>C</v>
      </c>
      <c r="M320" s="9">
        <v>66</v>
      </c>
      <c r="N320" s="9" t="str">
        <f>IFERROR(MID(VLOOKUP($B320,Seqs!$A:$B,2,0),O320,1),"")</f>
        <v>D</v>
      </c>
      <c r="O320" s="9">
        <v>95</v>
      </c>
      <c r="P320" s="9" t="str">
        <f>IFERROR(MID(VLOOKUP($B320,Seqs!$A:$B,2,0),Q320,1),"")</f>
        <v/>
      </c>
      <c r="Q320" s="9" t="s">
        <v>23</v>
      </c>
      <c r="R320" s="9" t="str">
        <f>IFERROR(MID(VLOOKUP($B320,Seqs!$A:$B,2,0),S320,1),"")</f>
        <v/>
      </c>
      <c r="S320" s="9" t="s">
        <v>23</v>
      </c>
      <c r="T320" s="9" t="str">
        <f>IFERROR(MID(VLOOKUP($B320,Seqs!$A:$B,2,0),U320,1),"")</f>
        <v>A</v>
      </c>
      <c r="U320" s="9">
        <v>100</v>
      </c>
      <c r="V320" s="9" t="str">
        <f>IFERROR(MID(VLOOKUP($B320,Seqs!$A:$B,2,0),W320,1),"")</f>
        <v>V</v>
      </c>
      <c r="W320" s="9">
        <v>134</v>
      </c>
      <c r="X320" s="9" t="str">
        <f>IFERROR(MID(VLOOKUP($B320,Seqs!$A:$B,2,0),Y320,1),"")</f>
        <v/>
      </c>
      <c r="Y320" s="9" t="s">
        <v>23</v>
      </c>
      <c r="Z320" s="9" t="str">
        <f>IFERROR(MID(VLOOKUP($B320,Seqs!$A:$B,2,0),AA320,1),"")</f>
        <v/>
      </c>
      <c r="AA320" s="9" t="s">
        <v>23</v>
      </c>
      <c r="AB320" s="9" t="str">
        <f>IFERROR(MID(VLOOKUP($B320,Seqs!$A:$B,2,0),AC320,1),"")</f>
        <v>P</v>
      </c>
      <c r="AC320" s="9">
        <v>140</v>
      </c>
      <c r="AD320" s="9" t="str">
        <f>IFERROR(MID(VLOOKUP($B320,Seqs!$A:$B,2,0),AE320,1),"")</f>
        <v>M</v>
      </c>
      <c r="AE320" s="9">
        <v>164</v>
      </c>
      <c r="AF320" s="9" t="str">
        <f>IFERROR(MID(VLOOKUP($B320,Seqs!$A:$B,2,0),AG320,1),"")</f>
        <v>C</v>
      </c>
      <c r="AG320" s="9">
        <v>173</v>
      </c>
      <c r="AH320" s="9" t="str">
        <f>IFERROR(MID(VLOOKUP($B320,Seqs!$A:$B,2,0),AI320,1),"")</f>
        <v>T</v>
      </c>
      <c r="AI320" s="9">
        <v>175</v>
      </c>
      <c r="AJ320" s="9" t="str">
        <f>IFERROR(MID(VLOOKUP($B320,Seqs!$A:$B,2,0),AK320,1),"")</f>
        <v>S</v>
      </c>
      <c r="AK320" s="9">
        <v>183</v>
      </c>
      <c r="AL320" s="9" t="str">
        <f>IFERROR(MID(VLOOKUP($B320,Seqs!$A:$B,2,0),AM320,1),"")</f>
        <v>S</v>
      </c>
      <c r="AM320" s="9">
        <v>218</v>
      </c>
      <c r="AN320" s="9" t="str">
        <f>IFERROR(MID(VLOOKUP($B320,Seqs!$A:$B,2,0),AO320,1),"")</f>
        <v>H</v>
      </c>
      <c r="AO320" s="9">
        <v>222</v>
      </c>
      <c r="AP320" s="9" t="str">
        <f>IFERROR(MID(VLOOKUP($B320,Seqs!$A:$B,2,0),AQ320,1),"")</f>
        <v>K</v>
      </c>
      <c r="AQ320" s="9">
        <v>257</v>
      </c>
      <c r="AR320" s="9" t="str">
        <f>IFERROR(MID(VLOOKUP($B320,Seqs!$A:$B,2,0),AS320,1),"")</f>
        <v>S</v>
      </c>
      <c r="AS320" s="9">
        <v>262</v>
      </c>
      <c r="AT320" s="9" t="str">
        <f>IFERROR(MID(VLOOKUP($B320,Seqs!$A:$B,2,0),AU320,1),"")</f>
        <v>V</v>
      </c>
      <c r="AU320" s="9">
        <v>294</v>
      </c>
      <c r="AV320" s="9" t="str">
        <f>IFERROR(MID(VLOOKUP($B320,Seqs!$A:$B,2,0),AW320,1),"")</f>
        <v>G</v>
      </c>
      <c r="AW320" s="9">
        <v>295</v>
      </c>
      <c r="AX320" s="9" t="str">
        <f>IFERROR(MID(VLOOKUP($B320,Seqs!$A:$B,2,0),AY320,1),"")</f>
        <v>R</v>
      </c>
      <c r="AY320" s="9">
        <v>310</v>
      </c>
      <c r="AZ320" s="110" t="str">
        <f>VLOOKUP(B320,Classification!A:D,2,0)</f>
        <v>A</v>
      </c>
      <c r="BA320" s="98" t="str">
        <f>VLOOKUP(B320,Classification!A:D,4,0)</f>
        <v>Chemokine</v>
      </c>
      <c r="BB320" s="36" t="b">
        <f t="shared" si="1929"/>
        <v>1</v>
      </c>
      <c r="BC320" s="109">
        <f t="shared" si="1930"/>
        <v>253</v>
      </c>
      <c r="BD320" s="11" t="s">
        <v>1375</v>
      </c>
      <c r="BE320" s="9" t="s">
        <v>1291</v>
      </c>
      <c r="BF320" s="120">
        <v>3.51</v>
      </c>
      <c r="BG320" s="51" t="s">
        <v>1</v>
      </c>
      <c r="BH320" s="51" t="s">
        <v>1</v>
      </c>
      <c r="BI320" s="12"/>
      <c r="BJ320" s="111" t="s">
        <v>1287</v>
      </c>
      <c r="BK320" s="112" t="s">
        <v>1287</v>
      </c>
      <c r="BL320" s="112" t="s">
        <v>1287</v>
      </c>
      <c r="BM320" s="112" t="s">
        <v>1287</v>
      </c>
      <c r="BN320" s="112" t="s">
        <v>1287</v>
      </c>
      <c r="BO320" s="112" t="s">
        <v>1287</v>
      </c>
      <c r="BP320" s="112" t="s">
        <v>1287</v>
      </c>
      <c r="BQ320" s="112" t="s">
        <v>1287</v>
      </c>
      <c r="BR320" s="112" t="s">
        <v>1287</v>
      </c>
      <c r="BS320" s="112" t="s">
        <v>1287</v>
      </c>
      <c r="BT320" s="112" t="s">
        <v>1287</v>
      </c>
      <c r="BU320" s="112" t="s">
        <v>1287</v>
      </c>
      <c r="BV320" s="111">
        <f t="shared" si="1931"/>
        <v>25</v>
      </c>
      <c r="BW320" s="113" t="str">
        <f t="shared" si="1932"/>
        <v>-</v>
      </c>
      <c r="BX320" s="114">
        <f t="shared" si="1933"/>
        <v>66</v>
      </c>
      <c r="BY320" s="113" t="str">
        <f t="shared" si="1934"/>
        <v>-</v>
      </c>
      <c r="BZ320" s="114">
        <f t="shared" si="1935"/>
        <v>100</v>
      </c>
      <c r="CA320" s="113" t="str">
        <f t="shared" si="1936"/>
        <v>-</v>
      </c>
      <c r="CB320" s="114">
        <f t="shared" si="1937"/>
        <v>140</v>
      </c>
      <c r="CC320" s="113">
        <f t="shared" si="1938"/>
        <v>173</v>
      </c>
      <c r="CD320" s="114">
        <f t="shared" si="1939"/>
        <v>183</v>
      </c>
      <c r="CE320" s="113">
        <f t="shared" si="1940"/>
        <v>222</v>
      </c>
      <c r="CF320" s="114">
        <f t="shared" si="1941"/>
        <v>262</v>
      </c>
      <c r="CG320" s="113">
        <f t="shared" si="1942"/>
        <v>295</v>
      </c>
      <c r="CH320" s="111">
        <f t="shared" si="1943"/>
        <v>60</v>
      </c>
      <c r="CI320" s="113" t="str">
        <f t="shared" si="1944"/>
        <v>-</v>
      </c>
      <c r="CJ320" s="114">
        <f t="shared" si="1945"/>
        <v>95</v>
      </c>
      <c r="CK320" s="114" t="str">
        <f t="shared" si="1946"/>
        <v>-</v>
      </c>
      <c r="CL320" s="114">
        <f t="shared" si="1947"/>
        <v>134</v>
      </c>
      <c r="CM320" s="114" t="str">
        <f t="shared" si="1948"/>
        <v>-</v>
      </c>
      <c r="CN320" s="114">
        <f t="shared" si="1949"/>
        <v>164</v>
      </c>
      <c r="CO320" s="114">
        <f t="shared" si="1950"/>
        <v>175</v>
      </c>
      <c r="CP320" s="114">
        <f t="shared" si="1951"/>
        <v>218</v>
      </c>
      <c r="CQ320" s="114">
        <f t="shared" si="1952"/>
        <v>257</v>
      </c>
      <c r="CR320" s="114">
        <f t="shared" si="1953"/>
        <v>294</v>
      </c>
      <c r="CS320" s="114">
        <f t="shared" si="1954"/>
        <v>310</v>
      </c>
      <c r="CT320" s="109" t="e">
        <f t="shared" si="1955"/>
        <v>#VALUE!</v>
      </c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  <c r="IU320" s="6"/>
      <c r="IV320" s="6"/>
      <c r="IW320" s="6"/>
      <c r="IX320" s="6"/>
      <c r="IY320" s="6"/>
      <c r="IZ320" s="6"/>
      <c r="JA320" s="6"/>
      <c r="JB320" s="6"/>
      <c r="JC320" s="6"/>
      <c r="JD320" s="6"/>
      <c r="JE320" s="6"/>
      <c r="JF320" s="6"/>
      <c r="JG320" s="6"/>
      <c r="JH320" s="6"/>
      <c r="JI320" s="6"/>
      <c r="JJ320" s="6"/>
      <c r="JK320" s="6"/>
      <c r="JL320" s="6"/>
      <c r="JM320" s="6"/>
      <c r="JN320" s="6"/>
      <c r="JO320" s="6"/>
      <c r="JP320" s="6"/>
      <c r="JQ320" s="6"/>
      <c r="JR320" s="6"/>
      <c r="JS320" s="6"/>
      <c r="JT320" s="6"/>
      <c r="JU320" s="6"/>
      <c r="JV320" s="6"/>
      <c r="JW320" s="6"/>
      <c r="JX320" s="6"/>
      <c r="JY320" s="6"/>
      <c r="JZ320" s="6"/>
      <c r="KA320" s="6"/>
      <c r="KB320" s="6"/>
      <c r="KC320" s="6"/>
      <c r="KD320" s="6"/>
      <c r="KE320" s="6"/>
      <c r="KF320" s="6"/>
      <c r="KG320" s="6"/>
      <c r="KH320" s="6"/>
      <c r="KI320" s="6"/>
      <c r="KJ320" s="6"/>
      <c r="KK320" s="6"/>
      <c r="KL320" s="6"/>
      <c r="KM320" s="6"/>
      <c r="KN320" s="6"/>
      <c r="KO320" s="6"/>
      <c r="KP320" s="6"/>
      <c r="KQ320" s="6"/>
      <c r="KR320" s="6"/>
      <c r="KS320" s="6"/>
      <c r="KT320" s="6"/>
      <c r="KU320" s="6"/>
      <c r="KV320" s="6"/>
      <c r="KW320" s="6"/>
      <c r="KX320" s="6"/>
      <c r="KY320" s="6"/>
      <c r="KZ320" s="6"/>
      <c r="LA320" s="6"/>
      <c r="LB320" s="6"/>
      <c r="LC320" s="6"/>
      <c r="LD320" s="6"/>
      <c r="LE320" s="6"/>
      <c r="LF320" s="6"/>
      <c r="LG320" s="6"/>
      <c r="LH320" s="6"/>
      <c r="LI320" s="6"/>
      <c r="LJ320" s="6"/>
      <c r="LK320" s="6"/>
      <c r="LL320" s="6"/>
      <c r="LM320" s="6"/>
      <c r="LN320" s="6"/>
      <c r="LO320" s="6"/>
      <c r="LP320" s="6"/>
      <c r="LQ320" s="6"/>
      <c r="LR320" s="6"/>
      <c r="LS320" s="6"/>
      <c r="LT320" s="6"/>
      <c r="LU320" s="6"/>
      <c r="LV320" s="6"/>
      <c r="LW320" s="6"/>
      <c r="LX320" s="6"/>
      <c r="LY320" s="6"/>
      <c r="LZ320" s="6"/>
      <c r="MA320" s="6"/>
      <c r="MB320" s="6"/>
      <c r="MC320" s="6"/>
      <c r="MD320" s="6"/>
      <c r="ME320" s="6"/>
      <c r="MF320" s="6"/>
      <c r="MG320" s="6"/>
      <c r="MH320" s="6"/>
      <c r="MI320" s="6"/>
      <c r="MJ320" s="6"/>
      <c r="MK320" s="6"/>
      <c r="ML320" s="6"/>
      <c r="MM320" s="6"/>
      <c r="MN320" s="6"/>
      <c r="MO320" s="6"/>
      <c r="MP320" s="6"/>
      <c r="MQ320" s="6"/>
      <c r="MR320" s="6"/>
      <c r="MS320" s="6"/>
      <c r="MT320" s="6"/>
      <c r="MU320" s="6"/>
      <c r="MV320" s="6"/>
      <c r="MW320" s="6"/>
      <c r="MX320" s="6"/>
      <c r="MY320" s="6"/>
      <c r="MZ320" s="6"/>
      <c r="NA320" s="6"/>
      <c r="NB320" s="6"/>
      <c r="NC320" s="6"/>
      <c r="ND320" s="6"/>
      <c r="NE320" s="6"/>
      <c r="NF320" s="6"/>
      <c r="NG320" s="6"/>
      <c r="NH320" s="6"/>
      <c r="NI320" s="6"/>
      <c r="NJ320" s="6"/>
      <c r="NK320" s="6"/>
      <c r="NL320" s="6"/>
      <c r="NM320" s="6"/>
      <c r="NN320" s="6"/>
      <c r="NO320" s="6"/>
      <c r="NP320" s="6"/>
      <c r="NQ320" s="6"/>
      <c r="NR320" s="6"/>
      <c r="NS320" s="6"/>
      <c r="NT320" s="6"/>
      <c r="NU320" s="6"/>
      <c r="NV320" s="6"/>
      <c r="NW320" s="6"/>
      <c r="NX320" s="6"/>
      <c r="NY320" s="6"/>
      <c r="NZ320" s="6"/>
      <c r="OA320" s="6"/>
      <c r="OB320" s="6"/>
      <c r="OC320" s="6"/>
      <c r="OD320" s="6"/>
      <c r="OE320" s="6"/>
      <c r="OF320" s="6"/>
      <c r="OG320" s="6"/>
      <c r="OH320" s="6"/>
      <c r="OI320" s="6"/>
      <c r="OJ320" s="6"/>
      <c r="OK320" s="6"/>
      <c r="OL320" s="6"/>
      <c r="OM320" s="6"/>
      <c r="ON320" s="6"/>
      <c r="OO320" s="6"/>
      <c r="OP320" s="6"/>
      <c r="OQ320" s="6"/>
      <c r="OR320" s="6"/>
      <c r="OS320" s="6"/>
      <c r="OT320" s="6"/>
      <c r="OU320" s="6"/>
      <c r="OV320" s="6"/>
      <c r="OW320" s="6"/>
      <c r="OX320" s="6"/>
      <c r="OY320" s="6"/>
      <c r="OZ320" s="6"/>
      <c r="PA320" s="6"/>
      <c r="PB320" s="6"/>
      <c r="PC320" s="6"/>
      <c r="PD320" s="6"/>
      <c r="PE320" s="6"/>
      <c r="PF320" s="6"/>
      <c r="PG320" s="6"/>
      <c r="PH320" s="6"/>
      <c r="PI320" s="6"/>
      <c r="PJ320" s="6"/>
      <c r="PK320" s="6"/>
      <c r="PL320" s="6"/>
      <c r="PM320" s="6"/>
      <c r="PN320" s="6"/>
      <c r="PO320" s="6"/>
      <c r="PP320" s="6"/>
      <c r="PQ320" s="6"/>
      <c r="PR320" s="6"/>
      <c r="PS320" s="6"/>
      <c r="PT320" s="6"/>
      <c r="PU320" s="6"/>
      <c r="PV320" s="6"/>
      <c r="PW320" s="6"/>
      <c r="PX320" s="6"/>
      <c r="PY320" s="6"/>
      <c r="PZ320" s="6"/>
      <c r="QA320" s="6"/>
      <c r="QB320" s="6"/>
      <c r="QC320" s="6"/>
      <c r="QD320" s="6"/>
      <c r="QE320" s="6"/>
      <c r="QF320" s="6"/>
      <c r="QG320" s="6"/>
      <c r="QH320" s="6"/>
      <c r="QI320" s="6"/>
      <c r="QJ320" s="6"/>
      <c r="QK320" s="6"/>
      <c r="QL320" s="6"/>
      <c r="QM320" s="6"/>
      <c r="QN320" s="6"/>
      <c r="QO320" s="6"/>
      <c r="QP320" s="6"/>
      <c r="QQ320" s="6"/>
      <c r="QR320" s="6"/>
      <c r="QS320" s="6"/>
      <c r="QT320" s="6"/>
      <c r="QU320" s="6"/>
      <c r="QV320" s="6"/>
      <c r="QW320" s="6"/>
      <c r="QX320" s="6"/>
      <c r="QY320" s="6"/>
      <c r="QZ320" s="6"/>
      <c r="RA320" s="6"/>
      <c r="RB320" s="6"/>
      <c r="RC320" s="6"/>
      <c r="RD320" s="6"/>
      <c r="RE320" s="6"/>
      <c r="RF320" s="6"/>
      <c r="RG320" s="6"/>
      <c r="RH320" s="6"/>
      <c r="RI320" s="6"/>
      <c r="RJ320" s="6"/>
      <c r="RK320" s="6"/>
      <c r="RL320" s="6"/>
      <c r="RM320" s="6"/>
      <c r="RN320" s="6"/>
      <c r="RO320" s="6"/>
      <c r="RP320" s="6"/>
      <c r="RQ320" s="6"/>
      <c r="RR320" s="6"/>
      <c r="RS320" s="6"/>
      <c r="RT320" s="6"/>
      <c r="RU320" s="6"/>
      <c r="RV320" s="6"/>
      <c r="RW320" s="6"/>
      <c r="RX320" s="6"/>
      <c r="RY320" s="6"/>
      <c r="RZ320" s="6"/>
      <c r="SA320" s="6"/>
      <c r="SB320" s="6"/>
      <c r="SC320" s="6"/>
      <c r="SD320" s="6"/>
      <c r="SE320" s="6"/>
      <c r="SF320" s="6"/>
      <c r="SG320" s="6"/>
      <c r="SH320" s="6"/>
      <c r="SI320" s="6"/>
      <c r="SJ320" s="6"/>
      <c r="SK320" s="6"/>
      <c r="SL320" s="6"/>
      <c r="SM320" s="6"/>
      <c r="SN320" s="6"/>
      <c r="SO320" s="6"/>
      <c r="SP320" s="6"/>
      <c r="SQ320" s="6"/>
      <c r="SR320" s="6"/>
      <c r="SS320" s="6"/>
      <c r="ST320" s="6"/>
      <c r="SU320" s="6"/>
      <c r="SV320" s="6"/>
      <c r="SW320" s="6"/>
      <c r="SX320" s="6"/>
      <c r="SY320" s="6"/>
      <c r="SZ320" s="6"/>
      <c r="TA320" s="6"/>
      <c r="TB320" s="6"/>
      <c r="TC320" s="6"/>
      <c r="TD320" s="6"/>
      <c r="TE320" s="6"/>
      <c r="TF320" s="6"/>
      <c r="TG320" s="6"/>
      <c r="TH320" s="6"/>
      <c r="TI320" s="6"/>
      <c r="TJ320" s="6"/>
      <c r="TK320" s="6"/>
      <c r="TL320" s="6"/>
      <c r="TM320" s="6"/>
      <c r="TN320" s="6"/>
      <c r="TO320" s="6"/>
      <c r="TP320" s="6"/>
      <c r="TQ320" s="6"/>
      <c r="TR320" s="6"/>
      <c r="TS320" s="6"/>
      <c r="TT320" s="6"/>
      <c r="TU320" s="6"/>
      <c r="TV320" s="6"/>
      <c r="TW320" s="6"/>
      <c r="TX320" s="6"/>
      <c r="TY320" s="6"/>
      <c r="TZ320" s="6"/>
      <c r="UA320" s="6"/>
      <c r="UB320" s="6"/>
      <c r="UC320" s="6"/>
      <c r="UD320" s="6"/>
      <c r="UE320" s="6"/>
      <c r="UF320" s="6"/>
      <c r="UG320" s="6"/>
      <c r="UH320" s="6"/>
      <c r="UI320" s="6"/>
      <c r="UJ320" s="6"/>
      <c r="UK320" s="6"/>
      <c r="UL320" s="6"/>
      <c r="UM320" s="6"/>
      <c r="UN320" s="6"/>
      <c r="UO320" s="6"/>
      <c r="UP320" s="6"/>
      <c r="UQ320" s="6"/>
      <c r="UR320" s="6"/>
      <c r="US320" s="6"/>
      <c r="UT320" s="6"/>
      <c r="UU320" s="6"/>
      <c r="UV320" s="6"/>
      <c r="UW320" s="6"/>
      <c r="UX320" s="6"/>
      <c r="UY320" s="6"/>
      <c r="UZ320" s="6"/>
      <c r="VA320" s="6"/>
      <c r="VB320" s="6"/>
      <c r="VC320" s="6"/>
      <c r="VD320" s="6"/>
      <c r="VE320" s="6"/>
      <c r="VF320" s="6"/>
      <c r="VG320" s="6"/>
      <c r="VH320" s="6"/>
      <c r="VI320" s="6"/>
      <c r="VJ320" s="6"/>
      <c r="VK320" s="6"/>
      <c r="VL320" s="6"/>
      <c r="VM320" s="6"/>
      <c r="VN320" s="6"/>
      <c r="VO320" s="6"/>
      <c r="VP320" s="6"/>
      <c r="VQ320" s="6"/>
      <c r="VR320" s="6"/>
      <c r="VS320" s="6"/>
      <c r="VT320" s="6"/>
      <c r="VU320" s="6"/>
      <c r="VV320" s="6"/>
      <c r="VW320" s="6"/>
      <c r="VX320" s="6"/>
      <c r="VY320" s="6"/>
      <c r="VZ320" s="6"/>
      <c r="WA320" s="6"/>
      <c r="WB320" s="6"/>
      <c r="WC320" s="6"/>
      <c r="WD320" s="6"/>
      <c r="WE320" s="6"/>
      <c r="WF320" s="6"/>
      <c r="WG320" s="6"/>
      <c r="WH320" s="6"/>
      <c r="WI320" s="6"/>
      <c r="WJ320" s="6"/>
      <c r="WK320" s="6"/>
      <c r="WL320" s="6"/>
      <c r="WM320" s="6"/>
      <c r="WN320" s="6"/>
      <c r="WO320" s="6"/>
      <c r="WP320" s="6"/>
      <c r="WQ320" s="6"/>
      <c r="WR320" s="6"/>
      <c r="WS320" s="6"/>
      <c r="WT320" s="6"/>
      <c r="WU320" s="6"/>
      <c r="WV320" s="6"/>
      <c r="WW320" s="6"/>
      <c r="WX320" s="6"/>
      <c r="WY320" s="6"/>
      <c r="WZ320" s="6"/>
      <c r="XA320" s="6"/>
      <c r="XB320" s="6"/>
      <c r="XC320" s="6"/>
      <c r="XD320" s="6"/>
      <c r="XE320" s="6"/>
      <c r="XF320" s="6"/>
      <c r="XG320" s="6"/>
      <c r="XH320" s="6"/>
      <c r="XI320" s="6"/>
      <c r="XJ320" s="6"/>
      <c r="XK320" s="6"/>
      <c r="XL320" s="6"/>
      <c r="XM320" s="6"/>
      <c r="XN320" s="6"/>
      <c r="XO320" s="6"/>
      <c r="XP320" s="6"/>
      <c r="XQ320" s="6"/>
      <c r="XR320" s="6"/>
      <c r="XS320" s="6"/>
      <c r="XT320" s="6"/>
      <c r="XU320" s="6"/>
      <c r="XV320" s="6"/>
      <c r="XW320" s="6"/>
      <c r="XX320" s="6"/>
      <c r="XY320" s="6"/>
      <c r="XZ320" s="6"/>
      <c r="YA320" s="6"/>
      <c r="YB320" s="6"/>
      <c r="YC320" s="6"/>
      <c r="YD320" s="6"/>
      <c r="YE320" s="6"/>
      <c r="YF320" s="6"/>
      <c r="YG320" s="6"/>
      <c r="YH320" s="6"/>
      <c r="YI320" s="6"/>
      <c r="YJ320" s="6"/>
      <c r="YK320" s="6"/>
      <c r="YL320" s="6"/>
      <c r="YM320" s="6"/>
      <c r="YN320" s="6"/>
      <c r="YO320" s="6"/>
      <c r="YP320" s="6"/>
      <c r="YQ320" s="6"/>
      <c r="YR320" s="6"/>
      <c r="YS320" s="6"/>
      <c r="YT320" s="6"/>
      <c r="YU320" s="6"/>
      <c r="YV320" s="6"/>
      <c r="YW320" s="6"/>
      <c r="YX320" s="6"/>
      <c r="YY320" s="6"/>
      <c r="YZ320" s="6"/>
      <c r="ZA320" s="6"/>
      <c r="ZB320" s="6"/>
      <c r="ZC320" s="6"/>
      <c r="ZD320" s="6"/>
      <c r="ZE320" s="6"/>
      <c r="ZF320" s="6"/>
      <c r="ZG320" s="6"/>
      <c r="ZH320" s="6"/>
      <c r="ZI320" s="6"/>
      <c r="ZJ320" s="6"/>
      <c r="ZK320" s="6"/>
      <c r="ZL320" s="6"/>
      <c r="ZM320" s="6"/>
      <c r="ZN320" s="6"/>
      <c r="ZO320" s="6"/>
      <c r="ZP320" s="6"/>
      <c r="ZQ320" s="6"/>
      <c r="ZR320" s="6"/>
      <c r="ZS320" s="6"/>
      <c r="ZT320" s="6"/>
      <c r="ZU320" s="6"/>
      <c r="ZV320" s="6"/>
      <c r="ZW320" s="6"/>
      <c r="ZX320" s="6"/>
      <c r="ZY320" s="6"/>
      <c r="ZZ320" s="6"/>
      <c r="AAA320" s="6"/>
      <c r="AAB320" s="6"/>
      <c r="AAC320" s="6"/>
      <c r="AAD320" s="6"/>
      <c r="AAE320" s="6"/>
      <c r="AAF320" s="6"/>
      <c r="AAG320" s="6"/>
      <c r="AAH320" s="6"/>
      <c r="AAI320" s="6"/>
      <c r="AAJ320" s="6"/>
      <c r="AAK320" s="6"/>
      <c r="AAL320" s="6"/>
      <c r="AAM320" s="6"/>
      <c r="AAN320" s="6"/>
      <c r="AAO320" s="6"/>
      <c r="AAP320" s="6"/>
      <c r="AAQ320" s="6"/>
      <c r="AAR320" s="6"/>
      <c r="AAS320" s="6"/>
      <c r="AAT320" s="6"/>
      <c r="AAU320" s="6"/>
      <c r="AAV320" s="6"/>
      <c r="AAW320" s="6"/>
      <c r="AAX320" s="6"/>
      <c r="AAY320" s="6"/>
      <c r="AAZ320" s="6"/>
      <c r="ABA320" s="6"/>
      <c r="ABB320" s="6"/>
      <c r="ABC320" s="6"/>
      <c r="ABD320" s="6"/>
      <c r="ABE320" s="6"/>
      <c r="ABF320" s="6"/>
      <c r="ABG320" s="6"/>
      <c r="ABH320" s="6"/>
      <c r="ABI320" s="6"/>
      <c r="ABJ320" s="6"/>
      <c r="ABK320" s="6"/>
      <c r="ABL320" s="6"/>
      <c r="ABM320" s="6"/>
      <c r="ABN320" s="6"/>
      <c r="ABO320" s="6"/>
      <c r="ABP320" s="6"/>
      <c r="ABQ320" s="6"/>
      <c r="ABR320" s="6"/>
      <c r="ABS320" s="6"/>
      <c r="ABT320" s="6"/>
      <c r="ABU320" s="6"/>
      <c r="ABV320" s="6"/>
      <c r="ABW320" s="6"/>
      <c r="ABX320" s="6"/>
      <c r="ABY320" s="6"/>
      <c r="ABZ320" s="6"/>
      <c r="ACA320" s="6"/>
      <c r="ACB320" s="6"/>
      <c r="ACC320" s="6"/>
      <c r="ACD320" s="6"/>
      <c r="ACE320" s="6"/>
      <c r="ACF320" s="6"/>
      <c r="ACG320" s="6"/>
      <c r="ACH320" s="6"/>
      <c r="ACI320" s="6"/>
      <c r="ACJ320" s="6"/>
      <c r="ACK320" s="6"/>
      <c r="ACL320" s="6"/>
      <c r="ACM320" s="6"/>
      <c r="ACN320" s="6"/>
      <c r="ACO320" s="6"/>
      <c r="ACP320" s="6"/>
      <c r="ACQ320" s="6"/>
      <c r="ACR320" s="6"/>
      <c r="ACS320" s="6"/>
      <c r="ACT320" s="6"/>
      <c r="ACU320" s="6"/>
      <c r="ACV320" s="6"/>
      <c r="ACW320" s="6"/>
      <c r="ACX320" s="6"/>
      <c r="ACY320" s="6"/>
      <c r="ACZ320" s="6"/>
      <c r="ADA320" s="6"/>
      <c r="ADB320" s="6"/>
      <c r="ADC320" s="6"/>
      <c r="ADD320" s="6"/>
      <c r="ADE320" s="6"/>
      <c r="ADF320" s="6"/>
      <c r="ADG320" s="6"/>
      <c r="ADH320" s="6"/>
      <c r="ADI320" s="6"/>
      <c r="ADJ320" s="6"/>
      <c r="ADK320" s="6"/>
      <c r="ADL320" s="6"/>
      <c r="ADM320" s="6"/>
      <c r="ADN320" s="6"/>
      <c r="ADO320" s="6"/>
      <c r="ADP320" s="6"/>
      <c r="ADQ320" s="6"/>
      <c r="ADR320" s="6"/>
      <c r="ADS320" s="6"/>
      <c r="ADT320" s="6"/>
      <c r="ADU320" s="6"/>
      <c r="ADV320" s="6"/>
      <c r="ADW320" s="6"/>
      <c r="ADX320" s="6"/>
      <c r="ADY320" s="6"/>
      <c r="ADZ320" s="6"/>
      <c r="AEA320" s="6"/>
      <c r="AEB320" s="6"/>
      <c r="AEC320" s="6"/>
      <c r="AED320" s="6"/>
      <c r="AEE320" s="6"/>
      <c r="AEF320" s="6"/>
      <c r="AEG320" s="6"/>
      <c r="AEH320" s="6"/>
      <c r="AEI320" s="6"/>
      <c r="AEJ320" s="6"/>
      <c r="AEK320" s="6"/>
      <c r="AEL320" s="6"/>
      <c r="AEM320" s="6"/>
      <c r="AEN320" s="6"/>
      <c r="AEO320" s="6"/>
      <c r="AEP320" s="6"/>
      <c r="AEQ320" s="6"/>
      <c r="AER320" s="6"/>
      <c r="AES320" s="6"/>
      <c r="AET320" s="6"/>
      <c r="AEU320" s="6"/>
      <c r="AEV320" s="6"/>
      <c r="AEW320" s="6"/>
      <c r="AEX320" s="6"/>
      <c r="AEY320" s="6"/>
      <c r="AEZ320" s="6"/>
      <c r="AFA320" s="6"/>
      <c r="AFB320" s="6"/>
      <c r="AFC320" s="6"/>
      <c r="AFD320" s="6"/>
      <c r="AFE320" s="6"/>
      <c r="AFF320" s="6"/>
      <c r="AFG320" s="6"/>
      <c r="AFH320" s="6"/>
      <c r="AFI320" s="6"/>
      <c r="AFJ320" s="6"/>
      <c r="AFK320" s="6"/>
      <c r="AFL320" s="6"/>
      <c r="AFM320" s="6"/>
      <c r="AFN320" s="6"/>
      <c r="AFO320" s="6"/>
      <c r="AFP320" s="6"/>
      <c r="AFQ320" s="6"/>
      <c r="AFR320" s="6"/>
      <c r="AFS320" s="6"/>
      <c r="AFT320" s="6"/>
      <c r="AFU320" s="6"/>
      <c r="AFV320" s="6"/>
      <c r="AFW320" s="6"/>
      <c r="AFX320" s="6"/>
      <c r="AFY320" s="6"/>
      <c r="AFZ320" s="6"/>
      <c r="AGA320" s="6"/>
      <c r="AGB320" s="6"/>
      <c r="AGC320" s="6"/>
      <c r="AGD320" s="6"/>
      <c r="AGE320" s="6"/>
      <c r="AGF320" s="6"/>
      <c r="AGG320" s="6"/>
      <c r="AGH320" s="6"/>
      <c r="AGI320" s="6"/>
      <c r="AGJ320" s="6"/>
      <c r="AGK320" s="6"/>
      <c r="AGL320" s="6"/>
      <c r="AGM320" s="6"/>
      <c r="AGN320" s="6"/>
      <c r="AGO320" s="6"/>
      <c r="AGP320" s="6"/>
      <c r="AGQ320" s="6"/>
      <c r="AGR320" s="6"/>
      <c r="AGS320" s="6"/>
      <c r="AGT320" s="6"/>
      <c r="AGU320" s="6"/>
      <c r="AGV320" s="6"/>
      <c r="AGW320" s="6"/>
      <c r="AGX320" s="6"/>
      <c r="AGY320" s="6"/>
      <c r="AGZ320" s="6"/>
      <c r="AHA320" s="6"/>
      <c r="AHB320" s="6"/>
      <c r="AHC320" s="6"/>
      <c r="AHD320" s="6"/>
      <c r="AHE320" s="6"/>
      <c r="AHF320" s="6"/>
      <c r="AHG320" s="6"/>
      <c r="AHH320" s="6"/>
      <c r="AHI320" s="6"/>
      <c r="AHJ320" s="6"/>
      <c r="AHK320" s="6"/>
      <c r="AHL320" s="6"/>
      <c r="AHM320" s="6"/>
      <c r="AHN320" s="6"/>
      <c r="AHO320" s="6"/>
      <c r="AHP320" s="6"/>
      <c r="AHQ320" s="6"/>
      <c r="AHR320" s="6"/>
      <c r="AHS320" s="6"/>
      <c r="AHT320" s="6"/>
      <c r="AHU320" s="6"/>
      <c r="AHV320" s="6"/>
      <c r="AHW320" s="6"/>
      <c r="AHX320" s="6"/>
      <c r="AHY320" s="6"/>
      <c r="AHZ320" s="6"/>
      <c r="AIA320" s="6"/>
      <c r="AIB320" s="6"/>
      <c r="AIC320" s="6"/>
      <c r="AID320" s="6"/>
      <c r="AIE320" s="6"/>
      <c r="AIF320" s="6"/>
      <c r="AIG320" s="6"/>
      <c r="AIH320" s="6"/>
      <c r="AII320" s="6"/>
      <c r="AIJ320" s="6"/>
      <c r="AIK320" s="6"/>
      <c r="AIL320" s="6"/>
      <c r="AIM320" s="6"/>
      <c r="AIN320" s="6"/>
      <c r="AIO320" s="6"/>
      <c r="AIP320" s="6"/>
      <c r="AIQ320" s="6"/>
      <c r="AIR320" s="6"/>
      <c r="AIS320" s="6"/>
      <c r="AIT320" s="6"/>
      <c r="AIU320" s="6"/>
      <c r="AIV320" s="6"/>
      <c r="AIW320" s="6"/>
      <c r="AIX320" s="6"/>
      <c r="AIY320" s="6"/>
      <c r="AIZ320" s="6"/>
      <c r="AJA320" s="6"/>
      <c r="AJB320" s="6"/>
      <c r="AJC320" s="6"/>
      <c r="AJD320" s="6"/>
      <c r="AJE320" s="6"/>
      <c r="AJF320" s="6"/>
      <c r="AJG320" s="6"/>
      <c r="AJH320" s="6"/>
      <c r="AJI320" s="6"/>
      <c r="AJJ320" s="6"/>
      <c r="AJK320" s="6"/>
      <c r="AJL320" s="6"/>
      <c r="AJM320" s="6"/>
      <c r="AJN320" s="6"/>
      <c r="AJO320" s="6"/>
      <c r="AJP320" s="6"/>
      <c r="AJQ320" s="6"/>
      <c r="AJR320" s="6"/>
      <c r="AJS320" s="6"/>
      <c r="AJT320" s="6"/>
      <c r="AJU320" s="6"/>
      <c r="AJV320" s="6"/>
      <c r="AJW320" s="6"/>
      <c r="AJX320" s="6"/>
      <c r="AJY320" s="6"/>
      <c r="AJZ320" s="6"/>
      <c r="AKA320" s="6"/>
      <c r="AKB320" s="6"/>
      <c r="AKC320" s="6"/>
      <c r="AKD320" s="6"/>
      <c r="AKE320" s="6"/>
      <c r="AKF320" s="6"/>
      <c r="AKG320" s="6"/>
      <c r="AKH320" s="6"/>
      <c r="AKI320" s="6"/>
      <c r="AKJ320" s="6"/>
      <c r="AKK320" s="6"/>
      <c r="AKL320" s="6"/>
      <c r="AKM320" s="6"/>
      <c r="AKN320" s="6"/>
      <c r="AKO320" s="6"/>
      <c r="AKP320" s="6"/>
      <c r="AKQ320" s="6"/>
      <c r="AKR320" s="6"/>
      <c r="AKS320" s="6"/>
      <c r="AKT320" s="6"/>
      <c r="AKU320" s="6"/>
      <c r="AKV320" s="6"/>
      <c r="AKW320" s="6"/>
      <c r="AKX320" s="6"/>
      <c r="AKY320" s="6"/>
      <c r="AKZ320" s="6"/>
      <c r="ALA320" s="6"/>
      <c r="ALB320" s="6"/>
      <c r="ALC320" s="6"/>
      <c r="ALD320" s="6"/>
      <c r="ALE320" s="6"/>
      <c r="ALF320" s="6"/>
      <c r="ALG320" s="6"/>
      <c r="ALH320" s="6"/>
      <c r="ALI320" s="6"/>
      <c r="ALJ320" s="6"/>
      <c r="ALK320" s="6"/>
      <c r="ALL320" s="6"/>
      <c r="ALM320" s="6"/>
      <c r="ALN320" s="6"/>
      <c r="ALO320" s="6"/>
      <c r="ALP320" s="6"/>
      <c r="ALQ320" s="6"/>
      <c r="ALR320" s="6"/>
      <c r="ALS320" s="6"/>
      <c r="ALT320" s="6"/>
      <c r="ALU320" s="6"/>
      <c r="ALV320" s="6"/>
      <c r="ALW320" s="6"/>
      <c r="ALX320" s="6"/>
      <c r="ALY320" s="6"/>
      <c r="ALZ320" s="6"/>
      <c r="AMA320" s="6"/>
      <c r="AMB320" s="6"/>
      <c r="AMC320" s="6"/>
      <c r="AMD320" s="6"/>
      <c r="AME320" s="6"/>
      <c r="AMF320" s="6"/>
      <c r="AMG320" s="6"/>
      <c r="AMH320" s="6"/>
      <c r="AMI320" s="6"/>
      <c r="AMJ320" s="6"/>
      <c r="AMK320" s="6"/>
      <c r="AML320" s="6"/>
      <c r="AMM320" s="6"/>
      <c r="AMN320" s="6"/>
      <c r="AMO320" s="6"/>
      <c r="AMP320" s="6"/>
    </row>
    <row r="321" spans="1:1030" x14ac:dyDescent="0.2">
      <c r="A321" s="9" t="str">
        <f t="shared" si="1956"/>
        <v>q80km9_hcmv_5WB2</v>
      </c>
      <c r="B321" s="40" t="s">
        <v>1507</v>
      </c>
      <c r="C321" s="9" t="s">
        <v>1510</v>
      </c>
      <c r="D321" s="9" t="str">
        <f>IFERROR(MID(VLOOKUP($B321,Seqs!$A:$B,2,0),E321,1),"")</f>
        <v>F</v>
      </c>
      <c r="E321" s="9">
        <v>25</v>
      </c>
      <c r="F321" s="9" t="str">
        <f>IFERROR(MID(VLOOKUP($B321,Seqs!$A:$B,2,0),G321,1),"")</f>
        <v>W</v>
      </c>
      <c r="G321" s="9">
        <v>60</v>
      </c>
      <c r="H321" s="9" t="str">
        <f>IFERROR(MID(VLOOKUP($B321,Seqs!$A:$B,2,0),I321,1),"")</f>
        <v/>
      </c>
      <c r="I321" s="109" t="s">
        <v>23</v>
      </c>
      <c r="J321" s="9" t="str">
        <f>IFERROR(MID(VLOOKUP($B321,Seqs!$A:$B,2,0),K321,1),"")</f>
        <v/>
      </c>
      <c r="K321" s="109" t="s">
        <v>23</v>
      </c>
      <c r="L321" s="9" t="str">
        <f>IFERROR(MID(VLOOKUP($B321,Seqs!$A:$B,2,0),M321,1),"")</f>
        <v>C</v>
      </c>
      <c r="M321" s="9">
        <v>66</v>
      </c>
      <c r="N321" s="9" t="str">
        <f>IFERROR(MID(VLOOKUP($B321,Seqs!$A:$B,2,0),O321,1),"")</f>
        <v>D</v>
      </c>
      <c r="O321" s="9">
        <v>95</v>
      </c>
      <c r="P321" s="9" t="str">
        <f>IFERROR(MID(VLOOKUP($B321,Seqs!$A:$B,2,0),Q321,1),"")</f>
        <v/>
      </c>
      <c r="Q321" s="9" t="s">
        <v>23</v>
      </c>
      <c r="R321" s="9" t="str">
        <f>IFERROR(MID(VLOOKUP($B321,Seqs!$A:$B,2,0),S321,1),"")</f>
        <v/>
      </c>
      <c r="S321" s="9" t="s">
        <v>23</v>
      </c>
      <c r="T321" s="9" t="str">
        <f>IFERROR(MID(VLOOKUP($B321,Seqs!$A:$B,2,0),U321,1),"")</f>
        <v>A</v>
      </c>
      <c r="U321" s="9">
        <v>100</v>
      </c>
      <c r="V321" s="9" t="str">
        <f>IFERROR(MID(VLOOKUP($B321,Seqs!$A:$B,2,0),W321,1),"")</f>
        <v>V</v>
      </c>
      <c r="W321" s="9">
        <v>134</v>
      </c>
      <c r="X321" s="9" t="str">
        <f>IFERROR(MID(VLOOKUP($B321,Seqs!$A:$B,2,0),Y321,1),"")</f>
        <v/>
      </c>
      <c r="Y321" s="9" t="s">
        <v>23</v>
      </c>
      <c r="Z321" s="9" t="str">
        <f>IFERROR(MID(VLOOKUP($B321,Seqs!$A:$B,2,0),AA321,1),"")</f>
        <v/>
      </c>
      <c r="AA321" s="9" t="s">
        <v>23</v>
      </c>
      <c r="AB321" s="9" t="str">
        <f>IFERROR(MID(VLOOKUP($B321,Seqs!$A:$B,2,0),AC321,1),"")</f>
        <v>P</v>
      </c>
      <c r="AC321" s="9">
        <v>140</v>
      </c>
      <c r="AD321" s="9" t="str">
        <f>IFERROR(MID(VLOOKUP($B321,Seqs!$A:$B,2,0),AE321,1),"")</f>
        <v>M</v>
      </c>
      <c r="AE321" s="9">
        <v>164</v>
      </c>
      <c r="AF321" s="9" t="str">
        <f>IFERROR(MID(VLOOKUP($B321,Seqs!$A:$B,2,0),AG321,1),"")</f>
        <v>C</v>
      </c>
      <c r="AG321" s="9">
        <v>173</v>
      </c>
      <c r="AH321" s="9" t="str">
        <f>IFERROR(MID(VLOOKUP($B321,Seqs!$A:$B,2,0),AI321,1),"")</f>
        <v>T</v>
      </c>
      <c r="AI321" s="9">
        <v>175</v>
      </c>
      <c r="AJ321" s="9" t="str">
        <f>IFERROR(MID(VLOOKUP($B321,Seqs!$A:$B,2,0),AK321,1),"")</f>
        <v>S</v>
      </c>
      <c r="AK321" s="9">
        <v>183</v>
      </c>
      <c r="AL321" s="9" t="str">
        <f>IFERROR(MID(VLOOKUP($B321,Seqs!$A:$B,2,0),AM321,1),"")</f>
        <v>S</v>
      </c>
      <c r="AM321" s="9">
        <v>218</v>
      </c>
      <c r="AN321" s="9" t="str">
        <f>IFERROR(MID(VLOOKUP($B321,Seqs!$A:$B,2,0),AO321,1),"")</f>
        <v>H</v>
      </c>
      <c r="AO321" s="9">
        <v>222</v>
      </c>
      <c r="AP321" s="9" t="str">
        <f>IFERROR(MID(VLOOKUP($B321,Seqs!$A:$B,2,0),AQ321,1),"")</f>
        <v>K</v>
      </c>
      <c r="AQ321" s="9">
        <v>257</v>
      </c>
      <c r="AR321" s="9" t="str">
        <f>IFERROR(MID(VLOOKUP($B321,Seqs!$A:$B,2,0),AS321,1),"")</f>
        <v>S</v>
      </c>
      <c r="AS321" s="9">
        <v>262</v>
      </c>
      <c r="AT321" s="9" t="str">
        <f>IFERROR(MID(VLOOKUP($B321,Seqs!$A:$B,2,0),AU321,1),"")</f>
        <v>V</v>
      </c>
      <c r="AU321" s="9">
        <v>294</v>
      </c>
      <c r="AV321" s="9" t="str">
        <f>IFERROR(MID(VLOOKUP($B321,Seqs!$A:$B,2,0),AW321,1),"")</f>
        <v>G</v>
      </c>
      <c r="AW321" s="9">
        <v>295</v>
      </c>
      <c r="AX321" s="9" t="str">
        <f>IFERROR(MID(VLOOKUP($B321,Seqs!$A:$B,2,0),AY321,1),"")</f>
        <v>A</v>
      </c>
      <c r="AY321" s="9">
        <v>307</v>
      </c>
      <c r="AZ321" s="110" t="str">
        <f>VLOOKUP(B321,Classification!A:D,2,0)</f>
        <v>A</v>
      </c>
      <c r="BA321" s="98" t="str">
        <f>VLOOKUP(B321,Classification!A:D,4,0)</f>
        <v>Chemokine</v>
      </c>
      <c r="BB321" s="36" t="b">
        <f t="shared" si="1929"/>
        <v>1</v>
      </c>
      <c r="BC321" s="109">
        <f t="shared" si="1930"/>
        <v>250</v>
      </c>
      <c r="BD321" s="11" t="s">
        <v>23</v>
      </c>
      <c r="BE321" s="9" t="s">
        <v>1291</v>
      </c>
      <c r="BF321" s="120">
        <v>3.5</v>
      </c>
      <c r="BG321" s="51" t="s">
        <v>1</v>
      </c>
      <c r="BH321" s="51" t="s">
        <v>1</v>
      </c>
      <c r="BI321" s="12"/>
      <c r="BJ321" s="111" t="s">
        <v>1287</v>
      </c>
      <c r="BK321" s="112" t="s">
        <v>1287</v>
      </c>
      <c r="BL321" s="112" t="s">
        <v>1287</v>
      </c>
      <c r="BM321" s="112" t="s">
        <v>1287</v>
      </c>
      <c r="BN321" s="112" t="s">
        <v>1287</v>
      </c>
      <c r="BO321" s="112" t="s">
        <v>1287</v>
      </c>
      <c r="BP321" s="112" t="s">
        <v>1287</v>
      </c>
      <c r="BQ321" s="112" t="s">
        <v>1287</v>
      </c>
      <c r="BR321" s="112" t="s">
        <v>1287</v>
      </c>
      <c r="BS321" s="112" t="s">
        <v>1287</v>
      </c>
      <c r="BT321" s="112" t="s">
        <v>1287</v>
      </c>
      <c r="BU321" s="112" t="s">
        <v>1287</v>
      </c>
      <c r="BV321" s="111">
        <f t="shared" si="1931"/>
        <v>25</v>
      </c>
      <c r="BW321" s="113" t="str">
        <f t="shared" si="1932"/>
        <v>-</v>
      </c>
      <c r="BX321" s="114">
        <f t="shared" si="1933"/>
        <v>66</v>
      </c>
      <c r="BY321" s="113" t="str">
        <f t="shared" si="1934"/>
        <v>-</v>
      </c>
      <c r="BZ321" s="114">
        <f t="shared" si="1935"/>
        <v>100</v>
      </c>
      <c r="CA321" s="113" t="str">
        <f t="shared" si="1936"/>
        <v>-</v>
      </c>
      <c r="CB321" s="114">
        <f t="shared" si="1937"/>
        <v>140</v>
      </c>
      <c r="CC321" s="113">
        <f t="shared" si="1938"/>
        <v>173</v>
      </c>
      <c r="CD321" s="114">
        <f t="shared" si="1939"/>
        <v>183</v>
      </c>
      <c r="CE321" s="113">
        <f t="shared" si="1940"/>
        <v>222</v>
      </c>
      <c r="CF321" s="114">
        <f t="shared" si="1941"/>
        <v>262</v>
      </c>
      <c r="CG321" s="113">
        <f t="shared" si="1942"/>
        <v>295</v>
      </c>
      <c r="CH321" s="111">
        <f t="shared" si="1943"/>
        <v>60</v>
      </c>
      <c r="CI321" s="113" t="str">
        <f t="shared" si="1944"/>
        <v>-</v>
      </c>
      <c r="CJ321" s="114">
        <f t="shared" si="1945"/>
        <v>95</v>
      </c>
      <c r="CK321" s="114" t="str">
        <f t="shared" si="1946"/>
        <v>-</v>
      </c>
      <c r="CL321" s="114">
        <f t="shared" si="1947"/>
        <v>134</v>
      </c>
      <c r="CM321" s="114" t="str">
        <f t="shared" si="1948"/>
        <v>-</v>
      </c>
      <c r="CN321" s="114">
        <f t="shared" si="1949"/>
        <v>164</v>
      </c>
      <c r="CO321" s="114">
        <f t="shared" si="1950"/>
        <v>175</v>
      </c>
      <c r="CP321" s="114">
        <f t="shared" si="1951"/>
        <v>218</v>
      </c>
      <c r="CQ321" s="114">
        <f t="shared" si="1952"/>
        <v>257</v>
      </c>
      <c r="CR321" s="114">
        <f t="shared" si="1953"/>
        <v>294</v>
      </c>
      <c r="CS321" s="114">
        <f t="shared" si="1954"/>
        <v>307</v>
      </c>
      <c r="CT321" s="109" t="e">
        <f t="shared" si="1955"/>
        <v>#VALUE!</v>
      </c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Q321" s="6"/>
      <c r="KR321" s="6"/>
      <c r="KS321" s="6"/>
      <c r="KT321" s="6"/>
      <c r="KU321" s="6"/>
      <c r="KV321" s="6"/>
      <c r="KW321" s="6"/>
      <c r="KX321" s="6"/>
      <c r="KY321" s="6"/>
      <c r="KZ321" s="6"/>
      <c r="LA321" s="6"/>
      <c r="LB321" s="6"/>
      <c r="LC321" s="6"/>
      <c r="LD321" s="6"/>
      <c r="LE321" s="6"/>
      <c r="LF321" s="6"/>
      <c r="LG321" s="6"/>
      <c r="LH321" s="6"/>
      <c r="LI321" s="6"/>
      <c r="LJ321" s="6"/>
      <c r="LK321" s="6"/>
      <c r="LL321" s="6"/>
      <c r="LM321" s="6"/>
      <c r="LN321" s="6"/>
      <c r="LO321" s="6"/>
      <c r="LP321" s="6"/>
      <c r="LQ321" s="6"/>
      <c r="LR321" s="6"/>
      <c r="LS321" s="6"/>
      <c r="LT321" s="6"/>
      <c r="LU321" s="6"/>
      <c r="LV321" s="6"/>
      <c r="LW321" s="6"/>
      <c r="LX321" s="6"/>
      <c r="LY321" s="6"/>
      <c r="LZ321" s="6"/>
      <c r="MA321" s="6"/>
      <c r="MB321" s="6"/>
      <c r="MC321" s="6"/>
      <c r="MD321" s="6"/>
      <c r="ME321" s="6"/>
      <c r="MF321" s="6"/>
      <c r="MG321" s="6"/>
      <c r="MH321" s="6"/>
      <c r="MI321" s="6"/>
      <c r="MJ321" s="6"/>
      <c r="MK321" s="6"/>
      <c r="ML321" s="6"/>
      <c r="MM321" s="6"/>
      <c r="MN321" s="6"/>
      <c r="MO321" s="6"/>
      <c r="MP321" s="6"/>
      <c r="MQ321" s="6"/>
      <c r="MR321" s="6"/>
      <c r="MS321" s="6"/>
      <c r="MT321" s="6"/>
      <c r="MU321" s="6"/>
      <c r="MV321" s="6"/>
      <c r="MW321" s="6"/>
      <c r="MX321" s="6"/>
      <c r="MY321" s="6"/>
      <c r="MZ321" s="6"/>
      <c r="NA321" s="6"/>
      <c r="NB321" s="6"/>
      <c r="NC321" s="6"/>
      <c r="ND321" s="6"/>
      <c r="NE321" s="6"/>
      <c r="NF321" s="6"/>
      <c r="NG321" s="6"/>
      <c r="NH321" s="6"/>
      <c r="NI321" s="6"/>
      <c r="NJ321" s="6"/>
      <c r="NK321" s="6"/>
      <c r="NL321" s="6"/>
      <c r="NM321" s="6"/>
      <c r="NN321" s="6"/>
      <c r="NO321" s="6"/>
      <c r="NP321" s="6"/>
      <c r="NQ321" s="6"/>
      <c r="NR321" s="6"/>
      <c r="NS321" s="6"/>
      <c r="NT321" s="6"/>
      <c r="NU321" s="6"/>
      <c r="NV321" s="6"/>
      <c r="NW321" s="6"/>
      <c r="NX321" s="6"/>
      <c r="NY321" s="6"/>
      <c r="NZ321" s="6"/>
      <c r="OA321" s="6"/>
      <c r="OB321" s="6"/>
      <c r="OC321" s="6"/>
      <c r="OD321" s="6"/>
      <c r="OE321" s="6"/>
      <c r="OF321" s="6"/>
      <c r="OG321" s="6"/>
      <c r="OH321" s="6"/>
      <c r="OI321" s="6"/>
      <c r="OJ321" s="6"/>
      <c r="OK321" s="6"/>
      <c r="OL321" s="6"/>
      <c r="OM321" s="6"/>
      <c r="ON321" s="6"/>
      <c r="OO321" s="6"/>
      <c r="OP321" s="6"/>
      <c r="OQ321" s="6"/>
      <c r="OR321" s="6"/>
      <c r="OS321" s="6"/>
      <c r="OT321" s="6"/>
      <c r="OU321" s="6"/>
      <c r="OV321" s="6"/>
      <c r="OW321" s="6"/>
      <c r="OX321" s="6"/>
      <c r="OY321" s="6"/>
      <c r="OZ321" s="6"/>
      <c r="PA321" s="6"/>
      <c r="PB321" s="6"/>
      <c r="PC321" s="6"/>
      <c r="PD321" s="6"/>
      <c r="PE321" s="6"/>
      <c r="PF321" s="6"/>
      <c r="PG321" s="6"/>
      <c r="PH321" s="6"/>
      <c r="PI321" s="6"/>
      <c r="PJ321" s="6"/>
      <c r="PK321" s="6"/>
      <c r="PL321" s="6"/>
      <c r="PM321" s="6"/>
      <c r="PN321" s="6"/>
      <c r="PO321" s="6"/>
      <c r="PP321" s="6"/>
      <c r="PQ321" s="6"/>
      <c r="PR321" s="6"/>
      <c r="PS321" s="6"/>
      <c r="PT321" s="6"/>
      <c r="PU321" s="6"/>
      <c r="PV321" s="6"/>
      <c r="PW321" s="6"/>
      <c r="PX321" s="6"/>
      <c r="PY321" s="6"/>
      <c r="PZ321" s="6"/>
      <c r="QA321" s="6"/>
      <c r="QB321" s="6"/>
      <c r="QC321" s="6"/>
      <c r="QD321" s="6"/>
      <c r="QE321" s="6"/>
      <c r="QF321" s="6"/>
      <c r="QG321" s="6"/>
      <c r="QH321" s="6"/>
      <c r="QI321" s="6"/>
      <c r="QJ321" s="6"/>
      <c r="QK321" s="6"/>
      <c r="QL321" s="6"/>
      <c r="QM321" s="6"/>
      <c r="QN321" s="6"/>
      <c r="QO321" s="6"/>
      <c r="QP321" s="6"/>
      <c r="QQ321" s="6"/>
      <c r="QR321" s="6"/>
      <c r="QS321" s="6"/>
      <c r="QT321" s="6"/>
      <c r="QU321" s="6"/>
      <c r="QV321" s="6"/>
      <c r="QW321" s="6"/>
      <c r="QX321" s="6"/>
      <c r="QY321" s="6"/>
      <c r="QZ321" s="6"/>
      <c r="RA321" s="6"/>
      <c r="RB321" s="6"/>
      <c r="RC321" s="6"/>
      <c r="RD321" s="6"/>
      <c r="RE321" s="6"/>
      <c r="RF321" s="6"/>
      <c r="RG321" s="6"/>
      <c r="RH321" s="6"/>
      <c r="RI321" s="6"/>
      <c r="RJ321" s="6"/>
      <c r="RK321" s="6"/>
      <c r="RL321" s="6"/>
      <c r="RM321" s="6"/>
      <c r="RN321" s="6"/>
      <c r="RO321" s="6"/>
      <c r="RP321" s="6"/>
      <c r="RQ321" s="6"/>
      <c r="RR321" s="6"/>
      <c r="RS321" s="6"/>
      <c r="RT321" s="6"/>
      <c r="RU321" s="6"/>
      <c r="RV321" s="6"/>
      <c r="RW321" s="6"/>
      <c r="RX321" s="6"/>
      <c r="RY321" s="6"/>
      <c r="RZ321" s="6"/>
      <c r="SA321" s="6"/>
      <c r="SB321" s="6"/>
      <c r="SC321" s="6"/>
      <c r="SD321" s="6"/>
      <c r="SE321" s="6"/>
      <c r="SF321" s="6"/>
      <c r="SG321" s="6"/>
      <c r="SH321" s="6"/>
      <c r="SI321" s="6"/>
      <c r="SJ321" s="6"/>
      <c r="SK321" s="6"/>
      <c r="SL321" s="6"/>
      <c r="SM321" s="6"/>
      <c r="SN321" s="6"/>
      <c r="SO321" s="6"/>
      <c r="SP321" s="6"/>
      <c r="SQ321" s="6"/>
      <c r="SR321" s="6"/>
      <c r="SS321" s="6"/>
      <c r="ST321" s="6"/>
      <c r="SU321" s="6"/>
      <c r="SV321" s="6"/>
      <c r="SW321" s="6"/>
      <c r="SX321" s="6"/>
      <c r="SY321" s="6"/>
      <c r="SZ321" s="6"/>
      <c r="TA321" s="6"/>
      <c r="TB321" s="6"/>
      <c r="TC321" s="6"/>
      <c r="TD321" s="6"/>
      <c r="TE321" s="6"/>
      <c r="TF321" s="6"/>
      <c r="TG321" s="6"/>
      <c r="TH321" s="6"/>
      <c r="TI321" s="6"/>
      <c r="TJ321" s="6"/>
      <c r="TK321" s="6"/>
      <c r="TL321" s="6"/>
      <c r="TM321" s="6"/>
      <c r="TN321" s="6"/>
      <c r="TO321" s="6"/>
      <c r="TP321" s="6"/>
      <c r="TQ321" s="6"/>
      <c r="TR321" s="6"/>
      <c r="TS321" s="6"/>
      <c r="TT321" s="6"/>
      <c r="TU321" s="6"/>
      <c r="TV321" s="6"/>
      <c r="TW321" s="6"/>
      <c r="TX321" s="6"/>
      <c r="TY321" s="6"/>
      <c r="TZ321" s="6"/>
      <c r="UA321" s="6"/>
      <c r="UB321" s="6"/>
      <c r="UC321" s="6"/>
      <c r="UD321" s="6"/>
      <c r="UE321" s="6"/>
      <c r="UF321" s="6"/>
      <c r="UG321" s="6"/>
      <c r="UH321" s="6"/>
      <c r="UI321" s="6"/>
      <c r="UJ321" s="6"/>
      <c r="UK321" s="6"/>
      <c r="UL321" s="6"/>
      <c r="UM321" s="6"/>
      <c r="UN321" s="6"/>
      <c r="UO321" s="6"/>
      <c r="UP321" s="6"/>
      <c r="UQ321" s="6"/>
      <c r="UR321" s="6"/>
      <c r="US321" s="6"/>
      <c r="UT321" s="6"/>
      <c r="UU321" s="6"/>
      <c r="UV321" s="6"/>
      <c r="UW321" s="6"/>
      <c r="UX321" s="6"/>
      <c r="UY321" s="6"/>
      <c r="UZ321" s="6"/>
      <c r="VA321" s="6"/>
      <c r="VB321" s="6"/>
      <c r="VC321" s="6"/>
      <c r="VD321" s="6"/>
      <c r="VE321" s="6"/>
      <c r="VF321" s="6"/>
      <c r="VG321" s="6"/>
      <c r="VH321" s="6"/>
      <c r="VI321" s="6"/>
      <c r="VJ321" s="6"/>
      <c r="VK321" s="6"/>
      <c r="VL321" s="6"/>
      <c r="VM321" s="6"/>
      <c r="VN321" s="6"/>
      <c r="VO321" s="6"/>
      <c r="VP321" s="6"/>
      <c r="VQ321" s="6"/>
      <c r="VR321" s="6"/>
      <c r="VS321" s="6"/>
      <c r="VT321" s="6"/>
      <c r="VU321" s="6"/>
      <c r="VV321" s="6"/>
      <c r="VW321" s="6"/>
      <c r="VX321" s="6"/>
      <c r="VY321" s="6"/>
      <c r="VZ321" s="6"/>
      <c r="WA321" s="6"/>
      <c r="WB321" s="6"/>
      <c r="WC321" s="6"/>
      <c r="WD321" s="6"/>
      <c r="WE321" s="6"/>
      <c r="WF321" s="6"/>
      <c r="WG321" s="6"/>
      <c r="WH321" s="6"/>
      <c r="WI321" s="6"/>
      <c r="WJ321" s="6"/>
      <c r="WK321" s="6"/>
      <c r="WL321" s="6"/>
      <c r="WM321" s="6"/>
      <c r="WN321" s="6"/>
      <c r="WO321" s="6"/>
      <c r="WP321" s="6"/>
      <c r="WQ321" s="6"/>
      <c r="WR321" s="6"/>
      <c r="WS321" s="6"/>
      <c r="WT321" s="6"/>
      <c r="WU321" s="6"/>
      <c r="WV321" s="6"/>
      <c r="WW321" s="6"/>
      <c r="WX321" s="6"/>
      <c r="WY321" s="6"/>
      <c r="WZ321" s="6"/>
      <c r="XA321" s="6"/>
      <c r="XB321" s="6"/>
      <c r="XC321" s="6"/>
      <c r="XD321" s="6"/>
      <c r="XE321" s="6"/>
      <c r="XF321" s="6"/>
      <c r="XG321" s="6"/>
      <c r="XH321" s="6"/>
      <c r="XI321" s="6"/>
      <c r="XJ321" s="6"/>
      <c r="XK321" s="6"/>
      <c r="XL321" s="6"/>
      <c r="XM321" s="6"/>
      <c r="XN321" s="6"/>
      <c r="XO321" s="6"/>
      <c r="XP321" s="6"/>
      <c r="XQ321" s="6"/>
      <c r="XR321" s="6"/>
      <c r="XS321" s="6"/>
      <c r="XT321" s="6"/>
      <c r="XU321" s="6"/>
      <c r="XV321" s="6"/>
      <c r="XW321" s="6"/>
      <c r="XX321" s="6"/>
      <c r="XY321" s="6"/>
      <c r="XZ321" s="6"/>
      <c r="YA321" s="6"/>
      <c r="YB321" s="6"/>
      <c r="YC321" s="6"/>
      <c r="YD321" s="6"/>
      <c r="YE321" s="6"/>
      <c r="YF321" s="6"/>
      <c r="YG321" s="6"/>
      <c r="YH321" s="6"/>
      <c r="YI321" s="6"/>
      <c r="YJ321" s="6"/>
      <c r="YK321" s="6"/>
      <c r="YL321" s="6"/>
      <c r="YM321" s="6"/>
      <c r="YN321" s="6"/>
      <c r="YO321" s="6"/>
      <c r="YP321" s="6"/>
      <c r="YQ321" s="6"/>
      <c r="YR321" s="6"/>
      <c r="YS321" s="6"/>
      <c r="YT321" s="6"/>
      <c r="YU321" s="6"/>
      <c r="YV321" s="6"/>
      <c r="YW321" s="6"/>
      <c r="YX321" s="6"/>
      <c r="YY321" s="6"/>
      <c r="YZ321" s="6"/>
      <c r="ZA321" s="6"/>
      <c r="ZB321" s="6"/>
      <c r="ZC321" s="6"/>
      <c r="ZD321" s="6"/>
      <c r="ZE321" s="6"/>
      <c r="ZF321" s="6"/>
      <c r="ZG321" s="6"/>
      <c r="ZH321" s="6"/>
      <c r="ZI321" s="6"/>
      <c r="ZJ321" s="6"/>
      <c r="ZK321" s="6"/>
      <c r="ZL321" s="6"/>
      <c r="ZM321" s="6"/>
      <c r="ZN321" s="6"/>
      <c r="ZO321" s="6"/>
      <c r="ZP321" s="6"/>
      <c r="ZQ321" s="6"/>
      <c r="ZR321" s="6"/>
      <c r="ZS321" s="6"/>
      <c r="ZT321" s="6"/>
      <c r="ZU321" s="6"/>
      <c r="ZV321" s="6"/>
      <c r="ZW321" s="6"/>
      <c r="ZX321" s="6"/>
      <c r="ZY321" s="6"/>
      <c r="ZZ321" s="6"/>
      <c r="AAA321" s="6"/>
      <c r="AAB321" s="6"/>
      <c r="AAC321" s="6"/>
      <c r="AAD321" s="6"/>
      <c r="AAE321" s="6"/>
      <c r="AAF321" s="6"/>
      <c r="AAG321" s="6"/>
      <c r="AAH321" s="6"/>
      <c r="AAI321" s="6"/>
      <c r="AAJ321" s="6"/>
      <c r="AAK321" s="6"/>
      <c r="AAL321" s="6"/>
      <c r="AAM321" s="6"/>
      <c r="AAN321" s="6"/>
      <c r="AAO321" s="6"/>
      <c r="AAP321" s="6"/>
      <c r="AAQ321" s="6"/>
      <c r="AAR321" s="6"/>
      <c r="AAS321" s="6"/>
      <c r="AAT321" s="6"/>
      <c r="AAU321" s="6"/>
      <c r="AAV321" s="6"/>
      <c r="AAW321" s="6"/>
      <c r="AAX321" s="6"/>
      <c r="AAY321" s="6"/>
      <c r="AAZ321" s="6"/>
      <c r="ABA321" s="6"/>
      <c r="ABB321" s="6"/>
      <c r="ABC321" s="6"/>
      <c r="ABD321" s="6"/>
      <c r="ABE321" s="6"/>
      <c r="ABF321" s="6"/>
      <c r="ABG321" s="6"/>
      <c r="ABH321" s="6"/>
      <c r="ABI321" s="6"/>
      <c r="ABJ321" s="6"/>
      <c r="ABK321" s="6"/>
      <c r="ABL321" s="6"/>
      <c r="ABM321" s="6"/>
      <c r="ABN321" s="6"/>
      <c r="ABO321" s="6"/>
      <c r="ABP321" s="6"/>
      <c r="ABQ321" s="6"/>
      <c r="ABR321" s="6"/>
      <c r="ABS321" s="6"/>
      <c r="ABT321" s="6"/>
      <c r="ABU321" s="6"/>
      <c r="ABV321" s="6"/>
      <c r="ABW321" s="6"/>
      <c r="ABX321" s="6"/>
      <c r="ABY321" s="6"/>
      <c r="ABZ321" s="6"/>
      <c r="ACA321" s="6"/>
      <c r="ACB321" s="6"/>
      <c r="ACC321" s="6"/>
      <c r="ACD321" s="6"/>
      <c r="ACE321" s="6"/>
      <c r="ACF321" s="6"/>
      <c r="ACG321" s="6"/>
      <c r="ACH321" s="6"/>
      <c r="ACI321" s="6"/>
      <c r="ACJ321" s="6"/>
      <c r="ACK321" s="6"/>
      <c r="ACL321" s="6"/>
      <c r="ACM321" s="6"/>
      <c r="ACN321" s="6"/>
      <c r="ACO321" s="6"/>
      <c r="ACP321" s="6"/>
      <c r="ACQ321" s="6"/>
      <c r="ACR321" s="6"/>
      <c r="ACS321" s="6"/>
      <c r="ACT321" s="6"/>
      <c r="ACU321" s="6"/>
      <c r="ACV321" s="6"/>
      <c r="ACW321" s="6"/>
      <c r="ACX321" s="6"/>
      <c r="ACY321" s="6"/>
      <c r="ACZ321" s="6"/>
      <c r="ADA321" s="6"/>
      <c r="ADB321" s="6"/>
      <c r="ADC321" s="6"/>
      <c r="ADD321" s="6"/>
      <c r="ADE321" s="6"/>
      <c r="ADF321" s="6"/>
      <c r="ADG321" s="6"/>
      <c r="ADH321" s="6"/>
      <c r="ADI321" s="6"/>
      <c r="ADJ321" s="6"/>
      <c r="ADK321" s="6"/>
      <c r="ADL321" s="6"/>
      <c r="ADM321" s="6"/>
      <c r="ADN321" s="6"/>
      <c r="ADO321" s="6"/>
      <c r="ADP321" s="6"/>
      <c r="ADQ321" s="6"/>
      <c r="ADR321" s="6"/>
      <c r="ADS321" s="6"/>
      <c r="ADT321" s="6"/>
      <c r="ADU321" s="6"/>
      <c r="ADV321" s="6"/>
      <c r="ADW321" s="6"/>
      <c r="ADX321" s="6"/>
      <c r="ADY321" s="6"/>
      <c r="ADZ321" s="6"/>
      <c r="AEA321" s="6"/>
      <c r="AEB321" s="6"/>
      <c r="AEC321" s="6"/>
      <c r="AED321" s="6"/>
      <c r="AEE321" s="6"/>
      <c r="AEF321" s="6"/>
      <c r="AEG321" s="6"/>
      <c r="AEH321" s="6"/>
      <c r="AEI321" s="6"/>
      <c r="AEJ321" s="6"/>
      <c r="AEK321" s="6"/>
      <c r="AEL321" s="6"/>
      <c r="AEM321" s="6"/>
      <c r="AEN321" s="6"/>
      <c r="AEO321" s="6"/>
      <c r="AEP321" s="6"/>
      <c r="AEQ321" s="6"/>
      <c r="AER321" s="6"/>
      <c r="AES321" s="6"/>
      <c r="AET321" s="6"/>
      <c r="AEU321" s="6"/>
      <c r="AEV321" s="6"/>
      <c r="AEW321" s="6"/>
      <c r="AEX321" s="6"/>
      <c r="AEY321" s="6"/>
      <c r="AEZ321" s="6"/>
      <c r="AFA321" s="6"/>
      <c r="AFB321" s="6"/>
      <c r="AFC321" s="6"/>
      <c r="AFD321" s="6"/>
      <c r="AFE321" s="6"/>
      <c r="AFF321" s="6"/>
      <c r="AFG321" s="6"/>
      <c r="AFH321" s="6"/>
      <c r="AFI321" s="6"/>
      <c r="AFJ321" s="6"/>
      <c r="AFK321" s="6"/>
      <c r="AFL321" s="6"/>
      <c r="AFM321" s="6"/>
      <c r="AFN321" s="6"/>
      <c r="AFO321" s="6"/>
      <c r="AFP321" s="6"/>
      <c r="AFQ321" s="6"/>
      <c r="AFR321" s="6"/>
      <c r="AFS321" s="6"/>
      <c r="AFT321" s="6"/>
      <c r="AFU321" s="6"/>
      <c r="AFV321" s="6"/>
      <c r="AFW321" s="6"/>
      <c r="AFX321" s="6"/>
      <c r="AFY321" s="6"/>
      <c r="AFZ321" s="6"/>
      <c r="AGA321" s="6"/>
      <c r="AGB321" s="6"/>
      <c r="AGC321" s="6"/>
      <c r="AGD321" s="6"/>
      <c r="AGE321" s="6"/>
      <c r="AGF321" s="6"/>
      <c r="AGG321" s="6"/>
      <c r="AGH321" s="6"/>
      <c r="AGI321" s="6"/>
      <c r="AGJ321" s="6"/>
      <c r="AGK321" s="6"/>
      <c r="AGL321" s="6"/>
      <c r="AGM321" s="6"/>
      <c r="AGN321" s="6"/>
      <c r="AGO321" s="6"/>
      <c r="AGP321" s="6"/>
      <c r="AGQ321" s="6"/>
      <c r="AGR321" s="6"/>
      <c r="AGS321" s="6"/>
      <c r="AGT321" s="6"/>
      <c r="AGU321" s="6"/>
      <c r="AGV321" s="6"/>
      <c r="AGW321" s="6"/>
      <c r="AGX321" s="6"/>
      <c r="AGY321" s="6"/>
      <c r="AGZ321" s="6"/>
      <c r="AHA321" s="6"/>
      <c r="AHB321" s="6"/>
      <c r="AHC321" s="6"/>
      <c r="AHD321" s="6"/>
      <c r="AHE321" s="6"/>
      <c r="AHF321" s="6"/>
      <c r="AHG321" s="6"/>
      <c r="AHH321" s="6"/>
      <c r="AHI321" s="6"/>
      <c r="AHJ321" s="6"/>
      <c r="AHK321" s="6"/>
      <c r="AHL321" s="6"/>
      <c r="AHM321" s="6"/>
      <c r="AHN321" s="6"/>
      <c r="AHO321" s="6"/>
      <c r="AHP321" s="6"/>
      <c r="AHQ321" s="6"/>
      <c r="AHR321" s="6"/>
      <c r="AHS321" s="6"/>
      <c r="AHT321" s="6"/>
      <c r="AHU321" s="6"/>
      <c r="AHV321" s="6"/>
      <c r="AHW321" s="6"/>
      <c r="AHX321" s="6"/>
      <c r="AHY321" s="6"/>
      <c r="AHZ321" s="6"/>
      <c r="AIA321" s="6"/>
      <c r="AIB321" s="6"/>
      <c r="AIC321" s="6"/>
      <c r="AID321" s="6"/>
      <c r="AIE321" s="6"/>
      <c r="AIF321" s="6"/>
      <c r="AIG321" s="6"/>
      <c r="AIH321" s="6"/>
      <c r="AII321" s="6"/>
      <c r="AIJ321" s="6"/>
      <c r="AIK321" s="6"/>
      <c r="AIL321" s="6"/>
      <c r="AIM321" s="6"/>
      <c r="AIN321" s="6"/>
      <c r="AIO321" s="6"/>
      <c r="AIP321" s="6"/>
      <c r="AIQ321" s="6"/>
      <c r="AIR321" s="6"/>
      <c r="AIS321" s="6"/>
      <c r="AIT321" s="6"/>
      <c r="AIU321" s="6"/>
      <c r="AIV321" s="6"/>
      <c r="AIW321" s="6"/>
      <c r="AIX321" s="6"/>
      <c r="AIY321" s="6"/>
      <c r="AIZ321" s="6"/>
      <c r="AJA321" s="6"/>
      <c r="AJB321" s="6"/>
      <c r="AJC321" s="6"/>
      <c r="AJD321" s="6"/>
      <c r="AJE321" s="6"/>
      <c r="AJF321" s="6"/>
      <c r="AJG321" s="6"/>
      <c r="AJH321" s="6"/>
      <c r="AJI321" s="6"/>
      <c r="AJJ321" s="6"/>
      <c r="AJK321" s="6"/>
      <c r="AJL321" s="6"/>
      <c r="AJM321" s="6"/>
      <c r="AJN321" s="6"/>
      <c r="AJO321" s="6"/>
      <c r="AJP321" s="6"/>
      <c r="AJQ321" s="6"/>
      <c r="AJR321" s="6"/>
      <c r="AJS321" s="6"/>
      <c r="AJT321" s="6"/>
      <c r="AJU321" s="6"/>
      <c r="AJV321" s="6"/>
      <c r="AJW321" s="6"/>
      <c r="AJX321" s="6"/>
      <c r="AJY321" s="6"/>
      <c r="AJZ321" s="6"/>
      <c r="AKA321" s="6"/>
      <c r="AKB321" s="6"/>
      <c r="AKC321" s="6"/>
      <c r="AKD321" s="6"/>
      <c r="AKE321" s="6"/>
      <c r="AKF321" s="6"/>
      <c r="AKG321" s="6"/>
      <c r="AKH321" s="6"/>
      <c r="AKI321" s="6"/>
      <c r="AKJ321" s="6"/>
      <c r="AKK321" s="6"/>
      <c r="AKL321" s="6"/>
      <c r="AKM321" s="6"/>
      <c r="AKN321" s="6"/>
      <c r="AKO321" s="6"/>
      <c r="AKP321" s="6"/>
      <c r="AKQ321" s="6"/>
      <c r="AKR321" s="6"/>
      <c r="AKS321" s="6"/>
      <c r="AKT321" s="6"/>
      <c r="AKU321" s="6"/>
      <c r="AKV321" s="6"/>
      <c r="AKW321" s="6"/>
      <c r="AKX321" s="6"/>
      <c r="AKY321" s="6"/>
      <c r="AKZ321" s="6"/>
      <c r="ALA321" s="6"/>
      <c r="ALB321" s="6"/>
      <c r="ALC321" s="6"/>
      <c r="ALD321" s="6"/>
      <c r="ALE321" s="6"/>
      <c r="ALF321" s="6"/>
      <c r="ALG321" s="6"/>
      <c r="ALH321" s="6"/>
      <c r="ALI321" s="6"/>
      <c r="ALJ321" s="6"/>
      <c r="ALK321" s="6"/>
      <c r="ALL321" s="6"/>
      <c r="ALM321" s="6"/>
      <c r="ALN321" s="6"/>
      <c r="ALO321" s="6"/>
      <c r="ALP321" s="6"/>
      <c r="ALQ321" s="6"/>
      <c r="ALR321" s="6"/>
      <c r="ALS321" s="6"/>
      <c r="ALT321" s="6"/>
      <c r="ALU321" s="6"/>
      <c r="ALV321" s="6"/>
      <c r="ALW321" s="6"/>
      <c r="ALX321" s="6"/>
      <c r="ALY321" s="6"/>
      <c r="ALZ321" s="6"/>
      <c r="AMA321" s="6"/>
      <c r="AMB321" s="6"/>
      <c r="AMC321" s="6"/>
      <c r="AMD321" s="6"/>
      <c r="AME321" s="6"/>
      <c r="AMF321" s="6"/>
      <c r="AMG321" s="6"/>
      <c r="AMH321" s="6"/>
      <c r="AMI321" s="6"/>
      <c r="AMJ321" s="6"/>
      <c r="AMK321" s="6"/>
      <c r="AML321" s="6"/>
      <c r="AMM321" s="6"/>
      <c r="AMN321" s="6"/>
      <c r="AMO321" s="6"/>
      <c r="AMP321" s="6"/>
    </row>
    <row r="322" spans="1:1030" x14ac:dyDescent="0.2">
      <c r="A322" s="9" t="str">
        <f t="shared" ref="A322:A323" si="1957">CONCATENATE(B322,"_",C322)</f>
        <v>ta2r_human__wt</v>
      </c>
      <c r="B322" s="40" t="s">
        <v>473</v>
      </c>
      <c r="C322" s="9" t="s">
        <v>100</v>
      </c>
      <c r="D322" s="9" t="str">
        <f>IFERROR(MID(VLOOKUP($B322,Seqs!$A:$B,2,0),E322,1),"")</f>
        <v>S</v>
      </c>
      <c r="E322" s="9">
        <v>27</v>
      </c>
      <c r="F322" s="9" t="str">
        <f>IFERROR(MID(VLOOKUP($B322,Seqs!$A:$B,2,0),G322,1),"")</f>
        <v>Q</v>
      </c>
      <c r="G322" s="9">
        <v>54</v>
      </c>
      <c r="H322" s="9" t="str">
        <f>IFERROR(MID(VLOOKUP($B322,Seqs!$A:$B,2,0),I322,1),"")</f>
        <v/>
      </c>
      <c r="I322" s="109" t="s">
        <v>23</v>
      </c>
      <c r="J322" s="9" t="str">
        <f>IFERROR(MID(VLOOKUP($B322,Seqs!$A:$B,2,0),K322,1),"")</f>
        <v/>
      </c>
      <c r="K322" s="109" t="s">
        <v>23</v>
      </c>
      <c r="L322" s="9" t="str">
        <f>IFERROR(MID(VLOOKUP($B322,Seqs!$A:$B,2,0),M322,1),"")</f>
        <v>S</v>
      </c>
      <c r="M322" s="9">
        <v>61</v>
      </c>
      <c r="N322" s="9" t="str">
        <f>IFERROR(MID(VLOOKUP($B322,Seqs!$A:$B,2,0),O322,1),"")</f>
        <v>A</v>
      </c>
      <c r="O322" s="9">
        <v>91</v>
      </c>
      <c r="P322" s="9" t="str">
        <f>IFERROR(MID(VLOOKUP($B322,Seqs!$A:$B,2,0),Q322,1),"")</f>
        <v>E</v>
      </c>
      <c r="Q322" s="9">
        <v>94</v>
      </c>
      <c r="R322" s="9" t="str">
        <f>IFERROR(MID(VLOOKUP($B322,Seqs!$A:$B,2,0),S322,1),"")</f>
        <v>V</v>
      </c>
      <c r="S322" s="9">
        <v>98</v>
      </c>
      <c r="T322" s="9" t="str">
        <f>IFERROR(MID(VLOOKUP($B322,Seqs!$A:$B,2,0),U322,1),"")</f>
        <v>C</v>
      </c>
      <c r="U322" s="9">
        <v>102</v>
      </c>
      <c r="V322" s="9" t="str">
        <f>IFERROR(MID(VLOOKUP($B322,Seqs!$A:$B,2,0),W322,1),"")</f>
        <v>R</v>
      </c>
      <c r="W322" s="9">
        <v>136</v>
      </c>
      <c r="X322" s="9" t="str">
        <f>IFERROR(MID(VLOOKUP($B322,Seqs!$A:$B,2,0),Y322,1),"")</f>
        <v>P</v>
      </c>
      <c r="Y322" s="9">
        <v>137</v>
      </c>
      <c r="Z322" s="9" t="str">
        <f>IFERROR(MID(VLOOKUP($B322,Seqs!$A:$B,2,0),AA322,1),"")</f>
        <v>A</v>
      </c>
      <c r="AA322" s="9">
        <v>144</v>
      </c>
      <c r="AB322" s="9" t="str">
        <f>IFERROR(MID(VLOOKUP($B322,Seqs!$A:$B,2,0),AC322,1),"")</f>
        <v>S</v>
      </c>
      <c r="AC322" s="9">
        <v>145</v>
      </c>
      <c r="AD322" s="9" t="str">
        <f>IFERROR(MID(VLOOKUP($B322,Seqs!$A:$B,2,0),AE322,1),"")</f>
        <v>G</v>
      </c>
      <c r="AE322" s="9">
        <v>170</v>
      </c>
      <c r="AF322" s="9" t="str">
        <f>IFERROR(MID(VLOOKUP($B322,Seqs!$A:$B,2,0),AG322,1),"")</f>
        <v>C</v>
      </c>
      <c r="AG322" s="9">
        <v>183</v>
      </c>
      <c r="AH322" s="9" t="str">
        <f>IFERROR(MID(VLOOKUP($B322,Seqs!$A:$B,2,0),AI322,1),"")</f>
        <v>L</v>
      </c>
      <c r="AI322" s="9">
        <v>185</v>
      </c>
      <c r="AJ322" s="9" t="str">
        <f>IFERROR(MID(VLOOKUP($B322,Seqs!$A:$B,2,0),AK322,1),"")</f>
        <v>E</v>
      </c>
      <c r="AK322" s="9">
        <v>190</v>
      </c>
      <c r="AL322" s="9" t="str">
        <f>IFERROR(MID(VLOOKUP($B322,Seqs!$A:$B,2,0),AM322,1),"")</f>
        <v>P</v>
      </c>
      <c r="AM322" s="9">
        <v>236</v>
      </c>
      <c r="AN322" s="9" t="str">
        <f>IFERROR(MID(VLOOKUP($B322,Seqs!$A:$B,2,0),AO322,1),"")</f>
        <v>E</v>
      </c>
      <c r="AO322" s="9">
        <v>240</v>
      </c>
      <c r="AP322" s="9" t="str">
        <f>IFERROR(MID(VLOOKUP($B322,Seqs!$A:$B,2,0),AQ322,1),"")</f>
        <v>R</v>
      </c>
      <c r="AQ322" s="9">
        <v>271</v>
      </c>
      <c r="AR322" s="9" t="str">
        <f>IFERROR(MID(VLOOKUP($B322,Seqs!$A:$B,2,0),AS322,1),"")</f>
        <v>S</v>
      </c>
      <c r="AS322" s="9">
        <v>283</v>
      </c>
      <c r="AT322" s="9" t="str">
        <f>IFERROR(MID(VLOOKUP($B322,Seqs!$A:$B,2,0),AU322,1),"")</f>
        <v>F</v>
      </c>
      <c r="AU322" s="9">
        <v>311</v>
      </c>
      <c r="AV322" s="9" t="str">
        <f>IFERROR(MID(VLOOKUP($B322,Seqs!$A:$B,2,0),AW322,1),"")</f>
        <v>R</v>
      </c>
      <c r="AW322" s="9">
        <v>312</v>
      </c>
      <c r="AX322" s="9" t="str">
        <f>IFERROR(MID(VLOOKUP($B322,Seqs!$A:$B,2,0),AY322,1),"")</f>
        <v>S</v>
      </c>
      <c r="AY322" s="9">
        <v>331</v>
      </c>
      <c r="AZ322" s="110" t="str">
        <f>VLOOKUP(B322,Classification!A:D,2,0)</f>
        <v>A</v>
      </c>
      <c r="BA322" s="98" t="str">
        <f>VLOOKUP(B322,Classification!A:D,4,0)</f>
        <v>Prostanoid</v>
      </c>
      <c r="BB322" s="36" t="b">
        <f t="shared" ref="BB322:BB323" si="1958">AND(E322&lt;G322,OR(G322&lt;I322,I322="-"),OR(I322&lt;K322,I322="-"),OR(K322&lt;M322,K322="-"),M322&lt;O322,OR(O322&lt;Q322,Q322="-"),OR(Q322&lt;S322,Q322="-"),OR(S322&lt;U322,S322="-"),U322&lt;W322,OR(W322&lt;Y322,Y322="-"),OR(Y322&lt;AA322,Y322="-"),OR(AA322&lt;AC322,AA322="-"),AC322&lt;AE322,OR(AE322&lt;AG322,AG322="-"),OR(AG322&lt;AI322,AG322="-"),OR(AI322&lt;AK322,AI322="-"),AK322&lt;AM322,AM322&lt;AO322,AO322&lt;AQ322,AQ322&lt;AS322,AS322&lt;AU322,OR(AU322&lt;AW322,AW322="-"),OR(AW322&lt;AY322,AW322="-"))</f>
        <v>1</v>
      </c>
      <c r="BC322" s="109">
        <f t="shared" ref="BC322:BC323" si="1959">_xlfn.AGGREGATE(9,6,CH322:CS322)-_xlfn.AGGREGATE(9,6,BV322:CG322)+12</f>
        <v>265</v>
      </c>
      <c r="BD322" s="11" t="s">
        <v>23</v>
      </c>
      <c r="BE322" s="9" t="s">
        <v>23</v>
      </c>
      <c r="BF322" s="120" t="s">
        <v>23</v>
      </c>
      <c r="BG322" s="51" t="s">
        <v>1</v>
      </c>
      <c r="BH322" s="51" t="s">
        <v>1</v>
      </c>
      <c r="BI322" s="12"/>
      <c r="BJ322" s="111" t="s">
        <v>1287</v>
      </c>
      <c r="BK322" s="112" t="s">
        <v>1287</v>
      </c>
      <c r="BL322" s="112" t="s">
        <v>1287</v>
      </c>
      <c r="BM322" s="112" t="s">
        <v>1287</v>
      </c>
      <c r="BN322" s="112" t="s">
        <v>1287</v>
      </c>
      <c r="BO322" s="112" t="s">
        <v>1287</v>
      </c>
      <c r="BP322" s="112" t="s">
        <v>1287</v>
      </c>
      <c r="BQ322" s="112" t="s">
        <v>1287</v>
      </c>
      <c r="BR322" s="112" t="s">
        <v>1287</v>
      </c>
      <c r="BS322" s="112" t="s">
        <v>1287</v>
      </c>
      <c r="BT322" s="112" t="s">
        <v>1287</v>
      </c>
      <c r="BU322" s="112" t="s">
        <v>1287</v>
      </c>
      <c r="BV322" s="111">
        <f t="shared" ref="BV322:BV323" si="1960">E322</f>
        <v>27</v>
      </c>
      <c r="BW322" s="113" t="str">
        <f t="shared" ref="BW322:BW323" si="1961">I322</f>
        <v>-</v>
      </c>
      <c r="BX322" s="114">
        <f t="shared" ref="BX322:BX323" si="1962">M322</f>
        <v>61</v>
      </c>
      <c r="BY322" s="113">
        <f t="shared" ref="BY322:BY323" si="1963">Q322</f>
        <v>94</v>
      </c>
      <c r="BZ322" s="114">
        <f t="shared" ref="BZ322:BZ323" si="1964">U322</f>
        <v>102</v>
      </c>
      <c r="CA322" s="113">
        <f t="shared" ref="CA322:CA323" si="1965">Y322</f>
        <v>137</v>
      </c>
      <c r="CB322" s="114">
        <f t="shared" ref="CB322:CB323" si="1966">AC322</f>
        <v>145</v>
      </c>
      <c r="CC322" s="113">
        <f t="shared" ref="CC322:CC323" si="1967">AG322</f>
        <v>183</v>
      </c>
      <c r="CD322" s="114">
        <f t="shared" ref="CD322:CD323" si="1968">AK322</f>
        <v>190</v>
      </c>
      <c r="CE322" s="113">
        <f t="shared" ref="CE322:CE323" si="1969">AO322</f>
        <v>240</v>
      </c>
      <c r="CF322" s="114">
        <f t="shared" ref="CF322:CF323" si="1970">AS322</f>
        <v>283</v>
      </c>
      <c r="CG322" s="113">
        <f t="shared" ref="CG322:CG323" si="1971">AW322</f>
        <v>312</v>
      </c>
      <c r="CH322" s="111">
        <f t="shared" ref="CH322:CH323" si="1972">G322</f>
        <v>54</v>
      </c>
      <c r="CI322" s="113" t="str">
        <f t="shared" ref="CI322:CI323" si="1973">K322</f>
        <v>-</v>
      </c>
      <c r="CJ322" s="114">
        <f t="shared" ref="CJ322:CJ323" si="1974">O322</f>
        <v>91</v>
      </c>
      <c r="CK322" s="114">
        <f t="shared" ref="CK322:CK323" si="1975">S322</f>
        <v>98</v>
      </c>
      <c r="CL322" s="114">
        <f t="shared" ref="CL322:CL323" si="1976">W322</f>
        <v>136</v>
      </c>
      <c r="CM322" s="114">
        <f t="shared" ref="CM322:CM323" si="1977">AA322</f>
        <v>144</v>
      </c>
      <c r="CN322" s="114">
        <f t="shared" ref="CN322:CN323" si="1978">AE322</f>
        <v>170</v>
      </c>
      <c r="CO322" s="114">
        <f t="shared" ref="CO322:CO323" si="1979">AI322</f>
        <v>185</v>
      </c>
      <c r="CP322" s="114">
        <f t="shared" ref="CP322:CP323" si="1980">AM322</f>
        <v>236</v>
      </c>
      <c r="CQ322" s="114">
        <f t="shared" ref="CQ322:CQ323" si="1981">AQ322</f>
        <v>271</v>
      </c>
      <c r="CR322" s="114">
        <f t="shared" ref="CR322:CR323" si="1982">AU322</f>
        <v>311</v>
      </c>
      <c r="CS322" s="114">
        <f t="shared" ref="CS322:CS323" si="1983">AY322</f>
        <v>331</v>
      </c>
      <c r="CT322" s="109" t="e">
        <f t="shared" ref="CT322:CT323" si="1984">M322-K322</f>
        <v>#VALUE!</v>
      </c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6"/>
      <c r="KG322" s="6"/>
      <c r="KH322" s="6"/>
      <c r="KI322" s="6"/>
      <c r="KJ322" s="6"/>
      <c r="KK322" s="6"/>
      <c r="KL322" s="6"/>
      <c r="KM322" s="6"/>
      <c r="KN322" s="6"/>
      <c r="KO322" s="6"/>
      <c r="KP322" s="6"/>
      <c r="KQ322" s="6"/>
      <c r="KR322" s="6"/>
      <c r="KS322" s="6"/>
      <c r="KT322" s="6"/>
      <c r="KU322" s="6"/>
      <c r="KV322" s="6"/>
      <c r="KW322" s="6"/>
      <c r="KX322" s="6"/>
      <c r="KY322" s="6"/>
      <c r="KZ322" s="6"/>
      <c r="LA322" s="6"/>
      <c r="LB322" s="6"/>
      <c r="LC322" s="6"/>
      <c r="LD322" s="6"/>
      <c r="LE322" s="6"/>
      <c r="LF322" s="6"/>
      <c r="LG322" s="6"/>
      <c r="LH322" s="6"/>
      <c r="LI322" s="6"/>
      <c r="LJ322" s="6"/>
      <c r="LK322" s="6"/>
      <c r="LL322" s="6"/>
      <c r="LM322" s="6"/>
      <c r="LN322" s="6"/>
      <c r="LO322" s="6"/>
      <c r="LP322" s="6"/>
      <c r="LQ322" s="6"/>
      <c r="LR322" s="6"/>
      <c r="LS322" s="6"/>
      <c r="LT322" s="6"/>
      <c r="LU322" s="6"/>
      <c r="LV322" s="6"/>
      <c r="LW322" s="6"/>
      <c r="LX322" s="6"/>
      <c r="LY322" s="6"/>
      <c r="LZ322" s="6"/>
      <c r="MA322" s="6"/>
      <c r="MB322" s="6"/>
      <c r="MC322" s="6"/>
      <c r="MD322" s="6"/>
      <c r="ME322" s="6"/>
      <c r="MF322" s="6"/>
      <c r="MG322" s="6"/>
      <c r="MH322" s="6"/>
      <c r="MI322" s="6"/>
      <c r="MJ322" s="6"/>
      <c r="MK322" s="6"/>
      <c r="ML322" s="6"/>
      <c r="MM322" s="6"/>
      <c r="MN322" s="6"/>
      <c r="MO322" s="6"/>
      <c r="MP322" s="6"/>
      <c r="MQ322" s="6"/>
      <c r="MR322" s="6"/>
      <c r="MS322" s="6"/>
      <c r="MT322" s="6"/>
      <c r="MU322" s="6"/>
      <c r="MV322" s="6"/>
      <c r="MW322" s="6"/>
      <c r="MX322" s="6"/>
      <c r="MY322" s="6"/>
      <c r="MZ322" s="6"/>
      <c r="NA322" s="6"/>
      <c r="NB322" s="6"/>
      <c r="NC322" s="6"/>
      <c r="ND322" s="6"/>
      <c r="NE322" s="6"/>
      <c r="NF322" s="6"/>
      <c r="NG322" s="6"/>
      <c r="NH322" s="6"/>
      <c r="NI322" s="6"/>
      <c r="NJ322" s="6"/>
      <c r="NK322" s="6"/>
      <c r="NL322" s="6"/>
      <c r="NM322" s="6"/>
      <c r="NN322" s="6"/>
      <c r="NO322" s="6"/>
      <c r="NP322" s="6"/>
      <c r="NQ322" s="6"/>
      <c r="NR322" s="6"/>
      <c r="NS322" s="6"/>
      <c r="NT322" s="6"/>
      <c r="NU322" s="6"/>
      <c r="NV322" s="6"/>
      <c r="NW322" s="6"/>
      <c r="NX322" s="6"/>
      <c r="NY322" s="6"/>
      <c r="NZ322" s="6"/>
      <c r="OA322" s="6"/>
      <c r="OB322" s="6"/>
      <c r="OC322" s="6"/>
      <c r="OD322" s="6"/>
      <c r="OE322" s="6"/>
      <c r="OF322" s="6"/>
      <c r="OG322" s="6"/>
      <c r="OH322" s="6"/>
      <c r="OI322" s="6"/>
      <c r="OJ322" s="6"/>
      <c r="OK322" s="6"/>
      <c r="OL322" s="6"/>
      <c r="OM322" s="6"/>
      <c r="ON322" s="6"/>
      <c r="OO322" s="6"/>
      <c r="OP322" s="6"/>
      <c r="OQ322" s="6"/>
      <c r="OR322" s="6"/>
      <c r="OS322" s="6"/>
      <c r="OT322" s="6"/>
      <c r="OU322" s="6"/>
      <c r="OV322" s="6"/>
      <c r="OW322" s="6"/>
      <c r="OX322" s="6"/>
      <c r="OY322" s="6"/>
      <c r="OZ322" s="6"/>
      <c r="PA322" s="6"/>
      <c r="PB322" s="6"/>
      <c r="PC322" s="6"/>
      <c r="PD322" s="6"/>
      <c r="PE322" s="6"/>
      <c r="PF322" s="6"/>
      <c r="PG322" s="6"/>
      <c r="PH322" s="6"/>
      <c r="PI322" s="6"/>
      <c r="PJ322" s="6"/>
      <c r="PK322" s="6"/>
      <c r="PL322" s="6"/>
      <c r="PM322" s="6"/>
      <c r="PN322" s="6"/>
      <c r="PO322" s="6"/>
      <c r="PP322" s="6"/>
      <c r="PQ322" s="6"/>
      <c r="PR322" s="6"/>
      <c r="PS322" s="6"/>
      <c r="PT322" s="6"/>
      <c r="PU322" s="6"/>
      <c r="PV322" s="6"/>
      <c r="PW322" s="6"/>
      <c r="PX322" s="6"/>
      <c r="PY322" s="6"/>
      <c r="PZ322" s="6"/>
      <c r="QA322" s="6"/>
      <c r="QB322" s="6"/>
      <c r="QC322" s="6"/>
      <c r="QD322" s="6"/>
      <c r="QE322" s="6"/>
      <c r="QF322" s="6"/>
      <c r="QG322" s="6"/>
      <c r="QH322" s="6"/>
      <c r="QI322" s="6"/>
      <c r="QJ322" s="6"/>
      <c r="QK322" s="6"/>
      <c r="QL322" s="6"/>
      <c r="QM322" s="6"/>
      <c r="QN322" s="6"/>
      <c r="QO322" s="6"/>
      <c r="QP322" s="6"/>
      <c r="QQ322" s="6"/>
      <c r="QR322" s="6"/>
      <c r="QS322" s="6"/>
      <c r="QT322" s="6"/>
      <c r="QU322" s="6"/>
      <c r="QV322" s="6"/>
      <c r="QW322" s="6"/>
      <c r="QX322" s="6"/>
      <c r="QY322" s="6"/>
      <c r="QZ322" s="6"/>
      <c r="RA322" s="6"/>
      <c r="RB322" s="6"/>
      <c r="RC322" s="6"/>
      <c r="RD322" s="6"/>
      <c r="RE322" s="6"/>
      <c r="RF322" s="6"/>
      <c r="RG322" s="6"/>
      <c r="RH322" s="6"/>
      <c r="RI322" s="6"/>
      <c r="RJ322" s="6"/>
      <c r="RK322" s="6"/>
      <c r="RL322" s="6"/>
      <c r="RM322" s="6"/>
      <c r="RN322" s="6"/>
      <c r="RO322" s="6"/>
      <c r="RP322" s="6"/>
      <c r="RQ322" s="6"/>
      <c r="RR322" s="6"/>
      <c r="RS322" s="6"/>
      <c r="RT322" s="6"/>
      <c r="RU322" s="6"/>
      <c r="RV322" s="6"/>
      <c r="RW322" s="6"/>
      <c r="RX322" s="6"/>
      <c r="RY322" s="6"/>
      <c r="RZ322" s="6"/>
      <c r="SA322" s="6"/>
      <c r="SB322" s="6"/>
      <c r="SC322" s="6"/>
      <c r="SD322" s="6"/>
      <c r="SE322" s="6"/>
      <c r="SF322" s="6"/>
      <c r="SG322" s="6"/>
      <c r="SH322" s="6"/>
      <c r="SI322" s="6"/>
      <c r="SJ322" s="6"/>
      <c r="SK322" s="6"/>
      <c r="SL322" s="6"/>
      <c r="SM322" s="6"/>
      <c r="SN322" s="6"/>
      <c r="SO322" s="6"/>
      <c r="SP322" s="6"/>
      <c r="SQ322" s="6"/>
      <c r="SR322" s="6"/>
      <c r="SS322" s="6"/>
      <c r="ST322" s="6"/>
      <c r="SU322" s="6"/>
      <c r="SV322" s="6"/>
      <c r="SW322" s="6"/>
      <c r="SX322" s="6"/>
      <c r="SY322" s="6"/>
      <c r="SZ322" s="6"/>
      <c r="TA322" s="6"/>
      <c r="TB322" s="6"/>
      <c r="TC322" s="6"/>
      <c r="TD322" s="6"/>
      <c r="TE322" s="6"/>
      <c r="TF322" s="6"/>
      <c r="TG322" s="6"/>
      <c r="TH322" s="6"/>
      <c r="TI322" s="6"/>
      <c r="TJ322" s="6"/>
      <c r="TK322" s="6"/>
      <c r="TL322" s="6"/>
      <c r="TM322" s="6"/>
      <c r="TN322" s="6"/>
      <c r="TO322" s="6"/>
      <c r="TP322" s="6"/>
      <c r="TQ322" s="6"/>
      <c r="TR322" s="6"/>
      <c r="TS322" s="6"/>
      <c r="TT322" s="6"/>
      <c r="TU322" s="6"/>
      <c r="TV322" s="6"/>
      <c r="TW322" s="6"/>
      <c r="TX322" s="6"/>
      <c r="TY322" s="6"/>
      <c r="TZ322" s="6"/>
      <c r="UA322" s="6"/>
      <c r="UB322" s="6"/>
      <c r="UC322" s="6"/>
      <c r="UD322" s="6"/>
      <c r="UE322" s="6"/>
      <c r="UF322" s="6"/>
      <c r="UG322" s="6"/>
      <c r="UH322" s="6"/>
      <c r="UI322" s="6"/>
      <c r="UJ322" s="6"/>
      <c r="UK322" s="6"/>
      <c r="UL322" s="6"/>
      <c r="UM322" s="6"/>
      <c r="UN322" s="6"/>
      <c r="UO322" s="6"/>
      <c r="UP322" s="6"/>
      <c r="UQ322" s="6"/>
      <c r="UR322" s="6"/>
      <c r="US322" s="6"/>
      <c r="UT322" s="6"/>
      <c r="UU322" s="6"/>
      <c r="UV322" s="6"/>
      <c r="UW322" s="6"/>
      <c r="UX322" s="6"/>
      <c r="UY322" s="6"/>
      <c r="UZ322" s="6"/>
      <c r="VA322" s="6"/>
      <c r="VB322" s="6"/>
      <c r="VC322" s="6"/>
      <c r="VD322" s="6"/>
      <c r="VE322" s="6"/>
      <c r="VF322" s="6"/>
      <c r="VG322" s="6"/>
      <c r="VH322" s="6"/>
      <c r="VI322" s="6"/>
      <c r="VJ322" s="6"/>
      <c r="VK322" s="6"/>
      <c r="VL322" s="6"/>
      <c r="VM322" s="6"/>
      <c r="VN322" s="6"/>
      <c r="VO322" s="6"/>
      <c r="VP322" s="6"/>
      <c r="VQ322" s="6"/>
      <c r="VR322" s="6"/>
      <c r="VS322" s="6"/>
      <c r="VT322" s="6"/>
      <c r="VU322" s="6"/>
      <c r="VV322" s="6"/>
      <c r="VW322" s="6"/>
      <c r="VX322" s="6"/>
      <c r="VY322" s="6"/>
      <c r="VZ322" s="6"/>
      <c r="WA322" s="6"/>
      <c r="WB322" s="6"/>
      <c r="WC322" s="6"/>
      <c r="WD322" s="6"/>
      <c r="WE322" s="6"/>
      <c r="WF322" s="6"/>
      <c r="WG322" s="6"/>
      <c r="WH322" s="6"/>
      <c r="WI322" s="6"/>
      <c r="WJ322" s="6"/>
      <c r="WK322" s="6"/>
      <c r="WL322" s="6"/>
      <c r="WM322" s="6"/>
      <c r="WN322" s="6"/>
      <c r="WO322" s="6"/>
      <c r="WP322" s="6"/>
      <c r="WQ322" s="6"/>
      <c r="WR322" s="6"/>
      <c r="WS322" s="6"/>
      <c r="WT322" s="6"/>
      <c r="WU322" s="6"/>
      <c r="WV322" s="6"/>
      <c r="WW322" s="6"/>
      <c r="WX322" s="6"/>
      <c r="WY322" s="6"/>
      <c r="WZ322" s="6"/>
      <c r="XA322" s="6"/>
      <c r="XB322" s="6"/>
      <c r="XC322" s="6"/>
      <c r="XD322" s="6"/>
      <c r="XE322" s="6"/>
      <c r="XF322" s="6"/>
      <c r="XG322" s="6"/>
      <c r="XH322" s="6"/>
      <c r="XI322" s="6"/>
      <c r="XJ322" s="6"/>
      <c r="XK322" s="6"/>
      <c r="XL322" s="6"/>
      <c r="XM322" s="6"/>
      <c r="XN322" s="6"/>
      <c r="XO322" s="6"/>
      <c r="XP322" s="6"/>
      <c r="XQ322" s="6"/>
      <c r="XR322" s="6"/>
      <c r="XS322" s="6"/>
      <c r="XT322" s="6"/>
      <c r="XU322" s="6"/>
      <c r="XV322" s="6"/>
      <c r="XW322" s="6"/>
      <c r="XX322" s="6"/>
      <c r="XY322" s="6"/>
      <c r="XZ322" s="6"/>
      <c r="YA322" s="6"/>
      <c r="YB322" s="6"/>
      <c r="YC322" s="6"/>
      <c r="YD322" s="6"/>
      <c r="YE322" s="6"/>
      <c r="YF322" s="6"/>
      <c r="YG322" s="6"/>
      <c r="YH322" s="6"/>
      <c r="YI322" s="6"/>
      <c r="YJ322" s="6"/>
      <c r="YK322" s="6"/>
      <c r="YL322" s="6"/>
      <c r="YM322" s="6"/>
      <c r="YN322" s="6"/>
      <c r="YO322" s="6"/>
      <c r="YP322" s="6"/>
      <c r="YQ322" s="6"/>
      <c r="YR322" s="6"/>
      <c r="YS322" s="6"/>
      <c r="YT322" s="6"/>
      <c r="YU322" s="6"/>
      <c r="YV322" s="6"/>
      <c r="YW322" s="6"/>
      <c r="YX322" s="6"/>
      <c r="YY322" s="6"/>
      <c r="YZ322" s="6"/>
      <c r="ZA322" s="6"/>
      <c r="ZB322" s="6"/>
      <c r="ZC322" s="6"/>
      <c r="ZD322" s="6"/>
      <c r="ZE322" s="6"/>
      <c r="ZF322" s="6"/>
      <c r="ZG322" s="6"/>
      <c r="ZH322" s="6"/>
      <c r="ZI322" s="6"/>
      <c r="ZJ322" s="6"/>
      <c r="ZK322" s="6"/>
      <c r="ZL322" s="6"/>
      <c r="ZM322" s="6"/>
      <c r="ZN322" s="6"/>
      <c r="ZO322" s="6"/>
      <c r="ZP322" s="6"/>
      <c r="ZQ322" s="6"/>
      <c r="ZR322" s="6"/>
      <c r="ZS322" s="6"/>
      <c r="ZT322" s="6"/>
      <c r="ZU322" s="6"/>
      <c r="ZV322" s="6"/>
      <c r="ZW322" s="6"/>
      <c r="ZX322" s="6"/>
      <c r="ZY322" s="6"/>
      <c r="ZZ322" s="6"/>
      <c r="AAA322" s="6"/>
      <c r="AAB322" s="6"/>
      <c r="AAC322" s="6"/>
      <c r="AAD322" s="6"/>
      <c r="AAE322" s="6"/>
      <c r="AAF322" s="6"/>
      <c r="AAG322" s="6"/>
      <c r="AAH322" s="6"/>
      <c r="AAI322" s="6"/>
      <c r="AAJ322" s="6"/>
      <c r="AAK322" s="6"/>
      <c r="AAL322" s="6"/>
      <c r="AAM322" s="6"/>
      <c r="AAN322" s="6"/>
      <c r="AAO322" s="6"/>
      <c r="AAP322" s="6"/>
      <c r="AAQ322" s="6"/>
      <c r="AAR322" s="6"/>
      <c r="AAS322" s="6"/>
      <c r="AAT322" s="6"/>
      <c r="AAU322" s="6"/>
      <c r="AAV322" s="6"/>
      <c r="AAW322" s="6"/>
      <c r="AAX322" s="6"/>
      <c r="AAY322" s="6"/>
      <c r="AAZ322" s="6"/>
      <c r="ABA322" s="6"/>
      <c r="ABB322" s="6"/>
      <c r="ABC322" s="6"/>
      <c r="ABD322" s="6"/>
      <c r="ABE322" s="6"/>
      <c r="ABF322" s="6"/>
      <c r="ABG322" s="6"/>
      <c r="ABH322" s="6"/>
      <c r="ABI322" s="6"/>
      <c r="ABJ322" s="6"/>
      <c r="ABK322" s="6"/>
      <c r="ABL322" s="6"/>
      <c r="ABM322" s="6"/>
      <c r="ABN322" s="6"/>
      <c r="ABO322" s="6"/>
      <c r="ABP322" s="6"/>
      <c r="ABQ322" s="6"/>
      <c r="ABR322" s="6"/>
      <c r="ABS322" s="6"/>
      <c r="ABT322" s="6"/>
      <c r="ABU322" s="6"/>
      <c r="ABV322" s="6"/>
      <c r="ABW322" s="6"/>
      <c r="ABX322" s="6"/>
      <c r="ABY322" s="6"/>
      <c r="ABZ322" s="6"/>
      <c r="ACA322" s="6"/>
      <c r="ACB322" s="6"/>
      <c r="ACC322" s="6"/>
      <c r="ACD322" s="6"/>
      <c r="ACE322" s="6"/>
      <c r="ACF322" s="6"/>
      <c r="ACG322" s="6"/>
      <c r="ACH322" s="6"/>
      <c r="ACI322" s="6"/>
      <c r="ACJ322" s="6"/>
      <c r="ACK322" s="6"/>
      <c r="ACL322" s="6"/>
      <c r="ACM322" s="6"/>
      <c r="ACN322" s="6"/>
      <c r="ACO322" s="6"/>
      <c r="ACP322" s="6"/>
      <c r="ACQ322" s="6"/>
      <c r="ACR322" s="6"/>
      <c r="ACS322" s="6"/>
      <c r="ACT322" s="6"/>
      <c r="ACU322" s="6"/>
      <c r="ACV322" s="6"/>
      <c r="ACW322" s="6"/>
      <c r="ACX322" s="6"/>
      <c r="ACY322" s="6"/>
      <c r="ACZ322" s="6"/>
      <c r="ADA322" s="6"/>
      <c r="ADB322" s="6"/>
      <c r="ADC322" s="6"/>
      <c r="ADD322" s="6"/>
      <c r="ADE322" s="6"/>
      <c r="ADF322" s="6"/>
      <c r="ADG322" s="6"/>
      <c r="ADH322" s="6"/>
      <c r="ADI322" s="6"/>
      <c r="ADJ322" s="6"/>
      <c r="ADK322" s="6"/>
      <c r="ADL322" s="6"/>
      <c r="ADM322" s="6"/>
      <c r="ADN322" s="6"/>
      <c r="ADO322" s="6"/>
      <c r="ADP322" s="6"/>
      <c r="ADQ322" s="6"/>
      <c r="ADR322" s="6"/>
      <c r="ADS322" s="6"/>
      <c r="ADT322" s="6"/>
      <c r="ADU322" s="6"/>
      <c r="ADV322" s="6"/>
      <c r="ADW322" s="6"/>
      <c r="ADX322" s="6"/>
      <c r="ADY322" s="6"/>
      <c r="ADZ322" s="6"/>
      <c r="AEA322" s="6"/>
      <c r="AEB322" s="6"/>
      <c r="AEC322" s="6"/>
      <c r="AED322" s="6"/>
      <c r="AEE322" s="6"/>
      <c r="AEF322" s="6"/>
      <c r="AEG322" s="6"/>
      <c r="AEH322" s="6"/>
      <c r="AEI322" s="6"/>
      <c r="AEJ322" s="6"/>
      <c r="AEK322" s="6"/>
      <c r="AEL322" s="6"/>
      <c r="AEM322" s="6"/>
      <c r="AEN322" s="6"/>
      <c r="AEO322" s="6"/>
      <c r="AEP322" s="6"/>
      <c r="AEQ322" s="6"/>
      <c r="AER322" s="6"/>
      <c r="AES322" s="6"/>
      <c r="AET322" s="6"/>
      <c r="AEU322" s="6"/>
      <c r="AEV322" s="6"/>
      <c r="AEW322" s="6"/>
      <c r="AEX322" s="6"/>
      <c r="AEY322" s="6"/>
      <c r="AEZ322" s="6"/>
      <c r="AFA322" s="6"/>
      <c r="AFB322" s="6"/>
      <c r="AFC322" s="6"/>
      <c r="AFD322" s="6"/>
      <c r="AFE322" s="6"/>
      <c r="AFF322" s="6"/>
      <c r="AFG322" s="6"/>
      <c r="AFH322" s="6"/>
      <c r="AFI322" s="6"/>
      <c r="AFJ322" s="6"/>
      <c r="AFK322" s="6"/>
      <c r="AFL322" s="6"/>
      <c r="AFM322" s="6"/>
      <c r="AFN322" s="6"/>
      <c r="AFO322" s="6"/>
      <c r="AFP322" s="6"/>
      <c r="AFQ322" s="6"/>
      <c r="AFR322" s="6"/>
      <c r="AFS322" s="6"/>
      <c r="AFT322" s="6"/>
      <c r="AFU322" s="6"/>
      <c r="AFV322" s="6"/>
      <c r="AFW322" s="6"/>
      <c r="AFX322" s="6"/>
      <c r="AFY322" s="6"/>
      <c r="AFZ322" s="6"/>
      <c r="AGA322" s="6"/>
      <c r="AGB322" s="6"/>
      <c r="AGC322" s="6"/>
      <c r="AGD322" s="6"/>
      <c r="AGE322" s="6"/>
      <c r="AGF322" s="6"/>
      <c r="AGG322" s="6"/>
      <c r="AGH322" s="6"/>
      <c r="AGI322" s="6"/>
      <c r="AGJ322" s="6"/>
      <c r="AGK322" s="6"/>
      <c r="AGL322" s="6"/>
      <c r="AGM322" s="6"/>
      <c r="AGN322" s="6"/>
      <c r="AGO322" s="6"/>
      <c r="AGP322" s="6"/>
      <c r="AGQ322" s="6"/>
      <c r="AGR322" s="6"/>
      <c r="AGS322" s="6"/>
      <c r="AGT322" s="6"/>
      <c r="AGU322" s="6"/>
      <c r="AGV322" s="6"/>
      <c r="AGW322" s="6"/>
      <c r="AGX322" s="6"/>
      <c r="AGY322" s="6"/>
      <c r="AGZ322" s="6"/>
      <c r="AHA322" s="6"/>
      <c r="AHB322" s="6"/>
      <c r="AHC322" s="6"/>
      <c r="AHD322" s="6"/>
      <c r="AHE322" s="6"/>
      <c r="AHF322" s="6"/>
      <c r="AHG322" s="6"/>
      <c r="AHH322" s="6"/>
      <c r="AHI322" s="6"/>
      <c r="AHJ322" s="6"/>
      <c r="AHK322" s="6"/>
      <c r="AHL322" s="6"/>
      <c r="AHM322" s="6"/>
      <c r="AHN322" s="6"/>
      <c r="AHO322" s="6"/>
      <c r="AHP322" s="6"/>
      <c r="AHQ322" s="6"/>
      <c r="AHR322" s="6"/>
      <c r="AHS322" s="6"/>
      <c r="AHT322" s="6"/>
      <c r="AHU322" s="6"/>
      <c r="AHV322" s="6"/>
      <c r="AHW322" s="6"/>
      <c r="AHX322" s="6"/>
      <c r="AHY322" s="6"/>
      <c r="AHZ322" s="6"/>
      <c r="AIA322" s="6"/>
      <c r="AIB322" s="6"/>
      <c r="AIC322" s="6"/>
      <c r="AID322" s="6"/>
      <c r="AIE322" s="6"/>
      <c r="AIF322" s="6"/>
      <c r="AIG322" s="6"/>
      <c r="AIH322" s="6"/>
      <c r="AII322" s="6"/>
      <c r="AIJ322" s="6"/>
      <c r="AIK322" s="6"/>
      <c r="AIL322" s="6"/>
      <c r="AIM322" s="6"/>
      <c r="AIN322" s="6"/>
      <c r="AIO322" s="6"/>
      <c r="AIP322" s="6"/>
      <c r="AIQ322" s="6"/>
      <c r="AIR322" s="6"/>
      <c r="AIS322" s="6"/>
      <c r="AIT322" s="6"/>
      <c r="AIU322" s="6"/>
      <c r="AIV322" s="6"/>
      <c r="AIW322" s="6"/>
      <c r="AIX322" s="6"/>
      <c r="AIY322" s="6"/>
      <c r="AIZ322" s="6"/>
      <c r="AJA322" s="6"/>
      <c r="AJB322" s="6"/>
      <c r="AJC322" s="6"/>
      <c r="AJD322" s="6"/>
      <c r="AJE322" s="6"/>
      <c r="AJF322" s="6"/>
      <c r="AJG322" s="6"/>
      <c r="AJH322" s="6"/>
      <c r="AJI322" s="6"/>
      <c r="AJJ322" s="6"/>
      <c r="AJK322" s="6"/>
      <c r="AJL322" s="6"/>
      <c r="AJM322" s="6"/>
      <c r="AJN322" s="6"/>
      <c r="AJO322" s="6"/>
      <c r="AJP322" s="6"/>
      <c r="AJQ322" s="6"/>
      <c r="AJR322" s="6"/>
      <c r="AJS322" s="6"/>
      <c r="AJT322" s="6"/>
      <c r="AJU322" s="6"/>
      <c r="AJV322" s="6"/>
      <c r="AJW322" s="6"/>
      <c r="AJX322" s="6"/>
      <c r="AJY322" s="6"/>
      <c r="AJZ322" s="6"/>
      <c r="AKA322" s="6"/>
      <c r="AKB322" s="6"/>
      <c r="AKC322" s="6"/>
      <c r="AKD322" s="6"/>
      <c r="AKE322" s="6"/>
      <c r="AKF322" s="6"/>
      <c r="AKG322" s="6"/>
      <c r="AKH322" s="6"/>
      <c r="AKI322" s="6"/>
      <c r="AKJ322" s="6"/>
      <c r="AKK322" s="6"/>
      <c r="AKL322" s="6"/>
      <c r="AKM322" s="6"/>
      <c r="AKN322" s="6"/>
      <c r="AKO322" s="6"/>
      <c r="AKP322" s="6"/>
      <c r="AKQ322" s="6"/>
      <c r="AKR322" s="6"/>
      <c r="AKS322" s="6"/>
      <c r="AKT322" s="6"/>
      <c r="AKU322" s="6"/>
      <c r="AKV322" s="6"/>
      <c r="AKW322" s="6"/>
      <c r="AKX322" s="6"/>
      <c r="AKY322" s="6"/>
      <c r="AKZ322" s="6"/>
      <c r="ALA322" s="6"/>
      <c r="ALB322" s="6"/>
      <c r="ALC322" s="6"/>
      <c r="ALD322" s="6"/>
      <c r="ALE322" s="6"/>
      <c r="ALF322" s="6"/>
      <c r="ALG322" s="6"/>
      <c r="ALH322" s="6"/>
      <c r="ALI322" s="6"/>
      <c r="ALJ322" s="6"/>
      <c r="ALK322" s="6"/>
      <c r="ALL322" s="6"/>
      <c r="ALM322" s="6"/>
      <c r="ALN322" s="6"/>
      <c r="ALO322" s="6"/>
      <c r="ALP322" s="6"/>
      <c r="ALQ322" s="6"/>
      <c r="ALR322" s="6"/>
      <c r="ALS322" s="6"/>
      <c r="ALT322" s="6"/>
      <c r="ALU322" s="6"/>
      <c r="ALV322" s="6"/>
      <c r="ALW322" s="6"/>
      <c r="ALX322" s="6"/>
      <c r="ALY322" s="6"/>
      <c r="ALZ322" s="6"/>
      <c r="AMA322" s="6"/>
      <c r="AMB322" s="6"/>
      <c r="AMC322" s="6"/>
      <c r="AMD322" s="6"/>
      <c r="AME322" s="6"/>
      <c r="AMF322" s="6"/>
      <c r="AMG322" s="6"/>
      <c r="AMH322" s="6"/>
      <c r="AMI322" s="6"/>
      <c r="AMJ322" s="6"/>
      <c r="AMK322" s="6"/>
      <c r="AML322" s="6"/>
      <c r="AMM322" s="6"/>
      <c r="AMN322" s="6"/>
      <c r="AMO322" s="6"/>
      <c r="AMP322" s="6"/>
    </row>
    <row r="323" spans="1:1030" x14ac:dyDescent="0.2">
      <c r="A323" s="9" t="str">
        <f t="shared" si="1957"/>
        <v>ta2r_human_6IIU</v>
      </c>
      <c r="B323" s="40" t="s">
        <v>473</v>
      </c>
      <c r="C323" s="9" t="s">
        <v>1548</v>
      </c>
      <c r="D323" s="9" t="str">
        <f>IFERROR(MID(VLOOKUP($B323,Seqs!$A:$B,2,0),E323,1),"")</f>
        <v>S</v>
      </c>
      <c r="E323" s="9">
        <v>27</v>
      </c>
      <c r="F323" s="9" t="str">
        <f>IFERROR(MID(VLOOKUP($B323,Seqs!$A:$B,2,0),G323,1),"")</f>
        <v>A</v>
      </c>
      <c r="G323" s="9">
        <v>52</v>
      </c>
      <c r="H323" s="9" t="str">
        <f>IFERROR(MID(VLOOKUP($B323,Seqs!$A:$B,2,0),I323,1),"")</f>
        <v/>
      </c>
      <c r="I323" s="109" t="s">
        <v>23</v>
      </c>
      <c r="J323" s="9" t="str">
        <f>IFERROR(MID(VLOOKUP($B323,Seqs!$A:$B,2,0),K323,1),"")</f>
        <v/>
      </c>
      <c r="K323" s="109" t="s">
        <v>23</v>
      </c>
      <c r="L323" s="9" t="str">
        <f>IFERROR(MID(VLOOKUP($B323,Seqs!$A:$B,2,0),M323,1),"")</f>
        <v>S</v>
      </c>
      <c r="M323" s="9">
        <v>61</v>
      </c>
      <c r="N323" s="9" t="str">
        <f>IFERROR(MID(VLOOKUP($B323,Seqs!$A:$B,2,0),O323,1),"")</f>
        <v>A</v>
      </c>
      <c r="O323" s="9">
        <v>91</v>
      </c>
      <c r="P323" s="9" t="str">
        <f>IFERROR(MID(VLOOKUP($B323,Seqs!$A:$B,2,0),Q323,1),"")</f>
        <v>E</v>
      </c>
      <c r="Q323" s="9">
        <v>94</v>
      </c>
      <c r="R323" s="9" t="str">
        <f>IFERROR(MID(VLOOKUP($B323,Seqs!$A:$B,2,0),S323,1),"")</f>
        <v>V</v>
      </c>
      <c r="S323" s="9">
        <v>98</v>
      </c>
      <c r="T323" s="9" t="str">
        <f>IFERROR(MID(VLOOKUP($B323,Seqs!$A:$B,2,0),U323,1),"")</f>
        <v>C</v>
      </c>
      <c r="U323" s="9">
        <v>102</v>
      </c>
      <c r="V323" s="9" t="str">
        <f>IFERROR(MID(VLOOKUP($B323,Seqs!$A:$B,2,0),W323,1),"")</f>
        <v>R</v>
      </c>
      <c r="W323" s="9">
        <v>136</v>
      </c>
      <c r="X323" s="9" t="str">
        <f>IFERROR(MID(VLOOKUP($B323,Seqs!$A:$B,2,0),Y323,1),"")</f>
        <v/>
      </c>
      <c r="Y323" s="9" t="s">
        <v>23</v>
      </c>
      <c r="Z323" s="9" t="str">
        <f>IFERROR(MID(VLOOKUP($B323,Seqs!$A:$B,2,0),AA323,1),"")</f>
        <v/>
      </c>
      <c r="AA323" s="9" t="s">
        <v>23</v>
      </c>
      <c r="AB323" s="9" t="str">
        <f>IFERROR(MID(VLOOKUP($B323,Seqs!$A:$B,2,0),AC323,1),"")</f>
        <v>A</v>
      </c>
      <c r="AC323" s="9">
        <v>142</v>
      </c>
      <c r="AD323" s="9" t="str">
        <f>IFERROR(MID(VLOOKUP($B323,Seqs!$A:$B,2,0),AE323,1),"")</f>
        <v>L</v>
      </c>
      <c r="AE323" s="9">
        <v>169</v>
      </c>
      <c r="AF323" s="9" t="str">
        <f>IFERROR(MID(VLOOKUP($B323,Seqs!$A:$B,2,0),AG323,1),"")</f>
        <v>C</v>
      </c>
      <c r="AG323" s="9">
        <v>183</v>
      </c>
      <c r="AH323" s="9" t="str">
        <f>IFERROR(MID(VLOOKUP($B323,Seqs!$A:$B,2,0),AI323,1),"")</f>
        <v>L</v>
      </c>
      <c r="AI323" s="9">
        <v>185</v>
      </c>
      <c r="AJ323" s="9" t="str">
        <f>IFERROR(MID(VLOOKUP($B323,Seqs!$A:$B,2,0),AK323,1),"")</f>
        <v>E</v>
      </c>
      <c r="AK323" s="9">
        <v>190</v>
      </c>
      <c r="AL323" s="9" t="str">
        <f>IFERROR(MID(VLOOKUP($B323,Seqs!$A:$B,2,0),AM323,1),"")</f>
        <v>Y</v>
      </c>
      <c r="AM323" s="9">
        <v>226</v>
      </c>
      <c r="AN323" s="9" t="str">
        <f>IFERROR(MID(VLOOKUP($B323,Seqs!$A:$B,2,0),AO323,1),"")</f>
        <v>R</v>
      </c>
      <c r="AO323" s="9">
        <v>237</v>
      </c>
      <c r="AP323" s="9" t="str">
        <f>IFERROR(MID(VLOOKUP($B323,Seqs!$A:$B,2,0),AQ323,1),"")</f>
        <v>R</v>
      </c>
      <c r="AQ323" s="9">
        <v>271</v>
      </c>
      <c r="AR323" s="9" t="str">
        <f>IFERROR(MID(VLOOKUP($B323,Seqs!$A:$B,2,0),AS323,1),"")</f>
        <v>S</v>
      </c>
      <c r="AS323" s="9">
        <v>283</v>
      </c>
      <c r="AT323" s="9" t="str">
        <f>IFERROR(MID(VLOOKUP($B323,Seqs!$A:$B,2,0),AU323,1),"")</f>
        <v>F</v>
      </c>
      <c r="AU323" s="9">
        <v>311</v>
      </c>
      <c r="AV323" s="9" t="str">
        <f>IFERROR(MID(VLOOKUP($B323,Seqs!$A:$B,2,0),AW323,1),"")</f>
        <v>R</v>
      </c>
      <c r="AW323" s="9">
        <v>312</v>
      </c>
      <c r="AX323" s="9" t="str">
        <f>IFERROR(MID(VLOOKUP($B323,Seqs!$A:$B,2,0),AY323,1),"")</f>
        <v>Q</v>
      </c>
      <c r="AY323" s="9">
        <v>320</v>
      </c>
      <c r="AZ323" s="110" t="str">
        <f>VLOOKUP(B323,Classification!A:D,2,0)</f>
        <v>A</v>
      </c>
      <c r="BA323" s="98" t="str">
        <f>VLOOKUP(B323,Classification!A:D,4,0)</f>
        <v>Prostanoid</v>
      </c>
      <c r="BB323" s="36" t="b">
        <f t="shared" si="1958"/>
        <v>1</v>
      </c>
      <c r="BC323" s="109">
        <f t="shared" si="1959"/>
        <v>240</v>
      </c>
      <c r="BD323" s="11" t="s">
        <v>23</v>
      </c>
      <c r="BE323" s="9" t="s">
        <v>1374</v>
      </c>
      <c r="BF323" s="120">
        <v>2.5</v>
      </c>
      <c r="BG323" s="51" t="s">
        <v>1</v>
      </c>
      <c r="BH323" s="51" t="s">
        <v>1</v>
      </c>
      <c r="BI323" s="12"/>
      <c r="BJ323" s="111" t="s">
        <v>1287</v>
      </c>
      <c r="BK323" s="112" t="s">
        <v>1287</v>
      </c>
      <c r="BL323" s="112" t="s">
        <v>1287</v>
      </c>
      <c r="BM323" s="112" t="s">
        <v>1287</v>
      </c>
      <c r="BN323" s="112" t="s">
        <v>1287</v>
      </c>
      <c r="BO323" s="112" t="s">
        <v>1287</v>
      </c>
      <c r="BP323" s="112" t="s">
        <v>1287</v>
      </c>
      <c r="BQ323" s="112" t="s">
        <v>1287</v>
      </c>
      <c r="BR323" s="112" t="s">
        <v>1287</v>
      </c>
      <c r="BS323" s="112" t="s">
        <v>1287</v>
      </c>
      <c r="BT323" s="112" t="s">
        <v>1287</v>
      </c>
      <c r="BU323" s="112" t="s">
        <v>1287</v>
      </c>
      <c r="BV323" s="111">
        <f t="shared" si="1960"/>
        <v>27</v>
      </c>
      <c r="BW323" s="113" t="str">
        <f t="shared" si="1961"/>
        <v>-</v>
      </c>
      <c r="BX323" s="114">
        <f t="shared" si="1962"/>
        <v>61</v>
      </c>
      <c r="BY323" s="113">
        <f t="shared" si="1963"/>
        <v>94</v>
      </c>
      <c r="BZ323" s="114">
        <f t="shared" si="1964"/>
        <v>102</v>
      </c>
      <c r="CA323" s="113" t="str">
        <f t="shared" si="1965"/>
        <v>-</v>
      </c>
      <c r="CB323" s="114">
        <f t="shared" si="1966"/>
        <v>142</v>
      </c>
      <c r="CC323" s="113">
        <f t="shared" si="1967"/>
        <v>183</v>
      </c>
      <c r="CD323" s="114">
        <f t="shared" si="1968"/>
        <v>190</v>
      </c>
      <c r="CE323" s="113">
        <f t="shared" si="1969"/>
        <v>237</v>
      </c>
      <c r="CF323" s="114">
        <f t="shared" si="1970"/>
        <v>283</v>
      </c>
      <c r="CG323" s="113">
        <f t="shared" si="1971"/>
        <v>312</v>
      </c>
      <c r="CH323" s="111">
        <f t="shared" si="1972"/>
        <v>52</v>
      </c>
      <c r="CI323" s="113" t="str">
        <f t="shared" si="1973"/>
        <v>-</v>
      </c>
      <c r="CJ323" s="114">
        <f t="shared" si="1974"/>
        <v>91</v>
      </c>
      <c r="CK323" s="114">
        <f t="shared" si="1975"/>
        <v>98</v>
      </c>
      <c r="CL323" s="114">
        <f t="shared" si="1976"/>
        <v>136</v>
      </c>
      <c r="CM323" s="114" t="str">
        <f t="shared" si="1977"/>
        <v>-</v>
      </c>
      <c r="CN323" s="114">
        <f t="shared" si="1978"/>
        <v>169</v>
      </c>
      <c r="CO323" s="114">
        <f t="shared" si="1979"/>
        <v>185</v>
      </c>
      <c r="CP323" s="114">
        <f t="shared" si="1980"/>
        <v>226</v>
      </c>
      <c r="CQ323" s="114">
        <f t="shared" si="1981"/>
        <v>271</v>
      </c>
      <c r="CR323" s="114">
        <f t="shared" si="1982"/>
        <v>311</v>
      </c>
      <c r="CS323" s="114">
        <f t="shared" si="1983"/>
        <v>320</v>
      </c>
      <c r="CT323" s="109" t="e">
        <f t="shared" si="1984"/>
        <v>#VALUE!</v>
      </c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  <c r="IU323" s="6"/>
      <c r="IV323" s="6"/>
      <c r="IW323" s="6"/>
      <c r="IX323" s="6"/>
      <c r="IY323" s="6"/>
      <c r="IZ323" s="6"/>
      <c r="JA323" s="6"/>
      <c r="JB323" s="6"/>
      <c r="JC323" s="6"/>
      <c r="JD323" s="6"/>
      <c r="JE323" s="6"/>
      <c r="JF323" s="6"/>
      <c r="JG323" s="6"/>
      <c r="JH323" s="6"/>
      <c r="JI323" s="6"/>
      <c r="JJ323" s="6"/>
      <c r="JK323" s="6"/>
      <c r="JL323" s="6"/>
      <c r="JM323" s="6"/>
      <c r="JN323" s="6"/>
      <c r="JO323" s="6"/>
      <c r="JP323" s="6"/>
      <c r="JQ323" s="6"/>
      <c r="JR323" s="6"/>
      <c r="JS323" s="6"/>
      <c r="JT323" s="6"/>
      <c r="JU323" s="6"/>
      <c r="JV323" s="6"/>
      <c r="JW323" s="6"/>
      <c r="JX323" s="6"/>
      <c r="JY323" s="6"/>
      <c r="JZ323" s="6"/>
      <c r="KA323" s="6"/>
      <c r="KB323" s="6"/>
      <c r="KC323" s="6"/>
      <c r="KD323" s="6"/>
      <c r="KE323" s="6"/>
      <c r="KF323" s="6"/>
      <c r="KG323" s="6"/>
      <c r="KH323" s="6"/>
      <c r="KI323" s="6"/>
      <c r="KJ323" s="6"/>
      <c r="KK323" s="6"/>
      <c r="KL323" s="6"/>
      <c r="KM323" s="6"/>
      <c r="KN323" s="6"/>
      <c r="KO323" s="6"/>
      <c r="KP323" s="6"/>
      <c r="KQ323" s="6"/>
      <c r="KR323" s="6"/>
      <c r="KS323" s="6"/>
      <c r="KT323" s="6"/>
      <c r="KU323" s="6"/>
      <c r="KV323" s="6"/>
      <c r="KW323" s="6"/>
      <c r="KX323" s="6"/>
      <c r="KY323" s="6"/>
      <c r="KZ323" s="6"/>
      <c r="LA323" s="6"/>
      <c r="LB323" s="6"/>
      <c r="LC323" s="6"/>
      <c r="LD323" s="6"/>
      <c r="LE323" s="6"/>
      <c r="LF323" s="6"/>
      <c r="LG323" s="6"/>
      <c r="LH323" s="6"/>
      <c r="LI323" s="6"/>
      <c r="LJ323" s="6"/>
      <c r="LK323" s="6"/>
      <c r="LL323" s="6"/>
      <c r="LM323" s="6"/>
      <c r="LN323" s="6"/>
      <c r="LO323" s="6"/>
      <c r="LP323" s="6"/>
      <c r="LQ323" s="6"/>
      <c r="LR323" s="6"/>
      <c r="LS323" s="6"/>
      <c r="LT323" s="6"/>
      <c r="LU323" s="6"/>
      <c r="LV323" s="6"/>
      <c r="LW323" s="6"/>
      <c r="LX323" s="6"/>
      <c r="LY323" s="6"/>
      <c r="LZ323" s="6"/>
      <c r="MA323" s="6"/>
      <c r="MB323" s="6"/>
      <c r="MC323" s="6"/>
      <c r="MD323" s="6"/>
      <c r="ME323" s="6"/>
      <c r="MF323" s="6"/>
      <c r="MG323" s="6"/>
      <c r="MH323" s="6"/>
      <c r="MI323" s="6"/>
      <c r="MJ323" s="6"/>
      <c r="MK323" s="6"/>
      <c r="ML323" s="6"/>
      <c r="MM323" s="6"/>
      <c r="MN323" s="6"/>
      <c r="MO323" s="6"/>
      <c r="MP323" s="6"/>
      <c r="MQ323" s="6"/>
      <c r="MR323" s="6"/>
      <c r="MS323" s="6"/>
      <c r="MT323" s="6"/>
      <c r="MU323" s="6"/>
      <c r="MV323" s="6"/>
      <c r="MW323" s="6"/>
      <c r="MX323" s="6"/>
      <c r="MY323" s="6"/>
      <c r="MZ323" s="6"/>
      <c r="NA323" s="6"/>
      <c r="NB323" s="6"/>
      <c r="NC323" s="6"/>
      <c r="ND323" s="6"/>
      <c r="NE323" s="6"/>
      <c r="NF323" s="6"/>
      <c r="NG323" s="6"/>
      <c r="NH323" s="6"/>
      <c r="NI323" s="6"/>
      <c r="NJ323" s="6"/>
      <c r="NK323" s="6"/>
      <c r="NL323" s="6"/>
      <c r="NM323" s="6"/>
      <c r="NN323" s="6"/>
      <c r="NO323" s="6"/>
      <c r="NP323" s="6"/>
      <c r="NQ323" s="6"/>
      <c r="NR323" s="6"/>
      <c r="NS323" s="6"/>
      <c r="NT323" s="6"/>
      <c r="NU323" s="6"/>
      <c r="NV323" s="6"/>
      <c r="NW323" s="6"/>
      <c r="NX323" s="6"/>
      <c r="NY323" s="6"/>
      <c r="NZ323" s="6"/>
      <c r="OA323" s="6"/>
      <c r="OB323" s="6"/>
      <c r="OC323" s="6"/>
      <c r="OD323" s="6"/>
      <c r="OE323" s="6"/>
      <c r="OF323" s="6"/>
      <c r="OG323" s="6"/>
      <c r="OH323" s="6"/>
      <c r="OI323" s="6"/>
      <c r="OJ323" s="6"/>
      <c r="OK323" s="6"/>
      <c r="OL323" s="6"/>
      <c r="OM323" s="6"/>
      <c r="ON323" s="6"/>
      <c r="OO323" s="6"/>
      <c r="OP323" s="6"/>
      <c r="OQ323" s="6"/>
      <c r="OR323" s="6"/>
      <c r="OS323" s="6"/>
      <c r="OT323" s="6"/>
      <c r="OU323" s="6"/>
      <c r="OV323" s="6"/>
      <c r="OW323" s="6"/>
      <c r="OX323" s="6"/>
      <c r="OY323" s="6"/>
      <c r="OZ323" s="6"/>
      <c r="PA323" s="6"/>
      <c r="PB323" s="6"/>
      <c r="PC323" s="6"/>
      <c r="PD323" s="6"/>
      <c r="PE323" s="6"/>
      <c r="PF323" s="6"/>
      <c r="PG323" s="6"/>
      <c r="PH323" s="6"/>
      <c r="PI323" s="6"/>
      <c r="PJ323" s="6"/>
      <c r="PK323" s="6"/>
      <c r="PL323" s="6"/>
      <c r="PM323" s="6"/>
      <c r="PN323" s="6"/>
      <c r="PO323" s="6"/>
      <c r="PP323" s="6"/>
      <c r="PQ323" s="6"/>
      <c r="PR323" s="6"/>
      <c r="PS323" s="6"/>
      <c r="PT323" s="6"/>
      <c r="PU323" s="6"/>
      <c r="PV323" s="6"/>
      <c r="PW323" s="6"/>
      <c r="PX323" s="6"/>
      <c r="PY323" s="6"/>
      <c r="PZ323" s="6"/>
      <c r="QA323" s="6"/>
      <c r="QB323" s="6"/>
      <c r="QC323" s="6"/>
      <c r="QD323" s="6"/>
      <c r="QE323" s="6"/>
      <c r="QF323" s="6"/>
      <c r="QG323" s="6"/>
      <c r="QH323" s="6"/>
      <c r="QI323" s="6"/>
      <c r="QJ323" s="6"/>
      <c r="QK323" s="6"/>
      <c r="QL323" s="6"/>
      <c r="QM323" s="6"/>
      <c r="QN323" s="6"/>
      <c r="QO323" s="6"/>
      <c r="QP323" s="6"/>
      <c r="QQ323" s="6"/>
      <c r="QR323" s="6"/>
      <c r="QS323" s="6"/>
      <c r="QT323" s="6"/>
      <c r="QU323" s="6"/>
      <c r="QV323" s="6"/>
      <c r="QW323" s="6"/>
      <c r="QX323" s="6"/>
      <c r="QY323" s="6"/>
      <c r="QZ323" s="6"/>
      <c r="RA323" s="6"/>
      <c r="RB323" s="6"/>
      <c r="RC323" s="6"/>
      <c r="RD323" s="6"/>
      <c r="RE323" s="6"/>
      <c r="RF323" s="6"/>
      <c r="RG323" s="6"/>
      <c r="RH323" s="6"/>
      <c r="RI323" s="6"/>
      <c r="RJ323" s="6"/>
      <c r="RK323" s="6"/>
      <c r="RL323" s="6"/>
      <c r="RM323" s="6"/>
      <c r="RN323" s="6"/>
      <c r="RO323" s="6"/>
      <c r="RP323" s="6"/>
      <c r="RQ323" s="6"/>
      <c r="RR323" s="6"/>
      <c r="RS323" s="6"/>
      <c r="RT323" s="6"/>
      <c r="RU323" s="6"/>
      <c r="RV323" s="6"/>
      <c r="RW323" s="6"/>
      <c r="RX323" s="6"/>
      <c r="RY323" s="6"/>
      <c r="RZ323" s="6"/>
      <c r="SA323" s="6"/>
      <c r="SB323" s="6"/>
      <c r="SC323" s="6"/>
      <c r="SD323" s="6"/>
      <c r="SE323" s="6"/>
      <c r="SF323" s="6"/>
      <c r="SG323" s="6"/>
      <c r="SH323" s="6"/>
      <c r="SI323" s="6"/>
      <c r="SJ323" s="6"/>
      <c r="SK323" s="6"/>
      <c r="SL323" s="6"/>
      <c r="SM323" s="6"/>
      <c r="SN323" s="6"/>
      <c r="SO323" s="6"/>
      <c r="SP323" s="6"/>
      <c r="SQ323" s="6"/>
      <c r="SR323" s="6"/>
      <c r="SS323" s="6"/>
      <c r="ST323" s="6"/>
      <c r="SU323" s="6"/>
      <c r="SV323" s="6"/>
      <c r="SW323" s="6"/>
      <c r="SX323" s="6"/>
      <c r="SY323" s="6"/>
      <c r="SZ323" s="6"/>
      <c r="TA323" s="6"/>
      <c r="TB323" s="6"/>
      <c r="TC323" s="6"/>
      <c r="TD323" s="6"/>
      <c r="TE323" s="6"/>
      <c r="TF323" s="6"/>
      <c r="TG323" s="6"/>
      <c r="TH323" s="6"/>
      <c r="TI323" s="6"/>
      <c r="TJ323" s="6"/>
      <c r="TK323" s="6"/>
      <c r="TL323" s="6"/>
      <c r="TM323" s="6"/>
      <c r="TN323" s="6"/>
      <c r="TO323" s="6"/>
      <c r="TP323" s="6"/>
      <c r="TQ323" s="6"/>
      <c r="TR323" s="6"/>
      <c r="TS323" s="6"/>
      <c r="TT323" s="6"/>
      <c r="TU323" s="6"/>
      <c r="TV323" s="6"/>
      <c r="TW323" s="6"/>
      <c r="TX323" s="6"/>
      <c r="TY323" s="6"/>
      <c r="TZ323" s="6"/>
      <c r="UA323" s="6"/>
      <c r="UB323" s="6"/>
      <c r="UC323" s="6"/>
      <c r="UD323" s="6"/>
      <c r="UE323" s="6"/>
      <c r="UF323" s="6"/>
      <c r="UG323" s="6"/>
      <c r="UH323" s="6"/>
      <c r="UI323" s="6"/>
      <c r="UJ323" s="6"/>
      <c r="UK323" s="6"/>
      <c r="UL323" s="6"/>
      <c r="UM323" s="6"/>
      <c r="UN323" s="6"/>
      <c r="UO323" s="6"/>
      <c r="UP323" s="6"/>
      <c r="UQ323" s="6"/>
      <c r="UR323" s="6"/>
      <c r="US323" s="6"/>
      <c r="UT323" s="6"/>
      <c r="UU323" s="6"/>
      <c r="UV323" s="6"/>
      <c r="UW323" s="6"/>
      <c r="UX323" s="6"/>
      <c r="UY323" s="6"/>
      <c r="UZ323" s="6"/>
      <c r="VA323" s="6"/>
      <c r="VB323" s="6"/>
      <c r="VC323" s="6"/>
      <c r="VD323" s="6"/>
      <c r="VE323" s="6"/>
      <c r="VF323" s="6"/>
      <c r="VG323" s="6"/>
      <c r="VH323" s="6"/>
      <c r="VI323" s="6"/>
      <c r="VJ323" s="6"/>
      <c r="VK323" s="6"/>
      <c r="VL323" s="6"/>
      <c r="VM323" s="6"/>
      <c r="VN323" s="6"/>
      <c r="VO323" s="6"/>
      <c r="VP323" s="6"/>
      <c r="VQ323" s="6"/>
      <c r="VR323" s="6"/>
      <c r="VS323" s="6"/>
      <c r="VT323" s="6"/>
      <c r="VU323" s="6"/>
      <c r="VV323" s="6"/>
      <c r="VW323" s="6"/>
      <c r="VX323" s="6"/>
      <c r="VY323" s="6"/>
      <c r="VZ323" s="6"/>
      <c r="WA323" s="6"/>
      <c r="WB323" s="6"/>
      <c r="WC323" s="6"/>
      <c r="WD323" s="6"/>
      <c r="WE323" s="6"/>
      <c r="WF323" s="6"/>
      <c r="WG323" s="6"/>
      <c r="WH323" s="6"/>
      <c r="WI323" s="6"/>
      <c r="WJ323" s="6"/>
      <c r="WK323" s="6"/>
      <c r="WL323" s="6"/>
      <c r="WM323" s="6"/>
      <c r="WN323" s="6"/>
      <c r="WO323" s="6"/>
      <c r="WP323" s="6"/>
      <c r="WQ323" s="6"/>
      <c r="WR323" s="6"/>
      <c r="WS323" s="6"/>
      <c r="WT323" s="6"/>
      <c r="WU323" s="6"/>
      <c r="WV323" s="6"/>
      <c r="WW323" s="6"/>
      <c r="WX323" s="6"/>
      <c r="WY323" s="6"/>
      <c r="WZ323" s="6"/>
      <c r="XA323" s="6"/>
      <c r="XB323" s="6"/>
      <c r="XC323" s="6"/>
      <c r="XD323" s="6"/>
      <c r="XE323" s="6"/>
      <c r="XF323" s="6"/>
      <c r="XG323" s="6"/>
      <c r="XH323" s="6"/>
      <c r="XI323" s="6"/>
      <c r="XJ323" s="6"/>
      <c r="XK323" s="6"/>
      <c r="XL323" s="6"/>
      <c r="XM323" s="6"/>
      <c r="XN323" s="6"/>
      <c r="XO323" s="6"/>
      <c r="XP323" s="6"/>
      <c r="XQ323" s="6"/>
      <c r="XR323" s="6"/>
      <c r="XS323" s="6"/>
      <c r="XT323" s="6"/>
      <c r="XU323" s="6"/>
      <c r="XV323" s="6"/>
      <c r="XW323" s="6"/>
      <c r="XX323" s="6"/>
      <c r="XY323" s="6"/>
      <c r="XZ323" s="6"/>
      <c r="YA323" s="6"/>
      <c r="YB323" s="6"/>
      <c r="YC323" s="6"/>
      <c r="YD323" s="6"/>
      <c r="YE323" s="6"/>
      <c r="YF323" s="6"/>
      <c r="YG323" s="6"/>
      <c r="YH323" s="6"/>
      <c r="YI323" s="6"/>
      <c r="YJ323" s="6"/>
      <c r="YK323" s="6"/>
      <c r="YL323" s="6"/>
      <c r="YM323" s="6"/>
      <c r="YN323" s="6"/>
      <c r="YO323" s="6"/>
      <c r="YP323" s="6"/>
      <c r="YQ323" s="6"/>
      <c r="YR323" s="6"/>
      <c r="YS323" s="6"/>
      <c r="YT323" s="6"/>
      <c r="YU323" s="6"/>
      <c r="YV323" s="6"/>
      <c r="YW323" s="6"/>
      <c r="YX323" s="6"/>
      <c r="YY323" s="6"/>
      <c r="YZ323" s="6"/>
      <c r="ZA323" s="6"/>
      <c r="ZB323" s="6"/>
      <c r="ZC323" s="6"/>
      <c r="ZD323" s="6"/>
      <c r="ZE323" s="6"/>
      <c r="ZF323" s="6"/>
      <c r="ZG323" s="6"/>
      <c r="ZH323" s="6"/>
      <c r="ZI323" s="6"/>
      <c r="ZJ323" s="6"/>
      <c r="ZK323" s="6"/>
      <c r="ZL323" s="6"/>
      <c r="ZM323" s="6"/>
      <c r="ZN323" s="6"/>
      <c r="ZO323" s="6"/>
      <c r="ZP323" s="6"/>
      <c r="ZQ323" s="6"/>
      <c r="ZR323" s="6"/>
      <c r="ZS323" s="6"/>
      <c r="ZT323" s="6"/>
      <c r="ZU323" s="6"/>
      <c r="ZV323" s="6"/>
      <c r="ZW323" s="6"/>
      <c r="ZX323" s="6"/>
      <c r="ZY323" s="6"/>
      <c r="ZZ323" s="6"/>
      <c r="AAA323" s="6"/>
      <c r="AAB323" s="6"/>
      <c r="AAC323" s="6"/>
      <c r="AAD323" s="6"/>
      <c r="AAE323" s="6"/>
      <c r="AAF323" s="6"/>
      <c r="AAG323" s="6"/>
      <c r="AAH323" s="6"/>
      <c r="AAI323" s="6"/>
      <c r="AAJ323" s="6"/>
      <c r="AAK323" s="6"/>
      <c r="AAL323" s="6"/>
      <c r="AAM323" s="6"/>
      <c r="AAN323" s="6"/>
      <c r="AAO323" s="6"/>
      <c r="AAP323" s="6"/>
      <c r="AAQ323" s="6"/>
      <c r="AAR323" s="6"/>
      <c r="AAS323" s="6"/>
      <c r="AAT323" s="6"/>
      <c r="AAU323" s="6"/>
      <c r="AAV323" s="6"/>
      <c r="AAW323" s="6"/>
      <c r="AAX323" s="6"/>
      <c r="AAY323" s="6"/>
      <c r="AAZ323" s="6"/>
      <c r="ABA323" s="6"/>
      <c r="ABB323" s="6"/>
      <c r="ABC323" s="6"/>
      <c r="ABD323" s="6"/>
      <c r="ABE323" s="6"/>
      <c r="ABF323" s="6"/>
      <c r="ABG323" s="6"/>
      <c r="ABH323" s="6"/>
      <c r="ABI323" s="6"/>
      <c r="ABJ323" s="6"/>
      <c r="ABK323" s="6"/>
      <c r="ABL323" s="6"/>
      <c r="ABM323" s="6"/>
      <c r="ABN323" s="6"/>
      <c r="ABO323" s="6"/>
      <c r="ABP323" s="6"/>
      <c r="ABQ323" s="6"/>
      <c r="ABR323" s="6"/>
      <c r="ABS323" s="6"/>
      <c r="ABT323" s="6"/>
      <c r="ABU323" s="6"/>
      <c r="ABV323" s="6"/>
      <c r="ABW323" s="6"/>
      <c r="ABX323" s="6"/>
      <c r="ABY323" s="6"/>
      <c r="ABZ323" s="6"/>
      <c r="ACA323" s="6"/>
      <c r="ACB323" s="6"/>
      <c r="ACC323" s="6"/>
      <c r="ACD323" s="6"/>
      <c r="ACE323" s="6"/>
      <c r="ACF323" s="6"/>
      <c r="ACG323" s="6"/>
      <c r="ACH323" s="6"/>
      <c r="ACI323" s="6"/>
      <c r="ACJ323" s="6"/>
      <c r="ACK323" s="6"/>
      <c r="ACL323" s="6"/>
      <c r="ACM323" s="6"/>
      <c r="ACN323" s="6"/>
      <c r="ACO323" s="6"/>
      <c r="ACP323" s="6"/>
      <c r="ACQ323" s="6"/>
      <c r="ACR323" s="6"/>
      <c r="ACS323" s="6"/>
      <c r="ACT323" s="6"/>
      <c r="ACU323" s="6"/>
      <c r="ACV323" s="6"/>
      <c r="ACW323" s="6"/>
      <c r="ACX323" s="6"/>
      <c r="ACY323" s="6"/>
      <c r="ACZ323" s="6"/>
      <c r="ADA323" s="6"/>
      <c r="ADB323" s="6"/>
      <c r="ADC323" s="6"/>
      <c r="ADD323" s="6"/>
      <c r="ADE323" s="6"/>
      <c r="ADF323" s="6"/>
      <c r="ADG323" s="6"/>
      <c r="ADH323" s="6"/>
      <c r="ADI323" s="6"/>
      <c r="ADJ323" s="6"/>
      <c r="ADK323" s="6"/>
      <c r="ADL323" s="6"/>
      <c r="ADM323" s="6"/>
      <c r="ADN323" s="6"/>
      <c r="ADO323" s="6"/>
      <c r="ADP323" s="6"/>
      <c r="ADQ323" s="6"/>
      <c r="ADR323" s="6"/>
      <c r="ADS323" s="6"/>
      <c r="ADT323" s="6"/>
      <c r="ADU323" s="6"/>
      <c r="ADV323" s="6"/>
      <c r="ADW323" s="6"/>
      <c r="ADX323" s="6"/>
      <c r="ADY323" s="6"/>
      <c r="ADZ323" s="6"/>
      <c r="AEA323" s="6"/>
      <c r="AEB323" s="6"/>
      <c r="AEC323" s="6"/>
      <c r="AED323" s="6"/>
      <c r="AEE323" s="6"/>
      <c r="AEF323" s="6"/>
      <c r="AEG323" s="6"/>
      <c r="AEH323" s="6"/>
      <c r="AEI323" s="6"/>
      <c r="AEJ323" s="6"/>
      <c r="AEK323" s="6"/>
      <c r="AEL323" s="6"/>
      <c r="AEM323" s="6"/>
      <c r="AEN323" s="6"/>
      <c r="AEO323" s="6"/>
      <c r="AEP323" s="6"/>
      <c r="AEQ323" s="6"/>
      <c r="AER323" s="6"/>
      <c r="AES323" s="6"/>
      <c r="AET323" s="6"/>
      <c r="AEU323" s="6"/>
      <c r="AEV323" s="6"/>
      <c r="AEW323" s="6"/>
      <c r="AEX323" s="6"/>
      <c r="AEY323" s="6"/>
      <c r="AEZ323" s="6"/>
      <c r="AFA323" s="6"/>
      <c r="AFB323" s="6"/>
      <c r="AFC323" s="6"/>
      <c r="AFD323" s="6"/>
      <c r="AFE323" s="6"/>
      <c r="AFF323" s="6"/>
      <c r="AFG323" s="6"/>
      <c r="AFH323" s="6"/>
      <c r="AFI323" s="6"/>
      <c r="AFJ323" s="6"/>
      <c r="AFK323" s="6"/>
      <c r="AFL323" s="6"/>
      <c r="AFM323" s="6"/>
      <c r="AFN323" s="6"/>
      <c r="AFO323" s="6"/>
      <c r="AFP323" s="6"/>
      <c r="AFQ323" s="6"/>
      <c r="AFR323" s="6"/>
      <c r="AFS323" s="6"/>
      <c r="AFT323" s="6"/>
      <c r="AFU323" s="6"/>
      <c r="AFV323" s="6"/>
      <c r="AFW323" s="6"/>
      <c r="AFX323" s="6"/>
      <c r="AFY323" s="6"/>
      <c r="AFZ323" s="6"/>
      <c r="AGA323" s="6"/>
      <c r="AGB323" s="6"/>
      <c r="AGC323" s="6"/>
      <c r="AGD323" s="6"/>
      <c r="AGE323" s="6"/>
      <c r="AGF323" s="6"/>
      <c r="AGG323" s="6"/>
      <c r="AGH323" s="6"/>
      <c r="AGI323" s="6"/>
      <c r="AGJ323" s="6"/>
      <c r="AGK323" s="6"/>
      <c r="AGL323" s="6"/>
      <c r="AGM323" s="6"/>
      <c r="AGN323" s="6"/>
      <c r="AGO323" s="6"/>
      <c r="AGP323" s="6"/>
      <c r="AGQ323" s="6"/>
      <c r="AGR323" s="6"/>
      <c r="AGS323" s="6"/>
      <c r="AGT323" s="6"/>
      <c r="AGU323" s="6"/>
      <c r="AGV323" s="6"/>
      <c r="AGW323" s="6"/>
      <c r="AGX323" s="6"/>
      <c r="AGY323" s="6"/>
      <c r="AGZ323" s="6"/>
      <c r="AHA323" s="6"/>
      <c r="AHB323" s="6"/>
      <c r="AHC323" s="6"/>
      <c r="AHD323" s="6"/>
      <c r="AHE323" s="6"/>
      <c r="AHF323" s="6"/>
      <c r="AHG323" s="6"/>
      <c r="AHH323" s="6"/>
      <c r="AHI323" s="6"/>
      <c r="AHJ323" s="6"/>
      <c r="AHK323" s="6"/>
      <c r="AHL323" s="6"/>
      <c r="AHM323" s="6"/>
      <c r="AHN323" s="6"/>
      <c r="AHO323" s="6"/>
      <c r="AHP323" s="6"/>
      <c r="AHQ323" s="6"/>
      <c r="AHR323" s="6"/>
      <c r="AHS323" s="6"/>
      <c r="AHT323" s="6"/>
      <c r="AHU323" s="6"/>
      <c r="AHV323" s="6"/>
      <c r="AHW323" s="6"/>
      <c r="AHX323" s="6"/>
      <c r="AHY323" s="6"/>
      <c r="AHZ323" s="6"/>
      <c r="AIA323" s="6"/>
      <c r="AIB323" s="6"/>
      <c r="AIC323" s="6"/>
      <c r="AID323" s="6"/>
      <c r="AIE323" s="6"/>
      <c r="AIF323" s="6"/>
      <c r="AIG323" s="6"/>
      <c r="AIH323" s="6"/>
      <c r="AII323" s="6"/>
      <c r="AIJ323" s="6"/>
      <c r="AIK323" s="6"/>
      <c r="AIL323" s="6"/>
      <c r="AIM323" s="6"/>
      <c r="AIN323" s="6"/>
      <c r="AIO323" s="6"/>
      <c r="AIP323" s="6"/>
      <c r="AIQ323" s="6"/>
      <c r="AIR323" s="6"/>
      <c r="AIS323" s="6"/>
      <c r="AIT323" s="6"/>
      <c r="AIU323" s="6"/>
      <c r="AIV323" s="6"/>
      <c r="AIW323" s="6"/>
      <c r="AIX323" s="6"/>
      <c r="AIY323" s="6"/>
      <c r="AIZ323" s="6"/>
      <c r="AJA323" s="6"/>
      <c r="AJB323" s="6"/>
      <c r="AJC323" s="6"/>
      <c r="AJD323" s="6"/>
      <c r="AJE323" s="6"/>
      <c r="AJF323" s="6"/>
      <c r="AJG323" s="6"/>
      <c r="AJH323" s="6"/>
      <c r="AJI323" s="6"/>
      <c r="AJJ323" s="6"/>
      <c r="AJK323" s="6"/>
      <c r="AJL323" s="6"/>
      <c r="AJM323" s="6"/>
      <c r="AJN323" s="6"/>
      <c r="AJO323" s="6"/>
      <c r="AJP323" s="6"/>
      <c r="AJQ323" s="6"/>
      <c r="AJR323" s="6"/>
      <c r="AJS323" s="6"/>
      <c r="AJT323" s="6"/>
      <c r="AJU323" s="6"/>
      <c r="AJV323" s="6"/>
      <c r="AJW323" s="6"/>
      <c r="AJX323" s="6"/>
      <c r="AJY323" s="6"/>
      <c r="AJZ323" s="6"/>
      <c r="AKA323" s="6"/>
      <c r="AKB323" s="6"/>
      <c r="AKC323" s="6"/>
      <c r="AKD323" s="6"/>
      <c r="AKE323" s="6"/>
      <c r="AKF323" s="6"/>
      <c r="AKG323" s="6"/>
      <c r="AKH323" s="6"/>
      <c r="AKI323" s="6"/>
      <c r="AKJ323" s="6"/>
      <c r="AKK323" s="6"/>
      <c r="AKL323" s="6"/>
      <c r="AKM323" s="6"/>
      <c r="AKN323" s="6"/>
      <c r="AKO323" s="6"/>
      <c r="AKP323" s="6"/>
      <c r="AKQ323" s="6"/>
      <c r="AKR323" s="6"/>
      <c r="AKS323" s="6"/>
      <c r="AKT323" s="6"/>
      <c r="AKU323" s="6"/>
      <c r="AKV323" s="6"/>
      <c r="AKW323" s="6"/>
      <c r="AKX323" s="6"/>
      <c r="AKY323" s="6"/>
      <c r="AKZ323" s="6"/>
      <c r="ALA323" s="6"/>
      <c r="ALB323" s="6"/>
      <c r="ALC323" s="6"/>
      <c r="ALD323" s="6"/>
      <c r="ALE323" s="6"/>
      <c r="ALF323" s="6"/>
      <c r="ALG323" s="6"/>
      <c r="ALH323" s="6"/>
      <c r="ALI323" s="6"/>
      <c r="ALJ323" s="6"/>
      <c r="ALK323" s="6"/>
      <c r="ALL323" s="6"/>
      <c r="ALM323" s="6"/>
      <c r="ALN323" s="6"/>
      <c r="ALO323" s="6"/>
      <c r="ALP323" s="6"/>
      <c r="ALQ323" s="6"/>
      <c r="ALR323" s="6"/>
      <c r="ALS323" s="6"/>
      <c r="ALT323" s="6"/>
      <c r="ALU323" s="6"/>
      <c r="ALV323" s="6"/>
      <c r="ALW323" s="6"/>
      <c r="ALX323" s="6"/>
      <c r="ALY323" s="6"/>
      <c r="ALZ323" s="6"/>
      <c r="AMA323" s="6"/>
      <c r="AMB323" s="6"/>
      <c r="AMC323" s="6"/>
      <c r="AMD323" s="6"/>
      <c r="AME323" s="6"/>
      <c r="AMF323" s="6"/>
      <c r="AMG323" s="6"/>
      <c r="AMH323" s="6"/>
      <c r="AMI323" s="6"/>
      <c r="AMJ323" s="6"/>
      <c r="AMK323" s="6"/>
      <c r="AML323" s="6"/>
      <c r="AMM323" s="6"/>
      <c r="AMN323" s="6"/>
      <c r="AMO323" s="6"/>
      <c r="AMP323" s="6"/>
    </row>
    <row r="324" spans="1:1030" x14ac:dyDescent="0.2">
      <c r="A324" s="9" t="str">
        <f t="shared" ref="A324" si="1985">CONCATENATE(B324,"_",C324)</f>
        <v>ta2r_human_6IIV</v>
      </c>
      <c r="B324" s="40" t="s">
        <v>473</v>
      </c>
      <c r="C324" s="9" t="s">
        <v>1549</v>
      </c>
      <c r="D324" s="9" t="str">
        <f>IFERROR(MID(VLOOKUP($B324,Seqs!$A:$B,2,0),E324,1),"")</f>
        <v>S</v>
      </c>
      <c r="E324" s="9">
        <v>27</v>
      </c>
      <c r="F324" s="9" t="str">
        <f>IFERROR(MID(VLOOKUP($B324,Seqs!$A:$B,2,0),G324,1),"")</f>
        <v>R</v>
      </c>
      <c r="G324" s="9">
        <v>53</v>
      </c>
      <c r="H324" s="9" t="str">
        <f>IFERROR(MID(VLOOKUP($B324,Seqs!$A:$B,2,0),I324,1),"")</f>
        <v/>
      </c>
      <c r="I324" s="109" t="s">
        <v>23</v>
      </c>
      <c r="J324" s="9" t="str">
        <f>IFERROR(MID(VLOOKUP($B324,Seqs!$A:$B,2,0),K324,1),"")</f>
        <v/>
      </c>
      <c r="K324" s="109" t="s">
        <v>23</v>
      </c>
      <c r="L324" s="9" t="str">
        <f>IFERROR(MID(VLOOKUP($B324,Seqs!$A:$B,2,0),M324,1),"")</f>
        <v>S</v>
      </c>
      <c r="M324" s="9">
        <v>61</v>
      </c>
      <c r="N324" s="9" t="str">
        <f>IFERROR(MID(VLOOKUP($B324,Seqs!$A:$B,2,0),O324,1),"")</f>
        <v>A</v>
      </c>
      <c r="O324" s="9">
        <v>91</v>
      </c>
      <c r="P324" s="9" t="str">
        <f>IFERROR(MID(VLOOKUP($B324,Seqs!$A:$B,2,0),Q324,1),"")</f>
        <v>E</v>
      </c>
      <c r="Q324" s="9">
        <v>94</v>
      </c>
      <c r="R324" s="9" t="str">
        <f>IFERROR(MID(VLOOKUP($B324,Seqs!$A:$B,2,0),S324,1),"")</f>
        <v>V</v>
      </c>
      <c r="S324" s="9">
        <v>98</v>
      </c>
      <c r="T324" s="9" t="str">
        <f>IFERROR(MID(VLOOKUP($B324,Seqs!$A:$B,2,0),U324,1),"")</f>
        <v>C</v>
      </c>
      <c r="U324" s="9">
        <v>102</v>
      </c>
      <c r="V324" s="9" t="str">
        <f>IFERROR(MID(VLOOKUP($B324,Seqs!$A:$B,2,0),W324,1),"")</f>
        <v>R</v>
      </c>
      <c r="W324" s="9">
        <v>136</v>
      </c>
      <c r="X324" s="9" t="str">
        <f>IFERROR(MID(VLOOKUP($B324,Seqs!$A:$B,2,0),Y324,1),"")</f>
        <v/>
      </c>
      <c r="Y324" s="9" t="s">
        <v>23</v>
      </c>
      <c r="Z324" s="9" t="str">
        <f>IFERROR(MID(VLOOKUP($B324,Seqs!$A:$B,2,0),AA324,1),"")</f>
        <v/>
      </c>
      <c r="AA324" s="9" t="s">
        <v>23</v>
      </c>
      <c r="AB324" s="9" t="str">
        <f>IFERROR(MID(VLOOKUP($B324,Seqs!$A:$B,2,0),AC324,1),"")</f>
        <v>P</v>
      </c>
      <c r="AC324" s="9">
        <v>141</v>
      </c>
      <c r="AD324" s="9" t="str">
        <f>IFERROR(MID(VLOOKUP($B324,Seqs!$A:$B,2,0),AE324,1),"")</f>
        <v>G</v>
      </c>
      <c r="AE324" s="9">
        <v>170</v>
      </c>
      <c r="AF324" s="9" t="str">
        <f>IFERROR(MID(VLOOKUP($B324,Seqs!$A:$B,2,0),AG324,1),"")</f>
        <v>C</v>
      </c>
      <c r="AG324" s="9">
        <v>183</v>
      </c>
      <c r="AH324" s="9" t="str">
        <f>IFERROR(MID(VLOOKUP($B324,Seqs!$A:$B,2,0),AI324,1),"")</f>
        <v>L</v>
      </c>
      <c r="AI324" s="9">
        <v>185</v>
      </c>
      <c r="AJ324" s="9" t="str">
        <f>IFERROR(MID(VLOOKUP($B324,Seqs!$A:$B,2,0),AK324,1),"")</f>
        <v>E</v>
      </c>
      <c r="AK324" s="9">
        <v>190</v>
      </c>
      <c r="AL324" s="9" t="str">
        <f>IFERROR(MID(VLOOKUP($B324,Seqs!$A:$B,2,0),AM324,1),"")</f>
        <v>Y</v>
      </c>
      <c r="AM324" s="9">
        <v>226</v>
      </c>
      <c r="AN324" s="9" t="str">
        <f>IFERROR(MID(VLOOKUP($B324,Seqs!$A:$B,2,0),AO324,1),"")</f>
        <v>R</v>
      </c>
      <c r="AO324" s="9">
        <v>237</v>
      </c>
      <c r="AP324" s="9" t="str">
        <f>IFERROR(MID(VLOOKUP($B324,Seqs!$A:$B,2,0),AQ324,1),"")</f>
        <v>R</v>
      </c>
      <c r="AQ324" s="9">
        <v>271</v>
      </c>
      <c r="AR324" s="9" t="str">
        <f>IFERROR(MID(VLOOKUP($B324,Seqs!$A:$B,2,0),AS324,1),"")</f>
        <v>S</v>
      </c>
      <c r="AS324" s="9">
        <v>283</v>
      </c>
      <c r="AT324" s="9" t="str">
        <f>IFERROR(MID(VLOOKUP($B324,Seqs!$A:$B,2,0),AU324,1),"")</f>
        <v>F</v>
      </c>
      <c r="AU324" s="9">
        <v>311</v>
      </c>
      <c r="AV324" s="9" t="str">
        <f>IFERROR(MID(VLOOKUP($B324,Seqs!$A:$B,2,0),AW324,1),"")</f>
        <v>R</v>
      </c>
      <c r="AW324" s="9">
        <v>312</v>
      </c>
      <c r="AX324" s="9" t="str">
        <f>IFERROR(MID(VLOOKUP($B324,Seqs!$A:$B,2,0),AY324,1),"")</f>
        <v>L</v>
      </c>
      <c r="AY324" s="9">
        <v>319</v>
      </c>
      <c r="AZ324" s="110" t="str">
        <f>VLOOKUP(B324,Classification!A:D,2,0)</f>
        <v>A</v>
      </c>
      <c r="BA324" s="98" t="str">
        <f>VLOOKUP(B324,Classification!A:D,4,0)</f>
        <v>Prostanoid</v>
      </c>
      <c r="BB324" s="36" t="b">
        <f t="shared" ref="BB324" si="1986">AND(E324&lt;G324,OR(G324&lt;I324,I324="-"),OR(I324&lt;K324,I324="-"),OR(K324&lt;M324,K324="-"),M324&lt;O324,OR(O324&lt;Q324,Q324="-"),OR(Q324&lt;S324,Q324="-"),OR(S324&lt;U324,S324="-"),U324&lt;W324,OR(W324&lt;Y324,Y324="-"),OR(Y324&lt;AA324,Y324="-"),OR(AA324&lt;AC324,AA324="-"),AC324&lt;AE324,OR(AE324&lt;AG324,AG324="-"),OR(AG324&lt;AI324,AG324="-"),OR(AI324&lt;AK324,AI324="-"),AK324&lt;AM324,AM324&lt;AO324,AO324&lt;AQ324,AQ324&lt;AS324,AS324&lt;AU324,OR(AU324&lt;AW324,AW324="-"),OR(AW324&lt;AY324,AW324="-"))</f>
        <v>1</v>
      </c>
      <c r="BC324" s="109">
        <f t="shared" ref="BC324" si="1987">_xlfn.AGGREGATE(9,6,CH324:CS324)-_xlfn.AGGREGATE(9,6,BV324:CG324)+12</f>
        <v>242</v>
      </c>
      <c r="BD324" s="11" t="s">
        <v>1376</v>
      </c>
      <c r="BE324" s="9" t="s">
        <v>1374</v>
      </c>
      <c r="BF324" s="120">
        <v>3</v>
      </c>
      <c r="BG324" s="51" t="s">
        <v>1</v>
      </c>
      <c r="BH324" s="51" t="s">
        <v>1</v>
      </c>
      <c r="BI324" s="12"/>
      <c r="BJ324" s="111" t="s">
        <v>1287</v>
      </c>
      <c r="BK324" s="112" t="s">
        <v>1287</v>
      </c>
      <c r="BL324" s="112" t="s">
        <v>1287</v>
      </c>
      <c r="BM324" s="112" t="s">
        <v>1287</v>
      </c>
      <c r="BN324" s="112" t="s">
        <v>1287</v>
      </c>
      <c r="BO324" s="112" t="s">
        <v>1287</v>
      </c>
      <c r="BP324" s="112" t="s">
        <v>1287</v>
      </c>
      <c r="BQ324" s="112" t="s">
        <v>1287</v>
      </c>
      <c r="BR324" s="112" t="s">
        <v>1287</v>
      </c>
      <c r="BS324" s="112" t="s">
        <v>1287</v>
      </c>
      <c r="BT324" s="112" t="s">
        <v>1287</v>
      </c>
      <c r="BU324" s="112" t="s">
        <v>1287</v>
      </c>
      <c r="BV324" s="111">
        <f t="shared" ref="BV324" si="1988">E324</f>
        <v>27</v>
      </c>
      <c r="BW324" s="113" t="str">
        <f t="shared" ref="BW324" si="1989">I324</f>
        <v>-</v>
      </c>
      <c r="BX324" s="114">
        <f t="shared" ref="BX324" si="1990">M324</f>
        <v>61</v>
      </c>
      <c r="BY324" s="113">
        <f t="shared" ref="BY324" si="1991">Q324</f>
        <v>94</v>
      </c>
      <c r="BZ324" s="114">
        <f t="shared" ref="BZ324" si="1992">U324</f>
        <v>102</v>
      </c>
      <c r="CA324" s="113" t="str">
        <f t="shared" ref="CA324" si="1993">Y324</f>
        <v>-</v>
      </c>
      <c r="CB324" s="114">
        <f t="shared" ref="CB324" si="1994">AC324</f>
        <v>141</v>
      </c>
      <c r="CC324" s="113">
        <f t="shared" ref="CC324" si="1995">AG324</f>
        <v>183</v>
      </c>
      <c r="CD324" s="114">
        <f t="shared" ref="CD324" si="1996">AK324</f>
        <v>190</v>
      </c>
      <c r="CE324" s="113">
        <f t="shared" ref="CE324" si="1997">AO324</f>
        <v>237</v>
      </c>
      <c r="CF324" s="114">
        <f t="shared" ref="CF324" si="1998">AS324</f>
        <v>283</v>
      </c>
      <c r="CG324" s="113">
        <f t="shared" ref="CG324" si="1999">AW324</f>
        <v>312</v>
      </c>
      <c r="CH324" s="111">
        <f t="shared" ref="CH324" si="2000">G324</f>
        <v>53</v>
      </c>
      <c r="CI324" s="113" t="str">
        <f t="shared" ref="CI324" si="2001">K324</f>
        <v>-</v>
      </c>
      <c r="CJ324" s="114">
        <f t="shared" ref="CJ324" si="2002">O324</f>
        <v>91</v>
      </c>
      <c r="CK324" s="114">
        <f t="shared" ref="CK324" si="2003">S324</f>
        <v>98</v>
      </c>
      <c r="CL324" s="114">
        <f t="shared" ref="CL324" si="2004">W324</f>
        <v>136</v>
      </c>
      <c r="CM324" s="114" t="str">
        <f t="shared" ref="CM324" si="2005">AA324</f>
        <v>-</v>
      </c>
      <c r="CN324" s="114">
        <f t="shared" ref="CN324" si="2006">AE324</f>
        <v>170</v>
      </c>
      <c r="CO324" s="114">
        <f t="shared" ref="CO324" si="2007">AI324</f>
        <v>185</v>
      </c>
      <c r="CP324" s="114">
        <f t="shared" ref="CP324" si="2008">AM324</f>
        <v>226</v>
      </c>
      <c r="CQ324" s="114">
        <f t="shared" ref="CQ324" si="2009">AQ324</f>
        <v>271</v>
      </c>
      <c r="CR324" s="114">
        <f t="shared" ref="CR324" si="2010">AU324</f>
        <v>311</v>
      </c>
      <c r="CS324" s="114">
        <f t="shared" ref="CS324" si="2011">AY324</f>
        <v>319</v>
      </c>
      <c r="CT324" s="109" t="e">
        <f t="shared" ref="CT324" si="2012">M324-K324</f>
        <v>#VALUE!</v>
      </c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Q324" s="6"/>
      <c r="KR324" s="6"/>
      <c r="KS324" s="6"/>
      <c r="KT324" s="6"/>
      <c r="KU324" s="6"/>
      <c r="KV324" s="6"/>
      <c r="KW324" s="6"/>
      <c r="KX324" s="6"/>
      <c r="KY324" s="6"/>
      <c r="KZ324" s="6"/>
      <c r="LA324" s="6"/>
      <c r="LB324" s="6"/>
      <c r="LC324" s="6"/>
      <c r="LD324" s="6"/>
      <c r="LE324" s="6"/>
      <c r="LF324" s="6"/>
      <c r="LG324" s="6"/>
      <c r="LH324" s="6"/>
      <c r="LI324" s="6"/>
      <c r="LJ324" s="6"/>
      <c r="LK324" s="6"/>
      <c r="LL324" s="6"/>
      <c r="LM324" s="6"/>
      <c r="LN324" s="6"/>
      <c r="LO324" s="6"/>
      <c r="LP324" s="6"/>
      <c r="LQ324" s="6"/>
      <c r="LR324" s="6"/>
      <c r="LS324" s="6"/>
      <c r="LT324" s="6"/>
      <c r="LU324" s="6"/>
      <c r="LV324" s="6"/>
      <c r="LW324" s="6"/>
      <c r="LX324" s="6"/>
      <c r="LY324" s="6"/>
      <c r="LZ324" s="6"/>
      <c r="MA324" s="6"/>
      <c r="MB324" s="6"/>
      <c r="MC324" s="6"/>
      <c r="MD324" s="6"/>
      <c r="ME324" s="6"/>
      <c r="MF324" s="6"/>
      <c r="MG324" s="6"/>
      <c r="MH324" s="6"/>
      <c r="MI324" s="6"/>
      <c r="MJ324" s="6"/>
      <c r="MK324" s="6"/>
      <c r="ML324" s="6"/>
      <c r="MM324" s="6"/>
      <c r="MN324" s="6"/>
      <c r="MO324" s="6"/>
      <c r="MP324" s="6"/>
      <c r="MQ324" s="6"/>
      <c r="MR324" s="6"/>
      <c r="MS324" s="6"/>
      <c r="MT324" s="6"/>
      <c r="MU324" s="6"/>
      <c r="MV324" s="6"/>
      <c r="MW324" s="6"/>
      <c r="MX324" s="6"/>
      <c r="MY324" s="6"/>
      <c r="MZ324" s="6"/>
      <c r="NA324" s="6"/>
      <c r="NB324" s="6"/>
      <c r="NC324" s="6"/>
      <c r="ND324" s="6"/>
      <c r="NE324" s="6"/>
      <c r="NF324" s="6"/>
      <c r="NG324" s="6"/>
      <c r="NH324" s="6"/>
      <c r="NI324" s="6"/>
      <c r="NJ324" s="6"/>
      <c r="NK324" s="6"/>
      <c r="NL324" s="6"/>
      <c r="NM324" s="6"/>
      <c r="NN324" s="6"/>
      <c r="NO324" s="6"/>
      <c r="NP324" s="6"/>
      <c r="NQ324" s="6"/>
      <c r="NR324" s="6"/>
      <c r="NS324" s="6"/>
      <c r="NT324" s="6"/>
      <c r="NU324" s="6"/>
      <c r="NV324" s="6"/>
      <c r="NW324" s="6"/>
      <c r="NX324" s="6"/>
      <c r="NY324" s="6"/>
      <c r="NZ324" s="6"/>
      <c r="OA324" s="6"/>
      <c r="OB324" s="6"/>
      <c r="OC324" s="6"/>
      <c r="OD324" s="6"/>
      <c r="OE324" s="6"/>
      <c r="OF324" s="6"/>
      <c r="OG324" s="6"/>
      <c r="OH324" s="6"/>
      <c r="OI324" s="6"/>
      <c r="OJ324" s="6"/>
      <c r="OK324" s="6"/>
      <c r="OL324" s="6"/>
      <c r="OM324" s="6"/>
      <c r="ON324" s="6"/>
      <c r="OO324" s="6"/>
      <c r="OP324" s="6"/>
      <c r="OQ324" s="6"/>
      <c r="OR324" s="6"/>
      <c r="OS324" s="6"/>
      <c r="OT324" s="6"/>
      <c r="OU324" s="6"/>
      <c r="OV324" s="6"/>
      <c r="OW324" s="6"/>
      <c r="OX324" s="6"/>
      <c r="OY324" s="6"/>
      <c r="OZ324" s="6"/>
      <c r="PA324" s="6"/>
      <c r="PB324" s="6"/>
      <c r="PC324" s="6"/>
      <c r="PD324" s="6"/>
      <c r="PE324" s="6"/>
      <c r="PF324" s="6"/>
      <c r="PG324" s="6"/>
      <c r="PH324" s="6"/>
      <c r="PI324" s="6"/>
      <c r="PJ324" s="6"/>
      <c r="PK324" s="6"/>
      <c r="PL324" s="6"/>
      <c r="PM324" s="6"/>
      <c r="PN324" s="6"/>
      <c r="PO324" s="6"/>
      <c r="PP324" s="6"/>
      <c r="PQ324" s="6"/>
      <c r="PR324" s="6"/>
      <c r="PS324" s="6"/>
      <c r="PT324" s="6"/>
      <c r="PU324" s="6"/>
      <c r="PV324" s="6"/>
      <c r="PW324" s="6"/>
      <c r="PX324" s="6"/>
      <c r="PY324" s="6"/>
      <c r="PZ324" s="6"/>
      <c r="QA324" s="6"/>
      <c r="QB324" s="6"/>
      <c r="QC324" s="6"/>
      <c r="QD324" s="6"/>
      <c r="QE324" s="6"/>
      <c r="QF324" s="6"/>
      <c r="QG324" s="6"/>
      <c r="QH324" s="6"/>
      <c r="QI324" s="6"/>
      <c r="QJ324" s="6"/>
      <c r="QK324" s="6"/>
      <c r="QL324" s="6"/>
      <c r="QM324" s="6"/>
      <c r="QN324" s="6"/>
      <c r="QO324" s="6"/>
      <c r="QP324" s="6"/>
      <c r="QQ324" s="6"/>
      <c r="QR324" s="6"/>
      <c r="QS324" s="6"/>
      <c r="QT324" s="6"/>
      <c r="QU324" s="6"/>
      <c r="QV324" s="6"/>
      <c r="QW324" s="6"/>
      <c r="QX324" s="6"/>
      <c r="QY324" s="6"/>
      <c r="QZ324" s="6"/>
      <c r="RA324" s="6"/>
      <c r="RB324" s="6"/>
      <c r="RC324" s="6"/>
      <c r="RD324" s="6"/>
      <c r="RE324" s="6"/>
      <c r="RF324" s="6"/>
      <c r="RG324" s="6"/>
      <c r="RH324" s="6"/>
      <c r="RI324" s="6"/>
      <c r="RJ324" s="6"/>
      <c r="RK324" s="6"/>
      <c r="RL324" s="6"/>
      <c r="RM324" s="6"/>
      <c r="RN324" s="6"/>
      <c r="RO324" s="6"/>
      <c r="RP324" s="6"/>
      <c r="RQ324" s="6"/>
      <c r="RR324" s="6"/>
      <c r="RS324" s="6"/>
      <c r="RT324" s="6"/>
      <c r="RU324" s="6"/>
      <c r="RV324" s="6"/>
      <c r="RW324" s="6"/>
      <c r="RX324" s="6"/>
      <c r="RY324" s="6"/>
      <c r="RZ324" s="6"/>
      <c r="SA324" s="6"/>
      <c r="SB324" s="6"/>
      <c r="SC324" s="6"/>
      <c r="SD324" s="6"/>
      <c r="SE324" s="6"/>
      <c r="SF324" s="6"/>
      <c r="SG324" s="6"/>
      <c r="SH324" s="6"/>
      <c r="SI324" s="6"/>
      <c r="SJ324" s="6"/>
      <c r="SK324" s="6"/>
      <c r="SL324" s="6"/>
      <c r="SM324" s="6"/>
      <c r="SN324" s="6"/>
      <c r="SO324" s="6"/>
      <c r="SP324" s="6"/>
      <c r="SQ324" s="6"/>
      <c r="SR324" s="6"/>
      <c r="SS324" s="6"/>
      <c r="ST324" s="6"/>
      <c r="SU324" s="6"/>
      <c r="SV324" s="6"/>
      <c r="SW324" s="6"/>
      <c r="SX324" s="6"/>
      <c r="SY324" s="6"/>
      <c r="SZ324" s="6"/>
      <c r="TA324" s="6"/>
      <c r="TB324" s="6"/>
      <c r="TC324" s="6"/>
      <c r="TD324" s="6"/>
      <c r="TE324" s="6"/>
      <c r="TF324" s="6"/>
      <c r="TG324" s="6"/>
      <c r="TH324" s="6"/>
      <c r="TI324" s="6"/>
      <c r="TJ324" s="6"/>
      <c r="TK324" s="6"/>
      <c r="TL324" s="6"/>
      <c r="TM324" s="6"/>
      <c r="TN324" s="6"/>
      <c r="TO324" s="6"/>
      <c r="TP324" s="6"/>
      <c r="TQ324" s="6"/>
      <c r="TR324" s="6"/>
      <c r="TS324" s="6"/>
      <c r="TT324" s="6"/>
      <c r="TU324" s="6"/>
      <c r="TV324" s="6"/>
      <c r="TW324" s="6"/>
      <c r="TX324" s="6"/>
      <c r="TY324" s="6"/>
      <c r="TZ324" s="6"/>
      <c r="UA324" s="6"/>
      <c r="UB324" s="6"/>
      <c r="UC324" s="6"/>
      <c r="UD324" s="6"/>
      <c r="UE324" s="6"/>
      <c r="UF324" s="6"/>
      <c r="UG324" s="6"/>
      <c r="UH324" s="6"/>
      <c r="UI324" s="6"/>
      <c r="UJ324" s="6"/>
      <c r="UK324" s="6"/>
      <c r="UL324" s="6"/>
      <c r="UM324" s="6"/>
      <c r="UN324" s="6"/>
      <c r="UO324" s="6"/>
      <c r="UP324" s="6"/>
      <c r="UQ324" s="6"/>
      <c r="UR324" s="6"/>
      <c r="US324" s="6"/>
      <c r="UT324" s="6"/>
      <c r="UU324" s="6"/>
      <c r="UV324" s="6"/>
      <c r="UW324" s="6"/>
      <c r="UX324" s="6"/>
      <c r="UY324" s="6"/>
      <c r="UZ324" s="6"/>
      <c r="VA324" s="6"/>
      <c r="VB324" s="6"/>
      <c r="VC324" s="6"/>
      <c r="VD324" s="6"/>
      <c r="VE324" s="6"/>
      <c r="VF324" s="6"/>
      <c r="VG324" s="6"/>
      <c r="VH324" s="6"/>
      <c r="VI324" s="6"/>
      <c r="VJ324" s="6"/>
      <c r="VK324" s="6"/>
      <c r="VL324" s="6"/>
      <c r="VM324" s="6"/>
      <c r="VN324" s="6"/>
      <c r="VO324" s="6"/>
      <c r="VP324" s="6"/>
      <c r="VQ324" s="6"/>
      <c r="VR324" s="6"/>
      <c r="VS324" s="6"/>
      <c r="VT324" s="6"/>
      <c r="VU324" s="6"/>
      <c r="VV324" s="6"/>
      <c r="VW324" s="6"/>
      <c r="VX324" s="6"/>
      <c r="VY324" s="6"/>
      <c r="VZ324" s="6"/>
      <c r="WA324" s="6"/>
      <c r="WB324" s="6"/>
      <c r="WC324" s="6"/>
      <c r="WD324" s="6"/>
      <c r="WE324" s="6"/>
      <c r="WF324" s="6"/>
      <c r="WG324" s="6"/>
      <c r="WH324" s="6"/>
      <c r="WI324" s="6"/>
      <c r="WJ324" s="6"/>
      <c r="WK324" s="6"/>
      <c r="WL324" s="6"/>
      <c r="WM324" s="6"/>
      <c r="WN324" s="6"/>
      <c r="WO324" s="6"/>
      <c r="WP324" s="6"/>
      <c r="WQ324" s="6"/>
      <c r="WR324" s="6"/>
      <c r="WS324" s="6"/>
      <c r="WT324" s="6"/>
      <c r="WU324" s="6"/>
      <c r="WV324" s="6"/>
      <c r="WW324" s="6"/>
      <c r="WX324" s="6"/>
      <c r="WY324" s="6"/>
      <c r="WZ324" s="6"/>
      <c r="XA324" s="6"/>
      <c r="XB324" s="6"/>
      <c r="XC324" s="6"/>
      <c r="XD324" s="6"/>
      <c r="XE324" s="6"/>
      <c r="XF324" s="6"/>
      <c r="XG324" s="6"/>
      <c r="XH324" s="6"/>
      <c r="XI324" s="6"/>
      <c r="XJ324" s="6"/>
      <c r="XK324" s="6"/>
      <c r="XL324" s="6"/>
      <c r="XM324" s="6"/>
      <c r="XN324" s="6"/>
      <c r="XO324" s="6"/>
      <c r="XP324" s="6"/>
      <c r="XQ324" s="6"/>
      <c r="XR324" s="6"/>
      <c r="XS324" s="6"/>
      <c r="XT324" s="6"/>
      <c r="XU324" s="6"/>
      <c r="XV324" s="6"/>
      <c r="XW324" s="6"/>
      <c r="XX324" s="6"/>
      <c r="XY324" s="6"/>
      <c r="XZ324" s="6"/>
      <c r="YA324" s="6"/>
      <c r="YB324" s="6"/>
      <c r="YC324" s="6"/>
      <c r="YD324" s="6"/>
      <c r="YE324" s="6"/>
      <c r="YF324" s="6"/>
      <c r="YG324" s="6"/>
      <c r="YH324" s="6"/>
      <c r="YI324" s="6"/>
      <c r="YJ324" s="6"/>
      <c r="YK324" s="6"/>
      <c r="YL324" s="6"/>
      <c r="YM324" s="6"/>
      <c r="YN324" s="6"/>
      <c r="YO324" s="6"/>
      <c r="YP324" s="6"/>
      <c r="YQ324" s="6"/>
      <c r="YR324" s="6"/>
      <c r="YS324" s="6"/>
      <c r="YT324" s="6"/>
      <c r="YU324" s="6"/>
      <c r="YV324" s="6"/>
      <c r="YW324" s="6"/>
      <c r="YX324" s="6"/>
      <c r="YY324" s="6"/>
      <c r="YZ324" s="6"/>
      <c r="ZA324" s="6"/>
      <c r="ZB324" s="6"/>
      <c r="ZC324" s="6"/>
      <c r="ZD324" s="6"/>
      <c r="ZE324" s="6"/>
      <c r="ZF324" s="6"/>
      <c r="ZG324" s="6"/>
      <c r="ZH324" s="6"/>
      <c r="ZI324" s="6"/>
      <c r="ZJ324" s="6"/>
      <c r="ZK324" s="6"/>
      <c r="ZL324" s="6"/>
      <c r="ZM324" s="6"/>
      <c r="ZN324" s="6"/>
      <c r="ZO324" s="6"/>
      <c r="ZP324" s="6"/>
      <c r="ZQ324" s="6"/>
      <c r="ZR324" s="6"/>
      <c r="ZS324" s="6"/>
      <c r="ZT324" s="6"/>
      <c r="ZU324" s="6"/>
      <c r="ZV324" s="6"/>
      <c r="ZW324" s="6"/>
      <c r="ZX324" s="6"/>
      <c r="ZY324" s="6"/>
      <c r="ZZ324" s="6"/>
      <c r="AAA324" s="6"/>
      <c r="AAB324" s="6"/>
      <c r="AAC324" s="6"/>
      <c r="AAD324" s="6"/>
      <c r="AAE324" s="6"/>
      <c r="AAF324" s="6"/>
      <c r="AAG324" s="6"/>
      <c r="AAH324" s="6"/>
      <c r="AAI324" s="6"/>
      <c r="AAJ324" s="6"/>
      <c r="AAK324" s="6"/>
      <c r="AAL324" s="6"/>
      <c r="AAM324" s="6"/>
      <c r="AAN324" s="6"/>
      <c r="AAO324" s="6"/>
      <c r="AAP324" s="6"/>
      <c r="AAQ324" s="6"/>
      <c r="AAR324" s="6"/>
      <c r="AAS324" s="6"/>
      <c r="AAT324" s="6"/>
      <c r="AAU324" s="6"/>
      <c r="AAV324" s="6"/>
      <c r="AAW324" s="6"/>
      <c r="AAX324" s="6"/>
      <c r="AAY324" s="6"/>
      <c r="AAZ324" s="6"/>
      <c r="ABA324" s="6"/>
      <c r="ABB324" s="6"/>
      <c r="ABC324" s="6"/>
      <c r="ABD324" s="6"/>
      <c r="ABE324" s="6"/>
      <c r="ABF324" s="6"/>
      <c r="ABG324" s="6"/>
      <c r="ABH324" s="6"/>
      <c r="ABI324" s="6"/>
      <c r="ABJ324" s="6"/>
      <c r="ABK324" s="6"/>
      <c r="ABL324" s="6"/>
      <c r="ABM324" s="6"/>
      <c r="ABN324" s="6"/>
      <c r="ABO324" s="6"/>
      <c r="ABP324" s="6"/>
      <c r="ABQ324" s="6"/>
      <c r="ABR324" s="6"/>
      <c r="ABS324" s="6"/>
      <c r="ABT324" s="6"/>
      <c r="ABU324" s="6"/>
      <c r="ABV324" s="6"/>
      <c r="ABW324" s="6"/>
      <c r="ABX324" s="6"/>
      <c r="ABY324" s="6"/>
      <c r="ABZ324" s="6"/>
      <c r="ACA324" s="6"/>
      <c r="ACB324" s="6"/>
      <c r="ACC324" s="6"/>
      <c r="ACD324" s="6"/>
      <c r="ACE324" s="6"/>
      <c r="ACF324" s="6"/>
      <c r="ACG324" s="6"/>
      <c r="ACH324" s="6"/>
      <c r="ACI324" s="6"/>
      <c r="ACJ324" s="6"/>
      <c r="ACK324" s="6"/>
      <c r="ACL324" s="6"/>
      <c r="ACM324" s="6"/>
      <c r="ACN324" s="6"/>
      <c r="ACO324" s="6"/>
      <c r="ACP324" s="6"/>
      <c r="ACQ324" s="6"/>
      <c r="ACR324" s="6"/>
      <c r="ACS324" s="6"/>
      <c r="ACT324" s="6"/>
      <c r="ACU324" s="6"/>
      <c r="ACV324" s="6"/>
      <c r="ACW324" s="6"/>
      <c r="ACX324" s="6"/>
      <c r="ACY324" s="6"/>
      <c r="ACZ324" s="6"/>
      <c r="ADA324" s="6"/>
      <c r="ADB324" s="6"/>
      <c r="ADC324" s="6"/>
      <c r="ADD324" s="6"/>
      <c r="ADE324" s="6"/>
      <c r="ADF324" s="6"/>
      <c r="ADG324" s="6"/>
      <c r="ADH324" s="6"/>
      <c r="ADI324" s="6"/>
      <c r="ADJ324" s="6"/>
      <c r="ADK324" s="6"/>
      <c r="ADL324" s="6"/>
      <c r="ADM324" s="6"/>
      <c r="ADN324" s="6"/>
      <c r="ADO324" s="6"/>
      <c r="ADP324" s="6"/>
      <c r="ADQ324" s="6"/>
      <c r="ADR324" s="6"/>
      <c r="ADS324" s="6"/>
      <c r="ADT324" s="6"/>
      <c r="ADU324" s="6"/>
      <c r="ADV324" s="6"/>
      <c r="ADW324" s="6"/>
      <c r="ADX324" s="6"/>
      <c r="ADY324" s="6"/>
      <c r="ADZ324" s="6"/>
      <c r="AEA324" s="6"/>
      <c r="AEB324" s="6"/>
      <c r="AEC324" s="6"/>
      <c r="AED324" s="6"/>
      <c r="AEE324" s="6"/>
      <c r="AEF324" s="6"/>
      <c r="AEG324" s="6"/>
      <c r="AEH324" s="6"/>
      <c r="AEI324" s="6"/>
      <c r="AEJ324" s="6"/>
      <c r="AEK324" s="6"/>
      <c r="AEL324" s="6"/>
      <c r="AEM324" s="6"/>
      <c r="AEN324" s="6"/>
      <c r="AEO324" s="6"/>
      <c r="AEP324" s="6"/>
      <c r="AEQ324" s="6"/>
      <c r="AER324" s="6"/>
      <c r="AES324" s="6"/>
      <c r="AET324" s="6"/>
      <c r="AEU324" s="6"/>
      <c r="AEV324" s="6"/>
      <c r="AEW324" s="6"/>
      <c r="AEX324" s="6"/>
      <c r="AEY324" s="6"/>
      <c r="AEZ324" s="6"/>
      <c r="AFA324" s="6"/>
      <c r="AFB324" s="6"/>
      <c r="AFC324" s="6"/>
      <c r="AFD324" s="6"/>
      <c r="AFE324" s="6"/>
      <c r="AFF324" s="6"/>
      <c r="AFG324" s="6"/>
      <c r="AFH324" s="6"/>
      <c r="AFI324" s="6"/>
      <c r="AFJ324" s="6"/>
      <c r="AFK324" s="6"/>
      <c r="AFL324" s="6"/>
      <c r="AFM324" s="6"/>
      <c r="AFN324" s="6"/>
      <c r="AFO324" s="6"/>
      <c r="AFP324" s="6"/>
      <c r="AFQ324" s="6"/>
      <c r="AFR324" s="6"/>
      <c r="AFS324" s="6"/>
      <c r="AFT324" s="6"/>
      <c r="AFU324" s="6"/>
      <c r="AFV324" s="6"/>
      <c r="AFW324" s="6"/>
      <c r="AFX324" s="6"/>
      <c r="AFY324" s="6"/>
      <c r="AFZ324" s="6"/>
      <c r="AGA324" s="6"/>
      <c r="AGB324" s="6"/>
      <c r="AGC324" s="6"/>
      <c r="AGD324" s="6"/>
      <c r="AGE324" s="6"/>
      <c r="AGF324" s="6"/>
      <c r="AGG324" s="6"/>
      <c r="AGH324" s="6"/>
      <c r="AGI324" s="6"/>
      <c r="AGJ324" s="6"/>
      <c r="AGK324" s="6"/>
      <c r="AGL324" s="6"/>
      <c r="AGM324" s="6"/>
      <c r="AGN324" s="6"/>
      <c r="AGO324" s="6"/>
      <c r="AGP324" s="6"/>
      <c r="AGQ324" s="6"/>
      <c r="AGR324" s="6"/>
      <c r="AGS324" s="6"/>
      <c r="AGT324" s="6"/>
      <c r="AGU324" s="6"/>
      <c r="AGV324" s="6"/>
      <c r="AGW324" s="6"/>
      <c r="AGX324" s="6"/>
      <c r="AGY324" s="6"/>
      <c r="AGZ324" s="6"/>
      <c r="AHA324" s="6"/>
      <c r="AHB324" s="6"/>
      <c r="AHC324" s="6"/>
      <c r="AHD324" s="6"/>
      <c r="AHE324" s="6"/>
      <c r="AHF324" s="6"/>
      <c r="AHG324" s="6"/>
      <c r="AHH324" s="6"/>
      <c r="AHI324" s="6"/>
      <c r="AHJ324" s="6"/>
      <c r="AHK324" s="6"/>
      <c r="AHL324" s="6"/>
      <c r="AHM324" s="6"/>
      <c r="AHN324" s="6"/>
      <c r="AHO324" s="6"/>
      <c r="AHP324" s="6"/>
      <c r="AHQ324" s="6"/>
      <c r="AHR324" s="6"/>
      <c r="AHS324" s="6"/>
      <c r="AHT324" s="6"/>
      <c r="AHU324" s="6"/>
      <c r="AHV324" s="6"/>
      <c r="AHW324" s="6"/>
      <c r="AHX324" s="6"/>
      <c r="AHY324" s="6"/>
      <c r="AHZ324" s="6"/>
      <c r="AIA324" s="6"/>
      <c r="AIB324" s="6"/>
      <c r="AIC324" s="6"/>
      <c r="AID324" s="6"/>
      <c r="AIE324" s="6"/>
      <c r="AIF324" s="6"/>
      <c r="AIG324" s="6"/>
      <c r="AIH324" s="6"/>
      <c r="AII324" s="6"/>
      <c r="AIJ324" s="6"/>
      <c r="AIK324" s="6"/>
      <c r="AIL324" s="6"/>
      <c r="AIM324" s="6"/>
      <c r="AIN324" s="6"/>
      <c r="AIO324" s="6"/>
      <c r="AIP324" s="6"/>
      <c r="AIQ324" s="6"/>
      <c r="AIR324" s="6"/>
      <c r="AIS324" s="6"/>
      <c r="AIT324" s="6"/>
      <c r="AIU324" s="6"/>
      <c r="AIV324" s="6"/>
      <c r="AIW324" s="6"/>
      <c r="AIX324" s="6"/>
      <c r="AIY324" s="6"/>
      <c r="AIZ324" s="6"/>
      <c r="AJA324" s="6"/>
      <c r="AJB324" s="6"/>
      <c r="AJC324" s="6"/>
      <c r="AJD324" s="6"/>
      <c r="AJE324" s="6"/>
      <c r="AJF324" s="6"/>
      <c r="AJG324" s="6"/>
      <c r="AJH324" s="6"/>
      <c r="AJI324" s="6"/>
      <c r="AJJ324" s="6"/>
      <c r="AJK324" s="6"/>
      <c r="AJL324" s="6"/>
      <c r="AJM324" s="6"/>
      <c r="AJN324" s="6"/>
      <c r="AJO324" s="6"/>
      <c r="AJP324" s="6"/>
      <c r="AJQ324" s="6"/>
      <c r="AJR324" s="6"/>
      <c r="AJS324" s="6"/>
      <c r="AJT324" s="6"/>
      <c r="AJU324" s="6"/>
      <c r="AJV324" s="6"/>
      <c r="AJW324" s="6"/>
      <c r="AJX324" s="6"/>
      <c r="AJY324" s="6"/>
      <c r="AJZ324" s="6"/>
      <c r="AKA324" s="6"/>
      <c r="AKB324" s="6"/>
      <c r="AKC324" s="6"/>
      <c r="AKD324" s="6"/>
      <c r="AKE324" s="6"/>
      <c r="AKF324" s="6"/>
      <c r="AKG324" s="6"/>
      <c r="AKH324" s="6"/>
      <c r="AKI324" s="6"/>
      <c r="AKJ324" s="6"/>
      <c r="AKK324" s="6"/>
      <c r="AKL324" s="6"/>
      <c r="AKM324" s="6"/>
      <c r="AKN324" s="6"/>
      <c r="AKO324" s="6"/>
      <c r="AKP324" s="6"/>
      <c r="AKQ324" s="6"/>
      <c r="AKR324" s="6"/>
      <c r="AKS324" s="6"/>
      <c r="AKT324" s="6"/>
      <c r="AKU324" s="6"/>
      <c r="AKV324" s="6"/>
      <c r="AKW324" s="6"/>
      <c r="AKX324" s="6"/>
      <c r="AKY324" s="6"/>
      <c r="AKZ324" s="6"/>
      <c r="ALA324" s="6"/>
      <c r="ALB324" s="6"/>
      <c r="ALC324" s="6"/>
      <c r="ALD324" s="6"/>
      <c r="ALE324" s="6"/>
      <c r="ALF324" s="6"/>
      <c r="ALG324" s="6"/>
      <c r="ALH324" s="6"/>
      <c r="ALI324" s="6"/>
      <c r="ALJ324" s="6"/>
      <c r="ALK324" s="6"/>
      <c r="ALL324" s="6"/>
      <c r="ALM324" s="6"/>
      <c r="ALN324" s="6"/>
      <c r="ALO324" s="6"/>
      <c r="ALP324" s="6"/>
      <c r="ALQ324" s="6"/>
      <c r="ALR324" s="6"/>
      <c r="ALS324" s="6"/>
      <c r="ALT324" s="6"/>
      <c r="ALU324" s="6"/>
      <c r="ALV324" s="6"/>
      <c r="ALW324" s="6"/>
      <c r="ALX324" s="6"/>
      <c r="ALY324" s="6"/>
      <c r="ALZ324" s="6"/>
      <c r="AMA324" s="6"/>
      <c r="AMB324" s="6"/>
      <c r="AMC324" s="6"/>
      <c r="AMD324" s="6"/>
      <c r="AME324" s="6"/>
      <c r="AMF324" s="6"/>
      <c r="AMG324" s="6"/>
      <c r="AMH324" s="6"/>
      <c r="AMI324" s="6"/>
      <c r="AMJ324" s="6"/>
      <c r="AMK324" s="6"/>
      <c r="AML324" s="6"/>
      <c r="AMM324" s="6"/>
      <c r="AMN324" s="6"/>
      <c r="AMO324" s="6"/>
      <c r="AMP324" s="6"/>
    </row>
    <row r="325" spans="1:1030" x14ac:dyDescent="0.2">
      <c r="A325" s="3" t="str">
        <f t="shared" si="1956"/>
        <v>calcr_human__wt</v>
      </c>
      <c r="B325" s="2" t="s">
        <v>401</v>
      </c>
      <c r="C325" s="3" t="s">
        <v>100</v>
      </c>
      <c r="D325" s="3" t="str">
        <f>IFERROR(MID(VLOOKUP($B325,Seqs!$A:$B,2,0),E325,1),"")</f>
        <v>T</v>
      </c>
      <c r="E325" s="3">
        <v>132</v>
      </c>
      <c r="F325" s="3" t="str">
        <f>IFERROR(MID(VLOOKUP($B325,Seqs!$A:$B,2,0),G325,1),"")</f>
        <v>F</v>
      </c>
      <c r="G325" s="3">
        <v>173</v>
      </c>
      <c r="H325" s="3" t="str">
        <f>IFERROR(MID(VLOOKUP($B325,Seqs!$A:$B,2,0),I325,1),"")</f>
        <v>R</v>
      </c>
      <c r="I325" s="23">
        <v>174</v>
      </c>
      <c r="J325" s="3" t="str">
        <f>IFERROR(MID(VLOOKUP($B325,Seqs!$A:$B,2,0),K325,1),"")</f>
        <v>G</v>
      </c>
      <c r="K325" s="23">
        <v>177</v>
      </c>
      <c r="L325" s="3" t="str">
        <f>IFERROR(MID(VLOOKUP($B325,Seqs!$A:$B,2,0),M325,1),"")</f>
        <v>C</v>
      </c>
      <c r="M325" s="3">
        <v>178</v>
      </c>
      <c r="N325" s="3" t="str">
        <f>IFERROR(MID(VLOOKUP($B325,Seqs!$A:$B,2,0),O325,1),"")</f>
        <v>V</v>
      </c>
      <c r="O325" s="3">
        <v>205</v>
      </c>
      <c r="P325" s="3" t="str">
        <f>IFERROR(MID(VLOOKUP($B325,Seqs!$A:$B,2,0),Q325,1),"")</f>
        <v/>
      </c>
      <c r="Q325" s="3" t="s">
        <v>23</v>
      </c>
      <c r="R325" s="3" t="str">
        <f>IFERROR(MID(VLOOKUP($B325,Seqs!$A:$B,2,0),S325,1),"")</f>
        <v/>
      </c>
      <c r="S325" s="3" t="s">
        <v>23</v>
      </c>
      <c r="T325" s="3" t="str">
        <f>IFERROR(MID(VLOOKUP($B325,Seqs!$A:$B,2,0),U325,1),"")</f>
        <v>V</v>
      </c>
      <c r="U325" s="105">
        <v>217</v>
      </c>
      <c r="V325" s="3" t="str">
        <f>IFERROR(MID(VLOOKUP($B325,Seqs!$A:$B,2,0),W325,1),"")</f>
        <v>V</v>
      </c>
      <c r="W325" s="3">
        <v>250</v>
      </c>
      <c r="X325" s="3" t="str">
        <f>IFERROR(MID(VLOOKUP($B325,Seqs!$A:$B,2,0),Y325,1),"")</f>
        <v/>
      </c>
      <c r="Y325" s="3" t="s">
        <v>23</v>
      </c>
      <c r="Z325" s="3" t="str">
        <f>IFERROR(MID(VLOOKUP($B325,Seqs!$A:$B,2,0),AA325,1),"")</f>
        <v/>
      </c>
      <c r="AA325" s="3" t="s">
        <v>23</v>
      </c>
      <c r="AB325" s="3" t="str">
        <f>IFERROR(MID(VLOOKUP($B325,Seqs!$A:$B,2,0),AC325,1),"")</f>
        <v>R</v>
      </c>
      <c r="AC325" s="3">
        <v>258</v>
      </c>
      <c r="AD325" s="3" t="str">
        <f>IFERROR(MID(VLOOKUP($B325,Seqs!$A:$B,2,0),AE325,1),"")</f>
        <v>F</v>
      </c>
      <c r="AE325" s="3">
        <v>285</v>
      </c>
      <c r="AF325" s="3" t="str">
        <f>IFERROR(MID(VLOOKUP($B325,Seqs!$A:$B,2,0),AG325,1),"")</f>
        <v>C</v>
      </c>
      <c r="AG325" s="3">
        <v>289</v>
      </c>
      <c r="AH325" s="3" t="str">
        <f>IFERROR(MID(VLOOKUP($B325,Seqs!$A:$B,2,0),AI325,1),"")</f>
        <v>L</v>
      </c>
      <c r="AI325" s="3">
        <v>291</v>
      </c>
      <c r="AJ325" s="3" t="str">
        <f>IFERROR(MID(VLOOKUP($B325,Seqs!$A:$B,2,0),AK325,1),"")</f>
        <v>L</v>
      </c>
      <c r="AK325" s="3">
        <v>298</v>
      </c>
      <c r="AL325" s="3" t="str">
        <f>IFERROR(MID(VLOOKUP($B325,Seqs!$A:$B,2,0),AM325,1),"")</f>
        <v>R</v>
      </c>
      <c r="AM325" s="3">
        <v>328</v>
      </c>
      <c r="AN325" s="3" t="str">
        <f>IFERROR(MID(VLOOKUP($B325,Seqs!$A:$B,2,0),AO325,1),"")</f>
        <v>Y</v>
      </c>
      <c r="AO325" s="3">
        <v>338</v>
      </c>
      <c r="AP325" s="3" t="str">
        <f>IFERROR(MID(VLOOKUP($B325,Seqs!$A:$B,2,0),AQ325,1),"")</f>
        <v>W</v>
      </c>
      <c r="AQ325" s="3">
        <v>361</v>
      </c>
      <c r="AR325" s="3" t="str">
        <f>IFERROR(MID(VLOOKUP($B325,Seqs!$A:$B,2,0),AS325,1),"")</f>
        <v>K</v>
      </c>
      <c r="AS325" s="3">
        <v>366</v>
      </c>
      <c r="AT325" s="3" t="str">
        <f>IFERROR(MID(VLOOKUP($B325,Seqs!$A:$B,2,0),AU325,1),"")</f>
        <v>C</v>
      </c>
      <c r="AU325" s="3">
        <v>394</v>
      </c>
      <c r="AV325" s="3" t="str">
        <f>IFERROR(MID(VLOOKUP($B325,Seqs!$A:$B,2,0),AW325,1),"")</f>
        <v>N</v>
      </c>
      <c r="AW325" s="3">
        <v>395</v>
      </c>
      <c r="AX325" s="3" t="str">
        <f>IFERROR(MID(VLOOKUP($B325,Seqs!$A:$B,2,0),AY325,1),"")</f>
        <v>R</v>
      </c>
      <c r="AY325" s="3">
        <v>420</v>
      </c>
      <c r="AZ325" s="77" t="str">
        <f>VLOOKUP(B325,Classification!A:D,2,0)</f>
        <v>B1</v>
      </c>
      <c r="BA325" s="94" t="str">
        <f>VLOOKUP(B325,Classification!A:D,4,0)</f>
        <v>Calcitonin</v>
      </c>
      <c r="BB325" s="27" t="b">
        <f t="shared" si="1929"/>
        <v>1</v>
      </c>
      <c r="BC325" s="23">
        <f t="shared" si="1930"/>
        <v>251</v>
      </c>
      <c r="BD325" s="4" t="s">
        <v>23</v>
      </c>
      <c r="BE325" s="3" t="s">
        <v>23</v>
      </c>
      <c r="BF325" s="119" t="s">
        <v>23</v>
      </c>
      <c r="BG325" s="49" t="s">
        <v>1377</v>
      </c>
      <c r="BH325" s="49" t="s">
        <v>1377</v>
      </c>
      <c r="BI325" s="1"/>
      <c r="BJ325" s="70" t="s">
        <v>1287</v>
      </c>
      <c r="BK325" s="57" t="s">
        <v>1287</v>
      </c>
      <c r="BL325" s="57" t="s">
        <v>1287</v>
      </c>
      <c r="BM325" s="57" t="s">
        <v>1287</v>
      </c>
      <c r="BN325" s="57" t="s">
        <v>1287</v>
      </c>
      <c r="BO325" s="57" t="s">
        <v>1287</v>
      </c>
      <c r="BP325" s="57" t="s">
        <v>1287</v>
      </c>
      <c r="BQ325" s="57" t="s">
        <v>1287</v>
      </c>
      <c r="BR325" s="57" t="s">
        <v>1287</v>
      </c>
      <c r="BS325" s="57" t="s">
        <v>1287</v>
      </c>
      <c r="BT325" s="57" t="s">
        <v>1287</v>
      </c>
      <c r="BU325" s="57" t="s">
        <v>1287</v>
      </c>
      <c r="BV325" s="70">
        <f t="shared" si="1931"/>
        <v>132</v>
      </c>
      <c r="BW325" s="71">
        <f t="shared" si="1932"/>
        <v>174</v>
      </c>
      <c r="BX325" s="72">
        <f t="shared" si="1933"/>
        <v>178</v>
      </c>
      <c r="BY325" s="71" t="str">
        <f t="shared" si="1934"/>
        <v>-</v>
      </c>
      <c r="BZ325" s="72">
        <f t="shared" si="1935"/>
        <v>217</v>
      </c>
      <c r="CA325" s="71" t="str">
        <f t="shared" si="1936"/>
        <v>-</v>
      </c>
      <c r="CB325" s="72">
        <f t="shared" si="1937"/>
        <v>258</v>
      </c>
      <c r="CC325" s="71">
        <f t="shared" si="1938"/>
        <v>289</v>
      </c>
      <c r="CD325" s="72">
        <f t="shared" si="1939"/>
        <v>298</v>
      </c>
      <c r="CE325" s="71">
        <f t="shared" si="1940"/>
        <v>338</v>
      </c>
      <c r="CF325" s="72">
        <f t="shared" si="1941"/>
        <v>366</v>
      </c>
      <c r="CG325" s="71">
        <f t="shared" si="1942"/>
        <v>395</v>
      </c>
      <c r="CH325" s="70">
        <f t="shared" si="1943"/>
        <v>173</v>
      </c>
      <c r="CI325" s="71">
        <f t="shared" si="1944"/>
        <v>177</v>
      </c>
      <c r="CJ325" s="72">
        <f t="shared" si="1945"/>
        <v>205</v>
      </c>
      <c r="CK325" s="72" t="str">
        <f t="shared" si="1946"/>
        <v>-</v>
      </c>
      <c r="CL325" s="72">
        <f t="shared" si="1947"/>
        <v>250</v>
      </c>
      <c r="CM325" s="72" t="str">
        <f t="shared" si="1948"/>
        <v>-</v>
      </c>
      <c r="CN325" s="72">
        <f t="shared" si="1949"/>
        <v>285</v>
      </c>
      <c r="CO325" s="72">
        <f t="shared" si="1950"/>
        <v>291</v>
      </c>
      <c r="CP325" s="72">
        <f t="shared" si="1951"/>
        <v>328</v>
      </c>
      <c r="CQ325" s="72">
        <f t="shared" si="1952"/>
        <v>361</v>
      </c>
      <c r="CR325" s="72">
        <f t="shared" si="1953"/>
        <v>394</v>
      </c>
      <c r="CS325" s="72">
        <f t="shared" si="1954"/>
        <v>420</v>
      </c>
      <c r="CT325" s="23">
        <f t="shared" si="1955"/>
        <v>1</v>
      </c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  <c r="FW325" s="6"/>
      <c r="FX325" s="6"/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6"/>
      <c r="II325" s="6"/>
      <c r="IJ325" s="6"/>
      <c r="IK325" s="6"/>
      <c r="IL325" s="6"/>
      <c r="IM325" s="6"/>
      <c r="IN325" s="6"/>
      <c r="IO325" s="6"/>
      <c r="IP325" s="6"/>
      <c r="IQ325" s="6"/>
      <c r="IR325" s="6"/>
      <c r="IS325" s="6"/>
      <c r="IT325" s="6"/>
      <c r="IU325" s="6"/>
      <c r="IV325" s="6"/>
      <c r="IW325" s="6"/>
      <c r="IX325" s="6"/>
      <c r="IY325" s="6"/>
      <c r="IZ325" s="6"/>
      <c r="JA325" s="6"/>
      <c r="JB325" s="6"/>
      <c r="JC325" s="6"/>
      <c r="JD325" s="6"/>
      <c r="JE325" s="6"/>
      <c r="JF325" s="6"/>
      <c r="JG325" s="6"/>
      <c r="JH325" s="6"/>
      <c r="JI325" s="6"/>
      <c r="JJ325" s="6"/>
      <c r="JK325" s="6"/>
      <c r="JL325" s="6"/>
      <c r="JM325" s="6"/>
      <c r="JN325" s="6"/>
      <c r="JO325" s="6"/>
      <c r="JP325" s="6"/>
      <c r="JQ325" s="6"/>
      <c r="JR325" s="6"/>
      <c r="JS325" s="6"/>
      <c r="JT325" s="6"/>
      <c r="JU325" s="6"/>
      <c r="JV325" s="6"/>
      <c r="JW325" s="6"/>
      <c r="JX325" s="6"/>
      <c r="JY325" s="6"/>
      <c r="JZ325" s="6"/>
      <c r="KA325" s="6"/>
      <c r="KB325" s="6"/>
      <c r="KC325" s="6"/>
      <c r="KD325" s="6"/>
      <c r="KE325" s="6"/>
      <c r="KF325" s="6"/>
      <c r="KG325" s="6"/>
      <c r="KH325" s="6"/>
      <c r="KI325" s="6"/>
      <c r="KJ325" s="6"/>
      <c r="KK325" s="6"/>
      <c r="KL325" s="6"/>
      <c r="KM325" s="6"/>
      <c r="KN325" s="6"/>
      <c r="KO325" s="6"/>
      <c r="KP325" s="6"/>
      <c r="KQ325" s="6"/>
      <c r="KR325" s="6"/>
      <c r="KS325" s="6"/>
      <c r="KT325" s="6"/>
      <c r="KU325" s="6"/>
      <c r="KV325" s="6"/>
      <c r="KW325" s="6"/>
      <c r="KX325" s="6"/>
      <c r="KY325" s="6"/>
      <c r="KZ325" s="6"/>
      <c r="LA325" s="6"/>
      <c r="LB325" s="6"/>
      <c r="LC325" s="6"/>
      <c r="LD325" s="6"/>
      <c r="LE325" s="6"/>
      <c r="LF325" s="6"/>
      <c r="LG325" s="6"/>
      <c r="LH325" s="6"/>
      <c r="LI325" s="6"/>
      <c r="LJ325" s="6"/>
      <c r="LK325" s="6"/>
      <c r="LL325" s="6"/>
      <c r="LM325" s="6"/>
      <c r="LN325" s="6"/>
      <c r="LO325" s="6"/>
      <c r="LP325" s="6"/>
      <c r="LQ325" s="6"/>
      <c r="LR325" s="6"/>
      <c r="LS325" s="6"/>
      <c r="LT325" s="6"/>
      <c r="LU325" s="6"/>
      <c r="LV325" s="6"/>
      <c r="LW325" s="6"/>
      <c r="LX325" s="6"/>
      <c r="LY325" s="6"/>
      <c r="LZ325" s="6"/>
      <c r="MA325" s="6"/>
      <c r="MB325" s="6"/>
      <c r="MC325" s="6"/>
      <c r="MD325" s="6"/>
      <c r="ME325" s="6"/>
      <c r="MF325" s="6"/>
      <c r="MG325" s="6"/>
      <c r="MH325" s="6"/>
      <c r="MI325" s="6"/>
      <c r="MJ325" s="6"/>
      <c r="MK325" s="6"/>
      <c r="ML325" s="6"/>
      <c r="MM325" s="6"/>
      <c r="MN325" s="6"/>
      <c r="MO325" s="6"/>
      <c r="MP325" s="6"/>
      <c r="MQ325" s="6"/>
      <c r="MR325" s="6"/>
      <c r="MS325" s="6"/>
      <c r="MT325" s="6"/>
      <c r="MU325" s="6"/>
      <c r="MV325" s="6"/>
      <c r="MW325" s="6"/>
      <c r="MX325" s="6"/>
      <c r="MY325" s="6"/>
      <c r="MZ325" s="6"/>
      <c r="NA325" s="6"/>
      <c r="NB325" s="6"/>
      <c r="NC325" s="6"/>
      <c r="ND325" s="6"/>
      <c r="NE325" s="6"/>
      <c r="NF325" s="6"/>
      <c r="NG325" s="6"/>
      <c r="NH325" s="6"/>
      <c r="NI325" s="6"/>
      <c r="NJ325" s="6"/>
      <c r="NK325" s="6"/>
      <c r="NL325" s="6"/>
      <c r="NM325" s="6"/>
      <c r="NN325" s="6"/>
      <c r="NO325" s="6"/>
      <c r="NP325" s="6"/>
      <c r="NQ325" s="6"/>
      <c r="NR325" s="6"/>
      <c r="NS325" s="6"/>
      <c r="NT325" s="6"/>
      <c r="NU325" s="6"/>
      <c r="NV325" s="6"/>
      <c r="NW325" s="6"/>
      <c r="NX325" s="6"/>
      <c r="NY325" s="6"/>
      <c r="NZ325" s="6"/>
      <c r="OA325" s="6"/>
      <c r="OB325" s="6"/>
      <c r="OC325" s="6"/>
      <c r="OD325" s="6"/>
      <c r="OE325" s="6"/>
      <c r="OF325" s="6"/>
      <c r="OG325" s="6"/>
      <c r="OH325" s="6"/>
      <c r="OI325" s="6"/>
      <c r="OJ325" s="6"/>
      <c r="OK325" s="6"/>
      <c r="OL325" s="6"/>
      <c r="OM325" s="6"/>
      <c r="ON325" s="6"/>
      <c r="OO325" s="6"/>
      <c r="OP325" s="6"/>
      <c r="OQ325" s="6"/>
      <c r="OR325" s="6"/>
      <c r="OS325" s="6"/>
      <c r="OT325" s="6"/>
      <c r="OU325" s="6"/>
      <c r="OV325" s="6"/>
      <c r="OW325" s="6"/>
      <c r="OX325" s="6"/>
      <c r="OY325" s="6"/>
      <c r="OZ325" s="6"/>
      <c r="PA325" s="6"/>
      <c r="PB325" s="6"/>
      <c r="PC325" s="6"/>
      <c r="PD325" s="6"/>
      <c r="PE325" s="6"/>
      <c r="PF325" s="6"/>
      <c r="PG325" s="6"/>
      <c r="PH325" s="6"/>
      <c r="PI325" s="6"/>
      <c r="PJ325" s="6"/>
      <c r="PK325" s="6"/>
      <c r="PL325" s="6"/>
      <c r="PM325" s="6"/>
      <c r="PN325" s="6"/>
      <c r="PO325" s="6"/>
      <c r="PP325" s="6"/>
      <c r="PQ325" s="6"/>
      <c r="PR325" s="6"/>
      <c r="PS325" s="6"/>
      <c r="PT325" s="6"/>
      <c r="PU325" s="6"/>
      <c r="PV325" s="6"/>
      <c r="PW325" s="6"/>
      <c r="PX325" s="6"/>
      <c r="PY325" s="6"/>
      <c r="PZ325" s="6"/>
      <c r="QA325" s="6"/>
      <c r="QB325" s="6"/>
      <c r="QC325" s="6"/>
      <c r="QD325" s="6"/>
      <c r="QE325" s="6"/>
      <c r="QF325" s="6"/>
      <c r="QG325" s="6"/>
      <c r="QH325" s="6"/>
      <c r="QI325" s="6"/>
      <c r="QJ325" s="6"/>
      <c r="QK325" s="6"/>
      <c r="QL325" s="6"/>
      <c r="QM325" s="6"/>
      <c r="QN325" s="6"/>
      <c r="QO325" s="6"/>
      <c r="QP325" s="6"/>
      <c r="QQ325" s="6"/>
      <c r="QR325" s="6"/>
      <c r="QS325" s="6"/>
      <c r="QT325" s="6"/>
      <c r="QU325" s="6"/>
      <c r="QV325" s="6"/>
      <c r="QW325" s="6"/>
      <c r="QX325" s="6"/>
      <c r="QY325" s="6"/>
      <c r="QZ325" s="6"/>
      <c r="RA325" s="6"/>
      <c r="RB325" s="6"/>
      <c r="RC325" s="6"/>
      <c r="RD325" s="6"/>
      <c r="RE325" s="6"/>
      <c r="RF325" s="6"/>
      <c r="RG325" s="6"/>
      <c r="RH325" s="6"/>
      <c r="RI325" s="6"/>
      <c r="RJ325" s="6"/>
      <c r="RK325" s="6"/>
      <c r="RL325" s="6"/>
      <c r="RM325" s="6"/>
      <c r="RN325" s="6"/>
      <c r="RO325" s="6"/>
      <c r="RP325" s="6"/>
      <c r="RQ325" s="6"/>
      <c r="RR325" s="6"/>
      <c r="RS325" s="6"/>
      <c r="RT325" s="6"/>
      <c r="RU325" s="6"/>
      <c r="RV325" s="6"/>
      <c r="RW325" s="6"/>
      <c r="RX325" s="6"/>
      <c r="RY325" s="6"/>
      <c r="RZ325" s="6"/>
      <c r="SA325" s="6"/>
      <c r="SB325" s="6"/>
      <c r="SC325" s="6"/>
      <c r="SD325" s="6"/>
      <c r="SE325" s="6"/>
      <c r="SF325" s="6"/>
      <c r="SG325" s="6"/>
      <c r="SH325" s="6"/>
      <c r="SI325" s="6"/>
      <c r="SJ325" s="6"/>
      <c r="SK325" s="6"/>
      <c r="SL325" s="6"/>
      <c r="SM325" s="6"/>
      <c r="SN325" s="6"/>
      <c r="SO325" s="6"/>
      <c r="SP325" s="6"/>
      <c r="SQ325" s="6"/>
      <c r="SR325" s="6"/>
      <c r="SS325" s="6"/>
      <c r="ST325" s="6"/>
      <c r="SU325" s="6"/>
      <c r="SV325" s="6"/>
      <c r="SW325" s="6"/>
      <c r="SX325" s="6"/>
      <c r="SY325" s="6"/>
      <c r="SZ325" s="6"/>
      <c r="TA325" s="6"/>
      <c r="TB325" s="6"/>
      <c r="TC325" s="6"/>
      <c r="TD325" s="6"/>
      <c r="TE325" s="6"/>
      <c r="TF325" s="6"/>
      <c r="TG325" s="6"/>
      <c r="TH325" s="6"/>
      <c r="TI325" s="6"/>
      <c r="TJ325" s="6"/>
      <c r="TK325" s="6"/>
      <c r="TL325" s="6"/>
      <c r="TM325" s="6"/>
      <c r="TN325" s="6"/>
      <c r="TO325" s="6"/>
      <c r="TP325" s="6"/>
      <c r="TQ325" s="6"/>
      <c r="TR325" s="6"/>
      <c r="TS325" s="6"/>
      <c r="TT325" s="6"/>
      <c r="TU325" s="6"/>
      <c r="TV325" s="6"/>
      <c r="TW325" s="6"/>
      <c r="TX325" s="6"/>
      <c r="TY325" s="6"/>
      <c r="TZ325" s="6"/>
      <c r="UA325" s="6"/>
      <c r="UB325" s="6"/>
      <c r="UC325" s="6"/>
      <c r="UD325" s="6"/>
      <c r="UE325" s="6"/>
      <c r="UF325" s="6"/>
      <c r="UG325" s="6"/>
      <c r="UH325" s="6"/>
      <c r="UI325" s="6"/>
      <c r="UJ325" s="6"/>
      <c r="UK325" s="6"/>
      <c r="UL325" s="6"/>
      <c r="UM325" s="6"/>
      <c r="UN325" s="6"/>
      <c r="UO325" s="6"/>
      <c r="UP325" s="6"/>
      <c r="UQ325" s="6"/>
      <c r="UR325" s="6"/>
      <c r="US325" s="6"/>
      <c r="UT325" s="6"/>
      <c r="UU325" s="6"/>
      <c r="UV325" s="6"/>
      <c r="UW325" s="6"/>
      <c r="UX325" s="6"/>
      <c r="UY325" s="6"/>
      <c r="UZ325" s="6"/>
      <c r="VA325" s="6"/>
      <c r="VB325" s="6"/>
      <c r="VC325" s="6"/>
      <c r="VD325" s="6"/>
      <c r="VE325" s="6"/>
      <c r="VF325" s="6"/>
      <c r="VG325" s="6"/>
      <c r="VH325" s="6"/>
      <c r="VI325" s="6"/>
      <c r="VJ325" s="6"/>
      <c r="VK325" s="6"/>
      <c r="VL325" s="6"/>
      <c r="VM325" s="6"/>
      <c r="VN325" s="6"/>
      <c r="VO325" s="6"/>
      <c r="VP325" s="6"/>
      <c r="VQ325" s="6"/>
      <c r="VR325" s="6"/>
      <c r="VS325" s="6"/>
      <c r="VT325" s="6"/>
      <c r="VU325" s="6"/>
      <c r="VV325" s="6"/>
      <c r="VW325" s="6"/>
      <c r="VX325" s="6"/>
      <c r="VY325" s="6"/>
      <c r="VZ325" s="6"/>
      <c r="WA325" s="6"/>
      <c r="WB325" s="6"/>
      <c r="WC325" s="6"/>
      <c r="WD325" s="6"/>
      <c r="WE325" s="6"/>
      <c r="WF325" s="6"/>
      <c r="WG325" s="6"/>
      <c r="WH325" s="6"/>
      <c r="WI325" s="6"/>
      <c r="WJ325" s="6"/>
      <c r="WK325" s="6"/>
      <c r="WL325" s="6"/>
      <c r="WM325" s="6"/>
      <c r="WN325" s="6"/>
      <c r="WO325" s="6"/>
      <c r="WP325" s="6"/>
      <c r="WQ325" s="6"/>
      <c r="WR325" s="6"/>
      <c r="WS325" s="6"/>
      <c r="WT325" s="6"/>
      <c r="WU325" s="6"/>
      <c r="WV325" s="6"/>
      <c r="WW325" s="6"/>
      <c r="WX325" s="6"/>
      <c r="WY325" s="6"/>
      <c r="WZ325" s="6"/>
      <c r="XA325" s="6"/>
      <c r="XB325" s="6"/>
      <c r="XC325" s="6"/>
      <c r="XD325" s="6"/>
      <c r="XE325" s="6"/>
      <c r="XF325" s="6"/>
      <c r="XG325" s="6"/>
      <c r="XH325" s="6"/>
      <c r="XI325" s="6"/>
      <c r="XJ325" s="6"/>
      <c r="XK325" s="6"/>
      <c r="XL325" s="6"/>
      <c r="XM325" s="6"/>
      <c r="XN325" s="6"/>
      <c r="XO325" s="6"/>
      <c r="XP325" s="6"/>
      <c r="XQ325" s="6"/>
      <c r="XR325" s="6"/>
      <c r="XS325" s="6"/>
      <c r="XT325" s="6"/>
      <c r="XU325" s="6"/>
      <c r="XV325" s="6"/>
      <c r="XW325" s="6"/>
      <c r="XX325" s="6"/>
      <c r="XY325" s="6"/>
      <c r="XZ325" s="6"/>
      <c r="YA325" s="6"/>
      <c r="YB325" s="6"/>
      <c r="YC325" s="6"/>
      <c r="YD325" s="6"/>
      <c r="YE325" s="6"/>
      <c r="YF325" s="6"/>
      <c r="YG325" s="6"/>
      <c r="YH325" s="6"/>
      <c r="YI325" s="6"/>
      <c r="YJ325" s="6"/>
      <c r="YK325" s="6"/>
      <c r="YL325" s="6"/>
      <c r="YM325" s="6"/>
      <c r="YN325" s="6"/>
      <c r="YO325" s="6"/>
      <c r="YP325" s="6"/>
      <c r="YQ325" s="6"/>
      <c r="YR325" s="6"/>
      <c r="YS325" s="6"/>
      <c r="YT325" s="6"/>
      <c r="YU325" s="6"/>
      <c r="YV325" s="6"/>
      <c r="YW325" s="6"/>
      <c r="YX325" s="6"/>
      <c r="YY325" s="6"/>
      <c r="YZ325" s="6"/>
      <c r="ZA325" s="6"/>
      <c r="ZB325" s="6"/>
      <c r="ZC325" s="6"/>
      <c r="ZD325" s="6"/>
      <c r="ZE325" s="6"/>
      <c r="ZF325" s="6"/>
      <c r="ZG325" s="6"/>
      <c r="ZH325" s="6"/>
      <c r="ZI325" s="6"/>
      <c r="ZJ325" s="6"/>
      <c r="ZK325" s="6"/>
      <c r="ZL325" s="6"/>
      <c r="ZM325" s="6"/>
      <c r="ZN325" s="6"/>
      <c r="ZO325" s="6"/>
      <c r="ZP325" s="6"/>
      <c r="ZQ325" s="6"/>
      <c r="ZR325" s="6"/>
      <c r="ZS325" s="6"/>
      <c r="ZT325" s="6"/>
      <c r="ZU325" s="6"/>
      <c r="ZV325" s="6"/>
      <c r="ZW325" s="6"/>
      <c r="ZX325" s="6"/>
      <c r="ZY325" s="6"/>
      <c r="ZZ325" s="6"/>
      <c r="AAA325" s="6"/>
      <c r="AAB325" s="6"/>
      <c r="AAC325" s="6"/>
      <c r="AAD325" s="6"/>
      <c r="AAE325" s="6"/>
      <c r="AAF325" s="6"/>
      <c r="AAG325" s="6"/>
      <c r="AAH325" s="6"/>
      <c r="AAI325" s="6"/>
      <c r="AAJ325" s="6"/>
      <c r="AAK325" s="6"/>
      <c r="AAL325" s="6"/>
      <c r="AAM325" s="6"/>
      <c r="AAN325" s="6"/>
      <c r="AAO325" s="6"/>
      <c r="AAP325" s="6"/>
      <c r="AAQ325" s="6"/>
      <c r="AAR325" s="6"/>
      <c r="AAS325" s="6"/>
      <c r="AAT325" s="6"/>
      <c r="AAU325" s="6"/>
      <c r="AAV325" s="6"/>
      <c r="AAW325" s="6"/>
      <c r="AAX325" s="6"/>
      <c r="AAY325" s="6"/>
      <c r="AAZ325" s="6"/>
      <c r="ABA325" s="6"/>
      <c r="ABB325" s="6"/>
      <c r="ABC325" s="6"/>
      <c r="ABD325" s="6"/>
      <c r="ABE325" s="6"/>
      <c r="ABF325" s="6"/>
      <c r="ABG325" s="6"/>
      <c r="ABH325" s="6"/>
      <c r="ABI325" s="6"/>
      <c r="ABJ325" s="6"/>
      <c r="ABK325" s="6"/>
      <c r="ABL325" s="6"/>
      <c r="ABM325" s="6"/>
      <c r="ABN325" s="6"/>
      <c r="ABO325" s="6"/>
      <c r="ABP325" s="6"/>
      <c r="ABQ325" s="6"/>
      <c r="ABR325" s="6"/>
      <c r="ABS325" s="6"/>
      <c r="ABT325" s="6"/>
      <c r="ABU325" s="6"/>
      <c r="ABV325" s="6"/>
      <c r="ABW325" s="6"/>
      <c r="ABX325" s="6"/>
      <c r="ABY325" s="6"/>
      <c r="ABZ325" s="6"/>
      <c r="ACA325" s="6"/>
      <c r="ACB325" s="6"/>
      <c r="ACC325" s="6"/>
      <c r="ACD325" s="6"/>
      <c r="ACE325" s="6"/>
      <c r="ACF325" s="6"/>
      <c r="ACG325" s="6"/>
      <c r="ACH325" s="6"/>
      <c r="ACI325" s="6"/>
      <c r="ACJ325" s="6"/>
      <c r="ACK325" s="6"/>
      <c r="ACL325" s="6"/>
      <c r="ACM325" s="6"/>
      <c r="ACN325" s="6"/>
      <c r="ACO325" s="6"/>
      <c r="ACP325" s="6"/>
      <c r="ACQ325" s="6"/>
      <c r="ACR325" s="6"/>
      <c r="ACS325" s="6"/>
      <c r="ACT325" s="6"/>
      <c r="ACU325" s="6"/>
      <c r="ACV325" s="6"/>
      <c r="ACW325" s="6"/>
      <c r="ACX325" s="6"/>
      <c r="ACY325" s="6"/>
      <c r="ACZ325" s="6"/>
      <c r="ADA325" s="6"/>
      <c r="ADB325" s="6"/>
      <c r="ADC325" s="6"/>
      <c r="ADD325" s="6"/>
      <c r="ADE325" s="6"/>
      <c r="ADF325" s="6"/>
      <c r="ADG325" s="6"/>
      <c r="ADH325" s="6"/>
      <c r="ADI325" s="6"/>
      <c r="ADJ325" s="6"/>
      <c r="ADK325" s="6"/>
      <c r="ADL325" s="6"/>
      <c r="ADM325" s="6"/>
      <c r="ADN325" s="6"/>
      <c r="ADO325" s="6"/>
      <c r="ADP325" s="6"/>
      <c r="ADQ325" s="6"/>
      <c r="ADR325" s="6"/>
      <c r="ADS325" s="6"/>
      <c r="ADT325" s="6"/>
      <c r="ADU325" s="6"/>
      <c r="ADV325" s="6"/>
      <c r="ADW325" s="6"/>
      <c r="ADX325" s="6"/>
      <c r="ADY325" s="6"/>
      <c r="ADZ325" s="6"/>
      <c r="AEA325" s="6"/>
      <c r="AEB325" s="6"/>
      <c r="AEC325" s="6"/>
      <c r="AED325" s="6"/>
      <c r="AEE325" s="6"/>
      <c r="AEF325" s="6"/>
      <c r="AEG325" s="6"/>
      <c r="AEH325" s="6"/>
      <c r="AEI325" s="6"/>
      <c r="AEJ325" s="6"/>
      <c r="AEK325" s="6"/>
      <c r="AEL325" s="6"/>
      <c r="AEM325" s="6"/>
      <c r="AEN325" s="6"/>
      <c r="AEO325" s="6"/>
      <c r="AEP325" s="6"/>
      <c r="AEQ325" s="6"/>
      <c r="AER325" s="6"/>
      <c r="AES325" s="6"/>
      <c r="AET325" s="6"/>
      <c r="AEU325" s="6"/>
      <c r="AEV325" s="6"/>
      <c r="AEW325" s="6"/>
      <c r="AEX325" s="6"/>
      <c r="AEY325" s="6"/>
      <c r="AEZ325" s="6"/>
      <c r="AFA325" s="6"/>
      <c r="AFB325" s="6"/>
      <c r="AFC325" s="6"/>
      <c r="AFD325" s="6"/>
      <c r="AFE325" s="6"/>
      <c r="AFF325" s="6"/>
      <c r="AFG325" s="6"/>
      <c r="AFH325" s="6"/>
      <c r="AFI325" s="6"/>
      <c r="AFJ325" s="6"/>
      <c r="AFK325" s="6"/>
      <c r="AFL325" s="6"/>
      <c r="AFM325" s="6"/>
      <c r="AFN325" s="6"/>
      <c r="AFO325" s="6"/>
      <c r="AFP325" s="6"/>
      <c r="AFQ325" s="6"/>
      <c r="AFR325" s="6"/>
      <c r="AFS325" s="6"/>
      <c r="AFT325" s="6"/>
      <c r="AFU325" s="6"/>
      <c r="AFV325" s="6"/>
      <c r="AFW325" s="6"/>
      <c r="AFX325" s="6"/>
      <c r="AFY325" s="6"/>
      <c r="AFZ325" s="6"/>
      <c r="AGA325" s="6"/>
      <c r="AGB325" s="6"/>
      <c r="AGC325" s="6"/>
      <c r="AGD325" s="6"/>
      <c r="AGE325" s="6"/>
      <c r="AGF325" s="6"/>
      <c r="AGG325" s="6"/>
      <c r="AGH325" s="6"/>
      <c r="AGI325" s="6"/>
      <c r="AGJ325" s="6"/>
      <c r="AGK325" s="6"/>
      <c r="AGL325" s="6"/>
      <c r="AGM325" s="6"/>
      <c r="AGN325" s="6"/>
      <c r="AGO325" s="6"/>
      <c r="AGP325" s="6"/>
      <c r="AGQ325" s="6"/>
      <c r="AGR325" s="6"/>
      <c r="AGS325" s="6"/>
      <c r="AGT325" s="6"/>
      <c r="AGU325" s="6"/>
      <c r="AGV325" s="6"/>
      <c r="AGW325" s="6"/>
      <c r="AGX325" s="6"/>
      <c r="AGY325" s="6"/>
      <c r="AGZ325" s="6"/>
      <c r="AHA325" s="6"/>
      <c r="AHB325" s="6"/>
      <c r="AHC325" s="6"/>
      <c r="AHD325" s="6"/>
      <c r="AHE325" s="6"/>
      <c r="AHF325" s="6"/>
      <c r="AHG325" s="6"/>
      <c r="AHH325" s="6"/>
      <c r="AHI325" s="6"/>
      <c r="AHJ325" s="6"/>
      <c r="AHK325" s="6"/>
      <c r="AHL325" s="6"/>
      <c r="AHM325" s="6"/>
      <c r="AHN325" s="6"/>
      <c r="AHO325" s="6"/>
      <c r="AHP325" s="6"/>
      <c r="AHQ325" s="6"/>
      <c r="AHR325" s="6"/>
      <c r="AHS325" s="6"/>
      <c r="AHT325" s="6"/>
      <c r="AHU325" s="6"/>
      <c r="AHV325" s="6"/>
      <c r="AHW325" s="6"/>
      <c r="AHX325" s="6"/>
      <c r="AHY325" s="6"/>
      <c r="AHZ325" s="6"/>
      <c r="AIA325" s="6"/>
      <c r="AIB325" s="6"/>
      <c r="AIC325" s="6"/>
      <c r="AID325" s="6"/>
      <c r="AIE325" s="6"/>
      <c r="AIF325" s="6"/>
      <c r="AIG325" s="6"/>
      <c r="AIH325" s="6"/>
      <c r="AII325" s="6"/>
      <c r="AIJ325" s="6"/>
      <c r="AIK325" s="6"/>
      <c r="AIL325" s="6"/>
      <c r="AIM325" s="6"/>
      <c r="AIN325" s="6"/>
      <c r="AIO325" s="6"/>
      <c r="AIP325" s="6"/>
      <c r="AIQ325" s="6"/>
      <c r="AIR325" s="6"/>
      <c r="AIS325" s="6"/>
      <c r="AIT325" s="6"/>
      <c r="AIU325" s="6"/>
      <c r="AIV325" s="6"/>
      <c r="AIW325" s="6"/>
      <c r="AIX325" s="6"/>
      <c r="AIY325" s="6"/>
      <c r="AIZ325" s="6"/>
      <c r="AJA325" s="6"/>
      <c r="AJB325" s="6"/>
      <c r="AJC325" s="6"/>
      <c r="AJD325" s="6"/>
      <c r="AJE325" s="6"/>
      <c r="AJF325" s="6"/>
      <c r="AJG325" s="6"/>
      <c r="AJH325" s="6"/>
      <c r="AJI325" s="6"/>
      <c r="AJJ325" s="6"/>
      <c r="AJK325" s="6"/>
      <c r="AJL325" s="6"/>
      <c r="AJM325" s="6"/>
      <c r="AJN325" s="6"/>
      <c r="AJO325" s="6"/>
      <c r="AJP325" s="6"/>
      <c r="AJQ325" s="6"/>
      <c r="AJR325" s="6"/>
      <c r="AJS325" s="6"/>
      <c r="AJT325" s="6"/>
      <c r="AJU325" s="6"/>
      <c r="AJV325" s="6"/>
      <c r="AJW325" s="6"/>
      <c r="AJX325" s="6"/>
      <c r="AJY325" s="6"/>
      <c r="AJZ325" s="6"/>
      <c r="AKA325" s="6"/>
      <c r="AKB325" s="6"/>
      <c r="AKC325" s="6"/>
      <c r="AKD325" s="6"/>
      <c r="AKE325" s="6"/>
      <c r="AKF325" s="6"/>
      <c r="AKG325" s="6"/>
      <c r="AKH325" s="6"/>
      <c r="AKI325" s="6"/>
      <c r="AKJ325" s="6"/>
      <c r="AKK325" s="6"/>
      <c r="AKL325" s="6"/>
      <c r="AKM325" s="6"/>
      <c r="AKN325" s="6"/>
      <c r="AKO325" s="6"/>
      <c r="AKP325" s="6"/>
      <c r="AKQ325" s="6"/>
      <c r="AKR325" s="6"/>
      <c r="AKS325" s="6"/>
      <c r="AKT325" s="6"/>
      <c r="AKU325" s="6"/>
      <c r="AKV325" s="6"/>
      <c r="AKW325" s="6"/>
      <c r="AKX325" s="6"/>
      <c r="AKY325" s="6"/>
      <c r="AKZ325" s="6"/>
      <c r="ALA325" s="6"/>
      <c r="ALB325" s="6"/>
      <c r="ALC325" s="6"/>
      <c r="ALD325" s="6"/>
      <c r="ALE325" s="6"/>
      <c r="ALF325" s="6"/>
      <c r="ALG325" s="6"/>
      <c r="ALH325" s="6"/>
      <c r="ALI325" s="6"/>
      <c r="ALJ325" s="6"/>
      <c r="ALK325" s="6"/>
      <c r="ALL325" s="6"/>
      <c r="ALM325" s="6"/>
      <c r="ALN325" s="6"/>
      <c r="ALO325" s="6"/>
      <c r="ALP325" s="6"/>
      <c r="ALQ325" s="6"/>
      <c r="ALR325" s="6"/>
      <c r="ALS325" s="6"/>
      <c r="ALT325" s="6"/>
      <c r="ALU325" s="6"/>
      <c r="ALV325" s="6"/>
      <c r="ALW325" s="6"/>
      <c r="ALX325" s="6"/>
      <c r="ALY325" s="6"/>
      <c r="ALZ325" s="6"/>
      <c r="AMA325" s="6"/>
      <c r="AMB325" s="6"/>
      <c r="AMC325" s="6"/>
      <c r="AMD325" s="6"/>
      <c r="AME325" s="6"/>
      <c r="AMF325" s="6"/>
      <c r="AMG325" s="6"/>
      <c r="AMH325" s="6"/>
      <c r="AMI325" s="6"/>
      <c r="AMJ325" s="6"/>
      <c r="AMK325" s="6"/>
      <c r="AML325" s="6"/>
      <c r="AMM325" s="6"/>
      <c r="AMN325" s="6"/>
      <c r="AMO325" s="6"/>
      <c r="AMP325" s="6"/>
    </row>
    <row r="326" spans="1:1030" x14ac:dyDescent="0.2">
      <c r="A326" s="3" t="str">
        <f t="shared" si="1956"/>
        <v>calcr_human_5UZ7</v>
      </c>
      <c r="B326" s="2" t="s">
        <v>401</v>
      </c>
      <c r="C326" s="3" t="s">
        <v>1401</v>
      </c>
      <c r="D326" s="3" t="str">
        <f>IFERROR(MID(VLOOKUP($B326,Seqs!$A:$B,2,0),E326,1),"")</f>
        <v>A</v>
      </c>
      <c r="E326" s="3">
        <v>136</v>
      </c>
      <c r="F326" s="3" t="str">
        <f>IFERROR(MID(VLOOKUP($B326,Seqs!$A:$B,2,0),G326,1),"")</f>
        <v>F</v>
      </c>
      <c r="G326" s="3">
        <v>173</v>
      </c>
      <c r="H326" s="3" t="str">
        <f>IFERROR(MID(VLOOKUP($B326,Seqs!$A:$B,2,0),I326,1),"")</f>
        <v>R</v>
      </c>
      <c r="I326" s="23">
        <v>174</v>
      </c>
      <c r="J326" s="3" t="str">
        <f>IFERROR(MID(VLOOKUP($B326,Seqs!$A:$B,2,0),K326,1),"")</f>
        <v>G</v>
      </c>
      <c r="K326" s="23">
        <v>177</v>
      </c>
      <c r="L326" s="3" t="str">
        <f>IFERROR(MID(VLOOKUP($B326,Seqs!$A:$B,2,0),M326,1),"")</f>
        <v>C</v>
      </c>
      <c r="M326" s="3">
        <v>178</v>
      </c>
      <c r="N326" s="3" t="str">
        <f>IFERROR(MID(VLOOKUP($B326,Seqs!$A:$B,2,0),O326,1),"")</f>
        <v>V</v>
      </c>
      <c r="O326" s="3">
        <v>205</v>
      </c>
      <c r="P326" s="3" t="str">
        <f>IFERROR(MID(VLOOKUP($B326,Seqs!$A:$B,2,0),Q326,1),"")</f>
        <v/>
      </c>
      <c r="Q326" s="3" t="s">
        <v>23</v>
      </c>
      <c r="R326" s="3" t="str">
        <f>IFERROR(MID(VLOOKUP($B326,Seqs!$A:$B,2,0),S326,1),"")</f>
        <v/>
      </c>
      <c r="S326" s="3" t="s">
        <v>23</v>
      </c>
      <c r="T326" s="3" t="str">
        <f>IFERROR(MID(VLOOKUP($B326,Seqs!$A:$B,2,0),U326,1),"")</f>
        <v>D</v>
      </c>
      <c r="U326" s="3">
        <v>215</v>
      </c>
      <c r="V326" s="3" t="str">
        <f>IFERROR(MID(VLOOKUP($B326,Seqs!$A:$B,2,0),W326,1),"")</f>
        <v>V</v>
      </c>
      <c r="W326" s="3">
        <v>250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R</v>
      </c>
      <c r="AC326" s="3">
        <v>258</v>
      </c>
      <c r="AD326" s="3" t="str">
        <f>IFERROR(MID(VLOOKUP($B326,Seqs!$A:$B,2,0),AE326,1),"")</f>
        <v>F</v>
      </c>
      <c r="AE326" s="3">
        <v>285</v>
      </c>
      <c r="AF326" s="3" t="str">
        <f>IFERROR(MID(VLOOKUP($B326,Seqs!$A:$B,2,0),AG326,1),"")</f>
        <v>C</v>
      </c>
      <c r="AG326" s="3">
        <v>289</v>
      </c>
      <c r="AH326" s="3" t="str">
        <f>IFERROR(MID(VLOOKUP($B326,Seqs!$A:$B,2,0),AI326,1),"")</f>
        <v>L</v>
      </c>
      <c r="AI326" s="3">
        <v>291</v>
      </c>
      <c r="AJ326" s="3" t="str">
        <f>IFERROR(MID(VLOOKUP($B326,Seqs!$A:$B,2,0),AK326,1),"")</f>
        <v>L</v>
      </c>
      <c r="AK326" s="3">
        <v>298</v>
      </c>
      <c r="AL326" s="3" t="str">
        <f>IFERROR(MID(VLOOKUP($B326,Seqs!$A:$B,2,0),AM326,1),"")</f>
        <v>R</v>
      </c>
      <c r="AM326" s="3">
        <v>328</v>
      </c>
      <c r="AN326" s="3" t="str">
        <f>IFERROR(MID(VLOOKUP($B326,Seqs!$A:$B,2,0),AO326,1),"")</f>
        <v>L</v>
      </c>
      <c r="AO326" s="3">
        <v>352</v>
      </c>
      <c r="AP326" s="3" t="str">
        <f>IFERROR(MID(VLOOKUP($B326,Seqs!$A:$B,2,0),AQ326,1),"")</f>
        <v>P</v>
      </c>
      <c r="AQ326" s="3">
        <v>360</v>
      </c>
      <c r="AR326" s="3" t="str">
        <f>IFERROR(MID(VLOOKUP($B326,Seqs!$A:$B,2,0),AS326,1),"")</f>
        <v>K</v>
      </c>
      <c r="AS326" s="3">
        <v>366</v>
      </c>
      <c r="AT326" s="3" t="str">
        <f>IFERROR(MID(VLOOKUP($B326,Seqs!$A:$B,2,0),AU326,1),"")</f>
        <v>C</v>
      </c>
      <c r="AU326" s="3">
        <v>394</v>
      </c>
      <c r="AV326" s="3" t="str">
        <f>IFERROR(MID(VLOOKUP($B326,Seqs!$A:$B,2,0),AW326,1),"")</f>
        <v>N</v>
      </c>
      <c r="AW326" s="3">
        <v>395</v>
      </c>
      <c r="AX326" s="3" t="str">
        <f>IFERROR(MID(VLOOKUP($B326,Seqs!$A:$B,2,0),AY326,1),"")</f>
        <v>G</v>
      </c>
      <c r="AY326" s="3">
        <v>418</v>
      </c>
      <c r="AZ326" s="77" t="str">
        <f>VLOOKUP(B326,Classification!A:D,2,0)</f>
        <v>B1</v>
      </c>
      <c r="BA326" s="94" t="str">
        <f>VLOOKUP(B326,Classification!A:D,4,0)</f>
        <v>Calcitonin</v>
      </c>
      <c r="BB326" s="27" t="b">
        <f t="shared" si="1929"/>
        <v>1</v>
      </c>
      <c r="BC326" s="23">
        <f t="shared" si="1930"/>
        <v>232</v>
      </c>
      <c r="BD326" s="4" t="s">
        <v>23</v>
      </c>
      <c r="BE326" s="3" t="s">
        <v>1291</v>
      </c>
      <c r="BF326" s="119">
        <v>4.0999999999999996</v>
      </c>
      <c r="BG326" s="49" t="s">
        <v>1377</v>
      </c>
      <c r="BH326" s="49" t="s">
        <v>1377</v>
      </c>
      <c r="BI326" s="1"/>
      <c r="BJ326" s="70" t="s">
        <v>1287</v>
      </c>
      <c r="BK326" s="57" t="s">
        <v>1287</v>
      </c>
      <c r="BL326" s="57" t="s">
        <v>1287</v>
      </c>
      <c r="BM326" s="57" t="s">
        <v>1287</v>
      </c>
      <c r="BN326" s="57" t="s">
        <v>1287</v>
      </c>
      <c r="BO326" s="57" t="s">
        <v>1287</v>
      </c>
      <c r="BP326" s="57" t="s">
        <v>1287</v>
      </c>
      <c r="BQ326" s="57" t="s">
        <v>1287</v>
      </c>
      <c r="BR326" s="57" t="s">
        <v>1287</v>
      </c>
      <c r="BS326" s="57" t="s">
        <v>1287</v>
      </c>
      <c r="BT326" s="57" t="s">
        <v>1287</v>
      </c>
      <c r="BU326" s="57" t="s">
        <v>1287</v>
      </c>
      <c r="BV326" s="70">
        <f t="shared" si="1931"/>
        <v>136</v>
      </c>
      <c r="BW326" s="71">
        <f t="shared" si="1932"/>
        <v>174</v>
      </c>
      <c r="BX326" s="72">
        <f t="shared" si="1933"/>
        <v>178</v>
      </c>
      <c r="BY326" s="71" t="str">
        <f t="shared" si="1934"/>
        <v>-</v>
      </c>
      <c r="BZ326" s="72">
        <f t="shared" si="1935"/>
        <v>215</v>
      </c>
      <c r="CA326" s="71" t="str">
        <f t="shared" si="1936"/>
        <v>-</v>
      </c>
      <c r="CB326" s="72">
        <f t="shared" si="1937"/>
        <v>258</v>
      </c>
      <c r="CC326" s="71">
        <f t="shared" si="1938"/>
        <v>289</v>
      </c>
      <c r="CD326" s="72">
        <f t="shared" si="1939"/>
        <v>298</v>
      </c>
      <c r="CE326" s="71">
        <f t="shared" si="1940"/>
        <v>352</v>
      </c>
      <c r="CF326" s="72">
        <f t="shared" si="1941"/>
        <v>366</v>
      </c>
      <c r="CG326" s="71">
        <f t="shared" si="1942"/>
        <v>395</v>
      </c>
      <c r="CH326" s="70">
        <f t="shared" si="1943"/>
        <v>173</v>
      </c>
      <c r="CI326" s="71">
        <f t="shared" si="1944"/>
        <v>177</v>
      </c>
      <c r="CJ326" s="72">
        <f t="shared" si="1945"/>
        <v>205</v>
      </c>
      <c r="CK326" s="72" t="str">
        <f t="shared" si="1946"/>
        <v>-</v>
      </c>
      <c r="CL326" s="72">
        <f t="shared" si="1947"/>
        <v>250</v>
      </c>
      <c r="CM326" s="72" t="str">
        <f t="shared" si="1948"/>
        <v>-</v>
      </c>
      <c r="CN326" s="72">
        <f t="shared" si="1949"/>
        <v>285</v>
      </c>
      <c r="CO326" s="72">
        <f t="shared" si="1950"/>
        <v>291</v>
      </c>
      <c r="CP326" s="72">
        <f t="shared" si="1951"/>
        <v>328</v>
      </c>
      <c r="CQ326" s="72">
        <f t="shared" si="1952"/>
        <v>360</v>
      </c>
      <c r="CR326" s="72">
        <f t="shared" si="1953"/>
        <v>394</v>
      </c>
      <c r="CS326" s="72">
        <f t="shared" si="1954"/>
        <v>418</v>
      </c>
      <c r="CT326" s="23">
        <f t="shared" si="1955"/>
        <v>1</v>
      </c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6"/>
      <c r="II326" s="6"/>
      <c r="IJ326" s="6"/>
      <c r="IK326" s="6"/>
      <c r="IL326" s="6"/>
      <c r="IM326" s="6"/>
      <c r="IN326" s="6"/>
      <c r="IO326" s="6"/>
      <c r="IP326" s="6"/>
      <c r="IQ326" s="6"/>
      <c r="IR326" s="6"/>
      <c r="IS326" s="6"/>
      <c r="IT326" s="6"/>
      <c r="IU326" s="6"/>
      <c r="IV326" s="6"/>
      <c r="IW326" s="6"/>
      <c r="IX326" s="6"/>
      <c r="IY326" s="6"/>
      <c r="IZ326" s="6"/>
      <c r="JA326" s="6"/>
      <c r="JB326" s="6"/>
      <c r="JC326" s="6"/>
      <c r="JD326" s="6"/>
      <c r="JE326" s="6"/>
      <c r="JF326" s="6"/>
      <c r="JG326" s="6"/>
      <c r="JH326" s="6"/>
      <c r="JI326" s="6"/>
      <c r="JJ326" s="6"/>
      <c r="JK326" s="6"/>
      <c r="JL326" s="6"/>
      <c r="JM326" s="6"/>
      <c r="JN326" s="6"/>
      <c r="JO326" s="6"/>
      <c r="JP326" s="6"/>
      <c r="JQ326" s="6"/>
      <c r="JR326" s="6"/>
      <c r="JS326" s="6"/>
      <c r="JT326" s="6"/>
      <c r="JU326" s="6"/>
      <c r="JV326" s="6"/>
      <c r="JW326" s="6"/>
      <c r="JX326" s="6"/>
      <c r="JY326" s="6"/>
      <c r="JZ326" s="6"/>
      <c r="KA326" s="6"/>
      <c r="KB326" s="6"/>
      <c r="KC326" s="6"/>
      <c r="KD326" s="6"/>
      <c r="KE326" s="6"/>
      <c r="KF326" s="6"/>
      <c r="KG326" s="6"/>
      <c r="KH326" s="6"/>
      <c r="KI326" s="6"/>
      <c r="KJ326" s="6"/>
      <c r="KK326" s="6"/>
      <c r="KL326" s="6"/>
      <c r="KM326" s="6"/>
      <c r="KN326" s="6"/>
      <c r="KO326" s="6"/>
      <c r="KP326" s="6"/>
      <c r="KQ326" s="6"/>
      <c r="KR326" s="6"/>
      <c r="KS326" s="6"/>
      <c r="KT326" s="6"/>
      <c r="KU326" s="6"/>
      <c r="KV326" s="6"/>
      <c r="KW326" s="6"/>
      <c r="KX326" s="6"/>
      <c r="KY326" s="6"/>
      <c r="KZ326" s="6"/>
      <c r="LA326" s="6"/>
      <c r="LB326" s="6"/>
      <c r="LC326" s="6"/>
      <c r="LD326" s="6"/>
      <c r="LE326" s="6"/>
      <c r="LF326" s="6"/>
      <c r="LG326" s="6"/>
      <c r="LH326" s="6"/>
      <c r="LI326" s="6"/>
      <c r="LJ326" s="6"/>
      <c r="LK326" s="6"/>
      <c r="LL326" s="6"/>
      <c r="LM326" s="6"/>
      <c r="LN326" s="6"/>
      <c r="LO326" s="6"/>
      <c r="LP326" s="6"/>
      <c r="LQ326" s="6"/>
      <c r="LR326" s="6"/>
      <c r="LS326" s="6"/>
      <c r="LT326" s="6"/>
      <c r="LU326" s="6"/>
      <c r="LV326" s="6"/>
      <c r="LW326" s="6"/>
      <c r="LX326" s="6"/>
      <c r="LY326" s="6"/>
      <c r="LZ326" s="6"/>
      <c r="MA326" s="6"/>
      <c r="MB326" s="6"/>
      <c r="MC326" s="6"/>
      <c r="MD326" s="6"/>
      <c r="ME326" s="6"/>
      <c r="MF326" s="6"/>
      <c r="MG326" s="6"/>
      <c r="MH326" s="6"/>
      <c r="MI326" s="6"/>
      <c r="MJ326" s="6"/>
      <c r="MK326" s="6"/>
      <c r="ML326" s="6"/>
      <c r="MM326" s="6"/>
      <c r="MN326" s="6"/>
      <c r="MO326" s="6"/>
      <c r="MP326" s="6"/>
      <c r="MQ326" s="6"/>
      <c r="MR326" s="6"/>
      <c r="MS326" s="6"/>
      <c r="MT326" s="6"/>
      <c r="MU326" s="6"/>
      <c r="MV326" s="6"/>
      <c r="MW326" s="6"/>
      <c r="MX326" s="6"/>
      <c r="MY326" s="6"/>
      <c r="MZ326" s="6"/>
      <c r="NA326" s="6"/>
      <c r="NB326" s="6"/>
      <c r="NC326" s="6"/>
      <c r="ND326" s="6"/>
      <c r="NE326" s="6"/>
      <c r="NF326" s="6"/>
      <c r="NG326" s="6"/>
      <c r="NH326" s="6"/>
      <c r="NI326" s="6"/>
      <c r="NJ326" s="6"/>
      <c r="NK326" s="6"/>
      <c r="NL326" s="6"/>
      <c r="NM326" s="6"/>
      <c r="NN326" s="6"/>
      <c r="NO326" s="6"/>
      <c r="NP326" s="6"/>
      <c r="NQ326" s="6"/>
      <c r="NR326" s="6"/>
      <c r="NS326" s="6"/>
      <c r="NT326" s="6"/>
      <c r="NU326" s="6"/>
      <c r="NV326" s="6"/>
      <c r="NW326" s="6"/>
      <c r="NX326" s="6"/>
      <c r="NY326" s="6"/>
      <c r="NZ326" s="6"/>
      <c r="OA326" s="6"/>
      <c r="OB326" s="6"/>
      <c r="OC326" s="6"/>
      <c r="OD326" s="6"/>
      <c r="OE326" s="6"/>
      <c r="OF326" s="6"/>
      <c r="OG326" s="6"/>
      <c r="OH326" s="6"/>
      <c r="OI326" s="6"/>
      <c r="OJ326" s="6"/>
      <c r="OK326" s="6"/>
      <c r="OL326" s="6"/>
      <c r="OM326" s="6"/>
      <c r="ON326" s="6"/>
      <c r="OO326" s="6"/>
      <c r="OP326" s="6"/>
      <c r="OQ326" s="6"/>
      <c r="OR326" s="6"/>
      <c r="OS326" s="6"/>
      <c r="OT326" s="6"/>
      <c r="OU326" s="6"/>
      <c r="OV326" s="6"/>
      <c r="OW326" s="6"/>
      <c r="OX326" s="6"/>
      <c r="OY326" s="6"/>
      <c r="OZ326" s="6"/>
      <c r="PA326" s="6"/>
      <c r="PB326" s="6"/>
      <c r="PC326" s="6"/>
      <c r="PD326" s="6"/>
      <c r="PE326" s="6"/>
      <c r="PF326" s="6"/>
      <c r="PG326" s="6"/>
      <c r="PH326" s="6"/>
      <c r="PI326" s="6"/>
      <c r="PJ326" s="6"/>
      <c r="PK326" s="6"/>
      <c r="PL326" s="6"/>
      <c r="PM326" s="6"/>
      <c r="PN326" s="6"/>
      <c r="PO326" s="6"/>
      <c r="PP326" s="6"/>
      <c r="PQ326" s="6"/>
      <c r="PR326" s="6"/>
      <c r="PS326" s="6"/>
      <c r="PT326" s="6"/>
      <c r="PU326" s="6"/>
      <c r="PV326" s="6"/>
      <c r="PW326" s="6"/>
      <c r="PX326" s="6"/>
      <c r="PY326" s="6"/>
      <c r="PZ326" s="6"/>
      <c r="QA326" s="6"/>
      <c r="QB326" s="6"/>
      <c r="QC326" s="6"/>
      <c r="QD326" s="6"/>
      <c r="QE326" s="6"/>
      <c r="QF326" s="6"/>
      <c r="QG326" s="6"/>
      <c r="QH326" s="6"/>
      <c r="QI326" s="6"/>
      <c r="QJ326" s="6"/>
      <c r="QK326" s="6"/>
      <c r="QL326" s="6"/>
      <c r="QM326" s="6"/>
      <c r="QN326" s="6"/>
      <c r="QO326" s="6"/>
      <c r="QP326" s="6"/>
      <c r="QQ326" s="6"/>
      <c r="QR326" s="6"/>
      <c r="QS326" s="6"/>
      <c r="QT326" s="6"/>
      <c r="QU326" s="6"/>
      <c r="QV326" s="6"/>
      <c r="QW326" s="6"/>
      <c r="QX326" s="6"/>
      <c r="QY326" s="6"/>
      <c r="QZ326" s="6"/>
      <c r="RA326" s="6"/>
      <c r="RB326" s="6"/>
      <c r="RC326" s="6"/>
      <c r="RD326" s="6"/>
      <c r="RE326" s="6"/>
      <c r="RF326" s="6"/>
      <c r="RG326" s="6"/>
      <c r="RH326" s="6"/>
      <c r="RI326" s="6"/>
      <c r="RJ326" s="6"/>
      <c r="RK326" s="6"/>
      <c r="RL326" s="6"/>
      <c r="RM326" s="6"/>
      <c r="RN326" s="6"/>
      <c r="RO326" s="6"/>
      <c r="RP326" s="6"/>
      <c r="RQ326" s="6"/>
      <c r="RR326" s="6"/>
      <c r="RS326" s="6"/>
      <c r="RT326" s="6"/>
      <c r="RU326" s="6"/>
      <c r="RV326" s="6"/>
      <c r="RW326" s="6"/>
      <c r="RX326" s="6"/>
      <c r="RY326" s="6"/>
      <c r="RZ326" s="6"/>
      <c r="SA326" s="6"/>
      <c r="SB326" s="6"/>
      <c r="SC326" s="6"/>
      <c r="SD326" s="6"/>
      <c r="SE326" s="6"/>
      <c r="SF326" s="6"/>
      <c r="SG326" s="6"/>
      <c r="SH326" s="6"/>
      <c r="SI326" s="6"/>
      <c r="SJ326" s="6"/>
      <c r="SK326" s="6"/>
      <c r="SL326" s="6"/>
      <c r="SM326" s="6"/>
      <c r="SN326" s="6"/>
      <c r="SO326" s="6"/>
      <c r="SP326" s="6"/>
      <c r="SQ326" s="6"/>
      <c r="SR326" s="6"/>
      <c r="SS326" s="6"/>
      <c r="ST326" s="6"/>
      <c r="SU326" s="6"/>
      <c r="SV326" s="6"/>
      <c r="SW326" s="6"/>
      <c r="SX326" s="6"/>
      <c r="SY326" s="6"/>
      <c r="SZ326" s="6"/>
      <c r="TA326" s="6"/>
      <c r="TB326" s="6"/>
      <c r="TC326" s="6"/>
      <c r="TD326" s="6"/>
      <c r="TE326" s="6"/>
      <c r="TF326" s="6"/>
      <c r="TG326" s="6"/>
      <c r="TH326" s="6"/>
      <c r="TI326" s="6"/>
      <c r="TJ326" s="6"/>
      <c r="TK326" s="6"/>
      <c r="TL326" s="6"/>
      <c r="TM326" s="6"/>
      <c r="TN326" s="6"/>
      <c r="TO326" s="6"/>
      <c r="TP326" s="6"/>
      <c r="TQ326" s="6"/>
      <c r="TR326" s="6"/>
      <c r="TS326" s="6"/>
      <c r="TT326" s="6"/>
      <c r="TU326" s="6"/>
      <c r="TV326" s="6"/>
      <c r="TW326" s="6"/>
      <c r="TX326" s="6"/>
      <c r="TY326" s="6"/>
      <c r="TZ326" s="6"/>
      <c r="UA326" s="6"/>
      <c r="UB326" s="6"/>
      <c r="UC326" s="6"/>
      <c r="UD326" s="6"/>
      <c r="UE326" s="6"/>
      <c r="UF326" s="6"/>
      <c r="UG326" s="6"/>
      <c r="UH326" s="6"/>
      <c r="UI326" s="6"/>
      <c r="UJ326" s="6"/>
      <c r="UK326" s="6"/>
      <c r="UL326" s="6"/>
      <c r="UM326" s="6"/>
      <c r="UN326" s="6"/>
      <c r="UO326" s="6"/>
      <c r="UP326" s="6"/>
      <c r="UQ326" s="6"/>
      <c r="UR326" s="6"/>
      <c r="US326" s="6"/>
      <c r="UT326" s="6"/>
      <c r="UU326" s="6"/>
      <c r="UV326" s="6"/>
      <c r="UW326" s="6"/>
      <c r="UX326" s="6"/>
      <c r="UY326" s="6"/>
      <c r="UZ326" s="6"/>
      <c r="VA326" s="6"/>
      <c r="VB326" s="6"/>
      <c r="VC326" s="6"/>
      <c r="VD326" s="6"/>
      <c r="VE326" s="6"/>
      <c r="VF326" s="6"/>
      <c r="VG326" s="6"/>
      <c r="VH326" s="6"/>
      <c r="VI326" s="6"/>
      <c r="VJ326" s="6"/>
      <c r="VK326" s="6"/>
      <c r="VL326" s="6"/>
      <c r="VM326" s="6"/>
      <c r="VN326" s="6"/>
      <c r="VO326" s="6"/>
      <c r="VP326" s="6"/>
      <c r="VQ326" s="6"/>
      <c r="VR326" s="6"/>
      <c r="VS326" s="6"/>
      <c r="VT326" s="6"/>
      <c r="VU326" s="6"/>
      <c r="VV326" s="6"/>
      <c r="VW326" s="6"/>
      <c r="VX326" s="6"/>
      <c r="VY326" s="6"/>
      <c r="VZ326" s="6"/>
      <c r="WA326" s="6"/>
      <c r="WB326" s="6"/>
      <c r="WC326" s="6"/>
      <c r="WD326" s="6"/>
      <c r="WE326" s="6"/>
      <c r="WF326" s="6"/>
      <c r="WG326" s="6"/>
      <c r="WH326" s="6"/>
      <c r="WI326" s="6"/>
      <c r="WJ326" s="6"/>
      <c r="WK326" s="6"/>
      <c r="WL326" s="6"/>
      <c r="WM326" s="6"/>
      <c r="WN326" s="6"/>
      <c r="WO326" s="6"/>
      <c r="WP326" s="6"/>
      <c r="WQ326" s="6"/>
      <c r="WR326" s="6"/>
      <c r="WS326" s="6"/>
      <c r="WT326" s="6"/>
      <c r="WU326" s="6"/>
      <c r="WV326" s="6"/>
      <c r="WW326" s="6"/>
      <c r="WX326" s="6"/>
      <c r="WY326" s="6"/>
      <c r="WZ326" s="6"/>
      <c r="XA326" s="6"/>
      <c r="XB326" s="6"/>
      <c r="XC326" s="6"/>
      <c r="XD326" s="6"/>
      <c r="XE326" s="6"/>
      <c r="XF326" s="6"/>
      <c r="XG326" s="6"/>
      <c r="XH326" s="6"/>
      <c r="XI326" s="6"/>
      <c r="XJ326" s="6"/>
      <c r="XK326" s="6"/>
      <c r="XL326" s="6"/>
      <c r="XM326" s="6"/>
      <c r="XN326" s="6"/>
      <c r="XO326" s="6"/>
      <c r="XP326" s="6"/>
      <c r="XQ326" s="6"/>
      <c r="XR326" s="6"/>
      <c r="XS326" s="6"/>
      <c r="XT326" s="6"/>
      <c r="XU326" s="6"/>
      <c r="XV326" s="6"/>
      <c r="XW326" s="6"/>
      <c r="XX326" s="6"/>
      <c r="XY326" s="6"/>
      <c r="XZ326" s="6"/>
      <c r="YA326" s="6"/>
      <c r="YB326" s="6"/>
      <c r="YC326" s="6"/>
      <c r="YD326" s="6"/>
      <c r="YE326" s="6"/>
      <c r="YF326" s="6"/>
      <c r="YG326" s="6"/>
      <c r="YH326" s="6"/>
      <c r="YI326" s="6"/>
      <c r="YJ326" s="6"/>
      <c r="YK326" s="6"/>
      <c r="YL326" s="6"/>
      <c r="YM326" s="6"/>
      <c r="YN326" s="6"/>
      <c r="YO326" s="6"/>
      <c r="YP326" s="6"/>
      <c r="YQ326" s="6"/>
      <c r="YR326" s="6"/>
      <c r="YS326" s="6"/>
      <c r="YT326" s="6"/>
      <c r="YU326" s="6"/>
      <c r="YV326" s="6"/>
      <c r="YW326" s="6"/>
      <c r="YX326" s="6"/>
      <c r="YY326" s="6"/>
      <c r="YZ326" s="6"/>
      <c r="ZA326" s="6"/>
      <c r="ZB326" s="6"/>
      <c r="ZC326" s="6"/>
      <c r="ZD326" s="6"/>
      <c r="ZE326" s="6"/>
      <c r="ZF326" s="6"/>
      <c r="ZG326" s="6"/>
      <c r="ZH326" s="6"/>
      <c r="ZI326" s="6"/>
      <c r="ZJ326" s="6"/>
      <c r="ZK326" s="6"/>
      <c r="ZL326" s="6"/>
      <c r="ZM326" s="6"/>
      <c r="ZN326" s="6"/>
      <c r="ZO326" s="6"/>
      <c r="ZP326" s="6"/>
      <c r="ZQ326" s="6"/>
      <c r="ZR326" s="6"/>
      <c r="ZS326" s="6"/>
      <c r="ZT326" s="6"/>
      <c r="ZU326" s="6"/>
      <c r="ZV326" s="6"/>
      <c r="ZW326" s="6"/>
      <c r="ZX326" s="6"/>
      <c r="ZY326" s="6"/>
      <c r="ZZ326" s="6"/>
      <c r="AAA326" s="6"/>
      <c r="AAB326" s="6"/>
      <c r="AAC326" s="6"/>
      <c r="AAD326" s="6"/>
      <c r="AAE326" s="6"/>
      <c r="AAF326" s="6"/>
      <c r="AAG326" s="6"/>
      <c r="AAH326" s="6"/>
      <c r="AAI326" s="6"/>
      <c r="AAJ326" s="6"/>
      <c r="AAK326" s="6"/>
      <c r="AAL326" s="6"/>
      <c r="AAM326" s="6"/>
      <c r="AAN326" s="6"/>
      <c r="AAO326" s="6"/>
      <c r="AAP326" s="6"/>
      <c r="AAQ326" s="6"/>
      <c r="AAR326" s="6"/>
      <c r="AAS326" s="6"/>
      <c r="AAT326" s="6"/>
      <c r="AAU326" s="6"/>
      <c r="AAV326" s="6"/>
      <c r="AAW326" s="6"/>
      <c r="AAX326" s="6"/>
      <c r="AAY326" s="6"/>
      <c r="AAZ326" s="6"/>
      <c r="ABA326" s="6"/>
      <c r="ABB326" s="6"/>
      <c r="ABC326" s="6"/>
      <c r="ABD326" s="6"/>
      <c r="ABE326" s="6"/>
      <c r="ABF326" s="6"/>
      <c r="ABG326" s="6"/>
      <c r="ABH326" s="6"/>
      <c r="ABI326" s="6"/>
      <c r="ABJ326" s="6"/>
      <c r="ABK326" s="6"/>
      <c r="ABL326" s="6"/>
      <c r="ABM326" s="6"/>
      <c r="ABN326" s="6"/>
      <c r="ABO326" s="6"/>
      <c r="ABP326" s="6"/>
      <c r="ABQ326" s="6"/>
      <c r="ABR326" s="6"/>
      <c r="ABS326" s="6"/>
      <c r="ABT326" s="6"/>
      <c r="ABU326" s="6"/>
      <c r="ABV326" s="6"/>
      <c r="ABW326" s="6"/>
      <c r="ABX326" s="6"/>
      <c r="ABY326" s="6"/>
      <c r="ABZ326" s="6"/>
      <c r="ACA326" s="6"/>
      <c r="ACB326" s="6"/>
      <c r="ACC326" s="6"/>
      <c r="ACD326" s="6"/>
      <c r="ACE326" s="6"/>
      <c r="ACF326" s="6"/>
      <c r="ACG326" s="6"/>
      <c r="ACH326" s="6"/>
      <c r="ACI326" s="6"/>
      <c r="ACJ326" s="6"/>
      <c r="ACK326" s="6"/>
      <c r="ACL326" s="6"/>
      <c r="ACM326" s="6"/>
      <c r="ACN326" s="6"/>
      <c r="ACO326" s="6"/>
      <c r="ACP326" s="6"/>
      <c r="ACQ326" s="6"/>
      <c r="ACR326" s="6"/>
      <c r="ACS326" s="6"/>
      <c r="ACT326" s="6"/>
      <c r="ACU326" s="6"/>
      <c r="ACV326" s="6"/>
      <c r="ACW326" s="6"/>
      <c r="ACX326" s="6"/>
      <c r="ACY326" s="6"/>
      <c r="ACZ326" s="6"/>
      <c r="ADA326" s="6"/>
      <c r="ADB326" s="6"/>
      <c r="ADC326" s="6"/>
      <c r="ADD326" s="6"/>
      <c r="ADE326" s="6"/>
      <c r="ADF326" s="6"/>
      <c r="ADG326" s="6"/>
      <c r="ADH326" s="6"/>
      <c r="ADI326" s="6"/>
      <c r="ADJ326" s="6"/>
      <c r="ADK326" s="6"/>
      <c r="ADL326" s="6"/>
      <c r="ADM326" s="6"/>
      <c r="ADN326" s="6"/>
      <c r="ADO326" s="6"/>
      <c r="ADP326" s="6"/>
      <c r="ADQ326" s="6"/>
      <c r="ADR326" s="6"/>
      <c r="ADS326" s="6"/>
      <c r="ADT326" s="6"/>
      <c r="ADU326" s="6"/>
      <c r="ADV326" s="6"/>
      <c r="ADW326" s="6"/>
      <c r="ADX326" s="6"/>
      <c r="ADY326" s="6"/>
      <c r="ADZ326" s="6"/>
      <c r="AEA326" s="6"/>
      <c r="AEB326" s="6"/>
      <c r="AEC326" s="6"/>
      <c r="AED326" s="6"/>
      <c r="AEE326" s="6"/>
      <c r="AEF326" s="6"/>
      <c r="AEG326" s="6"/>
      <c r="AEH326" s="6"/>
      <c r="AEI326" s="6"/>
      <c r="AEJ326" s="6"/>
      <c r="AEK326" s="6"/>
      <c r="AEL326" s="6"/>
      <c r="AEM326" s="6"/>
      <c r="AEN326" s="6"/>
      <c r="AEO326" s="6"/>
      <c r="AEP326" s="6"/>
      <c r="AEQ326" s="6"/>
      <c r="AER326" s="6"/>
      <c r="AES326" s="6"/>
      <c r="AET326" s="6"/>
      <c r="AEU326" s="6"/>
      <c r="AEV326" s="6"/>
      <c r="AEW326" s="6"/>
      <c r="AEX326" s="6"/>
      <c r="AEY326" s="6"/>
      <c r="AEZ326" s="6"/>
      <c r="AFA326" s="6"/>
      <c r="AFB326" s="6"/>
      <c r="AFC326" s="6"/>
      <c r="AFD326" s="6"/>
      <c r="AFE326" s="6"/>
      <c r="AFF326" s="6"/>
      <c r="AFG326" s="6"/>
      <c r="AFH326" s="6"/>
      <c r="AFI326" s="6"/>
      <c r="AFJ326" s="6"/>
      <c r="AFK326" s="6"/>
      <c r="AFL326" s="6"/>
      <c r="AFM326" s="6"/>
      <c r="AFN326" s="6"/>
      <c r="AFO326" s="6"/>
      <c r="AFP326" s="6"/>
      <c r="AFQ326" s="6"/>
      <c r="AFR326" s="6"/>
      <c r="AFS326" s="6"/>
      <c r="AFT326" s="6"/>
      <c r="AFU326" s="6"/>
      <c r="AFV326" s="6"/>
      <c r="AFW326" s="6"/>
      <c r="AFX326" s="6"/>
      <c r="AFY326" s="6"/>
      <c r="AFZ326" s="6"/>
      <c r="AGA326" s="6"/>
      <c r="AGB326" s="6"/>
      <c r="AGC326" s="6"/>
      <c r="AGD326" s="6"/>
      <c r="AGE326" s="6"/>
      <c r="AGF326" s="6"/>
      <c r="AGG326" s="6"/>
      <c r="AGH326" s="6"/>
      <c r="AGI326" s="6"/>
      <c r="AGJ326" s="6"/>
      <c r="AGK326" s="6"/>
      <c r="AGL326" s="6"/>
      <c r="AGM326" s="6"/>
      <c r="AGN326" s="6"/>
      <c r="AGO326" s="6"/>
      <c r="AGP326" s="6"/>
      <c r="AGQ326" s="6"/>
      <c r="AGR326" s="6"/>
      <c r="AGS326" s="6"/>
      <c r="AGT326" s="6"/>
      <c r="AGU326" s="6"/>
      <c r="AGV326" s="6"/>
      <c r="AGW326" s="6"/>
      <c r="AGX326" s="6"/>
      <c r="AGY326" s="6"/>
      <c r="AGZ326" s="6"/>
      <c r="AHA326" s="6"/>
      <c r="AHB326" s="6"/>
      <c r="AHC326" s="6"/>
      <c r="AHD326" s="6"/>
      <c r="AHE326" s="6"/>
      <c r="AHF326" s="6"/>
      <c r="AHG326" s="6"/>
      <c r="AHH326" s="6"/>
      <c r="AHI326" s="6"/>
      <c r="AHJ326" s="6"/>
      <c r="AHK326" s="6"/>
      <c r="AHL326" s="6"/>
      <c r="AHM326" s="6"/>
      <c r="AHN326" s="6"/>
      <c r="AHO326" s="6"/>
      <c r="AHP326" s="6"/>
      <c r="AHQ326" s="6"/>
      <c r="AHR326" s="6"/>
      <c r="AHS326" s="6"/>
      <c r="AHT326" s="6"/>
      <c r="AHU326" s="6"/>
      <c r="AHV326" s="6"/>
      <c r="AHW326" s="6"/>
      <c r="AHX326" s="6"/>
      <c r="AHY326" s="6"/>
      <c r="AHZ326" s="6"/>
      <c r="AIA326" s="6"/>
      <c r="AIB326" s="6"/>
      <c r="AIC326" s="6"/>
      <c r="AID326" s="6"/>
      <c r="AIE326" s="6"/>
      <c r="AIF326" s="6"/>
      <c r="AIG326" s="6"/>
      <c r="AIH326" s="6"/>
      <c r="AII326" s="6"/>
      <c r="AIJ326" s="6"/>
      <c r="AIK326" s="6"/>
      <c r="AIL326" s="6"/>
      <c r="AIM326" s="6"/>
      <c r="AIN326" s="6"/>
      <c r="AIO326" s="6"/>
      <c r="AIP326" s="6"/>
      <c r="AIQ326" s="6"/>
      <c r="AIR326" s="6"/>
      <c r="AIS326" s="6"/>
      <c r="AIT326" s="6"/>
      <c r="AIU326" s="6"/>
      <c r="AIV326" s="6"/>
      <c r="AIW326" s="6"/>
      <c r="AIX326" s="6"/>
      <c r="AIY326" s="6"/>
      <c r="AIZ326" s="6"/>
      <c r="AJA326" s="6"/>
      <c r="AJB326" s="6"/>
      <c r="AJC326" s="6"/>
      <c r="AJD326" s="6"/>
      <c r="AJE326" s="6"/>
      <c r="AJF326" s="6"/>
      <c r="AJG326" s="6"/>
      <c r="AJH326" s="6"/>
      <c r="AJI326" s="6"/>
      <c r="AJJ326" s="6"/>
      <c r="AJK326" s="6"/>
      <c r="AJL326" s="6"/>
      <c r="AJM326" s="6"/>
      <c r="AJN326" s="6"/>
      <c r="AJO326" s="6"/>
      <c r="AJP326" s="6"/>
      <c r="AJQ326" s="6"/>
      <c r="AJR326" s="6"/>
      <c r="AJS326" s="6"/>
      <c r="AJT326" s="6"/>
      <c r="AJU326" s="6"/>
      <c r="AJV326" s="6"/>
      <c r="AJW326" s="6"/>
      <c r="AJX326" s="6"/>
      <c r="AJY326" s="6"/>
      <c r="AJZ326" s="6"/>
      <c r="AKA326" s="6"/>
      <c r="AKB326" s="6"/>
      <c r="AKC326" s="6"/>
      <c r="AKD326" s="6"/>
      <c r="AKE326" s="6"/>
      <c r="AKF326" s="6"/>
      <c r="AKG326" s="6"/>
      <c r="AKH326" s="6"/>
      <c r="AKI326" s="6"/>
      <c r="AKJ326" s="6"/>
      <c r="AKK326" s="6"/>
      <c r="AKL326" s="6"/>
      <c r="AKM326" s="6"/>
      <c r="AKN326" s="6"/>
      <c r="AKO326" s="6"/>
      <c r="AKP326" s="6"/>
      <c r="AKQ326" s="6"/>
      <c r="AKR326" s="6"/>
      <c r="AKS326" s="6"/>
      <c r="AKT326" s="6"/>
      <c r="AKU326" s="6"/>
      <c r="AKV326" s="6"/>
      <c r="AKW326" s="6"/>
      <c r="AKX326" s="6"/>
      <c r="AKY326" s="6"/>
      <c r="AKZ326" s="6"/>
      <c r="ALA326" s="6"/>
      <c r="ALB326" s="6"/>
      <c r="ALC326" s="6"/>
      <c r="ALD326" s="6"/>
      <c r="ALE326" s="6"/>
      <c r="ALF326" s="6"/>
      <c r="ALG326" s="6"/>
      <c r="ALH326" s="6"/>
      <c r="ALI326" s="6"/>
      <c r="ALJ326" s="6"/>
      <c r="ALK326" s="6"/>
      <c r="ALL326" s="6"/>
      <c r="ALM326" s="6"/>
      <c r="ALN326" s="6"/>
      <c r="ALO326" s="6"/>
      <c r="ALP326" s="6"/>
      <c r="ALQ326" s="6"/>
      <c r="ALR326" s="6"/>
      <c r="ALS326" s="6"/>
      <c r="ALT326" s="6"/>
      <c r="ALU326" s="6"/>
      <c r="ALV326" s="6"/>
      <c r="ALW326" s="6"/>
      <c r="ALX326" s="6"/>
      <c r="ALY326" s="6"/>
      <c r="ALZ326" s="6"/>
      <c r="AMA326" s="6"/>
      <c r="AMB326" s="6"/>
      <c r="AMC326" s="6"/>
      <c r="AMD326" s="6"/>
      <c r="AME326" s="6"/>
      <c r="AMF326" s="6"/>
      <c r="AMG326" s="6"/>
      <c r="AMH326" s="6"/>
      <c r="AMI326" s="6"/>
      <c r="AMJ326" s="6"/>
      <c r="AMK326" s="6"/>
      <c r="AML326" s="6"/>
      <c r="AMM326" s="6"/>
      <c r="AMN326" s="6"/>
      <c r="AMO326" s="6"/>
      <c r="AMP326" s="6"/>
    </row>
    <row r="327" spans="1:1030" s="12" customFormat="1" x14ac:dyDescent="0.2">
      <c r="A327" s="9" t="str">
        <f t="shared" ref="A327" si="2013">CONCATENATE(B327,"_",C327)</f>
        <v>calcr_human_6NIY</v>
      </c>
      <c r="B327" s="40" t="s">
        <v>401</v>
      </c>
      <c r="C327" s="9" t="s">
        <v>1551</v>
      </c>
      <c r="D327" s="9" t="str">
        <f>IFERROR(MID(VLOOKUP($B327,Seqs!$A:$B,2,0),E327,1),"")</f>
        <v>T</v>
      </c>
      <c r="E327" s="9">
        <v>138</v>
      </c>
      <c r="F327" s="9" t="str">
        <f>IFERROR(MID(VLOOKUP($B327,Seqs!$A:$B,2,0),G327,1),"")</f>
        <v>F</v>
      </c>
      <c r="G327" s="9">
        <v>173</v>
      </c>
      <c r="H327" s="9" t="str">
        <f>IFERROR(MID(VLOOKUP($B327,Seqs!$A:$B,2,0),I327,1),"")</f>
        <v>R</v>
      </c>
      <c r="I327" s="109">
        <v>174</v>
      </c>
      <c r="J327" s="9" t="str">
        <f>IFERROR(MID(VLOOKUP($B327,Seqs!$A:$B,2,0),K327,1),"")</f>
        <v>G</v>
      </c>
      <c r="K327" s="109">
        <v>177</v>
      </c>
      <c r="L327" s="9" t="str">
        <f>IFERROR(MID(VLOOKUP($B327,Seqs!$A:$B,2,0),M327,1),"")</f>
        <v>C</v>
      </c>
      <c r="M327" s="9">
        <v>178</v>
      </c>
      <c r="N327" s="9" t="str">
        <f>IFERROR(MID(VLOOKUP($B327,Seqs!$A:$B,2,0),O327,1),"")</f>
        <v>V</v>
      </c>
      <c r="O327" s="9">
        <v>205</v>
      </c>
      <c r="P327" s="9" t="str">
        <f>IFERROR(MID(VLOOKUP($B327,Seqs!$A:$B,2,0),Q327,1),"")</f>
        <v/>
      </c>
      <c r="Q327" s="9" t="s">
        <v>23</v>
      </c>
      <c r="R327" s="9" t="str">
        <f>IFERROR(MID(VLOOKUP($B327,Seqs!$A:$B,2,0),S327,1),"")</f>
        <v/>
      </c>
      <c r="S327" s="9" t="s">
        <v>23</v>
      </c>
      <c r="T327" s="9" t="str">
        <f>IFERROR(MID(VLOOKUP($B327,Seqs!$A:$B,2,0),U327,1),"")</f>
        <v>V</v>
      </c>
      <c r="U327" s="9">
        <v>217</v>
      </c>
      <c r="V327" s="9" t="str">
        <f>IFERROR(MID(VLOOKUP($B327,Seqs!$A:$B,2,0),W327,1),"")</f>
        <v>V</v>
      </c>
      <c r="W327" s="9">
        <v>250</v>
      </c>
      <c r="X327" s="9" t="str">
        <f>IFERROR(MID(VLOOKUP($B327,Seqs!$A:$B,2,0),Y327,1),"")</f>
        <v/>
      </c>
      <c r="Y327" s="9" t="s">
        <v>23</v>
      </c>
      <c r="Z327" s="9" t="str">
        <f>IFERROR(MID(VLOOKUP($B327,Seqs!$A:$B,2,0),AA327,1),"")</f>
        <v/>
      </c>
      <c r="AA327" s="9" t="s">
        <v>23</v>
      </c>
      <c r="AB327" s="9" t="str">
        <f>IFERROR(MID(VLOOKUP($B327,Seqs!$A:$B,2,0),AC327,1),"")</f>
        <v>R</v>
      </c>
      <c r="AC327" s="9">
        <v>258</v>
      </c>
      <c r="AD327" s="9" t="str">
        <f>IFERROR(MID(VLOOKUP($B327,Seqs!$A:$B,2,0),AE327,1),"")</f>
        <v>F</v>
      </c>
      <c r="AE327" s="9">
        <v>285</v>
      </c>
      <c r="AF327" s="9" t="str">
        <f>IFERROR(MID(VLOOKUP($B327,Seqs!$A:$B,2,0),AG327,1),"")</f>
        <v>C</v>
      </c>
      <c r="AG327" s="9">
        <v>289</v>
      </c>
      <c r="AH327" s="9" t="str">
        <f>IFERROR(MID(VLOOKUP($B327,Seqs!$A:$B,2,0),AI327,1),"")</f>
        <v>L</v>
      </c>
      <c r="AI327" s="9">
        <v>291</v>
      </c>
      <c r="AJ327" s="9" t="str">
        <f>IFERROR(MID(VLOOKUP($B327,Seqs!$A:$B,2,0),AK327,1),"")</f>
        <v>L</v>
      </c>
      <c r="AK327" s="9">
        <v>298</v>
      </c>
      <c r="AL327" s="9" t="str">
        <f>IFERROR(MID(VLOOKUP($B327,Seqs!$A:$B,2,0),AM327,1),"")</f>
        <v>T</v>
      </c>
      <c r="AM327" s="9">
        <v>330</v>
      </c>
      <c r="AN327" s="9" t="str">
        <f>IFERROR(MID(VLOOKUP($B327,Seqs!$A:$B,2,0),AO327,1),"")</f>
        <v>H</v>
      </c>
      <c r="AO327" s="9">
        <v>336</v>
      </c>
      <c r="AP327" s="9" t="str">
        <f>IFERROR(MID(VLOOKUP($B327,Seqs!$A:$B,2,0),AQ327,1),"")</f>
        <v>F</v>
      </c>
      <c r="AQ327" s="9">
        <v>359</v>
      </c>
      <c r="AR327" s="9" t="str">
        <f>IFERROR(MID(VLOOKUP($B327,Seqs!$A:$B,2,0),AS327,1),"")</f>
        <v>N</v>
      </c>
      <c r="AS327" s="9">
        <v>365</v>
      </c>
      <c r="AT327" s="9" t="str">
        <f>IFERROR(MID(VLOOKUP($B327,Seqs!$A:$B,2,0),AU327,1),"")</f>
        <v>C</v>
      </c>
      <c r="AU327" s="9">
        <v>394</v>
      </c>
      <c r="AV327" s="9" t="str">
        <f>IFERROR(MID(VLOOKUP($B327,Seqs!$A:$B,2,0),AW327,1),"")</f>
        <v>N</v>
      </c>
      <c r="AW327" s="9">
        <v>395</v>
      </c>
      <c r="AX327" s="9" t="str">
        <f>IFERROR(MID(VLOOKUP($B327,Seqs!$A:$B,2,0),AY327,1),"")</f>
        <v>Q</v>
      </c>
      <c r="AY327" s="9">
        <v>412</v>
      </c>
      <c r="AZ327" s="110" t="str">
        <f>VLOOKUP(B327,Classification!A:D,2,0)</f>
        <v>B1</v>
      </c>
      <c r="BA327" s="98" t="str">
        <f>VLOOKUP(B327,Classification!A:D,4,0)</f>
        <v>Calcitonin</v>
      </c>
      <c r="BB327" s="36" t="b">
        <f t="shared" ref="BB327" si="2014">AND(E327&lt;G327,OR(G327&lt;I327,I327="-"),OR(I327&lt;K327,I327="-"),OR(K327&lt;M327,K327="-"),M327&lt;O327,OR(O327&lt;Q327,Q327="-"),OR(Q327&lt;S327,Q327="-"),OR(S327&lt;U327,S327="-"),U327&lt;W327,OR(W327&lt;Y327,Y327="-"),OR(Y327&lt;AA327,Y327="-"),OR(AA327&lt;AC327,AA327="-"),AC327&lt;AE327,OR(AE327&lt;AG327,AG327="-"),OR(AG327&lt;AI327,AG327="-"),OR(AI327&lt;AK327,AI327="-"),AK327&lt;AM327,AM327&lt;AO327,AO327&lt;AQ327,AQ327&lt;AS327,AS327&lt;AU327,OR(AU327&lt;AW327,AW327="-"),OR(AW327&lt;AY327,AW327="-"))</f>
        <v>1</v>
      </c>
      <c r="BC327" s="109">
        <f t="shared" ref="BC327" si="2015">_xlfn.AGGREGATE(9,6,CH327:CS327)-_xlfn.AGGREGATE(9,6,BV327:CG327)+12</f>
        <v>240</v>
      </c>
      <c r="BD327" s="11" t="s">
        <v>1375</v>
      </c>
      <c r="BE327" s="9" t="s">
        <v>1291</v>
      </c>
      <c r="BF327" s="120">
        <v>3.34</v>
      </c>
      <c r="BG327" s="51" t="s">
        <v>1422</v>
      </c>
      <c r="BH327" s="51" t="s">
        <v>1422</v>
      </c>
      <c r="BJ327" s="111" t="s">
        <v>1287</v>
      </c>
      <c r="BK327" s="112" t="s">
        <v>1287</v>
      </c>
      <c r="BL327" s="112" t="s">
        <v>1287</v>
      </c>
      <c r="BM327" s="112" t="s">
        <v>1287</v>
      </c>
      <c r="BN327" s="112" t="s">
        <v>1287</v>
      </c>
      <c r="BO327" s="112" t="s">
        <v>1287</v>
      </c>
      <c r="BP327" s="112" t="s">
        <v>1287</v>
      </c>
      <c r="BQ327" s="112" t="s">
        <v>1287</v>
      </c>
      <c r="BR327" s="112" t="s">
        <v>1287</v>
      </c>
      <c r="BS327" s="112" t="s">
        <v>1287</v>
      </c>
      <c r="BT327" s="112" t="s">
        <v>1287</v>
      </c>
      <c r="BU327" s="112" t="s">
        <v>1287</v>
      </c>
      <c r="BV327" s="111">
        <f t="shared" ref="BV327" si="2016">E327</f>
        <v>138</v>
      </c>
      <c r="BW327" s="113">
        <f t="shared" ref="BW327" si="2017">I327</f>
        <v>174</v>
      </c>
      <c r="BX327" s="114">
        <f t="shared" ref="BX327" si="2018">M327</f>
        <v>178</v>
      </c>
      <c r="BY327" s="113" t="str">
        <f t="shared" ref="BY327" si="2019">Q327</f>
        <v>-</v>
      </c>
      <c r="BZ327" s="114">
        <f t="shared" ref="BZ327" si="2020">U327</f>
        <v>217</v>
      </c>
      <c r="CA327" s="113" t="str">
        <f t="shared" ref="CA327" si="2021">Y327</f>
        <v>-</v>
      </c>
      <c r="CB327" s="114">
        <f t="shared" ref="CB327" si="2022">AC327</f>
        <v>258</v>
      </c>
      <c r="CC327" s="113">
        <f t="shared" ref="CC327" si="2023">AG327</f>
        <v>289</v>
      </c>
      <c r="CD327" s="114">
        <f t="shared" ref="CD327" si="2024">AK327</f>
        <v>298</v>
      </c>
      <c r="CE327" s="113">
        <f t="shared" ref="CE327" si="2025">AO327</f>
        <v>336</v>
      </c>
      <c r="CF327" s="114">
        <f t="shared" ref="CF327" si="2026">AS327</f>
        <v>365</v>
      </c>
      <c r="CG327" s="113">
        <f t="shared" ref="CG327" si="2027">AW327</f>
        <v>395</v>
      </c>
      <c r="CH327" s="111">
        <f t="shared" ref="CH327" si="2028">G327</f>
        <v>173</v>
      </c>
      <c r="CI327" s="113">
        <f t="shared" ref="CI327" si="2029">K327</f>
        <v>177</v>
      </c>
      <c r="CJ327" s="114">
        <f t="shared" ref="CJ327" si="2030">O327</f>
        <v>205</v>
      </c>
      <c r="CK327" s="114" t="str">
        <f t="shared" ref="CK327" si="2031">S327</f>
        <v>-</v>
      </c>
      <c r="CL327" s="114">
        <f t="shared" ref="CL327" si="2032">W327</f>
        <v>250</v>
      </c>
      <c r="CM327" s="114" t="str">
        <f t="shared" ref="CM327" si="2033">AA327</f>
        <v>-</v>
      </c>
      <c r="CN327" s="114">
        <f t="shared" ref="CN327" si="2034">AE327</f>
        <v>285</v>
      </c>
      <c r="CO327" s="114">
        <f t="shared" ref="CO327" si="2035">AI327</f>
        <v>291</v>
      </c>
      <c r="CP327" s="114">
        <f t="shared" ref="CP327" si="2036">AM327</f>
        <v>330</v>
      </c>
      <c r="CQ327" s="114">
        <f t="shared" ref="CQ327" si="2037">AQ327</f>
        <v>359</v>
      </c>
      <c r="CR327" s="114">
        <f t="shared" ref="CR327" si="2038">AU327</f>
        <v>394</v>
      </c>
      <c r="CS327" s="114">
        <f t="shared" ref="CS327" si="2039">AY327</f>
        <v>412</v>
      </c>
      <c r="CT327" s="109">
        <f t="shared" ref="CT327" si="2040">M327-K327</f>
        <v>1</v>
      </c>
      <c r="CU327" s="129"/>
      <c r="CV327" s="129"/>
      <c r="CW327" s="129"/>
      <c r="CX327" s="129"/>
      <c r="CY327" s="129"/>
      <c r="CZ327" s="129"/>
      <c r="DA327" s="129"/>
      <c r="DB327" s="129"/>
      <c r="DC327" s="129"/>
      <c r="DD327" s="129"/>
      <c r="DE327" s="129"/>
      <c r="DF327" s="129"/>
      <c r="DG327" s="129"/>
      <c r="DH327" s="129"/>
      <c r="DI327" s="129"/>
      <c r="DJ327" s="129"/>
      <c r="DK327" s="129"/>
      <c r="DL327" s="129"/>
      <c r="DM327" s="129"/>
      <c r="DN327" s="129"/>
      <c r="DO327" s="129"/>
      <c r="DP327" s="129"/>
      <c r="DQ327" s="129"/>
      <c r="DR327" s="129"/>
      <c r="DS327" s="129"/>
      <c r="DT327" s="129"/>
      <c r="DU327" s="129"/>
      <c r="DV327" s="129"/>
      <c r="DW327" s="129"/>
      <c r="DX327" s="129"/>
      <c r="DY327" s="129"/>
      <c r="DZ327" s="129"/>
      <c r="EA327" s="129"/>
      <c r="EB327" s="129"/>
      <c r="EC327" s="129"/>
      <c r="ED327" s="129"/>
      <c r="EE327" s="129"/>
      <c r="EF327" s="129"/>
      <c r="EG327" s="129"/>
      <c r="EH327" s="129"/>
      <c r="EI327" s="129"/>
      <c r="EJ327" s="129"/>
      <c r="EK327" s="129"/>
      <c r="EL327" s="129"/>
      <c r="EM327" s="129"/>
      <c r="EN327" s="129"/>
      <c r="EO327" s="129"/>
      <c r="EP327" s="129"/>
      <c r="EQ327" s="129"/>
      <c r="ER327" s="129"/>
      <c r="ES327" s="129"/>
      <c r="ET327" s="129"/>
      <c r="EU327" s="129"/>
      <c r="EV327" s="129"/>
      <c r="EW327" s="129"/>
      <c r="EX327" s="129"/>
      <c r="EY327" s="129"/>
      <c r="EZ327" s="129"/>
      <c r="FA327" s="129"/>
      <c r="FB327" s="129"/>
      <c r="FC327" s="129"/>
      <c r="FD327" s="129"/>
      <c r="FE327" s="129"/>
      <c r="FF327" s="129"/>
      <c r="FG327" s="129"/>
      <c r="FH327" s="129"/>
      <c r="FI327" s="129"/>
      <c r="FJ327" s="129"/>
      <c r="FK327" s="129"/>
      <c r="FL327" s="129"/>
      <c r="FM327" s="129"/>
      <c r="FN327" s="129"/>
      <c r="FO327" s="129"/>
      <c r="FP327" s="129"/>
      <c r="FQ327" s="129"/>
      <c r="FR327" s="129"/>
      <c r="FS327" s="129"/>
      <c r="FT327" s="129"/>
      <c r="FU327" s="129"/>
      <c r="FV327" s="129"/>
      <c r="FW327" s="129"/>
      <c r="FX327" s="129"/>
      <c r="FY327" s="129"/>
      <c r="FZ327" s="129"/>
      <c r="GA327" s="129"/>
      <c r="GB327" s="129"/>
      <c r="GC327" s="129"/>
      <c r="GD327" s="129"/>
      <c r="GE327" s="129"/>
      <c r="GF327" s="129"/>
      <c r="GG327" s="129"/>
      <c r="GH327" s="129"/>
      <c r="GI327" s="129"/>
      <c r="GJ327" s="129"/>
      <c r="GK327" s="129"/>
      <c r="GL327" s="129"/>
      <c r="GM327" s="129"/>
      <c r="GN327" s="129"/>
      <c r="GO327" s="129"/>
      <c r="GP327" s="129"/>
      <c r="GQ327" s="129"/>
      <c r="GR327" s="129"/>
      <c r="GS327" s="129"/>
      <c r="GT327" s="129"/>
      <c r="GU327" s="129"/>
      <c r="GV327" s="129"/>
      <c r="GW327" s="129"/>
      <c r="GX327" s="129"/>
      <c r="GY327" s="129"/>
      <c r="GZ327" s="129"/>
      <c r="HA327" s="129"/>
      <c r="HB327" s="129"/>
      <c r="HC327" s="129"/>
      <c r="HD327" s="129"/>
      <c r="HE327" s="129"/>
      <c r="HF327" s="129"/>
      <c r="HG327" s="129"/>
      <c r="HH327" s="129"/>
      <c r="HI327" s="129"/>
      <c r="HJ327" s="129"/>
      <c r="HK327" s="129"/>
      <c r="HL327" s="129"/>
      <c r="HM327" s="129"/>
      <c r="HN327" s="129"/>
      <c r="HO327" s="129"/>
      <c r="HP327" s="129"/>
      <c r="HQ327" s="129"/>
      <c r="HR327" s="129"/>
      <c r="HS327" s="129"/>
      <c r="HT327" s="129"/>
      <c r="HU327" s="129"/>
      <c r="HV327" s="129"/>
      <c r="HW327" s="129"/>
      <c r="HX327" s="129"/>
      <c r="HY327" s="129"/>
      <c r="HZ327" s="129"/>
      <c r="IA327" s="129"/>
      <c r="IB327" s="129"/>
      <c r="IC327" s="129"/>
      <c r="ID327" s="129"/>
      <c r="IE327" s="129"/>
      <c r="IF327" s="129"/>
      <c r="IG327" s="129"/>
      <c r="IH327" s="129"/>
      <c r="II327" s="129"/>
      <c r="IJ327" s="129"/>
      <c r="IK327" s="129"/>
      <c r="IL327" s="129"/>
      <c r="IM327" s="129"/>
      <c r="IN327" s="129"/>
      <c r="IO327" s="129"/>
      <c r="IP327" s="129"/>
      <c r="IQ327" s="129"/>
      <c r="IR327" s="129"/>
      <c r="IS327" s="129"/>
      <c r="IT327" s="129"/>
      <c r="IU327" s="129"/>
      <c r="IV327" s="129"/>
      <c r="IW327" s="129"/>
      <c r="IX327" s="129"/>
      <c r="IY327" s="129"/>
      <c r="IZ327" s="129"/>
      <c r="JA327" s="129"/>
      <c r="JB327" s="129"/>
      <c r="JC327" s="129"/>
      <c r="JD327" s="129"/>
      <c r="JE327" s="129"/>
      <c r="JF327" s="129"/>
      <c r="JG327" s="129"/>
      <c r="JH327" s="129"/>
      <c r="JI327" s="129"/>
      <c r="JJ327" s="129"/>
      <c r="JK327" s="129"/>
      <c r="JL327" s="129"/>
      <c r="JM327" s="129"/>
      <c r="JN327" s="129"/>
      <c r="JO327" s="129"/>
      <c r="JP327" s="129"/>
      <c r="JQ327" s="129"/>
      <c r="JR327" s="129"/>
      <c r="JS327" s="129"/>
      <c r="JT327" s="129"/>
      <c r="JU327" s="129"/>
      <c r="JV327" s="129"/>
      <c r="JW327" s="129"/>
      <c r="JX327" s="129"/>
      <c r="JY327" s="129"/>
      <c r="JZ327" s="129"/>
      <c r="KA327" s="129"/>
      <c r="KB327" s="129"/>
      <c r="KC327" s="129"/>
      <c r="KD327" s="129"/>
      <c r="KE327" s="129"/>
      <c r="KF327" s="129"/>
      <c r="KG327" s="129"/>
      <c r="KH327" s="129"/>
      <c r="KI327" s="129"/>
      <c r="KJ327" s="129"/>
      <c r="KK327" s="129"/>
      <c r="KL327" s="129"/>
      <c r="KM327" s="129"/>
      <c r="KN327" s="129"/>
      <c r="KO327" s="129"/>
      <c r="KP327" s="129"/>
      <c r="KQ327" s="129"/>
      <c r="KR327" s="129"/>
      <c r="KS327" s="129"/>
      <c r="KT327" s="129"/>
      <c r="KU327" s="129"/>
      <c r="KV327" s="129"/>
      <c r="KW327" s="129"/>
      <c r="KX327" s="129"/>
      <c r="KY327" s="129"/>
      <c r="KZ327" s="129"/>
      <c r="LA327" s="129"/>
      <c r="LB327" s="129"/>
      <c r="LC327" s="129"/>
      <c r="LD327" s="129"/>
      <c r="LE327" s="129"/>
      <c r="LF327" s="129"/>
      <c r="LG327" s="129"/>
      <c r="LH327" s="129"/>
      <c r="LI327" s="129"/>
      <c r="LJ327" s="129"/>
      <c r="LK327" s="129"/>
      <c r="LL327" s="129"/>
      <c r="LM327" s="129"/>
      <c r="LN327" s="129"/>
      <c r="LO327" s="129"/>
      <c r="LP327" s="129"/>
      <c r="LQ327" s="129"/>
      <c r="LR327" s="129"/>
      <c r="LS327" s="129"/>
      <c r="LT327" s="129"/>
      <c r="LU327" s="129"/>
      <c r="LV327" s="129"/>
      <c r="LW327" s="129"/>
      <c r="LX327" s="129"/>
      <c r="LY327" s="129"/>
      <c r="LZ327" s="129"/>
      <c r="MA327" s="129"/>
      <c r="MB327" s="129"/>
      <c r="MC327" s="129"/>
      <c r="MD327" s="129"/>
      <c r="ME327" s="129"/>
      <c r="MF327" s="129"/>
      <c r="MG327" s="129"/>
      <c r="MH327" s="129"/>
      <c r="MI327" s="129"/>
      <c r="MJ327" s="129"/>
      <c r="MK327" s="129"/>
      <c r="ML327" s="129"/>
      <c r="MM327" s="129"/>
      <c r="MN327" s="129"/>
      <c r="MO327" s="129"/>
      <c r="MP327" s="129"/>
      <c r="MQ327" s="129"/>
      <c r="MR327" s="129"/>
      <c r="MS327" s="129"/>
      <c r="MT327" s="129"/>
      <c r="MU327" s="129"/>
      <c r="MV327" s="129"/>
      <c r="MW327" s="129"/>
      <c r="MX327" s="129"/>
      <c r="MY327" s="129"/>
      <c r="MZ327" s="129"/>
      <c r="NA327" s="129"/>
      <c r="NB327" s="129"/>
      <c r="NC327" s="129"/>
      <c r="ND327" s="129"/>
      <c r="NE327" s="129"/>
      <c r="NF327" s="129"/>
      <c r="NG327" s="129"/>
      <c r="NH327" s="129"/>
      <c r="NI327" s="129"/>
      <c r="NJ327" s="129"/>
      <c r="NK327" s="129"/>
      <c r="NL327" s="129"/>
      <c r="NM327" s="129"/>
      <c r="NN327" s="129"/>
      <c r="NO327" s="129"/>
      <c r="NP327" s="129"/>
      <c r="NQ327" s="129"/>
      <c r="NR327" s="129"/>
      <c r="NS327" s="129"/>
      <c r="NT327" s="129"/>
      <c r="NU327" s="129"/>
      <c r="NV327" s="129"/>
      <c r="NW327" s="129"/>
      <c r="NX327" s="129"/>
      <c r="NY327" s="129"/>
      <c r="NZ327" s="129"/>
      <c r="OA327" s="129"/>
      <c r="OB327" s="129"/>
      <c r="OC327" s="129"/>
      <c r="OD327" s="129"/>
      <c r="OE327" s="129"/>
      <c r="OF327" s="129"/>
      <c r="OG327" s="129"/>
      <c r="OH327" s="129"/>
      <c r="OI327" s="129"/>
      <c r="OJ327" s="129"/>
      <c r="OK327" s="129"/>
      <c r="OL327" s="129"/>
      <c r="OM327" s="129"/>
      <c r="ON327" s="129"/>
      <c r="OO327" s="129"/>
      <c r="OP327" s="129"/>
      <c r="OQ327" s="129"/>
      <c r="OR327" s="129"/>
      <c r="OS327" s="129"/>
      <c r="OT327" s="129"/>
      <c r="OU327" s="129"/>
      <c r="OV327" s="129"/>
      <c r="OW327" s="129"/>
      <c r="OX327" s="129"/>
      <c r="OY327" s="129"/>
      <c r="OZ327" s="129"/>
      <c r="PA327" s="129"/>
      <c r="PB327" s="129"/>
      <c r="PC327" s="129"/>
      <c r="PD327" s="129"/>
      <c r="PE327" s="129"/>
      <c r="PF327" s="129"/>
      <c r="PG327" s="129"/>
      <c r="PH327" s="129"/>
      <c r="PI327" s="129"/>
      <c r="PJ327" s="129"/>
      <c r="PK327" s="129"/>
      <c r="PL327" s="129"/>
      <c r="PM327" s="129"/>
      <c r="PN327" s="129"/>
      <c r="PO327" s="129"/>
      <c r="PP327" s="129"/>
      <c r="PQ327" s="129"/>
      <c r="PR327" s="129"/>
      <c r="PS327" s="129"/>
      <c r="PT327" s="129"/>
      <c r="PU327" s="129"/>
      <c r="PV327" s="129"/>
      <c r="PW327" s="129"/>
      <c r="PX327" s="129"/>
      <c r="PY327" s="129"/>
      <c r="PZ327" s="129"/>
      <c r="QA327" s="129"/>
      <c r="QB327" s="129"/>
      <c r="QC327" s="129"/>
      <c r="QD327" s="129"/>
      <c r="QE327" s="129"/>
      <c r="QF327" s="129"/>
      <c r="QG327" s="129"/>
      <c r="QH327" s="129"/>
      <c r="QI327" s="129"/>
      <c r="QJ327" s="129"/>
      <c r="QK327" s="129"/>
      <c r="QL327" s="129"/>
      <c r="QM327" s="129"/>
      <c r="QN327" s="129"/>
      <c r="QO327" s="129"/>
      <c r="QP327" s="129"/>
      <c r="QQ327" s="129"/>
      <c r="QR327" s="129"/>
      <c r="QS327" s="129"/>
      <c r="QT327" s="129"/>
      <c r="QU327" s="129"/>
      <c r="QV327" s="129"/>
      <c r="QW327" s="129"/>
      <c r="QX327" s="129"/>
      <c r="QY327" s="129"/>
      <c r="QZ327" s="129"/>
      <c r="RA327" s="129"/>
      <c r="RB327" s="129"/>
      <c r="RC327" s="129"/>
      <c r="RD327" s="129"/>
      <c r="RE327" s="129"/>
      <c r="RF327" s="129"/>
      <c r="RG327" s="129"/>
      <c r="RH327" s="129"/>
      <c r="RI327" s="129"/>
      <c r="RJ327" s="129"/>
      <c r="RK327" s="129"/>
      <c r="RL327" s="129"/>
      <c r="RM327" s="129"/>
      <c r="RN327" s="129"/>
      <c r="RO327" s="129"/>
      <c r="RP327" s="129"/>
      <c r="RQ327" s="129"/>
      <c r="RR327" s="129"/>
      <c r="RS327" s="129"/>
      <c r="RT327" s="129"/>
      <c r="RU327" s="129"/>
      <c r="RV327" s="129"/>
      <c r="RW327" s="129"/>
      <c r="RX327" s="129"/>
      <c r="RY327" s="129"/>
      <c r="RZ327" s="129"/>
      <c r="SA327" s="129"/>
      <c r="SB327" s="129"/>
      <c r="SC327" s="129"/>
      <c r="SD327" s="129"/>
      <c r="SE327" s="129"/>
      <c r="SF327" s="129"/>
      <c r="SG327" s="129"/>
      <c r="SH327" s="129"/>
      <c r="SI327" s="129"/>
      <c r="SJ327" s="129"/>
      <c r="SK327" s="129"/>
      <c r="SL327" s="129"/>
      <c r="SM327" s="129"/>
      <c r="SN327" s="129"/>
      <c r="SO327" s="129"/>
      <c r="SP327" s="129"/>
      <c r="SQ327" s="129"/>
      <c r="SR327" s="129"/>
      <c r="SS327" s="129"/>
      <c r="ST327" s="129"/>
      <c r="SU327" s="129"/>
      <c r="SV327" s="129"/>
      <c r="SW327" s="129"/>
      <c r="SX327" s="129"/>
      <c r="SY327" s="129"/>
      <c r="SZ327" s="129"/>
      <c r="TA327" s="129"/>
      <c r="TB327" s="129"/>
      <c r="TC327" s="129"/>
      <c r="TD327" s="129"/>
      <c r="TE327" s="129"/>
      <c r="TF327" s="129"/>
      <c r="TG327" s="129"/>
      <c r="TH327" s="129"/>
      <c r="TI327" s="129"/>
      <c r="TJ327" s="129"/>
      <c r="TK327" s="129"/>
      <c r="TL327" s="129"/>
      <c r="TM327" s="129"/>
      <c r="TN327" s="129"/>
      <c r="TO327" s="129"/>
      <c r="TP327" s="129"/>
      <c r="TQ327" s="129"/>
      <c r="TR327" s="129"/>
      <c r="TS327" s="129"/>
      <c r="TT327" s="129"/>
      <c r="TU327" s="129"/>
      <c r="TV327" s="129"/>
      <c r="TW327" s="129"/>
      <c r="TX327" s="129"/>
      <c r="TY327" s="129"/>
      <c r="TZ327" s="129"/>
      <c r="UA327" s="129"/>
      <c r="UB327" s="129"/>
      <c r="UC327" s="129"/>
      <c r="UD327" s="129"/>
      <c r="UE327" s="129"/>
      <c r="UF327" s="129"/>
      <c r="UG327" s="129"/>
      <c r="UH327" s="129"/>
      <c r="UI327" s="129"/>
      <c r="UJ327" s="129"/>
      <c r="UK327" s="129"/>
      <c r="UL327" s="129"/>
      <c r="UM327" s="129"/>
      <c r="UN327" s="129"/>
      <c r="UO327" s="129"/>
      <c r="UP327" s="129"/>
      <c r="UQ327" s="129"/>
      <c r="UR327" s="129"/>
      <c r="US327" s="129"/>
      <c r="UT327" s="129"/>
      <c r="UU327" s="129"/>
      <c r="UV327" s="129"/>
      <c r="UW327" s="129"/>
      <c r="UX327" s="129"/>
      <c r="UY327" s="129"/>
      <c r="UZ327" s="129"/>
      <c r="VA327" s="129"/>
      <c r="VB327" s="129"/>
      <c r="VC327" s="129"/>
      <c r="VD327" s="129"/>
      <c r="VE327" s="129"/>
      <c r="VF327" s="129"/>
      <c r="VG327" s="129"/>
      <c r="VH327" s="129"/>
      <c r="VI327" s="129"/>
      <c r="VJ327" s="129"/>
      <c r="VK327" s="129"/>
      <c r="VL327" s="129"/>
      <c r="VM327" s="129"/>
      <c r="VN327" s="129"/>
      <c r="VO327" s="129"/>
      <c r="VP327" s="129"/>
      <c r="VQ327" s="129"/>
      <c r="VR327" s="129"/>
      <c r="VS327" s="129"/>
      <c r="VT327" s="129"/>
      <c r="VU327" s="129"/>
      <c r="VV327" s="129"/>
      <c r="VW327" s="129"/>
      <c r="VX327" s="129"/>
      <c r="VY327" s="129"/>
      <c r="VZ327" s="129"/>
      <c r="WA327" s="129"/>
      <c r="WB327" s="129"/>
      <c r="WC327" s="129"/>
      <c r="WD327" s="129"/>
      <c r="WE327" s="129"/>
      <c r="WF327" s="129"/>
      <c r="WG327" s="129"/>
      <c r="WH327" s="129"/>
      <c r="WI327" s="129"/>
      <c r="WJ327" s="129"/>
      <c r="WK327" s="129"/>
      <c r="WL327" s="129"/>
      <c r="WM327" s="129"/>
      <c r="WN327" s="129"/>
      <c r="WO327" s="129"/>
      <c r="WP327" s="129"/>
      <c r="WQ327" s="129"/>
      <c r="WR327" s="129"/>
      <c r="WS327" s="129"/>
      <c r="WT327" s="129"/>
      <c r="WU327" s="129"/>
      <c r="WV327" s="129"/>
      <c r="WW327" s="129"/>
      <c r="WX327" s="129"/>
      <c r="WY327" s="129"/>
      <c r="WZ327" s="129"/>
      <c r="XA327" s="129"/>
      <c r="XB327" s="129"/>
      <c r="XC327" s="129"/>
      <c r="XD327" s="129"/>
      <c r="XE327" s="129"/>
      <c r="XF327" s="129"/>
      <c r="XG327" s="129"/>
      <c r="XH327" s="129"/>
      <c r="XI327" s="129"/>
      <c r="XJ327" s="129"/>
      <c r="XK327" s="129"/>
      <c r="XL327" s="129"/>
      <c r="XM327" s="129"/>
      <c r="XN327" s="129"/>
      <c r="XO327" s="129"/>
      <c r="XP327" s="129"/>
      <c r="XQ327" s="129"/>
      <c r="XR327" s="129"/>
      <c r="XS327" s="129"/>
      <c r="XT327" s="129"/>
      <c r="XU327" s="129"/>
      <c r="XV327" s="129"/>
      <c r="XW327" s="129"/>
      <c r="XX327" s="129"/>
      <c r="XY327" s="129"/>
      <c r="XZ327" s="129"/>
      <c r="YA327" s="129"/>
      <c r="YB327" s="129"/>
      <c r="YC327" s="129"/>
      <c r="YD327" s="129"/>
      <c r="YE327" s="129"/>
      <c r="YF327" s="129"/>
      <c r="YG327" s="129"/>
      <c r="YH327" s="129"/>
      <c r="YI327" s="129"/>
      <c r="YJ327" s="129"/>
      <c r="YK327" s="129"/>
      <c r="YL327" s="129"/>
      <c r="YM327" s="129"/>
      <c r="YN327" s="129"/>
      <c r="YO327" s="129"/>
      <c r="YP327" s="129"/>
      <c r="YQ327" s="129"/>
      <c r="YR327" s="129"/>
      <c r="YS327" s="129"/>
      <c r="YT327" s="129"/>
      <c r="YU327" s="129"/>
      <c r="YV327" s="129"/>
      <c r="YW327" s="129"/>
      <c r="YX327" s="129"/>
      <c r="YY327" s="129"/>
      <c r="YZ327" s="129"/>
      <c r="ZA327" s="129"/>
      <c r="ZB327" s="129"/>
      <c r="ZC327" s="129"/>
      <c r="ZD327" s="129"/>
      <c r="ZE327" s="129"/>
      <c r="ZF327" s="129"/>
      <c r="ZG327" s="129"/>
      <c r="ZH327" s="129"/>
      <c r="ZI327" s="129"/>
      <c r="ZJ327" s="129"/>
      <c r="ZK327" s="129"/>
      <c r="ZL327" s="129"/>
      <c r="ZM327" s="129"/>
      <c r="ZN327" s="129"/>
      <c r="ZO327" s="129"/>
      <c r="ZP327" s="129"/>
      <c r="ZQ327" s="129"/>
      <c r="ZR327" s="129"/>
      <c r="ZS327" s="129"/>
      <c r="ZT327" s="129"/>
      <c r="ZU327" s="129"/>
      <c r="ZV327" s="129"/>
      <c r="ZW327" s="129"/>
      <c r="ZX327" s="129"/>
      <c r="ZY327" s="129"/>
      <c r="ZZ327" s="129"/>
      <c r="AAA327" s="129"/>
      <c r="AAB327" s="129"/>
      <c r="AAC327" s="129"/>
      <c r="AAD327" s="129"/>
      <c r="AAE327" s="129"/>
      <c r="AAF327" s="129"/>
      <c r="AAG327" s="129"/>
      <c r="AAH327" s="129"/>
      <c r="AAI327" s="129"/>
      <c r="AAJ327" s="129"/>
      <c r="AAK327" s="129"/>
      <c r="AAL327" s="129"/>
      <c r="AAM327" s="129"/>
      <c r="AAN327" s="129"/>
      <c r="AAO327" s="129"/>
      <c r="AAP327" s="129"/>
      <c r="AAQ327" s="129"/>
      <c r="AAR327" s="129"/>
      <c r="AAS327" s="129"/>
      <c r="AAT327" s="129"/>
      <c r="AAU327" s="129"/>
      <c r="AAV327" s="129"/>
      <c r="AAW327" s="129"/>
      <c r="AAX327" s="129"/>
      <c r="AAY327" s="129"/>
      <c r="AAZ327" s="129"/>
      <c r="ABA327" s="129"/>
      <c r="ABB327" s="129"/>
      <c r="ABC327" s="129"/>
      <c r="ABD327" s="129"/>
      <c r="ABE327" s="129"/>
      <c r="ABF327" s="129"/>
      <c r="ABG327" s="129"/>
      <c r="ABH327" s="129"/>
      <c r="ABI327" s="129"/>
      <c r="ABJ327" s="129"/>
      <c r="ABK327" s="129"/>
      <c r="ABL327" s="129"/>
      <c r="ABM327" s="129"/>
      <c r="ABN327" s="129"/>
      <c r="ABO327" s="129"/>
      <c r="ABP327" s="129"/>
      <c r="ABQ327" s="129"/>
      <c r="ABR327" s="129"/>
      <c r="ABS327" s="129"/>
      <c r="ABT327" s="129"/>
      <c r="ABU327" s="129"/>
      <c r="ABV327" s="129"/>
      <c r="ABW327" s="129"/>
      <c r="ABX327" s="129"/>
      <c r="ABY327" s="129"/>
      <c r="ABZ327" s="129"/>
      <c r="ACA327" s="129"/>
      <c r="ACB327" s="129"/>
      <c r="ACC327" s="129"/>
      <c r="ACD327" s="129"/>
      <c r="ACE327" s="129"/>
      <c r="ACF327" s="129"/>
      <c r="ACG327" s="129"/>
      <c r="ACH327" s="129"/>
      <c r="ACI327" s="129"/>
      <c r="ACJ327" s="129"/>
      <c r="ACK327" s="129"/>
      <c r="ACL327" s="129"/>
      <c r="ACM327" s="129"/>
      <c r="ACN327" s="129"/>
      <c r="ACO327" s="129"/>
      <c r="ACP327" s="129"/>
      <c r="ACQ327" s="129"/>
      <c r="ACR327" s="129"/>
      <c r="ACS327" s="129"/>
      <c r="ACT327" s="129"/>
      <c r="ACU327" s="129"/>
      <c r="ACV327" s="129"/>
      <c r="ACW327" s="129"/>
      <c r="ACX327" s="129"/>
      <c r="ACY327" s="129"/>
      <c r="ACZ327" s="129"/>
      <c r="ADA327" s="129"/>
      <c r="ADB327" s="129"/>
      <c r="ADC327" s="129"/>
      <c r="ADD327" s="129"/>
      <c r="ADE327" s="129"/>
      <c r="ADF327" s="129"/>
      <c r="ADG327" s="129"/>
      <c r="ADH327" s="129"/>
      <c r="ADI327" s="129"/>
      <c r="ADJ327" s="129"/>
      <c r="ADK327" s="129"/>
      <c r="ADL327" s="129"/>
      <c r="ADM327" s="129"/>
      <c r="ADN327" s="129"/>
      <c r="ADO327" s="129"/>
      <c r="ADP327" s="129"/>
      <c r="ADQ327" s="129"/>
      <c r="ADR327" s="129"/>
      <c r="ADS327" s="129"/>
      <c r="ADT327" s="129"/>
      <c r="ADU327" s="129"/>
      <c r="ADV327" s="129"/>
      <c r="ADW327" s="129"/>
      <c r="ADX327" s="129"/>
      <c r="ADY327" s="129"/>
      <c r="ADZ327" s="129"/>
      <c r="AEA327" s="129"/>
      <c r="AEB327" s="129"/>
      <c r="AEC327" s="129"/>
      <c r="AED327" s="129"/>
      <c r="AEE327" s="129"/>
      <c r="AEF327" s="129"/>
      <c r="AEG327" s="129"/>
      <c r="AEH327" s="129"/>
      <c r="AEI327" s="129"/>
      <c r="AEJ327" s="129"/>
      <c r="AEK327" s="129"/>
      <c r="AEL327" s="129"/>
      <c r="AEM327" s="129"/>
      <c r="AEN327" s="129"/>
      <c r="AEO327" s="129"/>
      <c r="AEP327" s="129"/>
      <c r="AEQ327" s="129"/>
      <c r="AER327" s="129"/>
      <c r="AES327" s="129"/>
      <c r="AET327" s="129"/>
      <c r="AEU327" s="129"/>
      <c r="AEV327" s="129"/>
      <c r="AEW327" s="129"/>
      <c r="AEX327" s="129"/>
      <c r="AEY327" s="129"/>
      <c r="AEZ327" s="129"/>
      <c r="AFA327" s="129"/>
      <c r="AFB327" s="129"/>
      <c r="AFC327" s="129"/>
      <c r="AFD327" s="129"/>
      <c r="AFE327" s="129"/>
      <c r="AFF327" s="129"/>
      <c r="AFG327" s="129"/>
      <c r="AFH327" s="129"/>
      <c r="AFI327" s="129"/>
      <c r="AFJ327" s="129"/>
      <c r="AFK327" s="129"/>
      <c r="AFL327" s="129"/>
      <c r="AFM327" s="129"/>
      <c r="AFN327" s="129"/>
      <c r="AFO327" s="129"/>
      <c r="AFP327" s="129"/>
      <c r="AFQ327" s="129"/>
      <c r="AFR327" s="129"/>
      <c r="AFS327" s="129"/>
      <c r="AFT327" s="129"/>
      <c r="AFU327" s="129"/>
      <c r="AFV327" s="129"/>
      <c r="AFW327" s="129"/>
      <c r="AFX327" s="129"/>
      <c r="AFY327" s="129"/>
      <c r="AFZ327" s="129"/>
      <c r="AGA327" s="129"/>
      <c r="AGB327" s="129"/>
      <c r="AGC327" s="129"/>
      <c r="AGD327" s="129"/>
      <c r="AGE327" s="129"/>
      <c r="AGF327" s="129"/>
      <c r="AGG327" s="129"/>
      <c r="AGH327" s="129"/>
      <c r="AGI327" s="129"/>
      <c r="AGJ327" s="129"/>
      <c r="AGK327" s="129"/>
      <c r="AGL327" s="129"/>
      <c r="AGM327" s="129"/>
      <c r="AGN327" s="129"/>
      <c r="AGO327" s="129"/>
      <c r="AGP327" s="129"/>
      <c r="AGQ327" s="129"/>
      <c r="AGR327" s="129"/>
      <c r="AGS327" s="129"/>
      <c r="AGT327" s="129"/>
      <c r="AGU327" s="129"/>
      <c r="AGV327" s="129"/>
      <c r="AGW327" s="129"/>
      <c r="AGX327" s="129"/>
      <c r="AGY327" s="129"/>
      <c r="AGZ327" s="129"/>
      <c r="AHA327" s="129"/>
      <c r="AHB327" s="129"/>
      <c r="AHC327" s="129"/>
      <c r="AHD327" s="129"/>
      <c r="AHE327" s="129"/>
      <c r="AHF327" s="129"/>
      <c r="AHG327" s="129"/>
      <c r="AHH327" s="129"/>
      <c r="AHI327" s="129"/>
      <c r="AHJ327" s="129"/>
      <c r="AHK327" s="129"/>
      <c r="AHL327" s="129"/>
      <c r="AHM327" s="129"/>
      <c r="AHN327" s="129"/>
      <c r="AHO327" s="129"/>
      <c r="AHP327" s="129"/>
      <c r="AHQ327" s="129"/>
      <c r="AHR327" s="129"/>
      <c r="AHS327" s="129"/>
      <c r="AHT327" s="129"/>
      <c r="AHU327" s="129"/>
      <c r="AHV327" s="129"/>
      <c r="AHW327" s="129"/>
      <c r="AHX327" s="129"/>
      <c r="AHY327" s="129"/>
      <c r="AHZ327" s="129"/>
      <c r="AIA327" s="129"/>
      <c r="AIB327" s="129"/>
      <c r="AIC327" s="129"/>
      <c r="AID327" s="129"/>
      <c r="AIE327" s="129"/>
      <c r="AIF327" s="129"/>
      <c r="AIG327" s="129"/>
      <c r="AIH327" s="129"/>
      <c r="AII327" s="129"/>
      <c r="AIJ327" s="129"/>
      <c r="AIK327" s="129"/>
      <c r="AIL327" s="129"/>
      <c r="AIM327" s="129"/>
      <c r="AIN327" s="129"/>
      <c r="AIO327" s="129"/>
      <c r="AIP327" s="129"/>
      <c r="AIQ327" s="129"/>
      <c r="AIR327" s="129"/>
      <c r="AIS327" s="129"/>
      <c r="AIT327" s="129"/>
      <c r="AIU327" s="129"/>
      <c r="AIV327" s="129"/>
      <c r="AIW327" s="129"/>
      <c r="AIX327" s="129"/>
      <c r="AIY327" s="129"/>
      <c r="AIZ327" s="129"/>
      <c r="AJA327" s="129"/>
      <c r="AJB327" s="129"/>
      <c r="AJC327" s="129"/>
      <c r="AJD327" s="129"/>
      <c r="AJE327" s="129"/>
      <c r="AJF327" s="129"/>
      <c r="AJG327" s="129"/>
      <c r="AJH327" s="129"/>
      <c r="AJI327" s="129"/>
      <c r="AJJ327" s="129"/>
      <c r="AJK327" s="129"/>
      <c r="AJL327" s="129"/>
      <c r="AJM327" s="129"/>
      <c r="AJN327" s="129"/>
      <c r="AJO327" s="129"/>
      <c r="AJP327" s="129"/>
      <c r="AJQ327" s="129"/>
      <c r="AJR327" s="129"/>
      <c r="AJS327" s="129"/>
      <c r="AJT327" s="129"/>
      <c r="AJU327" s="129"/>
      <c r="AJV327" s="129"/>
      <c r="AJW327" s="129"/>
      <c r="AJX327" s="129"/>
      <c r="AJY327" s="129"/>
      <c r="AJZ327" s="129"/>
      <c r="AKA327" s="129"/>
      <c r="AKB327" s="129"/>
      <c r="AKC327" s="129"/>
      <c r="AKD327" s="129"/>
      <c r="AKE327" s="129"/>
      <c r="AKF327" s="129"/>
      <c r="AKG327" s="129"/>
      <c r="AKH327" s="129"/>
      <c r="AKI327" s="129"/>
      <c r="AKJ327" s="129"/>
      <c r="AKK327" s="129"/>
      <c r="AKL327" s="129"/>
      <c r="AKM327" s="129"/>
      <c r="AKN327" s="129"/>
      <c r="AKO327" s="129"/>
      <c r="AKP327" s="129"/>
      <c r="AKQ327" s="129"/>
      <c r="AKR327" s="129"/>
      <c r="AKS327" s="129"/>
      <c r="AKT327" s="129"/>
      <c r="AKU327" s="129"/>
      <c r="AKV327" s="129"/>
      <c r="AKW327" s="129"/>
      <c r="AKX327" s="129"/>
      <c r="AKY327" s="129"/>
      <c r="AKZ327" s="129"/>
      <c r="ALA327" s="129"/>
      <c r="ALB327" s="129"/>
      <c r="ALC327" s="129"/>
      <c r="ALD327" s="129"/>
      <c r="ALE327" s="129"/>
      <c r="ALF327" s="129"/>
      <c r="ALG327" s="129"/>
      <c r="ALH327" s="129"/>
      <c r="ALI327" s="129"/>
      <c r="ALJ327" s="129"/>
      <c r="ALK327" s="129"/>
      <c r="ALL327" s="129"/>
      <c r="ALM327" s="129"/>
      <c r="ALN327" s="129"/>
      <c r="ALO327" s="129"/>
      <c r="ALP327" s="129"/>
      <c r="ALQ327" s="129"/>
      <c r="ALR327" s="129"/>
      <c r="ALS327" s="129"/>
      <c r="ALT327" s="129"/>
      <c r="ALU327" s="129"/>
      <c r="ALV327" s="129"/>
      <c r="ALW327" s="129"/>
      <c r="ALX327" s="129"/>
      <c r="ALY327" s="129"/>
      <c r="ALZ327" s="129"/>
      <c r="AMA327" s="129"/>
      <c r="AMB327" s="129"/>
      <c r="AMC327" s="129"/>
      <c r="AMD327" s="129"/>
      <c r="AME327" s="129"/>
      <c r="AMF327" s="129"/>
      <c r="AMG327" s="129"/>
      <c r="AMH327" s="129"/>
      <c r="AMI327" s="129"/>
      <c r="AMJ327" s="129"/>
      <c r="AMK327" s="129"/>
      <c r="AML327" s="129"/>
      <c r="AMM327" s="129"/>
      <c r="AMN327" s="129"/>
      <c r="AMO327" s="129"/>
      <c r="AMP327" s="129"/>
    </row>
    <row r="328" spans="1:1030" x14ac:dyDescent="0.2">
      <c r="A328" s="3" t="str">
        <f t="shared" si="1956"/>
        <v>calrl_human__wt</v>
      </c>
      <c r="B328" s="2" t="s">
        <v>402</v>
      </c>
      <c r="C328" s="3" t="s">
        <v>100</v>
      </c>
      <c r="D328" s="3" t="str">
        <f>IFERROR(MID(VLOOKUP($B328,Seqs!$A:$B,2,0),E328,1),"")</f>
        <v>N</v>
      </c>
      <c r="E328" s="3">
        <v>130</v>
      </c>
      <c r="F328" s="3" t="str">
        <f>IFERROR(MID(VLOOKUP($B328,Seqs!$A:$B,2,0),G328,1),"")</f>
        <v>F</v>
      </c>
      <c r="G328" s="3">
        <v>166</v>
      </c>
      <c r="H328" s="3" t="str">
        <f>IFERROR(MID(VLOOKUP($B328,Seqs!$A:$B,2,0),I328,1),"")</f>
        <v>K</v>
      </c>
      <c r="I328" s="23">
        <v>167</v>
      </c>
      <c r="J328" s="3" t="str">
        <f>IFERROR(MID(VLOOKUP($B328,Seqs!$A:$B,2,0),K328,1),"")</f>
        <v>S</v>
      </c>
      <c r="K328" s="23">
        <v>170</v>
      </c>
      <c r="L328" s="3" t="str">
        <f>IFERROR(MID(VLOOKUP($B328,Seqs!$A:$B,2,0),M328,1),"")</f>
        <v>C</v>
      </c>
      <c r="M328" s="3">
        <v>171</v>
      </c>
      <c r="N328" s="3" t="str">
        <f>IFERROR(MID(VLOOKUP($B328,Seqs!$A:$B,2,0),O328,1),"")</f>
        <v>V</v>
      </c>
      <c r="O328" s="3">
        <v>198</v>
      </c>
      <c r="P328" s="3" t="str">
        <f>IFERROR(MID(VLOOKUP($B328,Seqs!$A:$B,2,0),Q328,1),"")</f>
        <v/>
      </c>
      <c r="Q328" s="3" t="s">
        <v>23</v>
      </c>
      <c r="R328" s="3" t="str">
        <f>IFERROR(MID(VLOOKUP($B328,Seqs!$A:$B,2,0),S328,1),"")</f>
        <v/>
      </c>
      <c r="S328" s="3" t="s">
        <v>23</v>
      </c>
      <c r="T328" s="3" t="str">
        <f>IFERROR(MID(VLOOKUP($B328,Seqs!$A:$B,2,0),U328,1),"")</f>
        <v>V</v>
      </c>
      <c r="U328" s="3">
        <v>210</v>
      </c>
      <c r="V328" s="3" t="str">
        <f>IFERROR(MID(VLOOKUP($B328,Seqs!$A:$B,2,0),W328,1),"")</f>
        <v>V</v>
      </c>
      <c r="W328" s="3">
        <v>243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H</v>
      </c>
      <c r="AC328" s="3">
        <v>251</v>
      </c>
      <c r="AD328" s="3" t="str">
        <f>IFERROR(MID(VLOOKUP($B328,Seqs!$A:$B,2,0),AE328,1),"")</f>
        <v>Y</v>
      </c>
      <c r="AE328" s="3">
        <v>277</v>
      </c>
      <c r="AF328" s="3" t="str">
        <f>IFERROR(MID(VLOOKUP($B328,Seqs!$A:$B,2,0),AG328,1),"")</f>
        <v>C</v>
      </c>
      <c r="AG328" s="3">
        <v>282</v>
      </c>
      <c r="AH328" s="3" t="str">
        <f>IFERROR(MID(VLOOKUP($B328,Seqs!$A:$B,2,0),AI328,1),"")</f>
        <v>I</v>
      </c>
      <c r="AI328" s="3">
        <v>284</v>
      </c>
      <c r="AJ328" s="3" t="str">
        <f>IFERROR(MID(VLOOKUP($B328,Seqs!$A:$B,2,0),AK328,1),"")</f>
        <v>L</v>
      </c>
      <c r="AK328" s="3">
        <v>290</v>
      </c>
      <c r="AL328" s="3" t="str">
        <f>IFERROR(MID(VLOOKUP($B328,Seqs!$A:$B,2,0),AM328,1),"")</f>
        <v>K</v>
      </c>
      <c r="AM328" s="3">
        <v>321</v>
      </c>
      <c r="AN328" s="3" t="str">
        <f>IFERROR(MID(VLOOKUP($B328,Seqs!$A:$B,2,0),AO328,1),"")</f>
        <v>Y</v>
      </c>
      <c r="AO328" s="3">
        <v>331</v>
      </c>
      <c r="AP328" s="3" t="str">
        <f>IFERROR(MID(VLOOKUP($B328,Seqs!$A:$B,2,0),AQ328,1),"")</f>
        <v>W</v>
      </c>
      <c r="AQ328" s="3">
        <v>354</v>
      </c>
      <c r="AR328" s="3" t="str">
        <f>IFERROR(MID(VLOOKUP($B328,Seqs!$A:$B,2,0),AS328,1),"")</f>
        <v>K</v>
      </c>
      <c r="AS328" s="3">
        <v>359</v>
      </c>
      <c r="AT328" s="3" t="str">
        <f>IFERROR(MID(VLOOKUP($B328,Seqs!$A:$B,2,0),AU328,1),"")</f>
        <v>F</v>
      </c>
      <c r="AU328" s="3">
        <v>387</v>
      </c>
      <c r="AV328" s="3" t="str">
        <f>IFERROR(MID(VLOOKUP($B328,Seqs!$A:$B,2,0),AW328,1),"")</f>
        <v>N</v>
      </c>
      <c r="AW328" s="3">
        <v>388</v>
      </c>
      <c r="AX328" s="3" t="str">
        <f>IFERROR(MID(VLOOKUP($B328,Seqs!$A:$B,2,0),AY328,1),"")</f>
        <v>S</v>
      </c>
      <c r="AY328" s="3">
        <v>413</v>
      </c>
      <c r="AZ328" s="77" t="str">
        <f>VLOOKUP(B328,Classification!A:D,2,0)</f>
        <v>B1</v>
      </c>
      <c r="BA328" s="94" t="str">
        <f>VLOOKUP(B328,Classification!A:D,4,0)</f>
        <v>Calcitonin</v>
      </c>
      <c r="BB328" s="27" t="b">
        <f t="shared" ref="BB328" si="2041">AND(E328&lt;G328,OR(G328&lt;I328,I328="-"),OR(I328&lt;K328,I328="-"),OR(K328&lt;M328,K328="-"),M328&lt;O328,OR(O328&lt;Q328,Q328="-"),OR(Q328&lt;S328,Q328="-"),OR(S328&lt;U328,S328="-"),U328&lt;W328,OR(W328&lt;Y328,Y328="-"),OR(Y328&lt;AA328,Y328="-"),OR(AA328&lt;AC328,AA328="-"),AC328&lt;AE328,OR(AE328&lt;AG328,AG328="-"),OR(AG328&lt;AI328,AG328="-"),OR(AI328&lt;AK328,AI328="-"),AK328&lt;AM328,AM328&lt;AO328,AO328&lt;AQ328,AQ328&lt;AS328,AS328&lt;AU328,OR(AU328&lt;AW328,AW328="-"),OR(AW328&lt;AY328,AW328="-"))</f>
        <v>1</v>
      </c>
      <c r="BC328" s="23">
        <f t="shared" ref="BC328" si="2042">_xlfn.AGGREGATE(9,6,CH328:CS328)-_xlfn.AGGREGATE(9,6,BV328:CG328)+12</f>
        <v>246</v>
      </c>
      <c r="BD328" s="4" t="s">
        <v>23</v>
      </c>
      <c r="BE328" s="3" t="s">
        <v>23</v>
      </c>
      <c r="BF328" s="119" t="s">
        <v>23</v>
      </c>
      <c r="BG328" s="49" t="s">
        <v>1377</v>
      </c>
      <c r="BH328" s="49" t="s">
        <v>1377</v>
      </c>
      <c r="BI328" s="1"/>
      <c r="BJ328" s="70" t="s">
        <v>1287</v>
      </c>
      <c r="BK328" s="57" t="s">
        <v>1287</v>
      </c>
      <c r="BL328" s="57" t="s">
        <v>1287</v>
      </c>
      <c r="BM328" s="57" t="s">
        <v>1287</v>
      </c>
      <c r="BN328" s="57" t="s">
        <v>1287</v>
      </c>
      <c r="BO328" s="57" t="s">
        <v>1287</v>
      </c>
      <c r="BP328" s="57" t="s">
        <v>1287</v>
      </c>
      <c r="BQ328" s="57" t="s">
        <v>1287</v>
      </c>
      <c r="BR328" s="57" t="s">
        <v>1287</v>
      </c>
      <c r="BS328" s="57" t="s">
        <v>1287</v>
      </c>
      <c r="BT328" s="57" t="s">
        <v>1287</v>
      </c>
      <c r="BU328" s="57" t="s">
        <v>1287</v>
      </c>
      <c r="BV328" s="70">
        <f t="shared" ref="BV328" si="2043">E328</f>
        <v>130</v>
      </c>
      <c r="BW328" s="71">
        <f t="shared" ref="BW328" si="2044">I328</f>
        <v>167</v>
      </c>
      <c r="BX328" s="72">
        <f t="shared" ref="BX328" si="2045">M328</f>
        <v>171</v>
      </c>
      <c r="BY328" s="71" t="str">
        <f t="shared" ref="BY328" si="2046">Q328</f>
        <v>-</v>
      </c>
      <c r="BZ328" s="72">
        <f t="shared" ref="BZ328" si="2047">U328</f>
        <v>210</v>
      </c>
      <c r="CA328" s="71" t="str">
        <f t="shared" ref="CA328" si="2048">Y328</f>
        <v>-</v>
      </c>
      <c r="CB328" s="72">
        <f t="shared" ref="CB328" si="2049">AC328</f>
        <v>251</v>
      </c>
      <c r="CC328" s="71">
        <f t="shared" ref="CC328" si="2050">AG328</f>
        <v>282</v>
      </c>
      <c r="CD328" s="72">
        <f t="shared" ref="CD328" si="2051">AK328</f>
        <v>290</v>
      </c>
      <c r="CE328" s="71">
        <f t="shared" ref="CE328" si="2052">AO328</f>
        <v>331</v>
      </c>
      <c r="CF328" s="72">
        <f t="shared" ref="CF328" si="2053">AS328</f>
        <v>359</v>
      </c>
      <c r="CG328" s="71">
        <f t="shared" ref="CG328" si="2054">AW328</f>
        <v>388</v>
      </c>
      <c r="CH328" s="70">
        <f t="shared" ref="CH328" si="2055">G328</f>
        <v>166</v>
      </c>
      <c r="CI328" s="71">
        <f t="shared" ref="CI328" si="2056">K328</f>
        <v>170</v>
      </c>
      <c r="CJ328" s="72">
        <f t="shared" ref="CJ328" si="2057">O328</f>
        <v>198</v>
      </c>
      <c r="CK328" s="72" t="str">
        <f t="shared" ref="CK328" si="2058">S328</f>
        <v>-</v>
      </c>
      <c r="CL328" s="72">
        <f t="shared" ref="CL328" si="2059">W328</f>
        <v>243</v>
      </c>
      <c r="CM328" s="72" t="str">
        <f t="shared" ref="CM328" si="2060">AA328</f>
        <v>-</v>
      </c>
      <c r="CN328" s="72">
        <f t="shared" ref="CN328" si="2061">AE328</f>
        <v>277</v>
      </c>
      <c r="CO328" s="72">
        <f t="shared" ref="CO328" si="2062">AI328</f>
        <v>284</v>
      </c>
      <c r="CP328" s="72">
        <f t="shared" ref="CP328" si="2063">AM328</f>
        <v>321</v>
      </c>
      <c r="CQ328" s="72">
        <f t="shared" ref="CQ328" si="2064">AQ328</f>
        <v>354</v>
      </c>
      <c r="CR328" s="72">
        <f t="shared" ref="CR328" si="2065">AU328</f>
        <v>387</v>
      </c>
      <c r="CS328" s="72">
        <f t="shared" ref="CS328" si="2066">AY328</f>
        <v>413</v>
      </c>
      <c r="CT328" s="23">
        <f t="shared" ref="CT328" si="2067">M328-K328</f>
        <v>1</v>
      </c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  <c r="IR328" s="6"/>
      <c r="IS328" s="6"/>
      <c r="IT328" s="6"/>
      <c r="IU328" s="6"/>
      <c r="IV328" s="6"/>
      <c r="IW328" s="6"/>
      <c r="IX328" s="6"/>
      <c r="IY328" s="6"/>
      <c r="IZ328" s="6"/>
      <c r="JA328" s="6"/>
      <c r="JB328" s="6"/>
      <c r="JC328" s="6"/>
      <c r="JD328" s="6"/>
      <c r="JE328" s="6"/>
      <c r="JF328" s="6"/>
      <c r="JG328" s="6"/>
      <c r="JH328" s="6"/>
      <c r="JI328" s="6"/>
      <c r="JJ328" s="6"/>
      <c r="JK328" s="6"/>
      <c r="JL328" s="6"/>
      <c r="JM328" s="6"/>
      <c r="JN328" s="6"/>
      <c r="JO328" s="6"/>
      <c r="JP328" s="6"/>
      <c r="JQ328" s="6"/>
      <c r="JR328" s="6"/>
      <c r="JS328" s="6"/>
      <c r="JT328" s="6"/>
      <c r="JU328" s="6"/>
      <c r="JV328" s="6"/>
      <c r="JW328" s="6"/>
      <c r="JX328" s="6"/>
      <c r="JY328" s="6"/>
      <c r="JZ328" s="6"/>
      <c r="KA328" s="6"/>
      <c r="KB328" s="6"/>
      <c r="KC328" s="6"/>
      <c r="KD328" s="6"/>
      <c r="KE328" s="6"/>
      <c r="KF328" s="6"/>
      <c r="KG328" s="6"/>
      <c r="KH328" s="6"/>
      <c r="KI328" s="6"/>
      <c r="KJ328" s="6"/>
      <c r="KK328" s="6"/>
      <c r="KL328" s="6"/>
      <c r="KM328" s="6"/>
      <c r="KN328" s="6"/>
      <c r="KO328" s="6"/>
      <c r="KP328" s="6"/>
      <c r="KQ328" s="6"/>
      <c r="KR328" s="6"/>
      <c r="KS328" s="6"/>
      <c r="KT328" s="6"/>
      <c r="KU328" s="6"/>
      <c r="KV328" s="6"/>
      <c r="KW328" s="6"/>
      <c r="KX328" s="6"/>
      <c r="KY328" s="6"/>
      <c r="KZ328" s="6"/>
      <c r="LA328" s="6"/>
      <c r="LB328" s="6"/>
      <c r="LC328" s="6"/>
      <c r="LD328" s="6"/>
      <c r="LE328" s="6"/>
      <c r="LF328" s="6"/>
      <c r="LG328" s="6"/>
      <c r="LH328" s="6"/>
      <c r="LI328" s="6"/>
      <c r="LJ328" s="6"/>
      <c r="LK328" s="6"/>
      <c r="LL328" s="6"/>
      <c r="LM328" s="6"/>
      <c r="LN328" s="6"/>
      <c r="LO328" s="6"/>
      <c r="LP328" s="6"/>
      <c r="LQ328" s="6"/>
      <c r="LR328" s="6"/>
      <c r="LS328" s="6"/>
      <c r="LT328" s="6"/>
      <c r="LU328" s="6"/>
      <c r="LV328" s="6"/>
      <c r="LW328" s="6"/>
      <c r="LX328" s="6"/>
      <c r="LY328" s="6"/>
      <c r="LZ328" s="6"/>
      <c r="MA328" s="6"/>
      <c r="MB328" s="6"/>
      <c r="MC328" s="6"/>
      <c r="MD328" s="6"/>
      <c r="ME328" s="6"/>
      <c r="MF328" s="6"/>
      <c r="MG328" s="6"/>
      <c r="MH328" s="6"/>
      <c r="MI328" s="6"/>
      <c r="MJ328" s="6"/>
      <c r="MK328" s="6"/>
      <c r="ML328" s="6"/>
      <c r="MM328" s="6"/>
      <c r="MN328" s="6"/>
      <c r="MO328" s="6"/>
      <c r="MP328" s="6"/>
      <c r="MQ328" s="6"/>
      <c r="MR328" s="6"/>
      <c r="MS328" s="6"/>
      <c r="MT328" s="6"/>
      <c r="MU328" s="6"/>
      <c r="MV328" s="6"/>
      <c r="MW328" s="6"/>
      <c r="MX328" s="6"/>
      <c r="MY328" s="6"/>
      <c r="MZ328" s="6"/>
      <c r="NA328" s="6"/>
      <c r="NB328" s="6"/>
      <c r="NC328" s="6"/>
      <c r="ND328" s="6"/>
      <c r="NE328" s="6"/>
      <c r="NF328" s="6"/>
      <c r="NG328" s="6"/>
      <c r="NH328" s="6"/>
      <c r="NI328" s="6"/>
      <c r="NJ328" s="6"/>
      <c r="NK328" s="6"/>
      <c r="NL328" s="6"/>
      <c r="NM328" s="6"/>
      <c r="NN328" s="6"/>
      <c r="NO328" s="6"/>
      <c r="NP328" s="6"/>
      <c r="NQ328" s="6"/>
      <c r="NR328" s="6"/>
      <c r="NS328" s="6"/>
      <c r="NT328" s="6"/>
      <c r="NU328" s="6"/>
      <c r="NV328" s="6"/>
      <c r="NW328" s="6"/>
      <c r="NX328" s="6"/>
      <c r="NY328" s="6"/>
      <c r="NZ328" s="6"/>
      <c r="OA328" s="6"/>
      <c r="OB328" s="6"/>
      <c r="OC328" s="6"/>
      <c r="OD328" s="6"/>
      <c r="OE328" s="6"/>
      <c r="OF328" s="6"/>
      <c r="OG328" s="6"/>
      <c r="OH328" s="6"/>
      <c r="OI328" s="6"/>
      <c r="OJ328" s="6"/>
      <c r="OK328" s="6"/>
      <c r="OL328" s="6"/>
      <c r="OM328" s="6"/>
      <c r="ON328" s="6"/>
      <c r="OO328" s="6"/>
      <c r="OP328" s="6"/>
      <c r="OQ328" s="6"/>
      <c r="OR328" s="6"/>
      <c r="OS328" s="6"/>
      <c r="OT328" s="6"/>
      <c r="OU328" s="6"/>
      <c r="OV328" s="6"/>
      <c r="OW328" s="6"/>
      <c r="OX328" s="6"/>
      <c r="OY328" s="6"/>
      <c r="OZ328" s="6"/>
      <c r="PA328" s="6"/>
      <c r="PB328" s="6"/>
      <c r="PC328" s="6"/>
      <c r="PD328" s="6"/>
      <c r="PE328" s="6"/>
      <c r="PF328" s="6"/>
      <c r="PG328" s="6"/>
      <c r="PH328" s="6"/>
      <c r="PI328" s="6"/>
      <c r="PJ328" s="6"/>
      <c r="PK328" s="6"/>
      <c r="PL328" s="6"/>
      <c r="PM328" s="6"/>
      <c r="PN328" s="6"/>
      <c r="PO328" s="6"/>
      <c r="PP328" s="6"/>
      <c r="PQ328" s="6"/>
      <c r="PR328" s="6"/>
      <c r="PS328" s="6"/>
      <c r="PT328" s="6"/>
      <c r="PU328" s="6"/>
      <c r="PV328" s="6"/>
      <c r="PW328" s="6"/>
      <c r="PX328" s="6"/>
      <c r="PY328" s="6"/>
      <c r="PZ328" s="6"/>
      <c r="QA328" s="6"/>
      <c r="QB328" s="6"/>
      <c r="QC328" s="6"/>
      <c r="QD328" s="6"/>
      <c r="QE328" s="6"/>
      <c r="QF328" s="6"/>
      <c r="QG328" s="6"/>
      <c r="QH328" s="6"/>
      <c r="QI328" s="6"/>
      <c r="QJ328" s="6"/>
      <c r="QK328" s="6"/>
      <c r="QL328" s="6"/>
      <c r="QM328" s="6"/>
      <c r="QN328" s="6"/>
      <c r="QO328" s="6"/>
      <c r="QP328" s="6"/>
      <c r="QQ328" s="6"/>
      <c r="QR328" s="6"/>
      <c r="QS328" s="6"/>
      <c r="QT328" s="6"/>
      <c r="QU328" s="6"/>
      <c r="QV328" s="6"/>
      <c r="QW328" s="6"/>
      <c r="QX328" s="6"/>
      <c r="QY328" s="6"/>
      <c r="QZ328" s="6"/>
      <c r="RA328" s="6"/>
      <c r="RB328" s="6"/>
      <c r="RC328" s="6"/>
      <c r="RD328" s="6"/>
      <c r="RE328" s="6"/>
      <c r="RF328" s="6"/>
      <c r="RG328" s="6"/>
      <c r="RH328" s="6"/>
      <c r="RI328" s="6"/>
      <c r="RJ328" s="6"/>
      <c r="RK328" s="6"/>
      <c r="RL328" s="6"/>
      <c r="RM328" s="6"/>
      <c r="RN328" s="6"/>
      <c r="RO328" s="6"/>
      <c r="RP328" s="6"/>
      <c r="RQ328" s="6"/>
      <c r="RR328" s="6"/>
      <c r="RS328" s="6"/>
      <c r="RT328" s="6"/>
      <c r="RU328" s="6"/>
      <c r="RV328" s="6"/>
      <c r="RW328" s="6"/>
      <c r="RX328" s="6"/>
      <c r="RY328" s="6"/>
      <c r="RZ328" s="6"/>
      <c r="SA328" s="6"/>
      <c r="SB328" s="6"/>
      <c r="SC328" s="6"/>
      <c r="SD328" s="6"/>
      <c r="SE328" s="6"/>
      <c r="SF328" s="6"/>
      <c r="SG328" s="6"/>
      <c r="SH328" s="6"/>
      <c r="SI328" s="6"/>
      <c r="SJ328" s="6"/>
      <c r="SK328" s="6"/>
      <c r="SL328" s="6"/>
      <c r="SM328" s="6"/>
      <c r="SN328" s="6"/>
      <c r="SO328" s="6"/>
      <c r="SP328" s="6"/>
      <c r="SQ328" s="6"/>
      <c r="SR328" s="6"/>
      <c r="SS328" s="6"/>
      <c r="ST328" s="6"/>
      <c r="SU328" s="6"/>
      <c r="SV328" s="6"/>
      <c r="SW328" s="6"/>
      <c r="SX328" s="6"/>
      <c r="SY328" s="6"/>
      <c r="SZ328" s="6"/>
      <c r="TA328" s="6"/>
      <c r="TB328" s="6"/>
      <c r="TC328" s="6"/>
      <c r="TD328" s="6"/>
      <c r="TE328" s="6"/>
      <c r="TF328" s="6"/>
      <c r="TG328" s="6"/>
      <c r="TH328" s="6"/>
      <c r="TI328" s="6"/>
      <c r="TJ328" s="6"/>
      <c r="TK328" s="6"/>
      <c r="TL328" s="6"/>
      <c r="TM328" s="6"/>
      <c r="TN328" s="6"/>
      <c r="TO328" s="6"/>
      <c r="TP328" s="6"/>
      <c r="TQ328" s="6"/>
      <c r="TR328" s="6"/>
      <c r="TS328" s="6"/>
      <c r="TT328" s="6"/>
      <c r="TU328" s="6"/>
      <c r="TV328" s="6"/>
      <c r="TW328" s="6"/>
      <c r="TX328" s="6"/>
      <c r="TY328" s="6"/>
      <c r="TZ328" s="6"/>
      <c r="UA328" s="6"/>
      <c r="UB328" s="6"/>
      <c r="UC328" s="6"/>
      <c r="UD328" s="6"/>
      <c r="UE328" s="6"/>
      <c r="UF328" s="6"/>
      <c r="UG328" s="6"/>
      <c r="UH328" s="6"/>
      <c r="UI328" s="6"/>
      <c r="UJ328" s="6"/>
      <c r="UK328" s="6"/>
      <c r="UL328" s="6"/>
      <c r="UM328" s="6"/>
      <c r="UN328" s="6"/>
      <c r="UO328" s="6"/>
      <c r="UP328" s="6"/>
      <c r="UQ328" s="6"/>
      <c r="UR328" s="6"/>
      <c r="US328" s="6"/>
      <c r="UT328" s="6"/>
      <c r="UU328" s="6"/>
      <c r="UV328" s="6"/>
      <c r="UW328" s="6"/>
      <c r="UX328" s="6"/>
      <c r="UY328" s="6"/>
      <c r="UZ328" s="6"/>
      <c r="VA328" s="6"/>
      <c r="VB328" s="6"/>
      <c r="VC328" s="6"/>
      <c r="VD328" s="6"/>
      <c r="VE328" s="6"/>
      <c r="VF328" s="6"/>
      <c r="VG328" s="6"/>
      <c r="VH328" s="6"/>
      <c r="VI328" s="6"/>
      <c r="VJ328" s="6"/>
      <c r="VK328" s="6"/>
      <c r="VL328" s="6"/>
      <c r="VM328" s="6"/>
      <c r="VN328" s="6"/>
      <c r="VO328" s="6"/>
      <c r="VP328" s="6"/>
      <c r="VQ328" s="6"/>
      <c r="VR328" s="6"/>
      <c r="VS328" s="6"/>
      <c r="VT328" s="6"/>
      <c r="VU328" s="6"/>
      <c r="VV328" s="6"/>
      <c r="VW328" s="6"/>
      <c r="VX328" s="6"/>
      <c r="VY328" s="6"/>
      <c r="VZ328" s="6"/>
      <c r="WA328" s="6"/>
      <c r="WB328" s="6"/>
      <c r="WC328" s="6"/>
      <c r="WD328" s="6"/>
      <c r="WE328" s="6"/>
      <c r="WF328" s="6"/>
      <c r="WG328" s="6"/>
      <c r="WH328" s="6"/>
      <c r="WI328" s="6"/>
      <c r="WJ328" s="6"/>
      <c r="WK328" s="6"/>
      <c r="WL328" s="6"/>
      <c r="WM328" s="6"/>
      <c r="WN328" s="6"/>
      <c r="WO328" s="6"/>
      <c r="WP328" s="6"/>
      <c r="WQ328" s="6"/>
      <c r="WR328" s="6"/>
      <c r="WS328" s="6"/>
      <c r="WT328" s="6"/>
      <c r="WU328" s="6"/>
      <c r="WV328" s="6"/>
      <c r="WW328" s="6"/>
      <c r="WX328" s="6"/>
      <c r="WY328" s="6"/>
      <c r="WZ328" s="6"/>
      <c r="XA328" s="6"/>
      <c r="XB328" s="6"/>
      <c r="XC328" s="6"/>
      <c r="XD328" s="6"/>
      <c r="XE328" s="6"/>
      <c r="XF328" s="6"/>
      <c r="XG328" s="6"/>
      <c r="XH328" s="6"/>
      <c r="XI328" s="6"/>
      <c r="XJ328" s="6"/>
      <c r="XK328" s="6"/>
      <c r="XL328" s="6"/>
      <c r="XM328" s="6"/>
      <c r="XN328" s="6"/>
      <c r="XO328" s="6"/>
      <c r="XP328" s="6"/>
      <c r="XQ328" s="6"/>
      <c r="XR328" s="6"/>
      <c r="XS328" s="6"/>
      <c r="XT328" s="6"/>
      <c r="XU328" s="6"/>
      <c r="XV328" s="6"/>
      <c r="XW328" s="6"/>
      <c r="XX328" s="6"/>
      <c r="XY328" s="6"/>
      <c r="XZ328" s="6"/>
      <c r="YA328" s="6"/>
      <c r="YB328" s="6"/>
      <c r="YC328" s="6"/>
      <c r="YD328" s="6"/>
      <c r="YE328" s="6"/>
      <c r="YF328" s="6"/>
      <c r="YG328" s="6"/>
      <c r="YH328" s="6"/>
      <c r="YI328" s="6"/>
      <c r="YJ328" s="6"/>
      <c r="YK328" s="6"/>
      <c r="YL328" s="6"/>
      <c r="YM328" s="6"/>
      <c r="YN328" s="6"/>
      <c r="YO328" s="6"/>
      <c r="YP328" s="6"/>
      <c r="YQ328" s="6"/>
      <c r="YR328" s="6"/>
      <c r="YS328" s="6"/>
      <c r="YT328" s="6"/>
      <c r="YU328" s="6"/>
      <c r="YV328" s="6"/>
      <c r="YW328" s="6"/>
      <c r="YX328" s="6"/>
      <c r="YY328" s="6"/>
      <c r="YZ328" s="6"/>
      <c r="ZA328" s="6"/>
      <c r="ZB328" s="6"/>
      <c r="ZC328" s="6"/>
      <c r="ZD328" s="6"/>
      <c r="ZE328" s="6"/>
      <c r="ZF328" s="6"/>
      <c r="ZG328" s="6"/>
      <c r="ZH328" s="6"/>
      <c r="ZI328" s="6"/>
      <c r="ZJ328" s="6"/>
      <c r="ZK328" s="6"/>
      <c r="ZL328" s="6"/>
      <c r="ZM328" s="6"/>
      <c r="ZN328" s="6"/>
      <c r="ZO328" s="6"/>
      <c r="ZP328" s="6"/>
      <c r="ZQ328" s="6"/>
      <c r="ZR328" s="6"/>
      <c r="ZS328" s="6"/>
      <c r="ZT328" s="6"/>
      <c r="ZU328" s="6"/>
      <c r="ZV328" s="6"/>
      <c r="ZW328" s="6"/>
      <c r="ZX328" s="6"/>
      <c r="ZY328" s="6"/>
      <c r="ZZ328" s="6"/>
      <c r="AAA328" s="6"/>
      <c r="AAB328" s="6"/>
      <c r="AAC328" s="6"/>
      <c r="AAD328" s="6"/>
      <c r="AAE328" s="6"/>
      <c r="AAF328" s="6"/>
      <c r="AAG328" s="6"/>
      <c r="AAH328" s="6"/>
      <c r="AAI328" s="6"/>
      <c r="AAJ328" s="6"/>
      <c r="AAK328" s="6"/>
      <c r="AAL328" s="6"/>
      <c r="AAM328" s="6"/>
      <c r="AAN328" s="6"/>
      <c r="AAO328" s="6"/>
      <c r="AAP328" s="6"/>
      <c r="AAQ328" s="6"/>
      <c r="AAR328" s="6"/>
      <c r="AAS328" s="6"/>
      <c r="AAT328" s="6"/>
      <c r="AAU328" s="6"/>
      <c r="AAV328" s="6"/>
      <c r="AAW328" s="6"/>
      <c r="AAX328" s="6"/>
      <c r="AAY328" s="6"/>
      <c r="AAZ328" s="6"/>
      <c r="ABA328" s="6"/>
      <c r="ABB328" s="6"/>
      <c r="ABC328" s="6"/>
      <c r="ABD328" s="6"/>
      <c r="ABE328" s="6"/>
      <c r="ABF328" s="6"/>
      <c r="ABG328" s="6"/>
      <c r="ABH328" s="6"/>
      <c r="ABI328" s="6"/>
      <c r="ABJ328" s="6"/>
      <c r="ABK328" s="6"/>
      <c r="ABL328" s="6"/>
      <c r="ABM328" s="6"/>
      <c r="ABN328" s="6"/>
      <c r="ABO328" s="6"/>
      <c r="ABP328" s="6"/>
      <c r="ABQ328" s="6"/>
      <c r="ABR328" s="6"/>
      <c r="ABS328" s="6"/>
      <c r="ABT328" s="6"/>
      <c r="ABU328" s="6"/>
      <c r="ABV328" s="6"/>
      <c r="ABW328" s="6"/>
      <c r="ABX328" s="6"/>
      <c r="ABY328" s="6"/>
      <c r="ABZ328" s="6"/>
      <c r="ACA328" s="6"/>
      <c r="ACB328" s="6"/>
      <c r="ACC328" s="6"/>
      <c r="ACD328" s="6"/>
      <c r="ACE328" s="6"/>
      <c r="ACF328" s="6"/>
      <c r="ACG328" s="6"/>
      <c r="ACH328" s="6"/>
      <c r="ACI328" s="6"/>
      <c r="ACJ328" s="6"/>
      <c r="ACK328" s="6"/>
      <c r="ACL328" s="6"/>
      <c r="ACM328" s="6"/>
      <c r="ACN328" s="6"/>
      <c r="ACO328" s="6"/>
      <c r="ACP328" s="6"/>
      <c r="ACQ328" s="6"/>
      <c r="ACR328" s="6"/>
      <c r="ACS328" s="6"/>
      <c r="ACT328" s="6"/>
      <c r="ACU328" s="6"/>
      <c r="ACV328" s="6"/>
      <c r="ACW328" s="6"/>
      <c r="ACX328" s="6"/>
      <c r="ACY328" s="6"/>
      <c r="ACZ328" s="6"/>
      <c r="ADA328" s="6"/>
      <c r="ADB328" s="6"/>
      <c r="ADC328" s="6"/>
      <c r="ADD328" s="6"/>
      <c r="ADE328" s="6"/>
      <c r="ADF328" s="6"/>
      <c r="ADG328" s="6"/>
      <c r="ADH328" s="6"/>
      <c r="ADI328" s="6"/>
      <c r="ADJ328" s="6"/>
      <c r="ADK328" s="6"/>
      <c r="ADL328" s="6"/>
      <c r="ADM328" s="6"/>
      <c r="ADN328" s="6"/>
      <c r="ADO328" s="6"/>
      <c r="ADP328" s="6"/>
      <c r="ADQ328" s="6"/>
      <c r="ADR328" s="6"/>
      <c r="ADS328" s="6"/>
      <c r="ADT328" s="6"/>
      <c r="ADU328" s="6"/>
      <c r="ADV328" s="6"/>
      <c r="ADW328" s="6"/>
      <c r="ADX328" s="6"/>
      <c r="ADY328" s="6"/>
      <c r="ADZ328" s="6"/>
      <c r="AEA328" s="6"/>
      <c r="AEB328" s="6"/>
      <c r="AEC328" s="6"/>
      <c r="AED328" s="6"/>
      <c r="AEE328" s="6"/>
      <c r="AEF328" s="6"/>
      <c r="AEG328" s="6"/>
      <c r="AEH328" s="6"/>
      <c r="AEI328" s="6"/>
      <c r="AEJ328" s="6"/>
      <c r="AEK328" s="6"/>
      <c r="AEL328" s="6"/>
      <c r="AEM328" s="6"/>
      <c r="AEN328" s="6"/>
      <c r="AEO328" s="6"/>
      <c r="AEP328" s="6"/>
      <c r="AEQ328" s="6"/>
      <c r="AER328" s="6"/>
      <c r="AES328" s="6"/>
      <c r="AET328" s="6"/>
      <c r="AEU328" s="6"/>
      <c r="AEV328" s="6"/>
      <c r="AEW328" s="6"/>
      <c r="AEX328" s="6"/>
      <c r="AEY328" s="6"/>
      <c r="AEZ328" s="6"/>
      <c r="AFA328" s="6"/>
      <c r="AFB328" s="6"/>
      <c r="AFC328" s="6"/>
      <c r="AFD328" s="6"/>
      <c r="AFE328" s="6"/>
      <c r="AFF328" s="6"/>
      <c r="AFG328" s="6"/>
      <c r="AFH328" s="6"/>
      <c r="AFI328" s="6"/>
      <c r="AFJ328" s="6"/>
      <c r="AFK328" s="6"/>
      <c r="AFL328" s="6"/>
      <c r="AFM328" s="6"/>
      <c r="AFN328" s="6"/>
      <c r="AFO328" s="6"/>
      <c r="AFP328" s="6"/>
      <c r="AFQ328" s="6"/>
      <c r="AFR328" s="6"/>
      <c r="AFS328" s="6"/>
      <c r="AFT328" s="6"/>
      <c r="AFU328" s="6"/>
      <c r="AFV328" s="6"/>
      <c r="AFW328" s="6"/>
      <c r="AFX328" s="6"/>
      <c r="AFY328" s="6"/>
      <c r="AFZ328" s="6"/>
      <c r="AGA328" s="6"/>
      <c r="AGB328" s="6"/>
      <c r="AGC328" s="6"/>
      <c r="AGD328" s="6"/>
      <c r="AGE328" s="6"/>
      <c r="AGF328" s="6"/>
      <c r="AGG328" s="6"/>
      <c r="AGH328" s="6"/>
      <c r="AGI328" s="6"/>
      <c r="AGJ328" s="6"/>
      <c r="AGK328" s="6"/>
      <c r="AGL328" s="6"/>
      <c r="AGM328" s="6"/>
      <c r="AGN328" s="6"/>
      <c r="AGO328" s="6"/>
      <c r="AGP328" s="6"/>
      <c r="AGQ328" s="6"/>
      <c r="AGR328" s="6"/>
      <c r="AGS328" s="6"/>
      <c r="AGT328" s="6"/>
      <c r="AGU328" s="6"/>
      <c r="AGV328" s="6"/>
      <c r="AGW328" s="6"/>
      <c r="AGX328" s="6"/>
      <c r="AGY328" s="6"/>
      <c r="AGZ328" s="6"/>
      <c r="AHA328" s="6"/>
      <c r="AHB328" s="6"/>
      <c r="AHC328" s="6"/>
      <c r="AHD328" s="6"/>
      <c r="AHE328" s="6"/>
      <c r="AHF328" s="6"/>
      <c r="AHG328" s="6"/>
      <c r="AHH328" s="6"/>
      <c r="AHI328" s="6"/>
      <c r="AHJ328" s="6"/>
      <c r="AHK328" s="6"/>
      <c r="AHL328" s="6"/>
      <c r="AHM328" s="6"/>
      <c r="AHN328" s="6"/>
      <c r="AHO328" s="6"/>
      <c r="AHP328" s="6"/>
      <c r="AHQ328" s="6"/>
      <c r="AHR328" s="6"/>
      <c r="AHS328" s="6"/>
      <c r="AHT328" s="6"/>
      <c r="AHU328" s="6"/>
      <c r="AHV328" s="6"/>
      <c r="AHW328" s="6"/>
      <c r="AHX328" s="6"/>
      <c r="AHY328" s="6"/>
      <c r="AHZ328" s="6"/>
      <c r="AIA328" s="6"/>
      <c r="AIB328" s="6"/>
      <c r="AIC328" s="6"/>
      <c r="AID328" s="6"/>
      <c r="AIE328" s="6"/>
      <c r="AIF328" s="6"/>
      <c r="AIG328" s="6"/>
      <c r="AIH328" s="6"/>
      <c r="AII328" s="6"/>
      <c r="AIJ328" s="6"/>
      <c r="AIK328" s="6"/>
      <c r="AIL328" s="6"/>
      <c r="AIM328" s="6"/>
      <c r="AIN328" s="6"/>
      <c r="AIO328" s="6"/>
      <c r="AIP328" s="6"/>
      <c r="AIQ328" s="6"/>
      <c r="AIR328" s="6"/>
      <c r="AIS328" s="6"/>
      <c r="AIT328" s="6"/>
      <c r="AIU328" s="6"/>
      <c r="AIV328" s="6"/>
      <c r="AIW328" s="6"/>
      <c r="AIX328" s="6"/>
      <c r="AIY328" s="6"/>
      <c r="AIZ328" s="6"/>
      <c r="AJA328" s="6"/>
      <c r="AJB328" s="6"/>
      <c r="AJC328" s="6"/>
      <c r="AJD328" s="6"/>
      <c r="AJE328" s="6"/>
      <c r="AJF328" s="6"/>
      <c r="AJG328" s="6"/>
      <c r="AJH328" s="6"/>
      <c r="AJI328" s="6"/>
      <c r="AJJ328" s="6"/>
      <c r="AJK328" s="6"/>
      <c r="AJL328" s="6"/>
      <c r="AJM328" s="6"/>
      <c r="AJN328" s="6"/>
      <c r="AJO328" s="6"/>
      <c r="AJP328" s="6"/>
      <c r="AJQ328" s="6"/>
      <c r="AJR328" s="6"/>
      <c r="AJS328" s="6"/>
      <c r="AJT328" s="6"/>
      <c r="AJU328" s="6"/>
      <c r="AJV328" s="6"/>
      <c r="AJW328" s="6"/>
      <c r="AJX328" s="6"/>
      <c r="AJY328" s="6"/>
      <c r="AJZ328" s="6"/>
      <c r="AKA328" s="6"/>
      <c r="AKB328" s="6"/>
      <c r="AKC328" s="6"/>
      <c r="AKD328" s="6"/>
      <c r="AKE328" s="6"/>
      <c r="AKF328" s="6"/>
      <c r="AKG328" s="6"/>
      <c r="AKH328" s="6"/>
      <c r="AKI328" s="6"/>
      <c r="AKJ328" s="6"/>
      <c r="AKK328" s="6"/>
      <c r="AKL328" s="6"/>
      <c r="AKM328" s="6"/>
      <c r="AKN328" s="6"/>
      <c r="AKO328" s="6"/>
      <c r="AKP328" s="6"/>
      <c r="AKQ328" s="6"/>
      <c r="AKR328" s="6"/>
      <c r="AKS328" s="6"/>
      <c r="AKT328" s="6"/>
      <c r="AKU328" s="6"/>
      <c r="AKV328" s="6"/>
      <c r="AKW328" s="6"/>
      <c r="AKX328" s="6"/>
      <c r="AKY328" s="6"/>
      <c r="AKZ328" s="6"/>
      <c r="ALA328" s="6"/>
      <c r="ALB328" s="6"/>
      <c r="ALC328" s="6"/>
      <c r="ALD328" s="6"/>
      <c r="ALE328" s="6"/>
      <c r="ALF328" s="6"/>
      <c r="ALG328" s="6"/>
      <c r="ALH328" s="6"/>
      <c r="ALI328" s="6"/>
      <c r="ALJ328" s="6"/>
      <c r="ALK328" s="6"/>
      <c r="ALL328" s="6"/>
      <c r="ALM328" s="6"/>
      <c r="ALN328" s="6"/>
      <c r="ALO328" s="6"/>
      <c r="ALP328" s="6"/>
      <c r="ALQ328" s="6"/>
      <c r="ALR328" s="6"/>
      <c r="ALS328" s="6"/>
      <c r="ALT328" s="6"/>
      <c r="ALU328" s="6"/>
      <c r="ALV328" s="6"/>
      <c r="ALW328" s="6"/>
      <c r="ALX328" s="6"/>
      <c r="ALY328" s="6"/>
      <c r="ALZ328" s="6"/>
      <c r="AMA328" s="6"/>
      <c r="AMB328" s="6"/>
      <c r="AMC328" s="6"/>
      <c r="AMD328" s="6"/>
      <c r="AME328" s="6"/>
      <c r="AMF328" s="6"/>
      <c r="AMG328" s="6"/>
      <c r="AMH328" s="6"/>
      <c r="AMI328" s="6"/>
      <c r="AMJ328" s="6"/>
      <c r="AMK328" s="6"/>
      <c r="AML328" s="6"/>
      <c r="AMM328" s="6"/>
      <c r="AMN328" s="6"/>
      <c r="AMO328" s="6"/>
      <c r="AMP328" s="6"/>
    </row>
    <row r="329" spans="1:1030" x14ac:dyDescent="0.2">
      <c r="A329" s="3" t="str">
        <f t="shared" si="1956"/>
        <v>calrl_human_6E3Y</v>
      </c>
      <c r="B329" s="2" t="s">
        <v>402</v>
      </c>
      <c r="C329" s="3" t="s">
        <v>1516</v>
      </c>
      <c r="D329" s="3" t="str">
        <f>IFERROR(MID(VLOOKUP($B329,Seqs!$A:$B,2,0),E329,1),"")</f>
        <v>N</v>
      </c>
      <c r="E329" s="3">
        <v>130</v>
      </c>
      <c r="F329" s="3" t="str">
        <f>IFERROR(MID(VLOOKUP($B329,Seqs!$A:$B,2,0),G329,1),"")</f>
        <v>F</v>
      </c>
      <c r="G329" s="3">
        <v>166</v>
      </c>
      <c r="H329" s="3" t="str">
        <f>IFERROR(MID(VLOOKUP($B329,Seqs!$A:$B,2,0),I329,1),"")</f>
        <v/>
      </c>
      <c r="I329" s="23" t="s">
        <v>23</v>
      </c>
      <c r="J329" s="3" t="str">
        <f>IFERROR(MID(VLOOKUP($B329,Seqs!$A:$B,2,0),K329,1),"")</f>
        <v/>
      </c>
      <c r="K329" s="23" t="s">
        <v>23</v>
      </c>
      <c r="L329" s="3" t="str">
        <f>IFERROR(MID(VLOOKUP($B329,Seqs!$A:$B,2,0),M329,1),"")</f>
        <v>C</v>
      </c>
      <c r="M329" s="3">
        <v>171</v>
      </c>
      <c r="N329" s="3" t="str">
        <f>IFERROR(MID(VLOOKUP($B329,Seqs!$A:$B,2,0),O329,1),"")</f>
        <v>V</v>
      </c>
      <c r="O329" s="3">
        <v>198</v>
      </c>
      <c r="P329" s="3" t="str">
        <f>IFERROR(MID(VLOOKUP($B329,Seqs!$A:$B,2,0),Q329,1),"")</f>
        <v/>
      </c>
      <c r="Q329" s="3" t="s">
        <v>23</v>
      </c>
      <c r="R329" s="3" t="str">
        <f>IFERROR(MID(VLOOKUP($B329,Seqs!$A:$B,2,0),S329,1),"")</f>
        <v/>
      </c>
      <c r="S329" s="3" t="s">
        <v>23</v>
      </c>
      <c r="T329" s="3" t="str">
        <f>IFERROR(MID(VLOOKUP($B329,Seqs!$A:$B,2,0),U329,1),"")</f>
        <v>V</v>
      </c>
      <c r="U329" s="3">
        <v>210</v>
      </c>
      <c r="V329" s="3" t="str">
        <f>IFERROR(MID(VLOOKUP($B329,Seqs!$A:$B,2,0),W329,1),"")</f>
        <v>V</v>
      </c>
      <c r="W329" s="3">
        <v>242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M</v>
      </c>
      <c r="AC329" s="3">
        <v>253</v>
      </c>
      <c r="AD329" s="3" t="str">
        <f>IFERROR(MID(VLOOKUP($B329,Seqs!$A:$B,2,0),AE329,1),"")</f>
        <v>Y</v>
      </c>
      <c r="AE329" s="3">
        <v>277</v>
      </c>
      <c r="AF329" s="3" t="str">
        <f>IFERROR(MID(VLOOKUP($B329,Seqs!$A:$B,2,0),AG329,1),"")</f>
        <v>C</v>
      </c>
      <c r="AG329" s="3">
        <v>282</v>
      </c>
      <c r="AH329" s="3" t="str">
        <f>IFERROR(MID(VLOOKUP($B329,Seqs!$A:$B,2,0),AI329,1),"")</f>
        <v>I</v>
      </c>
      <c r="AI329" s="3">
        <v>284</v>
      </c>
      <c r="AJ329" s="3" t="str">
        <f>IFERROR(MID(VLOOKUP($B329,Seqs!$A:$B,2,0),AK329,1),"")</f>
        <v>L</v>
      </c>
      <c r="AK329" s="3">
        <v>290</v>
      </c>
      <c r="AL329" s="3" t="str">
        <f>IFERROR(MID(VLOOKUP($B329,Seqs!$A:$B,2,0),AM329,1),"")</f>
        <v>K</v>
      </c>
      <c r="AM329" s="3">
        <v>321</v>
      </c>
      <c r="AN329" s="3" t="str">
        <f>IFERROR(MID(VLOOKUP($B329,Seqs!$A:$B,2,0),AO329,1),"")</f>
        <v>N</v>
      </c>
      <c r="AO329" s="3">
        <v>329</v>
      </c>
      <c r="AP329" s="3" t="str">
        <f>IFERROR(MID(VLOOKUP($B329,Seqs!$A:$B,2,0),AQ329,1),"")</f>
        <v>V</v>
      </c>
      <c r="AQ329" s="3">
        <v>350</v>
      </c>
      <c r="AR329" s="3" t="str">
        <f>IFERROR(MID(VLOOKUP($B329,Seqs!$A:$B,2,0),AS329,1),"")</f>
        <v>V</v>
      </c>
      <c r="AS329" s="3">
        <v>364</v>
      </c>
      <c r="AT329" s="3" t="str">
        <f>IFERROR(MID(VLOOKUP($B329,Seqs!$A:$B,2,0),AU329,1),"")</f>
        <v>F</v>
      </c>
      <c r="AU329" s="3">
        <v>387</v>
      </c>
      <c r="AV329" s="3" t="str">
        <f>IFERROR(MID(VLOOKUP($B329,Seqs!$A:$B,2,0),AW329,1),"")</f>
        <v>N</v>
      </c>
      <c r="AW329" s="3">
        <v>388</v>
      </c>
      <c r="AX329" s="3" t="str">
        <f>IFERROR(MID(VLOOKUP($B329,Seqs!$A:$B,2,0),AY329,1),"")</f>
        <v>W</v>
      </c>
      <c r="AY329" s="3">
        <v>399</v>
      </c>
      <c r="AZ329" s="77" t="str">
        <f>VLOOKUP(B329,Classification!A:D,2,0)</f>
        <v>B1</v>
      </c>
      <c r="BA329" s="94" t="str">
        <f>VLOOKUP(B329,Classification!A:D,4,0)</f>
        <v>Calcitonin</v>
      </c>
      <c r="BB329" s="27" t="b">
        <f t="shared" ref="BB329" si="2068">AND(E329&lt;G329,OR(G329&lt;I329,I329="-"),OR(I329&lt;K329,I329="-"),OR(K329&lt;M329,K329="-"),M329&lt;O329,OR(O329&lt;Q329,Q329="-"),OR(Q329&lt;S329,Q329="-"),OR(S329&lt;U329,S329="-"),U329&lt;W329,OR(W329&lt;Y329,Y329="-"),OR(Y329&lt;AA329,Y329="-"),OR(AA329&lt;AC329,AA329="-"),AC329&lt;AE329,OR(AE329&lt;AG329,AG329="-"),OR(AG329&lt;AI329,AG329="-"),OR(AI329&lt;AK329,AI329="-"),AK329&lt;AM329,AM329&lt;AO329,AO329&lt;AQ329,AQ329&lt;AS329,AS329&lt;AU329,OR(AU329&lt;AW329,AW329="-"),OR(AW329&lt;AY329,AW329="-"))</f>
        <v>1</v>
      </c>
      <c r="BC329" s="23">
        <f t="shared" ref="BC329" si="2069">_xlfn.AGGREGATE(9,6,CH329:CS329)-_xlfn.AGGREGATE(9,6,BV329:CG329)+12</f>
        <v>219</v>
      </c>
      <c r="BD329" s="4" t="s">
        <v>1375</v>
      </c>
      <c r="BE329" s="3" t="s">
        <v>1291</v>
      </c>
      <c r="BF329" s="119">
        <v>3.3</v>
      </c>
      <c r="BG329" s="49" t="s">
        <v>1422</v>
      </c>
      <c r="BH329" s="49" t="s">
        <v>1422</v>
      </c>
      <c r="BI329" s="1"/>
      <c r="BJ329" s="70" t="s">
        <v>1287</v>
      </c>
      <c r="BK329" s="57" t="s">
        <v>1287</v>
      </c>
      <c r="BL329" s="57" t="s">
        <v>1287</v>
      </c>
      <c r="BM329" s="57" t="s">
        <v>1287</v>
      </c>
      <c r="BN329" s="57" t="s">
        <v>1287</v>
      </c>
      <c r="BO329" s="57" t="s">
        <v>1287</v>
      </c>
      <c r="BP329" s="57" t="s">
        <v>1287</v>
      </c>
      <c r="BQ329" s="57" t="s">
        <v>1287</v>
      </c>
      <c r="BR329" s="57" t="s">
        <v>1287</v>
      </c>
      <c r="BS329" s="57" t="s">
        <v>1287</v>
      </c>
      <c r="BT329" s="57" t="s">
        <v>1287</v>
      </c>
      <c r="BU329" s="57" t="s">
        <v>1287</v>
      </c>
      <c r="BV329" s="70">
        <f t="shared" ref="BV329" si="2070">E329</f>
        <v>130</v>
      </c>
      <c r="BW329" s="71" t="str">
        <f t="shared" ref="BW329" si="2071">I329</f>
        <v>-</v>
      </c>
      <c r="BX329" s="72">
        <f t="shared" ref="BX329" si="2072">M329</f>
        <v>171</v>
      </c>
      <c r="BY329" s="71" t="str">
        <f t="shared" ref="BY329" si="2073">Q329</f>
        <v>-</v>
      </c>
      <c r="BZ329" s="72">
        <f t="shared" ref="BZ329" si="2074">U329</f>
        <v>210</v>
      </c>
      <c r="CA329" s="71" t="str">
        <f t="shared" ref="CA329" si="2075">Y329</f>
        <v>-</v>
      </c>
      <c r="CB329" s="72">
        <f t="shared" ref="CB329" si="2076">AC329</f>
        <v>253</v>
      </c>
      <c r="CC329" s="71">
        <f t="shared" ref="CC329" si="2077">AG329</f>
        <v>282</v>
      </c>
      <c r="CD329" s="72">
        <f t="shared" ref="CD329" si="2078">AK329</f>
        <v>290</v>
      </c>
      <c r="CE329" s="71">
        <f t="shared" ref="CE329" si="2079">AO329</f>
        <v>329</v>
      </c>
      <c r="CF329" s="72">
        <f t="shared" ref="CF329" si="2080">AS329</f>
        <v>364</v>
      </c>
      <c r="CG329" s="71">
        <f t="shared" ref="CG329" si="2081">AW329</f>
        <v>388</v>
      </c>
      <c r="CH329" s="70">
        <f t="shared" ref="CH329" si="2082">G329</f>
        <v>166</v>
      </c>
      <c r="CI329" s="71" t="str">
        <f t="shared" ref="CI329" si="2083">K329</f>
        <v>-</v>
      </c>
      <c r="CJ329" s="72">
        <f t="shared" ref="CJ329" si="2084">O329</f>
        <v>198</v>
      </c>
      <c r="CK329" s="72" t="str">
        <f t="shared" ref="CK329" si="2085">S329</f>
        <v>-</v>
      </c>
      <c r="CL329" s="72">
        <f t="shared" ref="CL329" si="2086">W329</f>
        <v>242</v>
      </c>
      <c r="CM329" s="72" t="str">
        <f t="shared" ref="CM329" si="2087">AA329</f>
        <v>-</v>
      </c>
      <c r="CN329" s="72">
        <f t="shared" ref="CN329" si="2088">AE329</f>
        <v>277</v>
      </c>
      <c r="CO329" s="72">
        <f t="shared" ref="CO329" si="2089">AI329</f>
        <v>284</v>
      </c>
      <c r="CP329" s="72">
        <f t="shared" ref="CP329" si="2090">AM329</f>
        <v>321</v>
      </c>
      <c r="CQ329" s="72">
        <f t="shared" ref="CQ329" si="2091">AQ329</f>
        <v>350</v>
      </c>
      <c r="CR329" s="72">
        <f t="shared" ref="CR329" si="2092">AU329</f>
        <v>387</v>
      </c>
      <c r="CS329" s="72">
        <f t="shared" ref="CS329" si="2093">AY329</f>
        <v>399</v>
      </c>
      <c r="CT329" s="23" t="e">
        <f t="shared" ref="CT329" si="2094">M329-K329</f>
        <v>#VALUE!</v>
      </c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  <c r="JH329" s="6"/>
      <c r="JI329" s="6"/>
      <c r="JJ329" s="6"/>
      <c r="JK329" s="6"/>
      <c r="JL329" s="6"/>
      <c r="JM329" s="6"/>
      <c r="JN329" s="6"/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/>
      <c r="KA329" s="6"/>
      <c r="KB329" s="6"/>
      <c r="KC329" s="6"/>
      <c r="KD329" s="6"/>
      <c r="KE329" s="6"/>
      <c r="KF329" s="6"/>
      <c r="KG329" s="6"/>
      <c r="KH329" s="6"/>
      <c r="KI329" s="6"/>
      <c r="KJ329" s="6"/>
      <c r="KK329" s="6"/>
      <c r="KL329" s="6"/>
      <c r="KM329" s="6"/>
      <c r="KN329" s="6"/>
      <c r="KO329" s="6"/>
      <c r="KP329" s="6"/>
      <c r="KQ329" s="6"/>
      <c r="KR329" s="6"/>
      <c r="KS329" s="6"/>
      <c r="KT329" s="6"/>
      <c r="KU329" s="6"/>
      <c r="KV329" s="6"/>
      <c r="KW329" s="6"/>
      <c r="KX329" s="6"/>
      <c r="KY329" s="6"/>
      <c r="KZ329" s="6"/>
      <c r="LA329" s="6"/>
      <c r="LB329" s="6"/>
      <c r="LC329" s="6"/>
      <c r="LD329" s="6"/>
      <c r="LE329" s="6"/>
      <c r="LF329" s="6"/>
      <c r="LG329" s="6"/>
      <c r="LH329" s="6"/>
      <c r="LI329" s="6"/>
      <c r="LJ329" s="6"/>
      <c r="LK329" s="6"/>
      <c r="LL329" s="6"/>
      <c r="LM329" s="6"/>
      <c r="LN329" s="6"/>
      <c r="LO329" s="6"/>
      <c r="LP329" s="6"/>
      <c r="LQ329" s="6"/>
      <c r="LR329" s="6"/>
      <c r="LS329" s="6"/>
      <c r="LT329" s="6"/>
      <c r="LU329" s="6"/>
      <c r="LV329" s="6"/>
      <c r="LW329" s="6"/>
      <c r="LX329" s="6"/>
      <c r="LY329" s="6"/>
      <c r="LZ329" s="6"/>
      <c r="MA329" s="6"/>
      <c r="MB329" s="6"/>
      <c r="MC329" s="6"/>
      <c r="MD329" s="6"/>
      <c r="ME329" s="6"/>
      <c r="MF329" s="6"/>
      <c r="MG329" s="6"/>
      <c r="MH329" s="6"/>
      <c r="MI329" s="6"/>
      <c r="MJ329" s="6"/>
      <c r="MK329" s="6"/>
      <c r="ML329" s="6"/>
      <c r="MM329" s="6"/>
      <c r="MN329" s="6"/>
      <c r="MO329" s="6"/>
      <c r="MP329" s="6"/>
      <c r="MQ329" s="6"/>
      <c r="MR329" s="6"/>
      <c r="MS329" s="6"/>
      <c r="MT329" s="6"/>
      <c r="MU329" s="6"/>
      <c r="MV329" s="6"/>
      <c r="MW329" s="6"/>
      <c r="MX329" s="6"/>
      <c r="MY329" s="6"/>
      <c r="MZ329" s="6"/>
      <c r="NA329" s="6"/>
      <c r="NB329" s="6"/>
      <c r="NC329" s="6"/>
      <c r="ND329" s="6"/>
      <c r="NE329" s="6"/>
      <c r="NF329" s="6"/>
      <c r="NG329" s="6"/>
      <c r="NH329" s="6"/>
      <c r="NI329" s="6"/>
      <c r="NJ329" s="6"/>
      <c r="NK329" s="6"/>
      <c r="NL329" s="6"/>
      <c r="NM329" s="6"/>
      <c r="NN329" s="6"/>
      <c r="NO329" s="6"/>
      <c r="NP329" s="6"/>
      <c r="NQ329" s="6"/>
      <c r="NR329" s="6"/>
      <c r="NS329" s="6"/>
      <c r="NT329" s="6"/>
      <c r="NU329" s="6"/>
      <c r="NV329" s="6"/>
      <c r="NW329" s="6"/>
      <c r="NX329" s="6"/>
      <c r="NY329" s="6"/>
      <c r="NZ329" s="6"/>
      <c r="OA329" s="6"/>
      <c r="OB329" s="6"/>
      <c r="OC329" s="6"/>
      <c r="OD329" s="6"/>
      <c r="OE329" s="6"/>
      <c r="OF329" s="6"/>
      <c r="OG329" s="6"/>
      <c r="OH329" s="6"/>
      <c r="OI329" s="6"/>
      <c r="OJ329" s="6"/>
      <c r="OK329" s="6"/>
      <c r="OL329" s="6"/>
      <c r="OM329" s="6"/>
      <c r="ON329" s="6"/>
      <c r="OO329" s="6"/>
      <c r="OP329" s="6"/>
      <c r="OQ329" s="6"/>
      <c r="OR329" s="6"/>
      <c r="OS329" s="6"/>
      <c r="OT329" s="6"/>
      <c r="OU329" s="6"/>
      <c r="OV329" s="6"/>
      <c r="OW329" s="6"/>
      <c r="OX329" s="6"/>
      <c r="OY329" s="6"/>
      <c r="OZ329" s="6"/>
      <c r="PA329" s="6"/>
      <c r="PB329" s="6"/>
      <c r="PC329" s="6"/>
      <c r="PD329" s="6"/>
      <c r="PE329" s="6"/>
      <c r="PF329" s="6"/>
      <c r="PG329" s="6"/>
      <c r="PH329" s="6"/>
      <c r="PI329" s="6"/>
      <c r="PJ329" s="6"/>
      <c r="PK329" s="6"/>
      <c r="PL329" s="6"/>
      <c r="PM329" s="6"/>
      <c r="PN329" s="6"/>
      <c r="PO329" s="6"/>
      <c r="PP329" s="6"/>
      <c r="PQ329" s="6"/>
      <c r="PR329" s="6"/>
      <c r="PS329" s="6"/>
      <c r="PT329" s="6"/>
      <c r="PU329" s="6"/>
      <c r="PV329" s="6"/>
      <c r="PW329" s="6"/>
      <c r="PX329" s="6"/>
      <c r="PY329" s="6"/>
      <c r="PZ329" s="6"/>
      <c r="QA329" s="6"/>
      <c r="QB329" s="6"/>
      <c r="QC329" s="6"/>
      <c r="QD329" s="6"/>
      <c r="QE329" s="6"/>
      <c r="QF329" s="6"/>
      <c r="QG329" s="6"/>
      <c r="QH329" s="6"/>
      <c r="QI329" s="6"/>
      <c r="QJ329" s="6"/>
      <c r="QK329" s="6"/>
      <c r="QL329" s="6"/>
      <c r="QM329" s="6"/>
      <c r="QN329" s="6"/>
      <c r="QO329" s="6"/>
      <c r="QP329" s="6"/>
      <c r="QQ329" s="6"/>
      <c r="QR329" s="6"/>
      <c r="QS329" s="6"/>
      <c r="QT329" s="6"/>
      <c r="QU329" s="6"/>
      <c r="QV329" s="6"/>
      <c r="QW329" s="6"/>
      <c r="QX329" s="6"/>
      <c r="QY329" s="6"/>
      <c r="QZ329" s="6"/>
      <c r="RA329" s="6"/>
      <c r="RB329" s="6"/>
      <c r="RC329" s="6"/>
      <c r="RD329" s="6"/>
      <c r="RE329" s="6"/>
      <c r="RF329" s="6"/>
      <c r="RG329" s="6"/>
      <c r="RH329" s="6"/>
      <c r="RI329" s="6"/>
      <c r="RJ329" s="6"/>
      <c r="RK329" s="6"/>
      <c r="RL329" s="6"/>
      <c r="RM329" s="6"/>
      <c r="RN329" s="6"/>
      <c r="RO329" s="6"/>
      <c r="RP329" s="6"/>
      <c r="RQ329" s="6"/>
      <c r="RR329" s="6"/>
      <c r="RS329" s="6"/>
      <c r="RT329" s="6"/>
      <c r="RU329" s="6"/>
      <c r="RV329" s="6"/>
      <c r="RW329" s="6"/>
      <c r="RX329" s="6"/>
      <c r="RY329" s="6"/>
      <c r="RZ329" s="6"/>
      <c r="SA329" s="6"/>
      <c r="SB329" s="6"/>
      <c r="SC329" s="6"/>
      <c r="SD329" s="6"/>
      <c r="SE329" s="6"/>
      <c r="SF329" s="6"/>
      <c r="SG329" s="6"/>
      <c r="SH329" s="6"/>
      <c r="SI329" s="6"/>
      <c r="SJ329" s="6"/>
      <c r="SK329" s="6"/>
      <c r="SL329" s="6"/>
      <c r="SM329" s="6"/>
      <c r="SN329" s="6"/>
      <c r="SO329" s="6"/>
      <c r="SP329" s="6"/>
      <c r="SQ329" s="6"/>
      <c r="SR329" s="6"/>
      <c r="SS329" s="6"/>
      <c r="ST329" s="6"/>
      <c r="SU329" s="6"/>
      <c r="SV329" s="6"/>
      <c r="SW329" s="6"/>
      <c r="SX329" s="6"/>
      <c r="SY329" s="6"/>
      <c r="SZ329" s="6"/>
      <c r="TA329" s="6"/>
      <c r="TB329" s="6"/>
      <c r="TC329" s="6"/>
      <c r="TD329" s="6"/>
      <c r="TE329" s="6"/>
      <c r="TF329" s="6"/>
      <c r="TG329" s="6"/>
      <c r="TH329" s="6"/>
      <c r="TI329" s="6"/>
      <c r="TJ329" s="6"/>
      <c r="TK329" s="6"/>
      <c r="TL329" s="6"/>
      <c r="TM329" s="6"/>
      <c r="TN329" s="6"/>
      <c r="TO329" s="6"/>
      <c r="TP329" s="6"/>
      <c r="TQ329" s="6"/>
      <c r="TR329" s="6"/>
      <c r="TS329" s="6"/>
      <c r="TT329" s="6"/>
      <c r="TU329" s="6"/>
      <c r="TV329" s="6"/>
      <c r="TW329" s="6"/>
      <c r="TX329" s="6"/>
      <c r="TY329" s="6"/>
      <c r="TZ329" s="6"/>
      <c r="UA329" s="6"/>
      <c r="UB329" s="6"/>
      <c r="UC329" s="6"/>
      <c r="UD329" s="6"/>
      <c r="UE329" s="6"/>
      <c r="UF329" s="6"/>
      <c r="UG329" s="6"/>
      <c r="UH329" s="6"/>
      <c r="UI329" s="6"/>
      <c r="UJ329" s="6"/>
      <c r="UK329" s="6"/>
      <c r="UL329" s="6"/>
      <c r="UM329" s="6"/>
      <c r="UN329" s="6"/>
      <c r="UO329" s="6"/>
      <c r="UP329" s="6"/>
      <c r="UQ329" s="6"/>
      <c r="UR329" s="6"/>
      <c r="US329" s="6"/>
      <c r="UT329" s="6"/>
      <c r="UU329" s="6"/>
      <c r="UV329" s="6"/>
      <c r="UW329" s="6"/>
      <c r="UX329" s="6"/>
      <c r="UY329" s="6"/>
      <c r="UZ329" s="6"/>
      <c r="VA329" s="6"/>
      <c r="VB329" s="6"/>
      <c r="VC329" s="6"/>
      <c r="VD329" s="6"/>
      <c r="VE329" s="6"/>
      <c r="VF329" s="6"/>
      <c r="VG329" s="6"/>
      <c r="VH329" s="6"/>
      <c r="VI329" s="6"/>
      <c r="VJ329" s="6"/>
      <c r="VK329" s="6"/>
      <c r="VL329" s="6"/>
      <c r="VM329" s="6"/>
      <c r="VN329" s="6"/>
      <c r="VO329" s="6"/>
      <c r="VP329" s="6"/>
      <c r="VQ329" s="6"/>
      <c r="VR329" s="6"/>
      <c r="VS329" s="6"/>
      <c r="VT329" s="6"/>
      <c r="VU329" s="6"/>
      <c r="VV329" s="6"/>
      <c r="VW329" s="6"/>
      <c r="VX329" s="6"/>
      <c r="VY329" s="6"/>
      <c r="VZ329" s="6"/>
      <c r="WA329" s="6"/>
      <c r="WB329" s="6"/>
      <c r="WC329" s="6"/>
      <c r="WD329" s="6"/>
      <c r="WE329" s="6"/>
      <c r="WF329" s="6"/>
      <c r="WG329" s="6"/>
      <c r="WH329" s="6"/>
      <c r="WI329" s="6"/>
      <c r="WJ329" s="6"/>
      <c r="WK329" s="6"/>
      <c r="WL329" s="6"/>
      <c r="WM329" s="6"/>
      <c r="WN329" s="6"/>
      <c r="WO329" s="6"/>
      <c r="WP329" s="6"/>
      <c r="WQ329" s="6"/>
      <c r="WR329" s="6"/>
      <c r="WS329" s="6"/>
      <c r="WT329" s="6"/>
      <c r="WU329" s="6"/>
      <c r="WV329" s="6"/>
      <c r="WW329" s="6"/>
      <c r="WX329" s="6"/>
      <c r="WY329" s="6"/>
      <c r="WZ329" s="6"/>
      <c r="XA329" s="6"/>
      <c r="XB329" s="6"/>
      <c r="XC329" s="6"/>
      <c r="XD329" s="6"/>
      <c r="XE329" s="6"/>
      <c r="XF329" s="6"/>
      <c r="XG329" s="6"/>
      <c r="XH329" s="6"/>
      <c r="XI329" s="6"/>
      <c r="XJ329" s="6"/>
      <c r="XK329" s="6"/>
      <c r="XL329" s="6"/>
      <c r="XM329" s="6"/>
      <c r="XN329" s="6"/>
      <c r="XO329" s="6"/>
      <c r="XP329" s="6"/>
      <c r="XQ329" s="6"/>
      <c r="XR329" s="6"/>
      <c r="XS329" s="6"/>
      <c r="XT329" s="6"/>
      <c r="XU329" s="6"/>
      <c r="XV329" s="6"/>
      <c r="XW329" s="6"/>
      <c r="XX329" s="6"/>
      <c r="XY329" s="6"/>
      <c r="XZ329" s="6"/>
      <c r="YA329" s="6"/>
      <c r="YB329" s="6"/>
      <c r="YC329" s="6"/>
      <c r="YD329" s="6"/>
      <c r="YE329" s="6"/>
      <c r="YF329" s="6"/>
      <c r="YG329" s="6"/>
      <c r="YH329" s="6"/>
      <c r="YI329" s="6"/>
      <c r="YJ329" s="6"/>
      <c r="YK329" s="6"/>
      <c r="YL329" s="6"/>
      <c r="YM329" s="6"/>
      <c r="YN329" s="6"/>
      <c r="YO329" s="6"/>
      <c r="YP329" s="6"/>
      <c r="YQ329" s="6"/>
      <c r="YR329" s="6"/>
      <c r="YS329" s="6"/>
      <c r="YT329" s="6"/>
      <c r="YU329" s="6"/>
      <c r="YV329" s="6"/>
      <c r="YW329" s="6"/>
      <c r="YX329" s="6"/>
      <c r="YY329" s="6"/>
      <c r="YZ329" s="6"/>
      <c r="ZA329" s="6"/>
      <c r="ZB329" s="6"/>
      <c r="ZC329" s="6"/>
      <c r="ZD329" s="6"/>
      <c r="ZE329" s="6"/>
      <c r="ZF329" s="6"/>
      <c r="ZG329" s="6"/>
      <c r="ZH329" s="6"/>
      <c r="ZI329" s="6"/>
      <c r="ZJ329" s="6"/>
      <c r="ZK329" s="6"/>
      <c r="ZL329" s="6"/>
      <c r="ZM329" s="6"/>
      <c r="ZN329" s="6"/>
      <c r="ZO329" s="6"/>
      <c r="ZP329" s="6"/>
      <c r="ZQ329" s="6"/>
      <c r="ZR329" s="6"/>
      <c r="ZS329" s="6"/>
      <c r="ZT329" s="6"/>
      <c r="ZU329" s="6"/>
      <c r="ZV329" s="6"/>
      <c r="ZW329" s="6"/>
      <c r="ZX329" s="6"/>
      <c r="ZY329" s="6"/>
      <c r="ZZ329" s="6"/>
      <c r="AAA329" s="6"/>
      <c r="AAB329" s="6"/>
      <c r="AAC329" s="6"/>
      <c r="AAD329" s="6"/>
      <c r="AAE329" s="6"/>
      <c r="AAF329" s="6"/>
      <c r="AAG329" s="6"/>
      <c r="AAH329" s="6"/>
      <c r="AAI329" s="6"/>
      <c r="AAJ329" s="6"/>
      <c r="AAK329" s="6"/>
      <c r="AAL329" s="6"/>
      <c r="AAM329" s="6"/>
      <c r="AAN329" s="6"/>
      <c r="AAO329" s="6"/>
      <c r="AAP329" s="6"/>
      <c r="AAQ329" s="6"/>
      <c r="AAR329" s="6"/>
      <c r="AAS329" s="6"/>
      <c r="AAT329" s="6"/>
      <c r="AAU329" s="6"/>
      <c r="AAV329" s="6"/>
      <c r="AAW329" s="6"/>
      <c r="AAX329" s="6"/>
      <c r="AAY329" s="6"/>
      <c r="AAZ329" s="6"/>
      <c r="ABA329" s="6"/>
      <c r="ABB329" s="6"/>
      <c r="ABC329" s="6"/>
      <c r="ABD329" s="6"/>
      <c r="ABE329" s="6"/>
      <c r="ABF329" s="6"/>
      <c r="ABG329" s="6"/>
      <c r="ABH329" s="6"/>
      <c r="ABI329" s="6"/>
      <c r="ABJ329" s="6"/>
      <c r="ABK329" s="6"/>
      <c r="ABL329" s="6"/>
      <c r="ABM329" s="6"/>
      <c r="ABN329" s="6"/>
      <c r="ABO329" s="6"/>
      <c r="ABP329" s="6"/>
      <c r="ABQ329" s="6"/>
      <c r="ABR329" s="6"/>
      <c r="ABS329" s="6"/>
      <c r="ABT329" s="6"/>
      <c r="ABU329" s="6"/>
      <c r="ABV329" s="6"/>
      <c r="ABW329" s="6"/>
      <c r="ABX329" s="6"/>
      <c r="ABY329" s="6"/>
      <c r="ABZ329" s="6"/>
      <c r="ACA329" s="6"/>
      <c r="ACB329" s="6"/>
      <c r="ACC329" s="6"/>
      <c r="ACD329" s="6"/>
      <c r="ACE329" s="6"/>
      <c r="ACF329" s="6"/>
      <c r="ACG329" s="6"/>
      <c r="ACH329" s="6"/>
      <c r="ACI329" s="6"/>
      <c r="ACJ329" s="6"/>
      <c r="ACK329" s="6"/>
      <c r="ACL329" s="6"/>
      <c r="ACM329" s="6"/>
      <c r="ACN329" s="6"/>
      <c r="ACO329" s="6"/>
      <c r="ACP329" s="6"/>
      <c r="ACQ329" s="6"/>
      <c r="ACR329" s="6"/>
      <c r="ACS329" s="6"/>
      <c r="ACT329" s="6"/>
      <c r="ACU329" s="6"/>
      <c r="ACV329" s="6"/>
      <c r="ACW329" s="6"/>
      <c r="ACX329" s="6"/>
      <c r="ACY329" s="6"/>
      <c r="ACZ329" s="6"/>
      <c r="ADA329" s="6"/>
      <c r="ADB329" s="6"/>
      <c r="ADC329" s="6"/>
      <c r="ADD329" s="6"/>
      <c r="ADE329" s="6"/>
      <c r="ADF329" s="6"/>
      <c r="ADG329" s="6"/>
      <c r="ADH329" s="6"/>
      <c r="ADI329" s="6"/>
      <c r="ADJ329" s="6"/>
      <c r="ADK329" s="6"/>
      <c r="ADL329" s="6"/>
      <c r="ADM329" s="6"/>
      <c r="ADN329" s="6"/>
      <c r="ADO329" s="6"/>
      <c r="ADP329" s="6"/>
      <c r="ADQ329" s="6"/>
      <c r="ADR329" s="6"/>
      <c r="ADS329" s="6"/>
      <c r="ADT329" s="6"/>
      <c r="ADU329" s="6"/>
      <c r="ADV329" s="6"/>
      <c r="ADW329" s="6"/>
      <c r="ADX329" s="6"/>
      <c r="ADY329" s="6"/>
      <c r="ADZ329" s="6"/>
      <c r="AEA329" s="6"/>
      <c r="AEB329" s="6"/>
      <c r="AEC329" s="6"/>
      <c r="AED329" s="6"/>
      <c r="AEE329" s="6"/>
      <c r="AEF329" s="6"/>
      <c r="AEG329" s="6"/>
      <c r="AEH329" s="6"/>
      <c r="AEI329" s="6"/>
      <c r="AEJ329" s="6"/>
      <c r="AEK329" s="6"/>
      <c r="AEL329" s="6"/>
      <c r="AEM329" s="6"/>
      <c r="AEN329" s="6"/>
      <c r="AEO329" s="6"/>
      <c r="AEP329" s="6"/>
      <c r="AEQ329" s="6"/>
      <c r="AER329" s="6"/>
      <c r="AES329" s="6"/>
      <c r="AET329" s="6"/>
      <c r="AEU329" s="6"/>
      <c r="AEV329" s="6"/>
      <c r="AEW329" s="6"/>
      <c r="AEX329" s="6"/>
      <c r="AEY329" s="6"/>
      <c r="AEZ329" s="6"/>
      <c r="AFA329" s="6"/>
      <c r="AFB329" s="6"/>
      <c r="AFC329" s="6"/>
      <c r="AFD329" s="6"/>
      <c r="AFE329" s="6"/>
      <c r="AFF329" s="6"/>
      <c r="AFG329" s="6"/>
      <c r="AFH329" s="6"/>
      <c r="AFI329" s="6"/>
      <c r="AFJ329" s="6"/>
      <c r="AFK329" s="6"/>
      <c r="AFL329" s="6"/>
      <c r="AFM329" s="6"/>
      <c r="AFN329" s="6"/>
      <c r="AFO329" s="6"/>
      <c r="AFP329" s="6"/>
      <c r="AFQ329" s="6"/>
      <c r="AFR329" s="6"/>
      <c r="AFS329" s="6"/>
      <c r="AFT329" s="6"/>
      <c r="AFU329" s="6"/>
      <c r="AFV329" s="6"/>
      <c r="AFW329" s="6"/>
      <c r="AFX329" s="6"/>
      <c r="AFY329" s="6"/>
      <c r="AFZ329" s="6"/>
      <c r="AGA329" s="6"/>
      <c r="AGB329" s="6"/>
      <c r="AGC329" s="6"/>
      <c r="AGD329" s="6"/>
      <c r="AGE329" s="6"/>
      <c r="AGF329" s="6"/>
      <c r="AGG329" s="6"/>
      <c r="AGH329" s="6"/>
      <c r="AGI329" s="6"/>
      <c r="AGJ329" s="6"/>
      <c r="AGK329" s="6"/>
      <c r="AGL329" s="6"/>
      <c r="AGM329" s="6"/>
      <c r="AGN329" s="6"/>
      <c r="AGO329" s="6"/>
      <c r="AGP329" s="6"/>
      <c r="AGQ329" s="6"/>
      <c r="AGR329" s="6"/>
      <c r="AGS329" s="6"/>
      <c r="AGT329" s="6"/>
      <c r="AGU329" s="6"/>
      <c r="AGV329" s="6"/>
      <c r="AGW329" s="6"/>
      <c r="AGX329" s="6"/>
      <c r="AGY329" s="6"/>
      <c r="AGZ329" s="6"/>
      <c r="AHA329" s="6"/>
      <c r="AHB329" s="6"/>
      <c r="AHC329" s="6"/>
      <c r="AHD329" s="6"/>
      <c r="AHE329" s="6"/>
      <c r="AHF329" s="6"/>
      <c r="AHG329" s="6"/>
      <c r="AHH329" s="6"/>
      <c r="AHI329" s="6"/>
      <c r="AHJ329" s="6"/>
      <c r="AHK329" s="6"/>
      <c r="AHL329" s="6"/>
      <c r="AHM329" s="6"/>
      <c r="AHN329" s="6"/>
      <c r="AHO329" s="6"/>
      <c r="AHP329" s="6"/>
      <c r="AHQ329" s="6"/>
      <c r="AHR329" s="6"/>
      <c r="AHS329" s="6"/>
      <c r="AHT329" s="6"/>
      <c r="AHU329" s="6"/>
      <c r="AHV329" s="6"/>
      <c r="AHW329" s="6"/>
      <c r="AHX329" s="6"/>
      <c r="AHY329" s="6"/>
      <c r="AHZ329" s="6"/>
      <c r="AIA329" s="6"/>
      <c r="AIB329" s="6"/>
      <c r="AIC329" s="6"/>
      <c r="AID329" s="6"/>
      <c r="AIE329" s="6"/>
      <c r="AIF329" s="6"/>
      <c r="AIG329" s="6"/>
      <c r="AIH329" s="6"/>
      <c r="AII329" s="6"/>
      <c r="AIJ329" s="6"/>
      <c r="AIK329" s="6"/>
      <c r="AIL329" s="6"/>
      <c r="AIM329" s="6"/>
      <c r="AIN329" s="6"/>
      <c r="AIO329" s="6"/>
      <c r="AIP329" s="6"/>
      <c r="AIQ329" s="6"/>
      <c r="AIR329" s="6"/>
      <c r="AIS329" s="6"/>
      <c r="AIT329" s="6"/>
      <c r="AIU329" s="6"/>
      <c r="AIV329" s="6"/>
      <c r="AIW329" s="6"/>
      <c r="AIX329" s="6"/>
      <c r="AIY329" s="6"/>
      <c r="AIZ329" s="6"/>
      <c r="AJA329" s="6"/>
      <c r="AJB329" s="6"/>
      <c r="AJC329" s="6"/>
      <c r="AJD329" s="6"/>
      <c r="AJE329" s="6"/>
      <c r="AJF329" s="6"/>
      <c r="AJG329" s="6"/>
      <c r="AJH329" s="6"/>
      <c r="AJI329" s="6"/>
      <c r="AJJ329" s="6"/>
      <c r="AJK329" s="6"/>
      <c r="AJL329" s="6"/>
      <c r="AJM329" s="6"/>
      <c r="AJN329" s="6"/>
      <c r="AJO329" s="6"/>
      <c r="AJP329" s="6"/>
      <c r="AJQ329" s="6"/>
      <c r="AJR329" s="6"/>
      <c r="AJS329" s="6"/>
      <c r="AJT329" s="6"/>
      <c r="AJU329" s="6"/>
      <c r="AJV329" s="6"/>
      <c r="AJW329" s="6"/>
      <c r="AJX329" s="6"/>
      <c r="AJY329" s="6"/>
      <c r="AJZ329" s="6"/>
      <c r="AKA329" s="6"/>
      <c r="AKB329" s="6"/>
      <c r="AKC329" s="6"/>
      <c r="AKD329" s="6"/>
      <c r="AKE329" s="6"/>
      <c r="AKF329" s="6"/>
      <c r="AKG329" s="6"/>
      <c r="AKH329" s="6"/>
      <c r="AKI329" s="6"/>
      <c r="AKJ329" s="6"/>
      <c r="AKK329" s="6"/>
      <c r="AKL329" s="6"/>
      <c r="AKM329" s="6"/>
      <c r="AKN329" s="6"/>
      <c r="AKO329" s="6"/>
      <c r="AKP329" s="6"/>
      <c r="AKQ329" s="6"/>
      <c r="AKR329" s="6"/>
      <c r="AKS329" s="6"/>
      <c r="AKT329" s="6"/>
      <c r="AKU329" s="6"/>
      <c r="AKV329" s="6"/>
      <c r="AKW329" s="6"/>
      <c r="AKX329" s="6"/>
      <c r="AKY329" s="6"/>
      <c r="AKZ329" s="6"/>
      <c r="ALA329" s="6"/>
      <c r="ALB329" s="6"/>
      <c r="ALC329" s="6"/>
      <c r="ALD329" s="6"/>
      <c r="ALE329" s="6"/>
      <c r="ALF329" s="6"/>
      <c r="ALG329" s="6"/>
      <c r="ALH329" s="6"/>
      <c r="ALI329" s="6"/>
      <c r="ALJ329" s="6"/>
      <c r="ALK329" s="6"/>
      <c r="ALL329" s="6"/>
      <c r="ALM329" s="6"/>
      <c r="ALN329" s="6"/>
      <c r="ALO329" s="6"/>
      <c r="ALP329" s="6"/>
      <c r="ALQ329" s="6"/>
      <c r="ALR329" s="6"/>
      <c r="ALS329" s="6"/>
      <c r="ALT329" s="6"/>
      <c r="ALU329" s="6"/>
      <c r="ALV329" s="6"/>
      <c r="ALW329" s="6"/>
      <c r="ALX329" s="6"/>
      <c r="ALY329" s="6"/>
      <c r="ALZ329" s="6"/>
      <c r="AMA329" s="6"/>
      <c r="AMB329" s="6"/>
      <c r="AMC329" s="6"/>
      <c r="AMD329" s="6"/>
      <c r="AME329" s="6"/>
      <c r="AMF329" s="6"/>
      <c r="AMG329" s="6"/>
      <c r="AMH329" s="6"/>
      <c r="AMI329" s="6"/>
      <c r="AMJ329" s="6"/>
      <c r="AMK329" s="6"/>
      <c r="AML329" s="6"/>
      <c r="AMM329" s="6"/>
      <c r="AMN329" s="6"/>
      <c r="AMO329" s="6"/>
      <c r="AMP329" s="6"/>
    </row>
    <row r="330" spans="1:1030" x14ac:dyDescent="0.2">
      <c r="A330" s="3" t="str">
        <f t="shared" si="1591"/>
        <v>crfr1_human__wt</v>
      </c>
      <c r="B330" s="3" t="s">
        <v>38</v>
      </c>
      <c r="C330" s="3" t="s">
        <v>100</v>
      </c>
      <c r="D330" s="3" t="str">
        <f>IFERROR(MID(VLOOKUP($B330,Seqs!$A:$B,2,0),E330,1),"")</f>
        <v>Q</v>
      </c>
      <c r="E330" s="3">
        <v>103</v>
      </c>
      <c r="F330" s="3" t="str">
        <f>IFERROR(MID(VLOOKUP($B330,Seqs!$A:$B,2,0),G330,1),"")</f>
        <v>L</v>
      </c>
      <c r="G330" s="3">
        <v>144</v>
      </c>
      <c r="H330" s="3" t="str">
        <f>IFERROR(MID(VLOOKUP($B330,Seqs!$A:$B,2,0),I330,1),"")</f>
        <v>R</v>
      </c>
      <c r="I330" s="23">
        <v>145</v>
      </c>
      <c r="J330" s="3" t="str">
        <f>IFERROR(MID(VLOOKUP($B330,Seqs!$A:$B,2,0),K330,1),"")</f>
        <v>R</v>
      </c>
      <c r="K330" s="23">
        <v>148</v>
      </c>
      <c r="L330" s="3" t="str">
        <f>IFERROR(MID(VLOOKUP($B330,Seqs!$A:$B,2,0),M330,1),"")</f>
        <v>C</v>
      </c>
      <c r="M330" s="23">
        <v>149</v>
      </c>
      <c r="N330" s="3" t="str">
        <f>IFERROR(MID(VLOOKUP($B330,Seqs!$A:$B,2,0),O330,1),"")</f>
        <v>T</v>
      </c>
      <c r="O330" s="3">
        <v>175</v>
      </c>
      <c r="P330" s="3" t="str">
        <f>IFERROR(MID(VLOOKUP($B330,Seqs!$A:$B,2,0),Q330,1),"")</f>
        <v/>
      </c>
      <c r="Q330" s="3" t="s">
        <v>23</v>
      </c>
      <c r="R330" s="3" t="str">
        <f>IFERROR(MID(VLOOKUP($B330,Seqs!$A:$B,2,0),S330,1),"")</f>
        <v/>
      </c>
      <c r="S330" s="3" t="s">
        <v>23</v>
      </c>
      <c r="T330" s="3" t="str">
        <f>IFERROR(MID(VLOOKUP($B330,Seqs!$A:$B,2,0),U330,1),"")</f>
        <v>V</v>
      </c>
      <c r="U330" s="3">
        <v>185</v>
      </c>
      <c r="V330" s="3" t="str">
        <f>IFERROR(MID(VLOOKUP($B330,Seqs!$A:$B,2,0),W330,1),"")</f>
        <v>L</v>
      </c>
      <c r="W330" s="3">
        <v>219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>L</v>
      </c>
      <c r="AC330" s="9">
        <v>226</v>
      </c>
      <c r="AD330" s="3" t="str">
        <f>IFERROR(MID(VLOOKUP($B330,Seqs!$A:$B,2,0),AE330,1),"")</f>
        <v>D</v>
      </c>
      <c r="AE330" s="3">
        <v>254</v>
      </c>
      <c r="AF330" s="3" t="str">
        <f>IFERROR(MID(VLOOKUP($B330,Seqs!$A:$B,2,0),AG330,1),"")</f>
        <v>C</v>
      </c>
      <c r="AG330" s="3">
        <v>258</v>
      </c>
      <c r="AH330" s="3" t="str">
        <f>IFERROR(MID(VLOOKUP($B330,Seqs!$A:$B,2,0),AI330,1),"")</f>
        <v>F</v>
      </c>
      <c r="AI330" s="3">
        <v>260</v>
      </c>
      <c r="AJ330" s="3" t="str">
        <f>IFERROR(MID(VLOOKUP($B330,Seqs!$A:$B,2,0),AK330,1),"")</f>
        <v>T</v>
      </c>
      <c r="AK330" s="3">
        <v>268</v>
      </c>
      <c r="AL330" s="3" t="str">
        <f>IFERROR(MID(VLOOKUP($B330,Seqs!$A:$B,2,0),AM330,1),"")</f>
        <v>L</v>
      </c>
      <c r="AM330" s="3">
        <v>298</v>
      </c>
      <c r="AN330" s="3" t="str">
        <f>IFERROR(MID(VLOOKUP($B330,Seqs!$A:$B,2,0),AO330,1),"")</f>
        <v>S</v>
      </c>
      <c r="AO330" s="3">
        <v>304</v>
      </c>
      <c r="AP330" s="3" t="str">
        <f>IFERROR(MID(VLOOKUP($B330,Seqs!$A:$B,2,0),AQ330,1),"")</f>
        <v>V</v>
      </c>
      <c r="AQ330" s="3">
        <v>332</v>
      </c>
      <c r="AR330" s="3" t="str">
        <f>IFERROR(MID(VLOOKUP($B330,Seqs!$A:$B,2,0),AS330,1),"")</f>
        <v>V</v>
      </c>
      <c r="AS330" s="3">
        <v>339</v>
      </c>
      <c r="AT330" s="3" t="str">
        <f>IFERROR(MID(VLOOKUP($B330,Seqs!$A:$B,2,0),AU330,1),"")</f>
        <v>L</v>
      </c>
      <c r="AU330" s="3">
        <v>366</v>
      </c>
      <c r="AV330" s="3" t="str">
        <f>IFERROR(MID(VLOOKUP($B330,Seqs!$A:$B,2,0),AW330,1),"")</f>
        <v>N</v>
      </c>
      <c r="AW330" s="3">
        <v>367</v>
      </c>
      <c r="AX330" s="3" t="str">
        <f>IFERROR(MID(VLOOKUP($B330,Seqs!$A:$B,2,0),AY330,1),"")</f>
        <v>A</v>
      </c>
      <c r="AY330" s="3">
        <v>392</v>
      </c>
      <c r="AZ330" s="77" t="str">
        <f>VLOOKUP(B330,Classification!A:D,2,0)</f>
        <v>B1</v>
      </c>
      <c r="BA330" s="94" t="str">
        <f>VLOOKUP(B330,Classification!A:D,4,0)</f>
        <v>Corticotropin-releasingfact</v>
      </c>
      <c r="BB330" s="27" t="b">
        <f t="shared" si="1592"/>
        <v>1</v>
      </c>
      <c r="BC330" s="23">
        <f t="shared" ref="BC330:BC373" si="2095">_xlfn.AGGREGATE(9,6,CH330:CS330)-_xlfn.AGGREGATE(9,6,BV330:CG330)+12</f>
        <v>256</v>
      </c>
      <c r="BD330" s="56" t="s">
        <v>23</v>
      </c>
      <c r="BE330" s="3" t="s">
        <v>23</v>
      </c>
      <c r="BF330" s="119" t="s">
        <v>23</v>
      </c>
      <c r="BG330" s="49" t="s">
        <v>1372</v>
      </c>
      <c r="BH330" s="49" t="s">
        <v>1377</v>
      </c>
      <c r="BI330" s="1"/>
      <c r="BJ330" s="70" t="s">
        <v>1287</v>
      </c>
      <c r="BK330" s="57" t="s">
        <v>1287</v>
      </c>
      <c r="BL330" s="57" t="s">
        <v>1287</v>
      </c>
      <c r="BM330" s="57" t="s">
        <v>1287</v>
      </c>
      <c r="BN330" s="57" t="s">
        <v>1287</v>
      </c>
      <c r="BO330" s="57" t="s">
        <v>1287</v>
      </c>
      <c r="BP330" s="57" t="s">
        <v>1287</v>
      </c>
      <c r="BQ330" s="57" t="s">
        <v>1287</v>
      </c>
      <c r="BR330" s="57" t="s">
        <v>1287</v>
      </c>
      <c r="BS330" s="57" t="s">
        <v>1287</v>
      </c>
      <c r="BT330" s="57" t="s">
        <v>1287</v>
      </c>
      <c r="BU330" s="57" t="s">
        <v>1287</v>
      </c>
      <c r="BV330" s="70">
        <f t="shared" ref="BV330:BV373" si="2096">E330</f>
        <v>103</v>
      </c>
      <c r="BW330" s="71">
        <f t="shared" ref="BW330:BW373" si="2097">I330</f>
        <v>145</v>
      </c>
      <c r="BX330" s="72">
        <f t="shared" ref="BX330:BX373" si="2098">M330</f>
        <v>149</v>
      </c>
      <c r="BY330" s="71" t="str">
        <f t="shared" ref="BY330:BY373" si="2099">Q330</f>
        <v>-</v>
      </c>
      <c r="BZ330" s="72">
        <f t="shared" ref="BZ330:BZ373" si="2100">U330</f>
        <v>185</v>
      </c>
      <c r="CA330" s="71" t="str">
        <f t="shared" ref="CA330:CA373" si="2101">Y330</f>
        <v>-</v>
      </c>
      <c r="CB330" s="72">
        <f t="shared" ref="CB330:CB373" si="2102">AC330</f>
        <v>226</v>
      </c>
      <c r="CC330" s="71">
        <f t="shared" ref="CC330:CC373" si="2103">AG330</f>
        <v>258</v>
      </c>
      <c r="CD330" s="72">
        <f t="shared" ref="CD330:CD373" si="2104">AK330</f>
        <v>268</v>
      </c>
      <c r="CE330" s="71">
        <f t="shared" ref="CE330:CE373" si="2105">AO330</f>
        <v>304</v>
      </c>
      <c r="CF330" s="72">
        <f t="shared" ref="CF330:CF373" si="2106">AS330</f>
        <v>339</v>
      </c>
      <c r="CG330" s="71">
        <f t="shared" ref="CG330:CG373" si="2107">AW330</f>
        <v>367</v>
      </c>
      <c r="CH330" s="70">
        <f t="shared" ref="CH330:CH373" si="2108">G330</f>
        <v>144</v>
      </c>
      <c r="CI330" s="71">
        <f t="shared" ref="CI330:CI373" si="2109">K330</f>
        <v>148</v>
      </c>
      <c r="CJ330" s="72">
        <f t="shared" ref="CJ330:CJ373" si="2110">O330</f>
        <v>175</v>
      </c>
      <c r="CK330" s="72" t="str">
        <f t="shared" ref="CK330:CK373" si="2111">S330</f>
        <v>-</v>
      </c>
      <c r="CL330" s="72">
        <f t="shared" ref="CL330:CL373" si="2112">W330</f>
        <v>219</v>
      </c>
      <c r="CM330" s="72" t="str">
        <f t="shared" ref="CM330:CM373" si="2113">AA330</f>
        <v>-</v>
      </c>
      <c r="CN330" s="72">
        <f t="shared" ref="CN330:CN373" si="2114">AE330</f>
        <v>254</v>
      </c>
      <c r="CO330" s="72">
        <f t="shared" ref="CO330:CO373" si="2115">AI330</f>
        <v>260</v>
      </c>
      <c r="CP330" s="72">
        <f t="shared" ref="CP330:CP373" si="2116">AM330</f>
        <v>298</v>
      </c>
      <c r="CQ330" s="72">
        <f t="shared" ref="CQ330:CQ373" si="2117">AQ330</f>
        <v>332</v>
      </c>
      <c r="CR330" s="72">
        <f t="shared" ref="CR330:CR373" si="2118">AU330</f>
        <v>366</v>
      </c>
      <c r="CS330" s="72">
        <f t="shared" ref="CS330:CS373" si="2119">AY330</f>
        <v>392</v>
      </c>
      <c r="CT330" s="23">
        <f t="shared" ref="CT330:CT373" si="2120">M330-K330</f>
        <v>1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30" x14ac:dyDescent="0.2">
      <c r="A331" s="3" t="str">
        <f t="shared" si="1591"/>
        <v>crfr1_human_4K5Y</v>
      </c>
      <c r="B331" s="3" t="s">
        <v>38</v>
      </c>
      <c r="C331" s="3" t="s">
        <v>95</v>
      </c>
      <c r="D331" s="3" t="str">
        <f>IFERROR(MID(VLOOKUP($B331,Seqs!$A:$B,2,0),E331,1),"")</f>
        <v>H</v>
      </c>
      <c r="E331" s="3">
        <v>117</v>
      </c>
      <c r="F331" s="3" t="str">
        <f>IFERROR(MID(VLOOKUP($B331,Seqs!$A:$B,2,0),G331,1),"")</f>
        <v>L</v>
      </c>
      <c r="G331" s="3">
        <v>144</v>
      </c>
      <c r="H331" s="3" t="str">
        <f>IFERROR(MID(VLOOKUP($B331,Seqs!$A:$B,2,0),I331,1),"")</f>
        <v>R</v>
      </c>
      <c r="I331" s="23">
        <v>145</v>
      </c>
      <c r="J331" s="3" t="str">
        <f>IFERROR(MID(VLOOKUP($B331,Seqs!$A:$B,2,0),K331,1),"")</f>
        <v>R</v>
      </c>
      <c r="K331" s="23">
        <v>148</v>
      </c>
      <c r="L331" s="3" t="str">
        <f>IFERROR(MID(VLOOKUP($B331,Seqs!$A:$B,2,0),M331,1),"")</f>
        <v>C</v>
      </c>
      <c r="M331" s="23">
        <v>149</v>
      </c>
      <c r="N331" s="3" t="str">
        <f>IFERROR(MID(VLOOKUP($B331,Seqs!$A:$B,2,0),O331,1),"")</f>
        <v>T</v>
      </c>
      <c r="O331" s="3">
        <v>175</v>
      </c>
      <c r="P331" s="3" t="str">
        <f>IFERROR(MID(VLOOKUP($B331,Seqs!$A:$B,2,0),Q331,1),"")</f>
        <v/>
      </c>
      <c r="Q331" s="3" t="s">
        <v>23</v>
      </c>
      <c r="R331" s="3" t="str">
        <f>IFERROR(MID(VLOOKUP($B331,Seqs!$A:$B,2,0),S331,1),"")</f>
        <v/>
      </c>
      <c r="S331" s="3" t="s">
        <v>23</v>
      </c>
      <c r="T331" s="3" t="str">
        <f>IFERROR(MID(VLOOKUP($B331,Seqs!$A:$B,2,0),U331,1),"")</f>
        <v>V</v>
      </c>
      <c r="U331" s="3">
        <v>185</v>
      </c>
      <c r="V331" s="3" t="str">
        <f>IFERROR(MID(VLOOKUP($B331,Seqs!$A:$B,2,0),W331,1),"")</f>
        <v>L</v>
      </c>
      <c r="W331" s="3">
        <v>219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L</v>
      </c>
      <c r="AC331" s="9">
        <v>226</v>
      </c>
      <c r="AD331" s="3" t="str">
        <f>IFERROR(MID(VLOOKUP($B331,Seqs!$A:$B,2,0),AE331,1),"")</f>
        <v>D</v>
      </c>
      <c r="AE331" s="3">
        <v>254</v>
      </c>
      <c r="AF331" s="3" t="str">
        <f>IFERROR(MID(VLOOKUP($B331,Seqs!$A:$B,2,0),AG331,1),"")</f>
        <v>C</v>
      </c>
      <c r="AG331" s="3">
        <v>258</v>
      </c>
      <c r="AH331" s="3" t="str">
        <f>IFERROR(MID(VLOOKUP($B331,Seqs!$A:$B,2,0),AI331,1),"")</f>
        <v>F</v>
      </c>
      <c r="AI331" s="3">
        <v>260</v>
      </c>
      <c r="AJ331" s="3" t="str">
        <f>IFERROR(MID(VLOOKUP($B331,Seqs!$A:$B,2,0),AK331,1),"")</f>
        <v>T</v>
      </c>
      <c r="AK331" s="3">
        <v>268</v>
      </c>
      <c r="AL331" s="3" t="str">
        <f>IFERROR(MID(VLOOKUP($B331,Seqs!$A:$B,2,0),AM331,1),"")</f>
        <v>L</v>
      </c>
      <c r="AM331" s="3">
        <v>298</v>
      </c>
      <c r="AN331" s="3" t="str">
        <f>IFERROR(MID(VLOOKUP($B331,Seqs!$A:$B,2,0),AO331,1),"")</f>
        <v>S</v>
      </c>
      <c r="AO331" s="3">
        <v>304</v>
      </c>
      <c r="AP331" s="3" t="str">
        <f>IFERROR(MID(VLOOKUP($B331,Seqs!$A:$B,2,0),AQ331,1),"")</f>
        <v>V</v>
      </c>
      <c r="AQ331" s="3">
        <v>332</v>
      </c>
      <c r="AR331" s="3" t="str">
        <f>IFERROR(MID(VLOOKUP($B331,Seqs!$A:$B,2,0),AS331,1),"")</f>
        <v>V</v>
      </c>
      <c r="AS331" s="3">
        <v>339</v>
      </c>
      <c r="AT331" s="3" t="str">
        <f>IFERROR(MID(VLOOKUP($B331,Seqs!$A:$B,2,0),AU331,1),"")</f>
        <v>F</v>
      </c>
      <c r="AU331" s="3">
        <v>362</v>
      </c>
      <c r="AV331" s="3" t="str">
        <f>IFERROR(MID(VLOOKUP($B331,Seqs!$A:$B,2,0),AW331,1),"")</f>
        <v/>
      </c>
      <c r="AW331" s="3" t="s">
        <v>23</v>
      </c>
      <c r="AX331" s="3" t="str">
        <f>IFERROR(MID(VLOOKUP($B331,Seqs!$A:$B,2,0),AY331,1),"")</f>
        <v/>
      </c>
      <c r="AY331" s="3" t="s">
        <v>23</v>
      </c>
      <c r="AZ331" s="77" t="str">
        <f>VLOOKUP(B331,Classification!A:D,2,0)</f>
        <v>B1</v>
      </c>
      <c r="BA331" s="94" t="str">
        <f>VLOOKUP(B331,Classification!A:D,4,0)</f>
        <v>Corticotropin-releasingfact</v>
      </c>
      <c r="BB331" s="27" t="b">
        <f t="shared" si="1592"/>
        <v>1</v>
      </c>
      <c r="BC331" s="23">
        <f t="shared" si="2095"/>
        <v>213</v>
      </c>
      <c r="BD331" s="4" t="s">
        <v>23</v>
      </c>
      <c r="BE331" s="3" t="s">
        <v>1374</v>
      </c>
      <c r="BF331" s="119">
        <v>2.98</v>
      </c>
      <c r="BG331" s="49" t="s">
        <v>1377</v>
      </c>
      <c r="BH331" s="49" t="s">
        <v>1377</v>
      </c>
      <c r="BI331" s="1"/>
      <c r="BJ331" s="70" t="s">
        <v>1287</v>
      </c>
      <c r="BK331" s="57" t="s">
        <v>1287</v>
      </c>
      <c r="BL331" s="57" t="s">
        <v>1287</v>
      </c>
      <c r="BM331" s="57" t="s">
        <v>1287</v>
      </c>
      <c r="BN331" s="57" t="s">
        <v>1287</v>
      </c>
      <c r="BO331" s="57" t="s">
        <v>1287</v>
      </c>
      <c r="BP331" s="57" t="s">
        <v>1287</v>
      </c>
      <c r="BQ331" s="57" t="s">
        <v>1287</v>
      </c>
      <c r="BR331" s="57" t="s">
        <v>1287</v>
      </c>
      <c r="BS331" s="57" t="s">
        <v>1287</v>
      </c>
      <c r="BT331" s="57" t="s">
        <v>1287</v>
      </c>
      <c r="BU331" s="57" t="s">
        <v>1287</v>
      </c>
      <c r="BV331" s="70">
        <f t="shared" si="2096"/>
        <v>117</v>
      </c>
      <c r="BW331" s="71">
        <f t="shared" si="2097"/>
        <v>145</v>
      </c>
      <c r="BX331" s="72">
        <f t="shared" si="2098"/>
        <v>149</v>
      </c>
      <c r="BY331" s="71" t="str">
        <f t="shared" si="2099"/>
        <v>-</v>
      </c>
      <c r="BZ331" s="72">
        <f t="shared" si="2100"/>
        <v>185</v>
      </c>
      <c r="CA331" s="71" t="str">
        <f t="shared" si="2101"/>
        <v>-</v>
      </c>
      <c r="CB331" s="72">
        <f t="shared" si="2102"/>
        <v>226</v>
      </c>
      <c r="CC331" s="71">
        <f t="shared" si="2103"/>
        <v>258</v>
      </c>
      <c r="CD331" s="72">
        <f t="shared" si="2104"/>
        <v>268</v>
      </c>
      <c r="CE331" s="71">
        <f t="shared" si="2105"/>
        <v>304</v>
      </c>
      <c r="CF331" s="72">
        <f t="shared" si="2106"/>
        <v>339</v>
      </c>
      <c r="CG331" s="71" t="str">
        <f t="shared" si="2107"/>
        <v>-</v>
      </c>
      <c r="CH331" s="70">
        <f t="shared" si="2108"/>
        <v>144</v>
      </c>
      <c r="CI331" s="71">
        <f t="shared" si="2109"/>
        <v>148</v>
      </c>
      <c r="CJ331" s="72">
        <f t="shared" si="2110"/>
        <v>175</v>
      </c>
      <c r="CK331" s="72" t="str">
        <f t="shared" si="2111"/>
        <v>-</v>
      </c>
      <c r="CL331" s="72">
        <f t="shared" si="2112"/>
        <v>219</v>
      </c>
      <c r="CM331" s="72" t="str">
        <f t="shared" si="2113"/>
        <v>-</v>
      </c>
      <c r="CN331" s="72">
        <f t="shared" si="2114"/>
        <v>254</v>
      </c>
      <c r="CO331" s="72">
        <f t="shared" si="2115"/>
        <v>260</v>
      </c>
      <c r="CP331" s="72">
        <f t="shared" si="2116"/>
        <v>298</v>
      </c>
      <c r="CQ331" s="72">
        <f t="shared" si="2117"/>
        <v>332</v>
      </c>
      <c r="CR331" s="72">
        <f t="shared" si="2118"/>
        <v>362</v>
      </c>
      <c r="CS331" s="72" t="str">
        <f t="shared" si="2119"/>
        <v>-</v>
      </c>
      <c r="CT331" s="23">
        <f t="shared" si="2120"/>
        <v>1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</row>
    <row r="332" spans="1:1030" x14ac:dyDescent="0.2">
      <c r="A332" s="3" t="str">
        <f t="shared" si="1591"/>
        <v>crfr1_human_4K5Y_dist</v>
      </c>
      <c r="B332" s="3" t="s">
        <v>38</v>
      </c>
      <c r="C332" s="3" t="s">
        <v>1160</v>
      </c>
      <c r="D332" s="3" t="str">
        <f>IFERROR(MID(VLOOKUP($B332,Seqs!$A:$B,2,0),E332,1),"")</f>
        <v>H</v>
      </c>
      <c r="E332" s="3">
        <v>117</v>
      </c>
      <c r="F332" s="3" t="str">
        <f>IFERROR(MID(VLOOKUP($B332,Seqs!$A:$B,2,0),G332,1),"")</f>
        <v>L</v>
      </c>
      <c r="G332" s="3">
        <v>144</v>
      </c>
      <c r="H332" s="3" t="str">
        <f>IFERROR(MID(VLOOKUP($B332,Seqs!$A:$B,2,0),I332,1),"")</f>
        <v>R</v>
      </c>
      <c r="I332" s="23">
        <v>145</v>
      </c>
      <c r="J332" s="3" t="str">
        <f>IFERROR(MID(VLOOKUP($B332,Seqs!$A:$B,2,0),K332,1),"")</f>
        <v>R</v>
      </c>
      <c r="K332" s="23">
        <v>148</v>
      </c>
      <c r="L332" s="3" t="str">
        <f>IFERROR(MID(VLOOKUP($B332,Seqs!$A:$B,2,0),M332,1),"")</f>
        <v>C</v>
      </c>
      <c r="M332" s="23">
        <v>149</v>
      </c>
      <c r="N332" s="3" t="str">
        <f>IFERROR(MID(VLOOKUP($B332,Seqs!$A:$B,2,0),O332,1),"")</f>
        <v>T</v>
      </c>
      <c r="O332" s="3">
        <v>175</v>
      </c>
      <c r="P332" s="3" t="str">
        <f>IFERROR(MID(VLOOKUP($B332,Seqs!$A:$B,2,0),Q332,1),"")</f>
        <v/>
      </c>
      <c r="Q332" s="3" t="s">
        <v>23</v>
      </c>
      <c r="R332" s="3" t="str">
        <f>IFERROR(MID(VLOOKUP($B332,Seqs!$A:$B,2,0),S332,1),"")</f>
        <v/>
      </c>
      <c r="S332" s="3" t="s">
        <v>23</v>
      </c>
      <c r="T332" s="3" t="str">
        <f>IFERROR(MID(VLOOKUP($B332,Seqs!$A:$B,2,0),U332,1),"")</f>
        <v>V</v>
      </c>
      <c r="U332" s="3">
        <v>185</v>
      </c>
      <c r="V332" s="3" t="str">
        <f>IFERROR(MID(VLOOKUP($B332,Seqs!$A:$B,2,0),W332,1),"")</f>
        <v>L</v>
      </c>
      <c r="W332" s="3">
        <v>219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>L</v>
      </c>
      <c r="AC332" s="9">
        <v>226</v>
      </c>
      <c r="AD332" s="3" t="str">
        <f>IFERROR(MID(VLOOKUP($B332,Seqs!$A:$B,2,0),AE332,1),"")</f>
        <v>D</v>
      </c>
      <c r="AE332" s="3">
        <v>254</v>
      </c>
      <c r="AF332" s="3" t="str">
        <f>IFERROR(MID(VLOOKUP($B332,Seqs!$A:$B,2,0),AG332,1),"")</f>
        <v>C</v>
      </c>
      <c r="AG332" s="3">
        <v>258</v>
      </c>
      <c r="AH332" s="3" t="str">
        <f>IFERROR(MID(VLOOKUP($B332,Seqs!$A:$B,2,0),AI332,1),"")</f>
        <v>F</v>
      </c>
      <c r="AI332" s="3">
        <v>260</v>
      </c>
      <c r="AJ332" s="3" t="str">
        <f>IFERROR(MID(VLOOKUP($B332,Seqs!$A:$B,2,0),AK332,1),"")</f>
        <v>T</v>
      </c>
      <c r="AK332" s="3">
        <v>268</v>
      </c>
      <c r="AL332" s="3" t="str">
        <f>IFERROR(MID(VLOOKUP($B332,Seqs!$A:$B,2,0),AM332,1),"")</f>
        <v>L</v>
      </c>
      <c r="AM332" s="3">
        <v>298</v>
      </c>
      <c r="AN332" s="3" t="str">
        <f>IFERROR(MID(VLOOKUP($B332,Seqs!$A:$B,2,0),AO332,1),"")</f>
        <v>S</v>
      </c>
      <c r="AO332" s="3">
        <v>304</v>
      </c>
      <c r="AP332" s="3" t="str">
        <f>IFERROR(MID(VLOOKUP($B332,Seqs!$A:$B,2,0),AQ332,1),"")</f>
        <v>V</v>
      </c>
      <c r="AQ332" s="3">
        <v>332</v>
      </c>
      <c r="AR332" s="3" t="str">
        <f>IFERROR(MID(VLOOKUP($B332,Seqs!$A:$B,2,0),AS332,1),"")</f>
        <v>V</v>
      </c>
      <c r="AS332" s="3">
        <v>339</v>
      </c>
      <c r="AT332" s="3" t="str">
        <f>IFERROR(MID(VLOOKUP($B332,Seqs!$A:$B,2,0),AU332,1),"")</f>
        <v>L</v>
      </c>
      <c r="AU332" s="3">
        <v>366</v>
      </c>
      <c r="AV332" s="3" t="str">
        <f>IFERROR(MID(VLOOKUP($B332,Seqs!$A:$B,2,0),AW332,1),"")</f>
        <v/>
      </c>
      <c r="AW332" s="3" t="s">
        <v>23</v>
      </c>
      <c r="AX332" s="3" t="str">
        <f>IFERROR(MID(VLOOKUP($B332,Seqs!$A:$B,2,0),AY332,1),"")</f>
        <v/>
      </c>
      <c r="AY332" s="3" t="s">
        <v>23</v>
      </c>
      <c r="AZ332" s="77" t="str">
        <f>VLOOKUP(B332,Classification!A:D,2,0)</f>
        <v>B1</v>
      </c>
      <c r="BA332" s="94" t="str">
        <f>VLOOKUP(B332,Classification!A:D,4,0)</f>
        <v>Corticotropin-releasingfact</v>
      </c>
      <c r="BB332" s="27" t="b">
        <f t="shared" si="1592"/>
        <v>1</v>
      </c>
      <c r="BC332" s="23">
        <f t="shared" si="2095"/>
        <v>217</v>
      </c>
      <c r="BD332" s="56" t="s">
        <v>23</v>
      </c>
      <c r="BE332" s="3" t="s">
        <v>1374</v>
      </c>
      <c r="BF332" s="119">
        <v>2.98</v>
      </c>
      <c r="BG332" s="49" t="s">
        <v>1377</v>
      </c>
      <c r="BH332" s="49" t="s">
        <v>1377</v>
      </c>
      <c r="BI332" s="3" t="s">
        <v>1162</v>
      </c>
      <c r="BJ332" s="70" t="s">
        <v>1287</v>
      </c>
      <c r="BK332" s="57" t="s">
        <v>1287</v>
      </c>
      <c r="BL332" s="57" t="s">
        <v>1287</v>
      </c>
      <c r="BM332" s="57" t="s">
        <v>1287</v>
      </c>
      <c r="BN332" s="57" t="s">
        <v>1287</v>
      </c>
      <c r="BO332" s="57" t="s">
        <v>1287</v>
      </c>
      <c r="BP332" s="57" t="s">
        <v>1287</v>
      </c>
      <c r="BQ332" s="57" t="s">
        <v>1287</v>
      </c>
      <c r="BR332" s="57" t="s">
        <v>1287</v>
      </c>
      <c r="BS332" s="57" t="s">
        <v>1287</v>
      </c>
      <c r="BT332" s="57" t="s">
        <v>1287</v>
      </c>
      <c r="BU332" s="57" t="s">
        <v>1287</v>
      </c>
      <c r="BV332" s="70">
        <f t="shared" si="2096"/>
        <v>117</v>
      </c>
      <c r="BW332" s="71">
        <f t="shared" si="2097"/>
        <v>145</v>
      </c>
      <c r="BX332" s="72">
        <f t="shared" si="2098"/>
        <v>149</v>
      </c>
      <c r="BY332" s="71" t="str">
        <f t="shared" si="2099"/>
        <v>-</v>
      </c>
      <c r="BZ332" s="72">
        <f t="shared" si="2100"/>
        <v>185</v>
      </c>
      <c r="CA332" s="71" t="str">
        <f t="shared" si="2101"/>
        <v>-</v>
      </c>
      <c r="CB332" s="72">
        <f t="shared" si="2102"/>
        <v>226</v>
      </c>
      <c r="CC332" s="71">
        <f t="shared" si="2103"/>
        <v>258</v>
      </c>
      <c r="CD332" s="72">
        <f t="shared" si="2104"/>
        <v>268</v>
      </c>
      <c r="CE332" s="71">
        <f t="shared" si="2105"/>
        <v>304</v>
      </c>
      <c r="CF332" s="72">
        <f t="shared" si="2106"/>
        <v>339</v>
      </c>
      <c r="CG332" s="71" t="str">
        <f t="shared" si="2107"/>
        <v>-</v>
      </c>
      <c r="CH332" s="70">
        <f t="shared" si="2108"/>
        <v>144</v>
      </c>
      <c r="CI332" s="71">
        <f t="shared" si="2109"/>
        <v>148</v>
      </c>
      <c r="CJ332" s="72">
        <f t="shared" si="2110"/>
        <v>175</v>
      </c>
      <c r="CK332" s="72" t="str">
        <f t="shared" si="2111"/>
        <v>-</v>
      </c>
      <c r="CL332" s="72">
        <f t="shared" si="2112"/>
        <v>219</v>
      </c>
      <c r="CM332" s="72" t="str">
        <f t="shared" si="2113"/>
        <v>-</v>
      </c>
      <c r="CN332" s="72">
        <f t="shared" si="2114"/>
        <v>254</v>
      </c>
      <c r="CO332" s="72">
        <f t="shared" si="2115"/>
        <v>260</v>
      </c>
      <c r="CP332" s="72">
        <f t="shared" si="2116"/>
        <v>298</v>
      </c>
      <c r="CQ332" s="72">
        <f t="shared" si="2117"/>
        <v>332</v>
      </c>
      <c r="CR332" s="72">
        <f t="shared" si="2118"/>
        <v>366</v>
      </c>
      <c r="CS332" s="72" t="str">
        <f t="shared" si="2119"/>
        <v>-</v>
      </c>
      <c r="CT332" s="23">
        <f t="shared" si="2120"/>
        <v>1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</row>
    <row r="333" spans="1:1030" x14ac:dyDescent="0.2">
      <c r="A333" s="3" t="str">
        <f t="shared" si="1591"/>
        <v>crfr1_human_4Z9G</v>
      </c>
      <c r="B333" s="3" t="s">
        <v>38</v>
      </c>
      <c r="C333" s="3" t="s">
        <v>1059</v>
      </c>
      <c r="D333" s="3" t="str">
        <f>IFERROR(MID(VLOOKUP($B333,Seqs!$A:$B,2,0),E333,1),"")</f>
        <v>S</v>
      </c>
      <c r="E333" s="3">
        <v>112</v>
      </c>
      <c r="F333" s="3" t="str">
        <f>IFERROR(MID(VLOOKUP($B333,Seqs!$A:$B,2,0),G333,1),"")</f>
        <v>L</v>
      </c>
      <c r="G333" s="3">
        <v>144</v>
      </c>
      <c r="H333" s="3" t="str">
        <f>IFERROR(MID(VLOOKUP($B333,Seqs!$A:$B,2,0),I333,1),"")</f>
        <v>R</v>
      </c>
      <c r="I333" s="23">
        <v>145</v>
      </c>
      <c r="J333" s="3" t="str">
        <f>IFERROR(MID(VLOOKUP($B333,Seqs!$A:$B,2,0),K333,1),"")</f>
        <v>R</v>
      </c>
      <c r="K333" s="23">
        <v>148</v>
      </c>
      <c r="L333" s="3" t="str">
        <f>IFERROR(MID(VLOOKUP($B333,Seqs!$A:$B,2,0),M333,1),"")</f>
        <v>C</v>
      </c>
      <c r="M333" s="23">
        <v>149</v>
      </c>
      <c r="N333" s="3" t="str">
        <f>IFERROR(MID(VLOOKUP($B333,Seqs!$A:$B,2,0),O333,1),"")</f>
        <v>T</v>
      </c>
      <c r="O333" s="3">
        <v>175</v>
      </c>
      <c r="P333" s="3" t="str">
        <f>IFERROR(MID(VLOOKUP($B333,Seqs!$A:$B,2,0),Q333,1),"")</f>
        <v/>
      </c>
      <c r="Q333" s="3" t="s">
        <v>23</v>
      </c>
      <c r="R333" s="3" t="str">
        <f>IFERROR(MID(VLOOKUP($B333,Seqs!$A:$B,2,0),S333,1),"")</f>
        <v/>
      </c>
      <c r="S333" s="3" t="s">
        <v>23</v>
      </c>
      <c r="T333" s="3" t="str">
        <f>IFERROR(MID(VLOOKUP($B333,Seqs!$A:$B,2,0),U333,1),"")</f>
        <v>V</v>
      </c>
      <c r="U333" s="3">
        <v>185</v>
      </c>
      <c r="V333" s="3" t="str">
        <f>IFERROR(MID(VLOOKUP($B333,Seqs!$A:$B,2,0),W333,1),"")</f>
        <v>L</v>
      </c>
      <c r="W333" s="3">
        <v>219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L</v>
      </c>
      <c r="AC333" s="9">
        <v>226</v>
      </c>
      <c r="AD333" s="3" t="str">
        <f>IFERROR(MID(VLOOKUP($B333,Seqs!$A:$B,2,0),AE333,1),"")</f>
        <v>D</v>
      </c>
      <c r="AE333" s="3">
        <v>254</v>
      </c>
      <c r="AF333" s="3" t="str">
        <f>IFERROR(MID(VLOOKUP($B333,Seqs!$A:$B,2,0),AG333,1),"")</f>
        <v>C</v>
      </c>
      <c r="AG333" s="3">
        <v>258</v>
      </c>
      <c r="AH333" s="3" t="str">
        <f>IFERROR(MID(VLOOKUP($B333,Seqs!$A:$B,2,0),AI333,1),"")</f>
        <v>F</v>
      </c>
      <c r="AI333" s="3">
        <v>260</v>
      </c>
      <c r="AJ333" s="3" t="str">
        <f>IFERROR(MID(VLOOKUP($B333,Seqs!$A:$B,2,0),AK333,1),"")</f>
        <v>T</v>
      </c>
      <c r="AK333" s="3">
        <v>268</v>
      </c>
      <c r="AL333" s="3" t="str">
        <f>IFERROR(MID(VLOOKUP($B333,Seqs!$A:$B,2,0),AM333,1),"")</f>
        <v>L</v>
      </c>
      <c r="AM333" s="3">
        <v>298</v>
      </c>
      <c r="AN333" s="3" t="str">
        <f>IFERROR(MID(VLOOKUP($B333,Seqs!$A:$B,2,0),AO333,1),"")</f>
        <v>S</v>
      </c>
      <c r="AO333" s="3">
        <v>304</v>
      </c>
      <c r="AP333" s="3" t="str">
        <f>IFERROR(MID(VLOOKUP($B333,Seqs!$A:$B,2,0),AQ333,1),"")</f>
        <v>V</v>
      </c>
      <c r="AQ333" s="3">
        <v>332</v>
      </c>
      <c r="AR333" s="3" t="str">
        <f>IFERROR(MID(VLOOKUP($B333,Seqs!$A:$B,2,0),AS333,1),"")</f>
        <v>V</v>
      </c>
      <c r="AS333" s="3">
        <v>339</v>
      </c>
      <c r="AT333" s="3" t="str">
        <f>IFERROR(MID(VLOOKUP($B333,Seqs!$A:$B,2,0),AU333,1),"")</f>
        <v>F</v>
      </c>
      <c r="AU333" s="3">
        <v>362</v>
      </c>
      <c r="AV333" s="3" t="str">
        <f>IFERROR(MID(VLOOKUP($B333,Seqs!$A:$B,2,0),AW333,1),"")</f>
        <v/>
      </c>
      <c r="AW333" s="3" t="s">
        <v>23</v>
      </c>
      <c r="AX333" s="3" t="str">
        <f>IFERROR(MID(VLOOKUP($B333,Seqs!$A:$B,2,0),AY333,1),"")</f>
        <v/>
      </c>
      <c r="AY333" s="3" t="s">
        <v>23</v>
      </c>
      <c r="AZ333" s="77" t="str">
        <f>VLOOKUP(B333,Classification!A:D,2,0)</f>
        <v>B1</v>
      </c>
      <c r="BA333" s="94" t="str">
        <f>VLOOKUP(B333,Classification!A:D,4,0)</f>
        <v>Corticotropin-releasingfact</v>
      </c>
      <c r="BB333" s="27" t="b">
        <f t="shared" si="1592"/>
        <v>1</v>
      </c>
      <c r="BC333" s="23">
        <f t="shared" si="2095"/>
        <v>218</v>
      </c>
      <c r="BD333" s="2" t="s">
        <v>1376</v>
      </c>
      <c r="BE333" s="3" t="s">
        <v>1374</v>
      </c>
      <c r="BF333" s="119">
        <v>3.18</v>
      </c>
      <c r="BG333" s="49" t="s">
        <v>1377</v>
      </c>
      <c r="BH333" s="49" t="s">
        <v>1377</v>
      </c>
      <c r="BI333" s="1"/>
      <c r="BJ333" s="70" t="s">
        <v>1287</v>
      </c>
      <c r="BK333" s="57" t="s">
        <v>1287</v>
      </c>
      <c r="BL333" s="57" t="s">
        <v>1287</v>
      </c>
      <c r="BM333" s="57" t="s">
        <v>1287</v>
      </c>
      <c r="BN333" s="57" t="s">
        <v>1287</v>
      </c>
      <c r="BO333" s="57" t="s">
        <v>1287</v>
      </c>
      <c r="BP333" s="57" t="s">
        <v>1287</v>
      </c>
      <c r="BQ333" s="57" t="s">
        <v>1287</v>
      </c>
      <c r="BR333" s="57" t="s">
        <v>1287</v>
      </c>
      <c r="BS333" s="57" t="s">
        <v>1287</v>
      </c>
      <c r="BT333" s="57" t="s">
        <v>1287</v>
      </c>
      <c r="BU333" s="57" t="s">
        <v>1287</v>
      </c>
      <c r="BV333" s="70">
        <f t="shared" si="2096"/>
        <v>112</v>
      </c>
      <c r="BW333" s="71">
        <f t="shared" si="2097"/>
        <v>145</v>
      </c>
      <c r="BX333" s="72">
        <f t="shared" si="2098"/>
        <v>149</v>
      </c>
      <c r="BY333" s="71" t="str">
        <f t="shared" si="2099"/>
        <v>-</v>
      </c>
      <c r="BZ333" s="72">
        <f t="shared" si="2100"/>
        <v>185</v>
      </c>
      <c r="CA333" s="71" t="str">
        <f t="shared" si="2101"/>
        <v>-</v>
      </c>
      <c r="CB333" s="72">
        <f t="shared" si="2102"/>
        <v>226</v>
      </c>
      <c r="CC333" s="71">
        <f t="shared" si="2103"/>
        <v>258</v>
      </c>
      <c r="CD333" s="72">
        <f t="shared" si="2104"/>
        <v>268</v>
      </c>
      <c r="CE333" s="71">
        <f t="shared" si="2105"/>
        <v>304</v>
      </c>
      <c r="CF333" s="72">
        <f t="shared" si="2106"/>
        <v>339</v>
      </c>
      <c r="CG333" s="71" t="str">
        <f t="shared" si="2107"/>
        <v>-</v>
      </c>
      <c r="CH333" s="70">
        <f t="shared" si="2108"/>
        <v>144</v>
      </c>
      <c r="CI333" s="71">
        <f t="shared" si="2109"/>
        <v>148</v>
      </c>
      <c r="CJ333" s="72">
        <f t="shared" si="2110"/>
        <v>175</v>
      </c>
      <c r="CK333" s="72" t="str">
        <f t="shared" si="2111"/>
        <v>-</v>
      </c>
      <c r="CL333" s="72">
        <f t="shared" si="2112"/>
        <v>219</v>
      </c>
      <c r="CM333" s="72" t="str">
        <f t="shared" si="2113"/>
        <v>-</v>
      </c>
      <c r="CN333" s="72">
        <f t="shared" si="2114"/>
        <v>254</v>
      </c>
      <c r="CO333" s="72">
        <f t="shared" si="2115"/>
        <v>260</v>
      </c>
      <c r="CP333" s="72">
        <f t="shared" si="2116"/>
        <v>298</v>
      </c>
      <c r="CQ333" s="72">
        <f t="shared" si="2117"/>
        <v>332</v>
      </c>
      <c r="CR333" s="72">
        <f t="shared" si="2118"/>
        <v>362</v>
      </c>
      <c r="CS333" s="72" t="str">
        <f t="shared" si="2119"/>
        <v>-</v>
      </c>
      <c r="CT333" s="23">
        <f t="shared" si="2120"/>
        <v>1</v>
      </c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  <c r="AMO333" s="1"/>
    </row>
    <row r="334" spans="1:1030" x14ac:dyDescent="0.2">
      <c r="A334" s="3" t="str">
        <f t="shared" si="1591"/>
        <v>crfr1_human_4Z9G_dist</v>
      </c>
      <c r="B334" s="3" t="s">
        <v>38</v>
      </c>
      <c r="C334" s="3" t="s">
        <v>1161</v>
      </c>
      <c r="D334" s="3" t="str">
        <f>IFERROR(MID(VLOOKUP($B334,Seqs!$A:$B,2,0),E334,1),"")</f>
        <v>S</v>
      </c>
      <c r="E334" s="3">
        <v>112</v>
      </c>
      <c r="F334" s="3" t="str">
        <f>IFERROR(MID(VLOOKUP($B334,Seqs!$A:$B,2,0),G334,1),"")</f>
        <v>L</v>
      </c>
      <c r="G334" s="3">
        <v>144</v>
      </c>
      <c r="H334" s="3" t="str">
        <f>IFERROR(MID(VLOOKUP($B334,Seqs!$A:$B,2,0),I334,1),"")</f>
        <v>R</v>
      </c>
      <c r="I334" s="23">
        <v>145</v>
      </c>
      <c r="J334" s="3" t="str">
        <f>IFERROR(MID(VLOOKUP($B334,Seqs!$A:$B,2,0),K334,1),"")</f>
        <v>R</v>
      </c>
      <c r="K334" s="23">
        <v>148</v>
      </c>
      <c r="L334" s="3" t="str">
        <f>IFERROR(MID(VLOOKUP($B334,Seqs!$A:$B,2,0),M334,1),"")</f>
        <v>C</v>
      </c>
      <c r="M334" s="23">
        <v>149</v>
      </c>
      <c r="N334" s="3" t="str">
        <f>IFERROR(MID(VLOOKUP($B334,Seqs!$A:$B,2,0),O334,1),"")</f>
        <v>T</v>
      </c>
      <c r="O334" s="3">
        <v>175</v>
      </c>
      <c r="P334" s="3" t="str">
        <f>IFERROR(MID(VLOOKUP($B334,Seqs!$A:$B,2,0),Q334,1),"")</f>
        <v/>
      </c>
      <c r="Q334" s="3" t="s">
        <v>23</v>
      </c>
      <c r="R334" s="3" t="str">
        <f>IFERROR(MID(VLOOKUP($B334,Seqs!$A:$B,2,0),S334,1),"")</f>
        <v/>
      </c>
      <c r="S334" s="3" t="s">
        <v>23</v>
      </c>
      <c r="T334" s="3" t="str">
        <f>IFERROR(MID(VLOOKUP($B334,Seqs!$A:$B,2,0),U334,1),"")</f>
        <v>V</v>
      </c>
      <c r="U334" s="3">
        <v>185</v>
      </c>
      <c r="V334" s="3" t="str">
        <f>IFERROR(MID(VLOOKUP($B334,Seqs!$A:$B,2,0),W334,1),"")</f>
        <v>L</v>
      </c>
      <c r="W334" s="3">
        <v>219</v>
      </c>
      <c r="X334" s="3" t="str">
        <f>IFERROR(MID(VLOOKUP($B334,Seqs!$A:$B,2,0),Y334,1),"")</f>
        <v/>
      </c>
      <c r="Y334" s="3" t="s">
        <v>23</v>
      </c>
      <c r="Z334" s="3" t="str">
        <f>IFERROR(MID(VLOOKUP($B334,Seqs!$A:$B,2,0),AA334,1),"")</f>
        <v/>
      </c>
      <c r="AA334" s="3" t="s">
        <v>23</v>
      </c>
      <c r="AB334" s="3" t="str">
        <f>IFERROR(MID(VLOOKUP($B334,Seqs!$A:$B,2,0),AC334,1),"")</f>
        <v>L</v>
      </c>
      <c r="AC334" s="9">
        <v>226</v>
      </c>
      <c r="AD334" s="3" t="str">
        <f>IFERROR(MID(VLOOKUP($B334,Seqs!$A:$B,2,0),AE334,1),"")</f>
        <v>D</v>
      </c>
      <c r="AE334" s="3">
        <v>254</v>
      </c>
      <c r="AF334" s="3" t="str">
        <f>IFERROR(MID(VLOOKUP($B334,Seqs!$A:$B,2,0),AG334,1),"")</f>
        <v>C</v>
      </c>
      <c r="AG334" s="3">
        <v>258</v>
      </c>
      <c r="AH334" s="3" t="str">
        <f>IFERROR(MID(VLOOKUP($B334,Seqs!$A:$B,2,0),AI334,1),"")</f>
        <v>F</v>
      </c>
      <c r="AI334" s="3">
        <v>260</v>
      </c>
      <c r="AJ334" s="3" t="str">
        <f>IFERROR(MID(VLOOKUP($B334,Seqs!$A:$B,2,0),AK334,1),"")</f>
        <v>T</v>
      </c>
      <c r="AK334" s="3">
        <v>268</v>
      </c>
      <c r="AL334" s="3" t="str">
        <f>IFERROR(MID(VLOOKUP($B334,Seqs!$A:$B,2,0),AM334,1),"")</f>
        <v>L</v>
      </c>
      <c r="AM334" s="3">
        <v>298</v>
      </c>
      <c r="AN334" s="3" t="str">
        <f>IFERROR(MID(VLOOKUP($B334,Seqs!$A:$B,2,0),AO334,1),"")</f>
        <v>S</v>
      </c>
      <c r="AO334" s="3">
        <v>304</v>
      </c>
      <c r="AP334" s="3" t="str">
        <f>IFERROR(MID(VLOOKUP($B334,Seqs!$A:$B,2,0),AQ334,1),"")</f>
        <v>V</v>
      </c>
      <c r="AQ334" s="3">
        <v>332</v>
      </c>
      <c r="AR334" s="3" t="str">
        <f>IFERROR(MID(VLOOKUP($B334,Seqs!$A:$B,2,0),AS334,1),"")</f>
        <v>V</v>
      </c>
      <c r="AS334" s="3">
        <v>339</v>
      </c>
      <c r="AT334" s="3" t="str">
        <f>IFERROR(MID(VLOOKUP($B334,Seqs!$A:$B,2,0),AU334,1),"")</f>
        <v>E</v>
      </c>
      <c r="AU334" s="3">
        <v>369</v>
      </c>
      <c r="AV334" s="3" t="str">
        <f>IFERROR(MID(VLOOKUP($B334,Seqs!$A:$B,2,0),AW334,1),"")</f>
        <v/>
      </c>
      <c r="AW334" s="3" t="s">
        <v>23</v>
      </c>
      <c r="AX334" s="3" t="str">
        <f>IFERROR(MID(VLOOKUP($B334,Seqs!$A:$B,2,0),AY334,1),"")</f>
        <v/>
      </c>
      <c r="AY334" s="3" t="s">
        <v>23</v>
      </c>
      <c r="AZ334" s="77" t="str">
        <f>VLOOKUP(B334,Classification!A:D,2,0)</f>
        <v>B1</v>
      </c>
      <c r="BA334" s="94" t="str">
        <f>VLOOKUP(B334,Classification!A:D,4,0)</f>
        <v>Corticotropin-releasingfact</v>
      </c>
      <c r="BB334" s="27" t="b">
        <f t="shared" si="1592"/>
        <v>1</v>
      </c>
      <c r="BC334" s="23">
        <f t="shared" si="2095"/>
        <v>225</v>
      </c>
      <c r="BD334" s="56" t="s">
        <v>23</v>
      </c>
      <c r="BE334" s="3" t="s">
        <v>1374</v>
      </c>
      <c r="BF334" s="119">
        <v>3.18</v>
      </c>
      <c r="BG334" s="49" t="s">
        <v>1377</v>
      </c>
      <c r="BH334" s="49" t="s">
        <v>1377</v>
      </c>
      <c r="BI334" s="3" t="s">
        <v>1162</v>
      </c>
      <c r="BJ334" s="70" t="s">
        <v>1287</v>
      </c>
      <c r="BK334" s="57" t="s">
        <v>1287</v>
      </c>
      <c r="BL334" s="57" t="s">
        <v>1287</v>
      </c>
      <c r="BM334" s="57" t="s">
        <v>1287</v>
      </c>
      <c r="BN334" s="57" t="s">
        <v>1287</v>
      </c>
      <c r="BO334" s="57" t="s">
        <v>1287</v>
      </c>
      <c r="BP334" s="57" t="s">
        <v>1287</v>
      </c>
      <c r="BQ334" s="57" t="s">
        <v>1287</v>
      </c>
      <c r="BR334" s="57" t="s">
        <v>1287</v>
      </c>
      <c r="BS334" s="57" t="s">
        <v>1287</v>
      </c>
      <c r="BT334" s="57" t="s">
        <v>1287</v>
      </c>
      <c r="BU334" s="57" t="s">
        <v>1287</v>
      </c>
      <c r="BV334" s="70">
        <f t="shared" si="2096"/>
        <v>112</v>
      </c>
      <c r="BW334" s="71">
        <f t="shared" si="2097"/>
        <v>145</v>
      </c>
      <c r="BX334" s="72">
        <f t="shared" si="2098"/>
        <v>149</v>
      </c>
      <c r="BY334" s="71" t="str">
        <f t="shared" si="2099"/>
        <v>-</v>
      </c>
      <c r="BZ334" s="72">
        <f t="shared" si="2100"/>
        <v>185</v>
      </c>
      <c r="CA334" s="71" t="str">
        <f t="shared" si="2101"/>
        <v>-</v>
      </c>
      <c r="CB334" s="72">
        <f t="shared" si="2102"/>
        <v>226</v>
      </c>
      <c r="CC334" s="71">
        <f t="shared" si="2103"/>
        <v>258</v>
      </c>
      <c r="CD334" s="72">
        <f t="shared" si="2104"/>
        <v>268</v>
      </c>
      <c r="CE334" s="71">
        <f t="shared" si="2105"/>
        <v>304</v>
      </c>
      <c r="CF334" s="72">
        <f t="shared" si="2106"/>
        <v>339</v>
      </c>
      <c r="CG334" s="71" t="str">
        <f t="shared" si="2107"/>
        <v>-</v>
      </c>
      <c r="CH334" s="70">
        <f t="shared" si="2108"/>
        <v>144</v>
      </c>
      <c r="CI334" s="71">
        <f t="shared" si="2109"/>
        <v>148</v>
      </c>
      <c r="CJ334" s="72">
        <f t="shared" si="2110"/>
        <v>175</v>
      </c>
      <c r="CK334" s="72" t="str">
        <f t="shared" si="2111"/>
        <v>-</v>
      </c>
      <c r="CL334" s="72">
        <f t="shared" si="2112"/>
        <v>219</v>
      </c>
      <c r="CM334" s="72" t="str">
        <f t="shared" si="2113"/>
        <v>-</v>
      </c>
      <c r="CN334" s="72">
        <f t="shared" si="2114"/>
        <v>254</v>
      </c>
      <c r="CO334" s="72">
        <f t="shared" si="2115"/>
        <v>260</v>
      </c>
      <c r="CP334" s="72">
        <f t="shared" si="2116"/>
        <v>298</v>
      </c>
      <c r="CQ334" s="72">
        <f t="shared" si="2117"/>
        <v>332</v>
      </c>
      <c r="CR334" s="72">
        <f t="shared" si="2118"/>
        <v>369</v>
      </c>
      <c r="CS334" s="72" t="str">
        <f t="shared" si="2119"/>
        <v>-</v>
      </c>
      <c r="CT334" s="23">
        <f t="shared" si="2120"/>
        <v>1</v>
      </c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  <c r="AMO334" s="1"/>
    </row>
    <row r="335" spans="1:1030" x14ac:dyDescent="0.2">
      <c r="A335" s="3" t="str">
        <f t="shared" si="1591"/>
        <v>glr_human__wt</v>
      </c>
      <c r="B335" s="3" t="s">
        <v>32</v>
      </c>
      <c r="C335" s="3" t="s">
        <v>100</v>
      </c>
      <c r="D335" s="3" t="str">
        <f>IFERROR(MID(VLOOKUP($B335,Seqs!$A:$B,2,0),E335,1),"")</f>
        <v>Q</v>
      </c>
      <c r="E335" s="105">
        <v>131</v>
      </c>
      <c r="F335" s="3" t="str">
        <f>IFERROR(MID(VLOOKUP($B335,Seqs!$A:$B,2,0),G335,1),"")</f>
        <v>L</v>
      </c>
      <c r="G335" s="3">
        <v>166</v>
      </c>
      <c r="H335" s="3" t="str">
        <f>IFERROR(MID(VLOOKUP($B335,Seqs!$A:$B,2,0),I335,1),"")</f>
        <v>S</v>
      </c>
      <c r="I335" s="23">
        <v>167</v>
      </c>
      <c r="J335" s="3" t="str">
        <f>IFERROR(MID(VLOOKUP($B335,Seqs!$A:$B,2,0),K335,1),"")</f>
        <v>H</v>
      </c>
      <c r="K335" s="23">
        <v>170</v>
      </c>
      <c r="L335" s="3" t="str">
        <f>IFERROR(MID(VLOOKUP($B335,Seqs!$A:$B,2,0),M335,1),"")</f>
        <v>C</v>
      </c>
      <c r="M335" s="23">
        <v>171</v>
      </c>
      <c r="N335" s="3" t="str">
        <f>IFERROR(MID(VLOOKUP($B335,Seqs!$A:$B,2,0),O335,1),"")</f>
        <v>S</v>
      </c>
      <c r="O335" s="105">
        <v>203</v>
      </c>
      <c r="P335" s="3" t="str">
        <f>IFERROR(MID(VLOOKUP($B335,Seqs!$A:$B,2,0),Q335,1),"")</f>
        <v/>
      </c>
      <c r="Q335" s="3" t="s">
        <v>23</v>
      </c>
      <c r="R335" s="3" t="str">
        <f>IFERROR(MID(VLOOKUP($B335,Seqs!$A:$B,2,0),S335,1),"")</f>
        <v/>
      </c>
      <c r="S335" s="3" t="s">
        <v>23</v>
      </c>
      <c r="T335" s="3" t="str">
        <f>IFERROR(MID(VLOOKUP($B335,Seqs!$A:$B,2,0),U335,1),"")</f>
        <v>A</v>
      </c>
      <c r="U335" s="3">
        <v>220</v>
      </c>
      <c r="V335" s="3" t="str">
        <f>IFERROR(MID(VLOOKUP($B335,Seqs!$A:$B,2,0),W335,1),"")</f>
        <v>L</v>
      </c>
      <c r="W335" s="3">
        <v>255</v>
      </c>
      <c r="X335" s="3" t="str">
        <f>IFERROR(MID(VLOOKUP($B335,Seqs!$A:$B,2,0),Y335,1),"")</f>
        <v/>
      </c>
      <c r="Y335" s="3" t="s">
        <v>23</v>
      </c>
      <c r="Z335" s="3" t="str">
        <f>IFERROR(MID(VLOOKUP($B335,Seqs!$A:$B,2,0),AA335,1),"")</f>
        <v/>
      </c>
      <c r="AA335" s="3" t="s">
        <v>23</v>
      </c>
      <c r="AB335" s="3" t="str">
        <f>IFERROR(MID(VLOOKUP($B335,Seqs!$A:$B,2,0),AC335,1),"")</f>
        <v>S</v>
      </c>
      <c r="AC335" s="9">
        <v>262</v>
      </c>
      <c r="AD335" s="3" t="str">
        <f>IFERROR(MID(VLOOKUP($B335,Seqs!$A:$B,2,0),AE335,1),"")</f>
        <v>E</v>
      </c>
      <c r="AE335" s="3">
        <v>290</v>
      </c>
      <c r="AF335" s="3" t="str">
        <f>IFERROR(MID(VLOOKUP($B335,Seqs!$A:$B,2,0),AG335,1),"")</f>
        <v>C</v>
      </c>
      <c r="AG335" s="3">
        <v>294</v>
      </c>
      <c r="AH335" s="3" t="str">
        <f>IFERROR(MID(VLOOKUP($B335,Seqs!$A:$B,2,0),AI335,1),"")</f>
        <v>T</v>
      </c>
      <c r="AI335" s="3">
        <v>296</v>
      </c>
      <c r="AJ335" s="3" t="str">
        <f>IFERROR(MID(VLOOKUP($B335,Seqs!$A:$B,2,0),AK335,1),"")</f>
        <v>N</v>
      </c>
      <c r="AK335" s="3">
        <v>300</v>
      </c>
      <c r="AL335" s="3" t="str">
        <f>IFERROR(MID(VLOOKUP($B335,Seqs!$A:$B,2,0),AM335,1),"")</f>
        <v>A</v>
      </c>
      <c r="AM335" s="3">
        <v>335</v>
      </c>
      <c r="AN335" s="3" t="str">
        <f>IFERROR(MID(VLOOKUP($B335,Seqs!$A:$B,2,0),AO335,1),"")</f>
        <v>D</v>
      </c>
      <c r="AO335" s="3">
        <v>342</v>
      </c>
      <c r="AP335" s="3" t="str">
        <f>IFERROR(MID(VLOOKUP($B335,Seqs!$A:$B,2,0),AQ335,1),"")</f>
        <v>F</v>
      </c>
      <c r="AQ335" s="3">
        <v>367</v>
      </c>
      <c r="AR335" s="3" t="str">
        <f>IFERROR(MID(VLOOKUP($B335,Seqs!$A:$B,2,0),AS335,1),"")</f>
        <v>Q</v>
      </c>
      <c r="AS335" s="3">
        <v>374</v>
      </c>
      <c r="AT335" s="3" t="str">
        <f>IFERROR(MID(VLOOKUP($B335,Seqs!$A:$B,2,0),AU335,1),"")</f>
        <v>L</v>
      </c>
      <c r="AU335" s="3">
        <v>403</v>
      </c>
      <c r="AV335" s="3" t="str">
        <f>IFERROR(MID(VLOOKUP($B335,Seqs!$A:$B,2,0),AW335,1),"")</f>
        <v>N</v>
      </c>
      <c r="AW335" s="3">
        <v>404</v>
      </c>
      <c r="AX335" s="3" t="str">
        <f>IFERROR(MID(VLOOKUP($B335,Seqs!$A:$B,2,0),AY335,1),"")</f>
        <v>N</v>
      </c>
      <c r="AY335" s="3">
        <v>429</v>
      </c>
      <c r="AZ335" s="77" t="str">
        <f>VLOOKUP(B335,Classification!A:D,2,0)</f>
        <v>B1</v>
      </c>
      <c r="BA335" s="94" t="str">
        <f>VLOOKUP(B335,Classification!A:D,4,0)</f>
        <v>Glucagonreceptorfamily</v>
      </c>
      <c r="BB335" s="27" t="b">
        <f t="shared" si="1592"/>
        <v>1</v>
      </c>
      <c r="BC335" s="23">
        <f t="shared" si="2095"/>
        <v>261</v>
      </c>
      <c r="BD335" s="56" t="s">
        <v>23</v>
      </c>
      <c r="BE335" s="3" t="s">
        <v>23</v>
      </c>
      <c r="BF335" s="119" t="s">
        <v>23</v>
      </c>
      <c r="BG335" s="49" t="s">
        <v>1372</v>
      </c>
      <c r="BH335" s="49" t="s">
        <v>1377</v>
      </c>
      <c r="BI335" s="1"/>
      <c r="BJ335" s="70" t="s">
        <v>1287</v>
      </c>
      <c r="BK335" s="57" t="s">
        <v>1287</v>
      </c>
      <c r="BL335" s="57" t="s">
        <v>1287</v>
      </c>
      <c r="BM335" s="57" t="s">
        <v>1287</v>
      </c>
      <c r="BN335" s="57" t="s">
        <v>1287</v>
      </c>
      <c r="BO335" s="57" t="s">
        <v>1287</v>
      </c>
      <c r="BP335" s="57" t="s">
        <v>1287</v>
      </c>
      <c r="BQ335" s="57" t="s">
        <v>1287</v>
      </c>
      <c r="BR335" s="57" t="s">
        <v>1287</v>
      </c>
      <c r="BS335" s="57" t="s">
        <v>1287</v>
      </c>
      <c r="BT335" s="57" t="s">
        <v>1287</v>
      </c>
      <c r="BU335" s="57" t="s">
        <v>1287</v>
      </c>
      <c r="BV335" s="70">
        <f t="shared" si="2096"/>
        <v>131</v>
      </c>
      <c r="BW335" s="71">
        <f t="shared" si="2097"/>
        <v>167</v>
      </c>
      <c r="BX335" s="72">
        <f t="shared" si="2098"/>
        <v>171</v>
      </c>
      <c r="BY335" s="71" t="str">
        <f t="shared" si="2099"/>
        <v>-</v>
      </c>
      <c r="BZ335" s="72">
        <f t="shared" si="2100"/>
        <v>220</v>
      </c>
      <c r="CA335" s="71" t="str">
        <f t="shared" si="2101"/>
        <v>-</v>
      </c>
      <c r="CB335" s="72">
        <f t="shared" si="2102"/>
        <v>262</v>
      </c>
      <c r="CC335" s="71">
        <f t="shared" si="2103"/>
        <v>294</v>
      </c>
      <c r="CD335" s="72">
        <f t="shared" si="2104"/>
        <v>300</v>
      </c>
      <c r="CE335" s="71">
        <f t="shared" si="2105"/>
        <v>342</v>
      </c>
      <c r="CF335" s="72">
        <f t="shared" si="2106"/>
        <v>374</v>
      </c>
      <c r="CG335" s="71">
        <f t="shared" si="2107"/>
        <v>404</v>
      </c>
      <c r="CH335" s="70">
        <f t="shared" si="2108"/>
        <v>166</v>
      </c>
      <c r="CI335" s="71">
        <f t="shared" si="2109"/>
        <v>170</v>
      </c>
      <c r="CJ335" s="72">
        <f t="shared" si="2110"/>
        <v>203</v>
      </c>
      <c r="CK335" s="72" t="str">
        <f t="shared" si="2111"/>
        <v>-</v>
      </c>
      <c r="CL335" s="72">
        <f t="shared" si="2112"/>
        <v>255</v>
      </c>
      <c r="CM335" s="72" t="str">
        <f t="shared" si="2113"/>
        <v>-</v>
      </c>
      <c r="CN335" s="72">
        <f t="shared" si="2114"/>
        <v>290</v>
      </c>
      <c r="CO335" s="72">
        <f t="shared" si="2115"/>
        <v>296</v>
      </c>
      <c r="CP335" s="72">
        <f t="shared" si="2116"/>
        <v>335</v>
      </c>
      <c r="CQ335" s="72">
        <f t="shared" si="2117"/>
        <v>367</v>
      </c>
      <c r="CR335" s="72">
        <f t="shared" si="2118"/>
        <v>403</v>
      </c>
      <c r="CS335" s="72">
        <f t="shared" si="2119"/>
        <v>429</v>
      </c>
      <c r="CT335" s="23">
        <f t="shared" si="2120"/>
        <v>1</v>
      </c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</row>
    <row r="336" spans="1:1030" x14ac:dyDescent="0.2">
      <c r="A336" s="3" t="str">
        <f t="shared" si="1591"/>
        <v>glr_human_4L6R</v>
      </c>
      <c r="B336" s="3" t="s">
        <v>32</v>
      </c>
      <c r="C336" s="3" t="s">
        <v>51</v>
      </c>
      <c r="D336" s="3" t="str">
        <f>IFERROR(MID(VLOOKUP($B336,Seqs!$A:$B,2,0),E336,1),"")</f>
        <v>G</v>
      </c>
      <c r="E336" s="3">
        <v>125</v>
      </c>
      <c r="F336" s="3" t="str">
        <f>IFERROR(MID(VLOOKUP($B336,Seqs!$A:$B,2,0),G336,1),"")</f>
        <v>G</v>
      </c>
      <c r="G336" s="3">
        <v>164</v>
      </c>
      <c r="H336" s="3" t="str">
        <f>IFERROR(MID(VLOOKUP($B336,Seqs!$A:$B,2,0),I336,1),"")</f>
        <v>S</v>
      </c>
      <c r="I336" s="23">
        <v>167</v>
      </c>
      <c r="J336" s="3" t="str">
        <f>IFERROR(MID(VLOOKUP($B336,Seqs!$A:$B,2,0),K336,1),"")</f>
        <v>H</v>
      </c>
      <c r="K336" s="23">
        <v>170</v>
      </c>
      <c r="L336" s="3" t="str">
        <f>IFERROR(MID(VLOOKUP($B336,Seqs!$A:$B,2,0),M336,1),"")</f>
        <v>C</v>
      </c>
      <c r="M336" s="23">
        <v>171</v>
      </c>
      <c r="N336" s="3" t="str">
        <f>IFERROR(MID(VLOOKUP($B336,Seqs!$A:$B,2,0),O336,1),"")</f>
        <v>R</v>
      </c>
      <c r="O336" s="3">
        <v>199</v>
      </c>
      <c r="P336" s="3" t="str">
        <f>IFERROR(MID(VLOOKUP($B336,Seqs!$A:$B,2,0),Q336,1),"")</f>
        <v/>
      </c>
      <c r="Q336" s="3" t="s">
        <v>23</v>
      </c>
      <c r="R336" s="3" t="str">
        <f>IFERROR(MID(VLOOKUP($B336,Seqs!$A:$B,2,0),S336,1),"")</f>
        <v/>
      </c>
      <c r="S336" s="3" t="s">
        <v>23</v>
      </c>
      <c r="T336" s="3" t="str">
        <f>IFERROR(MID(VLOOKUP($B336,Seqs!$A:$B,2,0),U336,1),"")</f>
        <v>S</v>
      </c>
      <c r="U336" s="3">
        <v>217</v>
      </c>
      <c r="V336" s="3" t="str">
        <f>IFERROR(MID(VLOOKUP($B336,Seqs!$A:$B,2,0),W336,1),"")</f>
        <v>L</v>
      </c>
      <c r="W336" s="3">
        <v>255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A</v>
      </c>
      <c r="AC336" s="9">
        <v>274</v>
      </c>
      <c r="AD336" s="3" t="str">
        <f>IFERROR(MID(VLOOKUP($B336,Seqs!$A:$B,2,0),AE336,1),"")</f>
        <v>E</v>
      </c>
      <c r="AE336" s="3">
        <v>290</v>
      </c>
      <c r="AF336" s="3" t="str">
        <f>IFERROR(MID(VLOOKUP($B336,Seqs!$A:$B,2,0),AG336,1),"")</f>
        <v>C</v>
      </c>
      <c r="AG336" s="3">
        <v>294</v>
      </c>
      <c r="AH336" s="3" t="str">
        <f>IFERROR(MID(VLOOKUP($B336,Seqs!$A:$B,2,0),AI336,1),"")</f>
        <v>T</v>
      </c>
      <c r="AI336" s="3">
        <v>296</v>
      </c>
      <c r="AJ336" s="3" t="str">
        <f>IFERROR(MID(VLOOKUP($B336,Seqs!$A:$B,2,0),AK336,1),"")</f>
        <v>N</v>
      </c>
      <c r="AK336" s="3">
        <v>300</v>
      </c>
      <c r="AL336" s="3" t="str">
        <f>IFERROR(MID(VLOOKUP($B336,Seqs!$A:$B,2,0),AM336,1),"")</f>
        <v>A</v>
      </c>
      <c r="AM336" s="3">
        <v>335</v>
      </c>
      <c r="AN336" s="3" t="str">
        <f>IFERROR(MID(VLOOKUP($B336,Seqs!$A:$B,2,0),AO336,1),"")</f>
        <v>D</v>
      </c>
      <c r="AO336" s="3">
        <v>342</v>
      </c>
      <c r="AP336" s="3" t="str">
        <f>IFERROR(MID(VLOOKUP($B336,Seqs!$A:$B,2,0),AQ336,1),"")</f>
        <v>F</v>
      </c>
      <c r="AQ336" s="3">
        <v>367</v>
      </c>
      <c r="AR336" s="3" t="str">
        <f>IFERROR(MID(VLOOKUP($B336,Seqs!$A:$B,2,0),AS336,1),"")</f>
        <v>Q</v>
      </c>
      <c r="AS336" s="3">
        <v>374</v>
      </c>
      <c r="AT336" s="3" t="str">
        <f>IFERROR(MID(VLOOKUP($B336,Seqs!$A:$B,2,0),AU336,1),"")</f>
        <v>L</v>
      </c>
      <c r="AU336" s="3">
        <v>403</v>
      </c>
      <c r="AV336" s="3" t="str">
        <f>IFERROR(MID(VLOOKUP($B336,Seqs!$A:$B,2,0),AW336,1),"")</f>
        <v>N</v>
      </c>
      <c r="AW336" s="3">
        <v>404</v>
      </c>
      <c r="AX336" s="3" t="str">
        <f>IFERROR(MID(VLOOKUP($B336,Seqs!$A:$B,2,0),AY336,1),"")</f>
        <v>N</v>
      </c>
      <c r="AY336" s="3">
        <v>429</v>
      </c>
      <c r="AZ336" s="77" t="str">
        <f>VLOOKUP(B336,Classification!A:D,2,0)</f>
        <v>B1</v>
      </c>
      <c r="BA336" s="94" t="str">
        <f>VLOOKUP(B336,Classification!A:D,4,0)</f>
        <v>Glucagonreceptorfamily</v>
      </c>
      <c r="BB336" s="27" t="b">
        <f t="shared" si="1592"/>
        <v>1</v>
      </c>
      <c r="BC336" s="23">
        <f t="shared" si="2095"/>
        <v>252</v>
      </c>
      <c r="BD336" s="2" t="s">
        <v>23</v>
      </c>
      <c r="BE336" s="3" t="s">
        <v>1374</v>
      </c>
      <c r="BF336" s="119">
        <v>3.3</v>
      </c>
      <c r="BG336" s="49" t="s">
        <v>1377</v>
      </c>
      <c r="BH336" s="49" t="s">
        <v>1377</v>
      </c>
      <c r="BI336" s="1"/>
      <c r="BJ336" s="70" t="s">
        <v>1287</v>
      </c>
      <c r="BK336" s="57" t="s">
        <v>1287</v>
      </c>
      <c r="BL336" s="57" t="s">
        <v>1287</v>
      </c>
      <c r="BM336" s="57" t="s">
        <v>1287</v>
      </c>
      <c r="BN336" s="57" t="s">
        <v>1287</v>
      </c>
      <c r="BO336" s="57" t="s">
        <v>1287</v>
      </c>
      <c r="BP336" s="57" t="s">
        <v>1287</v>
      </c>
      <c r="BQ336" s="57" t="s">
        <v>1287</v>
      </c>
      <c r="BR336" s="57" t="s">
        <v>1287</v>
      </c>
      <c r="BS336" s="57" t="s">
        <v>1287</v>
      </c>
      <c r="BT336" s="57" t="s">
        <v>1287</v>
      </c>
      <c r="BU336" s="57" t="s">
        <v>1287</v>
      </c>
      <c r="BV336" s="70">
        <f t="shared" si="2096"/>
        <v>125</v>
      </c>
      <c r="BW336" s="71">
        <f t="shared" si="2097"/>
        <v>167</v>
      </c>
      <c r="BX336" s="72">
        <f t="shared" si="2098"/>
        <v>171</v>
      </c>
      <c r="BY336" s="71" t="str">
        <f t="shared" si="2099"/>
        <v>-</v>
      </c>
      <c r="BZ336" s="72">
        <f t="shared" si="2100"/>
        <v>217</v>
      </c>
      <c r="CA336" s="71" t="str">
        <f t="shared" si="2101"/>
        <v>-</v>
      </c>
      <c r="CB336" s="72">
        <f t="shared" si="2102"/>
        <v>274</v>
      </c>
      <c r="CC336" s="71">
        <f t="shared" si="2103"/>
        <v>294</v>
      </c>
      <c r="CD336" s="72">
        <f t="shared" si="2104"/>
        <v>300</v>
      </c>
      <c r="CE336" s="71">
        <f t="shared" si="2105"/>
        <v>342</v>
      </c>
      <c r="CF336" s="72">
        <f t="shared" si="2106"/>
        <v>374</v>
      </c>
      <c r="CG336" s="71">
        <f t="shared" si="2107"/>
        <v>404</v>
      </c>
      <c r="CH336" s="70">
        <f t="shared" si="2108"/>
        <v>164</v>
      </c>
      <c r="CI336" s="71">
        <f t="shared" si="2109"/>
        <v>170</v>
      </c>
      <c r="CJ336" s="72">
        <f t="shared" si="2110"/>
        <v>199</v>
      </c>
      <c r="CK336" s="72" t="str">
        <f t="shared" si="2111"/>
        <v>-</v>
      </c>
      <c r="CL336" s="72">
        <f t="shared" si="2112"/>
        <v>255</v>
      </c>
      <c r="CM336" s="72" t="str">
        <f t="shared" si="2113"/>
        <v>-</v>
      </c>
      <c r="CN336" s="72">
        <f t="shared" si="2114"/>
        <v>290</v>
      </c>
      <c r="CO336" s="72">
        <f t="shared" si="2115"/>
        <v>296</v>
      </c>
      <c r="CP336" s="72">
        <f t="shared" si="2116"/>
        <v>335</v>
      </c>
      <c r="CQ336" s="72">
        <f t="shared" si="2117"/>
        <v>367</v>
      </c>
      <c r="CR336" s="72">
        <f t="shared" si="2118"/>
        <v>403</v>
      </c>
      <c r="CS336" s="72">
        <f t="shared" si="2119"/>
        <v>429</v>
      </c>
      <c r="CT336" s="23">
        <f t="shared" si="2120"/>
        <v>1</v>
      </c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</row>
    <row r="337" spans="1:1029" x14ac:dyDescent="0.2">
      <c r="A337" s="3" t="str">
        <f t="shared" si="1591"/>
        <v>glr_human_4L6R_dist</v>
      </c>
      <c r="B337" s="3" t="s">
        <v>32</v>
      </c>
      <c r="C337" s="3" t="s">
        <v>1276</v>
      </c>
      <c r="D337" s="3" t="str">
        <f>IFERROR(MID(VLOOKUP($B337,Seqs!$A:$B,2,0),E337,1),"")</f>
        <v>G</v>
      </c>
      <c r="E337" s="3">
        <v>125</v>
      </c>
      <c r="F337" s="3" t="str">
        <f>IFERROR(MID(VLOOKUP($B337,Seqs!$A:$B,2,0),G337,1),"")</f>
        <v>G</v>
      </c>
      <c r="G337" s="3">
        <v>164</v>
      </c>
      <c r="H337" s="3" t="str">
        <f>IFERROR(MID(VLOOKUP($B337,Seqs!$A:$B,2,0),I337,1),"")</f>
        <v>S</v>
      </c>
      <c r="I337" s="23">
        <v>167</v>
      </c>
      <c r="J337" s="3" t="str">
        <f>IFERROR(MID(VLOOKUP($B337,Seqs!$A:$B,2,0),K337,1),"")</f>
        <v>H</v>
      </c>
      <c r="K337" s="23">
        <v>170</v>
      </c>
      <c r="L337" s="3" t="str">
        <f>IFERROR(MID(VLOOKUP($B337,Seqs!$A:$B,2,0),M337,1),"")</f>
        <v>C</v>
      </c>
      <c r="M337" s="23">
        <v>171</v>
      </c>
      <c r="N337" s="3" t="str">
        <f>IFERROR(MID(VLOOKUP($B337,Seqs!$A:$B,2,0),O337,1),"")</f>
        <v>R</v>
      </c>
      <c r="O337" s="3">
        <v>199</v>
      </c>
      <c r="P337" s="3" t="str">
        <f>IFERROR(MID(VLOOKUP($B337,Seqs!$A:$B,2,0),Q337,1),"")</f>
        <v/>
      </c>
      <c r="Q337" s="3" t="s">
        <v>23</v>
      </c>
      <c r="R337" s="3" t="str">
        <f>IFERROR(MID(VLOOKUP($B337,Seqs!$A:$B,2,0),S337,1),"")</f>
        <v/>
      </c>
      <c r="S337" s="3" t="s">
        <v>23</v>
      </c>
      <c r="T337" s="3" t="str">
        <f>IFERROR(MID(VLOOKUP($B337,Seqs!$A:$B,2,0),U337,1),"")</f>
        <v>S</v>
      </c>
      <c r="U337" s="3">
        <v>217</v>
      </c>
      <c r="V337" s="3" t="str">
        <f>IFERROR(MID(VLOOKUP($B337,Seqs!$A:$B,2,0),W337,1),"")</f>
        <v>L</v>
      </c>
      <c r="W337" s="3">
        <v>255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S</v>
      </c>
      <c r="AC337" s="9">
        <v>262</v>
      </c>
      <c r="AD337" s="3" t="str">
        <f>IFERROR(MID(VLOOKUP($B337,Seqs!$A:$B,2,0),AE337,1),"")</f>
        <v>E</v>
      </c>
      <c r="AE337" s="3">
        <v>290</v>
      </c>
      <c r="AF337" s="3" t="str">
        <f>IFERROR(MID(VLOOKUP($B337,Seqs!$A:$B,2,0),AG337,1),"")</f>
        <v>C</v>
      </c>
      <c r="AG337" s="3">
        <v>294</v>
      </c>
      <c r="AH337" s="3" t="str">
        <f>IFERROR(MID(VLOOKUP($B337,Seqs!$A:$B,2,0),AI337,1),"")</f>
        <v>T</v>
      </c>
      <c r="AI337" s="3">
        <v>296</v>
      </c>
      <c r="AJ337" s="3" t="str">
        <f>IFERROR(MID(VLOOKUP($B337,Seqs!$A:$B,2,0),AK337,1),"")</f>
        <v>N</v>
      </c>
      <c r="AK337" s="3">
        <v>300</v>
      </c>
      <c r="AL337" s="3" t="str">
        <f>IFERROR(MID(VLOOKUP($B337,Seqs!$A:$B,2,0),AM337,1),"")</f>
        <v>A</v>
      </c>
      <c r="AM337" s="3">
        <v>335</v>
      </c>
      <c r="AN337" s="3" t="str">
        <f>IFERROR(MID(VLOOKUP($B337,Seqs!$A:$B,2,0),AO337,1),"")</f>
        <v>D</v>
      </c>
      <c r="AO337" s="3">
        <v>342</v>
      </c>
      <c r="AP337" s="3" t="str">
        <f>IFERROR(MID(VLOOKUP($B337,Seqs!$A:$B,2,0),AQ337,1),"")</f>
        <v>F</v>
      </c>
      <c r="AQ337" s="3">
        <v>367</v>
      </c>
      <c r="AR337" s="3" t="str">
        <f>IFERROR(MID(VLOOKUP($B337,Seqs!$A:$B,2,0),AS337,1),"")</f>
        <v>Q</v>
      </c>
      <c r="AS337" s="3">
        <v>374</v>
      </c>
      <c r="AT337" s="3" t="str">
        <f>IFERROR(MID(VLOOKUP($B337,Seqs!$A:$B,2,0),AU337,1),"")</f>
        <v>L</v>
      </c>
      <c r="AU337" s="3">
        <v>403</v>
      </c>
      <c r="AV337" s="3" t="str">
        <f>IFERROR(MID(VLOOKUP($B337,Seqs!$A:$B,2,0),AW337,1),"")</f>
        <v>N</v>
      </c>
      <c r="AW337" s="3">
        <v>404</v>
      </c>
      <c r="AX337" s="3" t="str">
        <f>IFERROR(MID(VLOOKUP($B337,Seqs!$A:$B,2,0),AY337,1),"")</f>
        <v>N</v>
      </c>
      <c r="AY337" s="3">
        <v>429</v>
      </c>
      <c r="AZ337" s="77" t="str">
        <f>VLOOKUP(B337,Classification!A:D,2,0)</f>
        <v>B1</v>
      </c>
      <c r="BA337" s="94" t="str">
        <f>VLOOKUP(B337,Classification!A:D,4,0)</f>
        <v>Glucagonreceptorfamily</v>
      </c>
      <c r="BB337" s="27" t="b">
        <f t="shared" si="1592"/>
        <v>1</v>
      </c>
      <c r="BC337" s="23">
        <f t="shared" si="2095"/>
        <v>264</v>
      </c>
      <c r="BD337" s="56" t="s">
        <v>23</v>
      </c>
      <c r="BE337" s="3" t="s">
        <v>1374</v>
      </c>
      <c r="BF337" s="119">
        <v>3.3</v>
      </c>
      <c r="BG337" s="49" t="s">
        <v>1377</v>
      </c>
      <c r="BH337" s="49" t="s">
        <v>1377</v>
      </c>
      <c r="BI337" s="1"/>
      <c r="BJ337" s="70" t="s">
        <v>1287</v>
      </c>
      <c r="BK337" s="57" t="s">
        <v>1287</v>
      </c>
      <c r="BL337" s="57" t="s">
        <v>1287</v>
      </c>
      <c r="BM337" s="57" t="s">
        <v>1287</v>
      </c>
      <c r="BN337" s="57" t="s">
        <v>1287</v>
      </c>
      <c r="BO337" s="57" t="s">
        <v>1287</v>
      </c>
      <c r="BP337" s="57" t="s">
        <v>1287</v>
      </c>
      <c r="BQ337" s="57" t="s">
        <v>1287</v>
      </c>
      <c r="BR337" s="57" t="s">
        <v>1287</v>
      </c>
      <c r="BS337" s="57" t="s">
        <v>1287</v>
      </c>
      <c r="BT337" s="57" t="s">
        <v>1287</v>
      </c>
      <c r="BU337" s="57" t="s">
        <v>1287</v>
      </c>
      <c r="BV337" s="70">
        <f t="shared" si="2096"/>
        <v>125</v>
      </c>
      <c r="BW337" s="71">
        <f t="shared" si="2097"/>
        <v>167</v>
      </c>
      <c r="BX337" s="72">
        <f t="shared" si="2098"/>
        <v>171</v>
      </c>
      <c r="BY337" s="71" t="str">
        <f t="shared" si="2099"/>
        <v>-</v>
      </c>
      <c r="BZ337" s="72">
        <f t="shared" si="2100"/>
        <v>217</v>
      </c>
      <c r="CA337" s="71" t="str">
        <f t="shared" si="2101"/>
        <v>-</v>
      </c>
      <c r="CB337" s="72">
        <f t="shared" si="2102"/>
        <v>262</v>
      </c>
      <c r="CC337" s="71">
        <f t="shared" si="2103"/>
        <v>294</v>
      </c>
      <c r="CD337" s="72">
        <f t="shared" si="2104"/>
        <v>300</v>
      </c>
      <c r="CE337" s="71">
        <f t="shared" si="2105"/>
        <v>342</v>
      </c>
      <c r="CF337" s="72">
        <f t="shared" si="2106"/>
        <v>374</v>
      </c>
      <c r="CG337" s="71">
        <f t="shared" si="2107"/>
        <v>404</v>
      </c>
      <c r="CH337" s="70">
        <f t="shared" si="2108"/>
        <v>164</v>
      </c>
      <c r="CI337" s="71">
        <f t="shared" si="2109"/>
        <v>170</v>
      </c>
      <c r="CJ337" s="72">
        <f t="shared" si="2110"/>
        <v>199</v>
      </c>
      <c r="CK337" s="72" t="str">
        <f t="shared" si="2111"/>
        <v>-</v>
      </c>
      <c r="CL337" s="72">
        <f t="shared" si="2112"/>
        <v>255</v>
      </c>
      <c r="CM337" s="72" t="str">
        <f t="shared" si="2113"/>
        <v>-</v>
      </c>
      <c r="CN337" s="72">
        <f t="shared" si="2114"/>
        <v>290</v>
      </c>
      <c r="CO337" s="72">
        <f t="shared" si="2115"/>
        <v>296</v>
      </c>
      <c r="CP337" s="72">
        <f t="shared" si="2116"/>
        <v>335</v>
      </c>
      <c r="CQ337" s="72">
        <f t="shared" si="2117"/>
        <v>367</v>
      </c>
      <c r="CR337" s="72">
        <f t="shared" si="2118"/>
        <v>403</v>
      </c>
      <c r="CS337" s="72">
        <f t="shared" si="2119"/>
        <v>429</v>
      </c>
      <c r="CT337" s="23">
        <f t="shared" si="2120"/>
        <v>1</v>
      </c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  <c r="AMO337" s="1"/>
    </row>
    <row r="338" spans="1:1029" x14ac:dyDescent="0.2">
      <c r="A338" s="3" t="str">
        <f t="shared" ref="A338:A373" si="2121">CONCATENATE(B338,"_",C338)</f>
        <v>glr_human_5EE7</v>
      </c>
      <c r="B338" s="3" t="s">
        <v>32</v>
      </c>
      <c r="C338" s="3" t="s">
        <v>49</v>
      </c>
      <c r="D338" s="3" t="str">
        <f>IFERROR(MID(VLOOKUP($B338,Seqs!$A:$B,2,0),E338,1),"")</f>
        <v>Y</v>
      </c>
      <c r="E338" s="3">
        <v>138</v>
      </c>
      <c r="F338" s="3" t="str">
        <f>IFERROR(MID(VLOOKUP($B338,Seqs!$A:$B,2,0),G338,1),"")</f>
        <v>L</v>
      </c>
      <c r="G338" s="3">
        <v>166</v>
      </c>
      <c r="H338" s="3" t="str">
        <f>IFERROR(MID(VLOOKUP($B338,Seqs!$A:$B,2,0),I338,1),"")</f>
        <v>S</v>
      </c>
      <c r="I338" s="23">
        <v>167</v>
      </c>
      <c r="J338" s="3" t="str">
        <f>IFERROR(MID(VLOOKUP($B338,Seqs!$A:$B,2,0),K338,1),"")</f>
        <v>H</v>
      </c>
      <c r="K338" s="23">
        <v>170</v>
      </c>
      <c r="L338" s="3" t="str">
        <f>IFERROR(MID(VLOOKUP($B338,Seqs!$A:$B,2,0),M338,1),"")</f>
        <v>C</v>
      </c>
      <c r="M338" s="23">
        <v>171</v>
      </c>
      <c r="N338" s="3" t="str">
        <f>IFERROR(MID(VLOOKUP($B338,Seqs!$A:$B,2,0),O338,1),"")</f>
        <v>R</v>
      </c>
      <c r="O338" s="3">
        <v>199</v>
      </c>
      <c r="P338" s="3" t="str">
        <f>IFERROR(MID(VLOOKUP($B338,Seqs!$A:$B,2,0),Q338,1),"")</f>
        <v/>
      </c>
      <c r="Q338" s="3" t="s">
        <v>23</v>
      </c>
      <c r="R338" s="3" t="str">
        <f>IFERROR(MID(VLOOKUP($B338,Seqs!$A:$B,2,0),S338,1),"")</f>
        <v/>
      </c>
      <c r="S338" s="3" t="s">
        <v>23</v>
      </c>
      <c r="T338" s="3" t="str">
        <f>IFERROR(MID(VLOOKUP($B338,Seqs!$A:$B,2,0),U338,1),"")</f>
        <v>D</v>
      </c>
      <c r="U338" s="3">
        <v>218</v>
      </c>
      <c r="V338" s="3" t="str">
        <f>IFERROR(MID(VLOOKUP($B338,Seqs!$A:$B,2,0),W338,1),"")</f>
        <v>G</v>
      </c>
      <c r="W338" s="3">
        <v>254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S</v>
      </c>
      <c r="AC338" s="9">
        <v>262</v>
      </c>
      <c r="AD338" s="3" t="str">
        <f>IFERROR(MID(VLOOKUP($B338,Seqs!$A:$B,2,0),AE338,1),"")</f>
        <v>E</v>
      </c>
      <c r="AE338" s="3">
        <v>290</v>
      </c>
      <c r="AF338" s="3" t="str">
        <f>IFERROR(MID(VLOOKUP($B338,Seqs!$A:$B,2,0),AG338,1),"")</f>
        <v>C</v>
      </c>
      <c r="AG338" s="3">
        <v>294</v>
      </c>
      <c r="AH338" s="3" t="str">
        <f>IFERROR(MID(VLOOKUP($B338,Seqs!$A:$B,2,0),AI338,1),"")</f>
        <v>T</v>
      </c>
      <c r="AI338" s="3">
        <v>296</v>
      </c>
      <c r="AJ338" s="3" t="str">
        <f>IFERROR(MID(VLOOKUP($B338,Seqs!$A:$B,2,0),AK338,1),"")</f>
        <v>R</v>
      </c>
      <c r="AK338" s="105">
        <v>308</v>
      </c>
      <c r="AL338" s="3" t="str">
        <f>IFERROR(MID(VLOOKUP($B338,Seqs!$A:$B,2,0),AM338,1),"")</f>
        <v>A</v>
      </c>
      <c r="AM338" s="3">
        <v>335</v>
      </c>
      <c r="AN338" s="3" t="str">
        <f>IFERROR(MID(VLOOKUP($B338,Seqs!$A:$B,2,0),AO338,1),"")</f>
        <v>D</v>
      </c>
      <c r="AO338" s="3">
        <v>342</v>
      </c>
      <c r="AP338" s="3" t="str">
        <f>IFERROR(MID(VLOOKUP($B338,Seqs!$A:$B,2,0),AQ338,1),"")</f>
        <v>D</v>
      </c>
      <c r="AQ338" s="3">
        <v>370</v>
      </c>
      <c r="AR338" s="3" t="str">
        <f>IFERROR(MID(VLOOKUP($B338,Seqs!$A:$B,2,0),AS338,1),"")</f>
        <v>S</v>
      </c>
      <c r="AS338" s="3">
        <v>379</v>
      </c>
      <c r="AT338" s="3" t="str">
        <f>IFERROR(MID(VLOOKUP($B338,Seqs!$A:$B,2,0),AU338,1),"")</f>
        <v>F</v>
      </c>
      <c r="AU338" s="3">
        <v>402</v>
      </c>
      <c r="AV338" s="3" t="str">
        <f>IFERROR(MID(VLOOKUP($B338,Seqs!$A:$B,2,0),AW338,1),"")</f>
        <v>N</v>
      </c>
      <c r="AW338" s="3">
        <v>404</v>
      </c>
      <c r="AX338" s="3" t="str">
        <f>IFERROR(MID(VLOOKUP($B338,Seqs!$A:$B,2,0),AY338,1),"")</f>
        <v>R</v>
      </c>
      <c r="AY338" s="3">
        <v>417</v>
      </c>
      <c r="AZ338" s="77" t="str">
        <f>VLOOKUP(B338,Classification!A:D,2,0)</f>
        <v>B1</v>
      </c>
      <c r="BA338" s="94" t="str">
        <f>VLOOKUP(B338,Classification!A:D,4,0)</f>
        <v>Glucagonreceptorfamily</v>
      </c>
      <c r="BB338" s="27" t="b">
        <f t="shared" ref="BB338:BB373" si="2122">AND(E338&lt;G338,OR(G338&lt;I338,I338="-"),OR(I338&lt;K338,I338="-"),OR(K338&lt;M338,K338="-"),M338&lt;O338,OR(O338&lt;Q338,Q338="-"),OR(Q338&lt;S338,Q338="-"),OR(S338&lt;U338,S338="-"),U338&lt;W338,OR(W338&lt;Y338,Y338="-"),OR(Y338&lt;AA338,Y338="-"),OR(AA338&lt;AC338,AA338="-"),AC338&lt;AE338,OR(AE338&lt;AG338,AG338="-"),OR(AG338&lt;AI338,AG338="-"),OR(AI338&lt;AK338,AI338="-"),AK338&lt;AM338,AM338&lt;AO338,AO338&lt;AQ338,AQ338&lt;AS338,AS338&lt;AU338,OR(AU338&lt;AW338,AW338="-"),OR(AW338&lt;AY338,AW338="-"))</f>
        <v>1</v>
      </c>
      <c r="BC338" s="23">
        <f t="shared" si="2095"/>
        <v>228</v>
      </c>
      <c r="BD338" s="4" t="s">
        <v>23</v>
      </c>
      <c r="BE338" s="3" t="s">
        <v>1374</v>
      </c>
      <c r="BF338" s="119">
        <v>2.5</v>
      </c>
      <c r="BG338" s="49" t="s">
        <v>1377</v>
      </c>
      <c r="BH338" s="49" t="s">
        <v>1377</v>
      </c>
      <c r="BI338" s="1"/>
      <c r="BJ338" s="70" t="s">
        <v>1287</v>
      </c>
      <c r="BK338" s="57" t="s">
        <v>1287</v>
      </c>
      <c r="BL338" s="57" t="s">
        <v>1287</v>
      </c>
      <c r="BM338" s="57" t="s">
        <v>1287</v>
      </c>
      <c r="BN338" s="57" t="s">
        <v>1287</v>
      </c>
      <c r="BO338" s="57" t="s">
        <v>1287</v>
      </c>
      <c r="BP338" s="57" t="s">
        <v>1287</v>
      </c>
      <c r="BQ338" s="57" t="s">
        <v>1287</v>
      </c>
      <c r="BR338" s="57" t="s">
        <v>1287</v>
      </c>
      <c r="BS338" s="57" t="s">
        <v>1287</v>
      </c>
      <c r="BT338" s="57" t="s">
        <v>1287</v>
      </c>
      <c r="BU338" s="57" t="s">
        <v>1287</v>
      </c>
      <c r="BV338" s="70">
        <f t="shared" si="2096"/>
        <v>138</v>
      </c>
      <c r="BW338" s="71">
        <f t="shared" si="2097"/>
        <v>167</v>
      </c>
      <c r="BX338" s="72">
        <f t="shared" si="2098"/>
        <v>171</v>
      </c>
      <c r="BY338" s="71" t="str">
        <f t="shared" si="2099"/>
        <v>-</v>
      </c>
      <c r="BZ338" s="72">
        <f t="shared" si="2100"/>
        <v>218</v>
      </c>
      <c r="CA338" s="71" t="str">
        <f t="shared" si="2101"/>
        <v>-</v>
      </c>
      <c r="CB338" s="72">
        <f t="shared" si="2102"/>
        <v>262</v>
      </c>
      <c r="CC338" s="71">
        <f t="shared" si="2103"/>
        <v>294</v>
      </c>
      <c r="CD338" s="72">
        <f t="shared" si="2104"/>
        <v>308</v>
      </c>
      <c r="CE338" s="71">
        <f t="shared" si="2105"/>
        <v>342</v>
      </c>
      <c r="CF338" s="72">
        <f t="shared" si="2106"/>
        <v>379</v>
      </c>
      <c r="CG338" s="71">
        <f t="shared" si="2107"/>
        <v>404</v>
      </c>
      <c r="CH338" s="70">
        <f t="shared" si="2108"/>
        <v>166</v>
      </c>
      <c r="CI338" s="71">
        <f t="shared" si="2109"/>
        <v>170</v>
      </c>
      <c r="CJ338" s="72">
        <f t="shared" si="2110"/>
        <v>199</v>
      </c>
      <c r="CK338" s="72" t="str">
        <f t="shared" si="2111"/>
        <v>-</v>
      </c>
      <c r="CL338" s="72">
        <f t="shared" si="2112"/>
        <v>254</v>
      </c>
      <c r="CM338" s="72" t="str">
        <f t="shared" si="2113"/>
        <v>-</v>
      </c>
      <c r="CN338" s="72">
        <f t="shared" si="2114"/>
        <v>290</v>
      </c>
      <c r="CO338" s="72">
        <f t="shared" si="2115"/>
        <v>296</v>
      </c>
      <c r="CP338" s="72">
        <f t="shared" si="2116"/>
        <v>335</v>
      </c>
      <c r="CQ338" s="72">
        <f t="shared" si="2117"/>
        <v>370</v>
      </c>
      <c r="CR338" s="72">
        <f t="shared" si="2118"/>
        <v>402</v>
      </c>
      <c r="CS338" s="72">
        <f t="shared" si="2119"/>
        <v>417</v>
      </c>
      <c r="CT338" s="23">
        <f t="shared" si="2120"/>
        <v>1</v>
      </c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  <c r="AMO338" s="1"/>
    </row>
    <row r="339" spans="1:1029" x14ac:dyDescent="0.2">
      <c r="A339" s="3" t="str">
        <f t="shared" ref="A339:A348" si="2123">CONCATENATE(B339,"_",C339)</f>
        <v>glr_human_5XEZ</v>
      </c>
      <c r="B339" s="3" t="s">
        <v>32</v>
      </c>
      <c r="C339" s="3" t="s">
        <v>1409</v>
      </c>
      <c r="D339" s="3" t="str">
        <f>IFERROR(MID(VLOOKUP($B339,Seqs!$A:$B,2,0),E339,1),"")</f>
        <v>Q</v>
      </c>
      <c r="E339" s="3">
        <v>131</v>
      </c>
      <c r="F339" s="3" t="str">
        <f>IFERROR(MID(VLOOKUP($B339,Seqs!$A:$B,2,0),G339,1),"")</f>
        <v>G</v>
      </c>
      <c r="G339" s="3">
        <v>164</v>
      </c>
      <c r="H339" s="3" t="str">
        <f>IFERROR(MID(VLOOKUP($B339,Seqs!$A:$B,2,0),I339,1),"")</f>
        <v>S</v>
      </c>
      <c r="I339" s="23">
        <v>167</v>
      </c>
      <c r="J339" s="3" t="str">
        <f>IFERROR(MID(VLOOKUP($B339,Seqs!$A:$B,2,0),K339,1),"")</f>
        <v>H</v>
      </c>
      <c r="K339" s="23">
        <v>170</v>
      </c>
      <c r="L339" s="3" t="str">
        <f>IFERROR(MID(VLOOKUP($B339,Seqs!$A:$B,2,0),M339,1),"")</f>
        <v>C</v>
      </c>
      <c r="M339" s="23">
        <v>171</v>
      </c>
      <c r="N339" s="3" t="str">
        <f>IFERROR(MID(VLOOKUP($B339,Seqs!$A:$B,2,0),O339,1),"")</f>
        <v>R</v>
      </c>
      <c r="O339" s="3">
        <v>201</v>
      </c>
      <c r="P339" s="3" t="str">
        <f>IFERROR(MID(VLOOKUP($B339,Seqs!$A:$B,2,0),Q339,1),"")</f>
        <v/>
      </c>
      <c r="Q339" s="3" t="s">
        <v>23</v>
      </c>
      <c r="R339" s="3" t="str">
        <f>IFERROR(MID(VLOOKUP($B339,Seqs!$A:$B,2,0),S339,1),"")</f>
        <v/>
      </c>
      <c r="S339" s="3" t="s">
        <v>23</v>
      </c>
      <c r="T339" s="3" t="str">
        <f>IFERROR(MID(VLOOKUP($B339,Seqs!$A:$B,2,0),U339,1),"")</f>
        <v>S</v>
      </c>
      <c r="U339" s="3">
        <v>217</v>
      </c>
      <c r="V339" s="3" t="str">
        <f>IFERROR(MID(VLOOKUP($B339,Seqs!$A:$B,2,0),W339,1),"")</f>
        <v>L</v>
      </c>
      <c r="W339" s="3">
        <v>255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E</v>
      </c>
      <c r="AC339" s="3">
        <v>260</v>
      </c>
      <c r="AD339" s="3" t="str">
        <f>IFERROR(MID(VLOOKUP($B339,Seqs!$A:$B,2,0),AE339,1),"")</f>
        <v>E</v>
      </c>
      <c r="AE339" s="3">
        <v>290</v>
      </c>
      <c r="AF339" s="3" t="str">
        <f>IFERROR(MID(VLOOKUP($B339,Seqs!$A:$B,2,0),AG339,1),"")</f>
        <v>C</v>
      </c>
      <c r="AG339" s="3">
        <v>294</v>
      </c>
      <c r="AH339" s="3" t="str">
        <f>IFERROR(MID(VLOOKUP($B339,Seqs!$A:$B,2,0),AI339,1),"")</f>
        <v>T</v>
      </c>
      <c r="AI339" s="3">
        <v>296</v>
      </c>
      <c r="AJ339" s="3" t="str">
        <f>IFERROR(MID(VLOOKUP($B339,Seqs!$A:$B,2,0),AK339,1),"")</f>
        <v>G</v>
      </c>
      <c r="AK339" s="3">
        <v>302</v>
      </c>
      <c r="AL339" s="3" t="str">
        <f>IFERROR(MID(VLOOKUP($B339,Seqs!$A:$B,2,0),AM339,1),"")</f>
        <v>R</v>
      </c>
      <c r="AM339" s="3">
        <v>334</v>
      </c>
      <c r="AN339" s="3" t="str">
        <f>IFERROR(MID(VLOOKUP($B339,Seqs!$A:$B,2,0),AO339,1),"")</f>
        <v>D</v>
      </c>
      <c r="AO339" s="3">
        <v>342</v>
      </c>
      <c r="AP339" s="3" t="str">
        <f>IFERROR(MID(VLOOKUP($B339,Seqs!$A:$B,2,0),AQ339,1),"")</f>
        <v>F</v>
      </c>
      <c r="AQ339" s="3">
        <v>367</v>
      </c>
      <c r="AR339" s="3" t="str">
        <f>IFERROR(MID(VLOOKUP($B339,Seqs!$A:$B,2,0),AS339,1),"")</f>
        <v>G</v>
      </c>
      <c r="AS339" s="3">
        <v>375</v>
      </c>
      <c r="AT339" s="3" t="str">
        <f>IFERROR(MID(VLOOKUP($B339,Seqs!$A:$B,2,0),AU339,1),"")</f>
        <v>L</v>
      </c>
      <c r="AU339" s="3">
        <v>403</v>
      </c>
      <c r="AV339" s="3" t="str">
        <f>IFERROR(MID(VLOOKUP($B339,Seqs!$A:$B,2,0),AW339,1),"")</f>
        <v>N</v>
      </c>
      <c r="AW339" s="3">
        <v>404</v>
      </c>
      <c r="AX339" s="3" t="str">
        <f>IFERROR(MID(VLOOKUP($B339,Seqs!$A:$B,2,0),AY339,1),"")</f>
        <v>W</v>
      </c>
      <c r="AY339" s="3">
        <v>415</v>
      </c>
      <c r="AZ339" s="77" t="str">
        <f>VLOOKUP(B339,Classification!A:D,2,0)</f>
        <v>B1</v>
      </c>
      <c r="BA339" s="94" t="str">
        <f>VLOOKUP(B339,Classification!A:D,4,0)</f>
        <v>Glucagonreceptorfamily</v>
      </c>
      <c r="BB339" s="27" t="b">
        <f t="shared" ref="BB339:BB348" si="2124">AND(E339&lt;G339,OR(G339&lt;I339,I339="-"),OR(I339&lt;K339,I339="-"),OR(K339&lt;M339,K339="-"),M339&lt;O339,OR(O339&lt;Q339,Q339="-"),OR(Q339&lt;S339,Q339="-"),OR(S339&lt;U339,S339="-"),U339&lt;W339,OR(W339&lt;Y339,Y339="-"),OR(Y339&lt;AA339,Y339="-"),OR(AA339&lt;AC339,AA339="-"),AC339&lt;AE339,OR(AE339&lt;AG339,AG339="-"),OR(AG339&lt;AI339,AG339="-"),OR(AI339&lt;AK339,AI339="-"),AK339&lt;AM339,AM339&lt;AO339,AO339&lt;AQ339,AQ339&lt;AS339,AS339&lt;AU339,OR(AU339&lt;AW339,AW339="-"),OR(AW339&lt;AY339,AW339="-"))</f>
        <v>1</v>
      </c>
      <c r="BC339" s="23">
        <f t="shared" ref="BC339:BC348" si="2125">_xlfn.AGGREGATE(9,6,CH339:CS339)-_xlfn.AGGREGATE(9,6,BV339:CG339)+12</f>
        <v>244</v>
      </c>
      <c r="BD339" s="4" t="s">
        <v>1376</v>
      </c>
      <c r="BE339" s="3" t="s">
        <v>1374</v>
      </c>
      <c r="BF339" s="119">
        <v>3</v>
      </c>
      <c r="BG339" s="49" t="s">
        <v>1281</v>
      </c>
      <c r="BH339" s="49" t="s">
        <v>1281</v>
      </c>
      <c r="BI339" s="1"/>
      <c r="BJ339" s="70" t="s">
        <v>1287</v>
      </c>
      <c r="BK339" s="57" t="s">
        <v>1287</v>
      </c>
      <c r="BL339" s="57" t="s">
        <v>1287</v>
      </c>
      <c r="BM339" s="57" t="s">
        <v>1287</v>
      </c>
      <c r="BN339" s="57" t="s">
        <v>1287</v>
      </c>
      <c r="BO339" s="57" t="s">
        <v>1287</v>
      </c>
      <c r="BP339" s="57" t="s">
        <v>1287</v>
      </c>
      <c r="BQ339" s="57" t="s">
        <v>1287</v>
      </c>
      <c r="BR339" s="57" t="s">
        <v>1287</v>
      </c>
      <c r="BS339" s="57" t="s">
        <v>1287</v>
      </c>
      <c r="BT339" s="57" t="s">
        <v>1287</v>
      </c>
      <c r="BU339" s="57" t="s">
        <v>1287</v>
      </c>
      <c r="BV339" s="70">
        <f t="shared" ref="BV339:BV348" si="2126">E339</f>
        <v>131</v>
      </c>
      <c r="BW339" s="71">
        <f t="shared" ref="BW339:BW348" si="2127">I339</f>
        <v>167</v>
      </c>
      <c r="BX339" s="72">
        <f t="shared" ref="BX339:BX348" si="2128">M339</f>
        <v>171</v>
      </c>
      <c r="BY339" s="71" t="str">
        <f t="shared" ref="BY339:BY348" si="2129">Q339</f>
        <v>-</v>
      </c>
      <c r="BZ339" s="72">
        <f t="shared" ref="BZ339:BZ348" si="2130">U339</f>
        <v>217</v>
      </c>
      <c r="CA339" s="71" t="str">
        <f t="shared" ref="CA339:CA348" si="2131">Y339</f>
        <v>-</v>
      </c>
      <c r="CB339" s="72">
        <f t="shared" ref="CB339:CB348" si="2132">AC339</f>
        <v>260</v>
      </c>
      <c r="CC339" s="71">
        <f t="shared" ref="CC339:CC348" si="2133">AG339</f>
        <v>294</v>
      </c>
      <c r="CD339" s="72">
        <f t="shared" ref="CD339:CD348" si="2134">AK339</f>
        <v>302</v>
      </c>
      <c r="CE339" s="71">
        <f t="shared" ref="CE339:CE348" si="2135">AO339</f>
        <v>342</v>
      </c>
      <c r="CF339" s="72">
        <f t="shared" ref="CF339:CF348" si="2136">AS339</f>
        <v>375</v>
      </c>
      <c r="CG339" s="71">
        <f t="shared" ref="CG339:CG348" si="2137">AW339</f>
        <v>404</v>
      </c>
      <c r="CH339" s="70">
        <f t="shared" ref="CH339:CH348" si="2138">G339</f>
        <v>164</v>
      </c>
      <c r="CI339" s="71">
        <f t="shared" ref="CI339:CI348" si="2139">K339</f>
        <v>170</v>
      </c>
      <c r="CJ339" s="72">
        <f t="shared" ref="CJ339:CJ348" si="2140">O339</f>
        <v>201</v>
      </c>
      <c r="CK339" s="72" t="str">
        <f t="shared" ref="CK339:CK348" si="2141">S339</f>
        <v>-</v>
      </c>
      <c r="CL339" s="72">
        <f t="shared" ref="CL339:CL348" si="2142">W339</f>
        <v>255</v>
      </c>
      <c r="CM339" s="72" t="str">
        <f t="shared" ref="CM339:CM348" si="2143">AA339</f>
        <v>-</v>
      </c>
      <c r="CN339" s="72">
        <f t="shared" ref="CN339:CN348" si="2144">AE339</f>
        <v>290</v>
      </c>
      <c r="CO339" s="72">
        <f t="shared" ref="CO339:CO348" si="2145">AI339</f>
        <v>296</v>
      </c>
      <c r="CP339" s="72">
        <f t="shared" ref="CP339:CP348" si="2146">AM339</f>
        <v>334</v>
      </c>
      <c r="CQ339" s="72">
        <f t="shared" ref="CQ339:CQ348" si="2147">AQ339</f>
        <v>367</v>
      </c>
      <c r="CR339" s="72">
        <f t="shared" ref="CR339:CR348" si="2148">AU339</f>
        <v>403</v>
      </c>
      <c r="CS339" s="72">
        <f t="shared" ref="CS339:CS348" si="2149">AY339</f>
        <v>415</v>
      </c>
      <c r="CT339" s="23">
        <f t="shared" ref="CT339:CT348" si="2150">M339-K339</f>
        <v>1</v>
      </c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</row>
    <row r="340" spans="1:1029" x14ac:dyDescent="0.2">
      <c r="A340" s="3" t="str">
        <f t="shared" si="2123"/>
        <v>glr_human_5XF1</v>
      </c>
      <c r="B340" s="3" t="s">
        <v>32</v>
      </c>
      <c r="C340" s="3" t="s">
        <v>1410</v>
      </c>
      <c r="D340" s="3" t="str">
        <f>IFERROR(MID(VLOOKUP($B340,Seqs!$A:$B,2,0),E340,1),"")</f>
        <v>Q</v>
      </c>
      <c r="E340" s="3">
        <v>131</v>
      </c>
      <c r="F340" s="3" t="str">
        <f>IFERROR(MID(VLOOKUP($B340,Seqs!$A:$B,2,0),G340,1),"")</f>
        <v>L</v>
      </c>
      <c r="G340" s="3">
        <v>166</v>
      </c>
      <c r="H340" s="3" t="str">
        <f>IFERROR(MID(VLOOKUP($B340,Seqs!$A:$B,2,0),I340,1),"")</f>
        <v>S</v>
      </c>
      <c r="I340" s="23">
        <v>167</v>
      </c>
      <c r="J340" s="3" t="str">
        <f>IFERROR(MID(VLOOKUP($B340,Seqs!$A:$B,2,0),K340,1),"")</f>
        <v>H</v>
      </c>
      <c r="K340" s="23">
        <v>170</v>
      </c>
      <c r="L340" s="3" t="str">
        <f>IFERROR(MID(VLOOKUP($B340,Seqs!$A:$B,2,0),M340,1),"")</f>
        <v>N</v>
      </c>
      <c r="M340" s="23">
        <v>174</v>
      </c>
      <c r="N340" s="3" t="str">
        <f>IFERROR(MID(VLOOKUP($B340,Seqs!$A:$B,2,0),O340,1),"")</f>
        <v>R</v>
      </c>
      <c r="O340" s="3">
        <v>201</v>
      </c>
      <c r="P340" s="3" t="str">
        <f>IFERROR(MID(VLOOKUP($B340,Seqs!$A:$B,2,0),Q340,1),"")</f>
        <v/>
      </c>
      <c r="Q340" s="3" t="s">
        <v>23</v>
      </c>
      <c r="R340" s="3" t="str">
        <f>IFERROR(MID(VLOOKUP($B340,Seqs!$A:$B,2,0),S340,1),"")</f>
        <v/>
      </c>
      <c r="S340" s="3" t="s">
        <v>23</v>
      </c>
      <c r="T340" s="3" t="str">
        <f>IFERROR(MID(VLOOKUP($B340,Seqs!$A:$B,2,0),U340,1),"")</f>
        <v>S</v>
      </c>
      <c r="U340" s="3">
        <v>217</v>
      </c>
      <c r="V340" s="3" t="str">
        <f>IFERROR(MID(VLOOKUP($B340,Seqs!$A:$B,2,0),W340,1),"")</f>
        <v>L</v>
      </c>
      <c r="W340" s="3">
        <v>255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R</v>
      </c>
      <c r="AC340" s="3">
        <v>261</v>
      </c>
      <c r="AD340" s="3" t="str">
        <f>IFERROR(MID(VLOOKUP($B340,Seqs!$A:$B,2,0),AE340,1),"")</f>
        <v>F</v>
      </c>
      <c r="AE340" s="3">
        <v>289</v>
      </c>
      <c r="AF340" s="3" t="str">
        <f>IFERROR(MID(VLOOKUP($B340,Seqs!$A:$B,2,0),AG340,1),"")</f>
        <v>C</v>
      </c>
      <c r="AG340" s="3">
        <v>294</v>
      </c>
      <c r="AH340" s="3" t="str">
        <f>IFERROR(MID(VLOOKUP($B340,Seqs!$A:$B,2,0),AI340,1),"")</f>
        <v>T</v>
      </c>
      <c r="AI340" s="3">
        <v>296</v>
      </c>
      <c r="AJ340" s="3" t="str">
        <f>IFERROR(MID(VLOOKUP($B340,Seqs!$A:$B,2,0),AK340,1),"")</f>
        <v>D</v>
      </c>
      <c r="AK340" s="3">
        <v>299</v>
      </c>
      <c r="AL340" s="3" t="str">
        <f>IFERROR(MID(VLOOKUP($B340,Seqs!$A:$B,2,0),AM340,1),"")</f>
        <v>L</v>
      </c>
      <c r="AM340" s="3">
        <v>333</v>
      </c>
      <c r="AN340" s="3" t="str">
        <f>IFERROR(MID(VLOOKUP($B340,Seqs!$A:$B,2,0),AO340,1),"")</f>
        <v>D</v>
      </c>
      <c r="AO340" s="3">
        <v>342</v>
      </c>
      <c r="AP340" s="3" t="str">
        <f>IFERROR(MID(VLOOKUP($B340,Seqs!$A:$B,2,0),AQ340,1),"")</f>
        <v>V</v>
      </c>
      <c r="AQ340" s="3">
        <v>368</v>
      </c>
      <c r="AR340" s="3" t="str">
        <f>IFERROR(MID(VLOOKUP($B340,Seqs!$A:$B,2,0),AS340,1),"")</f>
        <v>L</v>
      </c>
      <c r="AS340" s="3">
        <v>377</v>
      </c>
      <c r="AT340" s="3" t="str">
        <f>IFERROR(MID(VLOOKUP($B340,Seqs!$A:$B,2,0),AU340,1),"")</f>
        <v>L</v>
      </c>
      <c r="AU340" s="3">
        <v>403</v>
      </c>
      <c r="AV340" s="3" t="str">
        <f>IFERROR(MID(VLOOKUP($B340,Seqs!$A:$B,2,0),AW340,1),"")</f>
        <v>N</v>
      </c>
      <c r="AW340" s="3">
        <v>404</v>
      </c>
      <c r="AX340" s="3" t="str">
        <f>IFERROR(MID(VLOOKUP($B340,Seqs!$A:$B,2,0),AY340,1),"")</f>
        <v>W</v>
      </c>
      <c r="AY340" s="3">
        <v>415</v>
      </c>
      <c r="AZ340" s="77" t="str">
        <f>VLOOKUP(B340,Classification!A:D,2,0)</f>
        <v>B1</v>
      </c>
      <c r="BA340" s="94" t="str">
        <f>VLOOKUP(B340,Classification!A:D,4,0)</f>
        <v>Glucagonreceptorfamily</v>
      </c>
      <c r="BB340" s="27" t="b">
        <f t="shared" si="2124"/>
        <v>1</v>
      </c>
      <c r="BC340" s="23">
        <f t="shared" si="2125"/>
        <v>242</v>
      </c>
      <c r="BD340" s="4" t="s">
        <v>23</v>
      </c>
      <c r="BE340" s="3" t="s">
        <v>1374</v>
      </c>
      <c r="BF340" s="119">
        <v>3.19</v>
      </c>
      <c r="BG340" s="49" t="s">
        <v>1281</v>
      </c>
      <c r="BH340" s="49" t="s">
        <v>1281</v>
      </c>
      <c r="BI340" s="1"/>
      <c r="BJ340" s="70" t="s">
        <v>1287</v>
      </c>
      <c r="BK340" s="57" t="s">
        <v>1287</v>
      </c>
      <c r="BL340" s="57" t="s">
        <v>1287</v>
      </c>
      <c r="BM340" s="57" t="s">
        <v>1287</v>
      </c>
      <c r="BN340" s="57" t="s">
        <v>1287</v>
      </c>
      <c r="BO340" s="57" t="s">
        <v>1287</v>
      </c>
      <c r="BP340" s="57" t="s">
        <v>1287</v>
      </c>
      <c r="BQ340" s="57" t="s">
        <v>1287</v>
      </c>
      <c r="BR340" s="57" t="s">
        <v>1287</v>
      </c>
      <c r="BS340" s="57" t="s">
        <v>1287</v>
      </c>
      <c r="BT340" s="57" t="s">
        <v>1287</v>
      </c>
      <c r="BU340" s="57" t="s">
        <v>1287</v>
      </c>
      <c r="BV340" s="70">
        <f t="shared" si="2126"/>
        <v>131</v>
      </c>
      <c r="BW340" s="71">
        <f t="shared" si="2127"/>
        <v>167</v>
      </c>
      <c r="BX340" s="72">
        <f t="shared" si="2128"/>
        <v>174</v>
      </c>
      <c r="BY340" s="71" t="str">
        <f t="shared" si="2129"/>
        <v>-</v>
      </c>
      <c r="BZ340" s="72">
        <f t="shared" si="2130"/>
        <v>217</v>
      </c>
      <c r="CA340" s="71" t="str">
        <f t="shared" si="2131"/>
        <v>-</v>
      </c>
      <c r="CB340" s="72">
        <f t="shared" si="2132"/>
        <v>261</v>
      </c>
      <c r="CC340" s="71">
        <f t="shared" si="2133"/>
        <v>294</v>
      </c>
      <c r="CD340" s="72">
        <f t="shared" si="2134"/>
        <v>299</v>
      </c>
      <c r="CE340" s="71">
        <f t="shared" si="2135"/>
        <v>342</v>
      </c>
      <c r="CF340" s="72">
        <f t="shared" si="2136"/>
        <v>377</v>
      </c>
      <c r="CG340" s="71">
        <f t="shared" si="2137"/>
        <v>404</v>
      </c>
      <c r="CH340" s="70">
        <f t="shared" si="2138"/>
        <v>166</v>
      </c>
      <c r="CI340" s="71">
        <f t="shared" si="2139"/>
        <v>170</v>
      </c>
      <c r="CJ340" s="72">
        <f t="shared" si="2140"/>
        <v>201</v>
      </c>
      <c r="CK340" s="72" t="str">
        <f t="shared" si="2141"/>
        <v>-</v>
      </c>
      <c r="CL340" s="72">
        <f t="shared" si="2142"/>
        <v>255</v>
      </c>
      <c r="CM340" s="72" t="str">
        <f t="shared" si="2143"/>
        <v>-</v>
      </c>
      <c r="CN340" s="72">
        <f t="shared" si="2144"/>
        <v>289</v>
      </c>
      <c r="CO340" s="72">
        <f t="shared" si="2145"/>
        <v>296</v>
      </c>
      <c r="CP340" s="72">
        <f t="shared" si="2146"/>
        <v>333</v>
      </c>
      <c r="CQ340" s="72">
        <f t="shared" si="2147"/>
        <v>368</v>
      </c>
      <c r="CR340" s="72">
        <f t="shared" si="2148"/>
        <v>403</v>
      </c>
      <c r="CS340" s="72">
        <f t="shared" si="2149"/>
        <v>415</v>
      </c>
      <c r="CT340" s="23">
        <f t="shared" si="2150"/>
        <v>4</v>
      </c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  <c r="AMO340" s="1"/>
    </row>
    <row r="341" spans="1:1029" x14ac:dyDescent="0.2">
      <c r="A341" s="3" t="str">
        <f t="shared" si="2123"/>
        <v>glr_human_5YQZ</v>
      </c>
      <c r="B341" s="3" t="s">
        <v>32</v>
      </c>
      <c r="C341" s="3" t="s">
        <v>1462</v>
      </c>
      <c r="D341" s="3" t="str">
        <f>IFERROR(MID(VLOOKUP($B341,Seqs!$A:$B,2,0),E341,1),"")</f>
        <v>D</v>
      </c>
      <c r="E341" s="3">
        <v>124</v>
      </c>
      <c r="F341" s="3" t="str">
        <f>IFERROR(MID(VLOOKUP($B341,Seqs!$A:$B,2,0),G341,1),"")</f>
        <v>L</v>
      </c>
      <c r="G341" s="3">
        <v>166</v>
      </c>
      <c r="H341" s="3" t="str">
        <f>IFERROR(MID(VLOOKUP($B341,Seqs!$A:$B,2,0),I341,1),"")</f>
        <v>S</v>
      </c>
      <c r="I341" s="23">
        <v>167</v>
      </c>
      <c r="J341" s="3" t="str">
        <f>IFERROR(MID(VLOOKUP($B341,Seqs!$A:$B,2,0),K341,1),"")</f>
        <v>H</v>
      </c>
      <c r="K341" s="23">
        <v>170</v>
      </c>
      <c r="L341" s="3" t="str">
        <f>IFERROR(MID(VLOOKUP($B341,Seqs!$A:$B,2,0),M341,1),"")</f>
        <v>C</v>
      </c>
      <c r="M341" s="23">
        <v>171</v>
      </c>
      <c r="N341" s="3" t="str">
        <f>IFERROR(MID(VLOOKUP($B341,Seqs!$A:$B,2,0),O341,1),"")</f>
        <v>S</v>
      </c>
      <c r="O341" s="3">
        <v>203</v>
      </c>
      <c r="P341" s="3" t="str">
        <f>IFERROR(MID(VLOOKUP($B341,Seqs!$A:$B,2,0),Q341,1),"")</f>
        <v/>
      </c>
      <c r="Q341" s="3" t="s">
        <v>23</v>
      </c>
      <c r="R341" s="3" t="str">
        <f>IFERROR(MID(VLOOKUP($B341,Seqs!$A:$B,2,0),S341,1),"")</f>
        <v/>
      </c>
      <c r="S341" s="3" t="s">
        <v>23</v>
      </c>
      <c r="T341" s="3" t="str">
        <f>IFERROR(MID(VLOOKUP($B341,Seqs!$A:$B,2,0),U341,1),"")</f>
        <v>A</v>
      </c>
      <c r="U341" s="3">
        <v>220</v>
      </c>
      <c r="V341" s="3" t="str">
        <f>IFERROR(MID(VLOOKUP($B341,Seqs!$A:$B,2,0),W341,1),"")</f>
        <v>L</v>
      </c>
      <c r="W341" s="3">
        <v>255</v>
      </c>
      <c r="X341" s="3" t="str">
        <f>IFERROR(MID(VLOOKUP($B341,Seqs!$A:$B,2,0),Y341,1),"")</f>
        <v/>
      </c>
      <c r="Y341" s="3" t="s">
        <v>23</v>
      </c>
      <c r="Z341" s="3" t="str">
        <f>IFERROR(MID(VLOOKUP($B341,Seqs!$A:$B,2,0),AA341,1),"")</f>
        <v/>
      </c>
      <c r="AA341" s="3" t="s">
        <v>23</v>
      </c>
      <c r="AB341" s="3" t="str">
        <f>IFERROR(MID(VLOOKUP($B341,Seqs!$A:$B,2,0),AC341,1),"")</f>
        <v>F</v>
      </c>
      <c r="AC341" s="3">
        <v>263</v>
      </c>
      <c r="AD341" s="3" t="str">
        <f>IFERROR(MID(VLOOKUP($B341,Seqs!$A:$B,2,0),AE341,1),"")</f>
        <v>E</v>
      </c>
      <c r="AE341" s="3">
        <v>290</v>
      </c>
      <c r="AF341" s="3" t="str">
        <f>IFERROR(MID(VLOOKUP($B341,Seqs!$A:$B,2,0),AG341,1),"")</f>
        <v>C</v>
      </c>
      <c r="AG341" s="3">
        <v>294</v>
      </c>
      <c r="AH341" s="3" t="str">
        <f>IFERROR(MID(VLOOKUP($B341,Seqs!$A:$B,2,0),AI341,1),"")</f>
        <v>T</v>
      </c>
      <c r="AI341" s="3">
        <v>296</v>
      </c>
      <c r="AJ341" s="3" t="str">
        <f>IFERROR(MID(VLOOKUP($B341,Seqs!$A:$B,2,0),AK341,1),"")</f>
        <v>F</v>
      </c>
      <c r="AK341" s="3">
        <v>303</v>
      </c>
      <c r="AL341" s="3" t="str">
        <f>IFERROR(MID(VLOOKUP($B341,Seqs!$A:$B,2,0),AM341,1),"")</f>
        <v>A</v>
      </c>
      <c r="AM341" s="3">
        <v>335</v>
      </c>
      <c r="AN341" s="3" t="str">
        <f>IFERROR(MID(VLOOKUP($B341,Seqs!$A:$B,2,0),AO341,1),"")</f>
        <v>D</v>
      </c>
      <c r="AO341" s="3">
        <v>342</v>
      </c>
      <c r="AP341" s="3" t="str">
        <f>IFERROR(MID(VLOOKUP($B341,Seqs!$A:$B,2,0),AQ341,1),"")</f>
        <v>T</v>
      </c>
      <c r="AQ341" s="3">
        <v>369</v>
      </c>
      <c r="AR341" s="3" t="str">
        <f>IFERROR(MID(VLOOKUP($B341,Seqs!$A:$B,2,0),AS341,1),"")</f>
        <v>G</v>
      </c>
      <c r="AS341" s="3">
        <v>375</v>
      </c>
      <c r="AT341" s="3" t="str">
        <f>IFERROR(MID(VLOOKUP($B341,Seqs!$A:$B,2,0),AU341,1),"")</f>
        <v>L</v>
      </c>
      <c r="AU341" s="3">
        <v>403</v>
      </c>
      <c r="AV341" s="3" t="str">
        <f>IFERROR(MID(VLOOKUP($B341,Seqs!$A:$B,2,0),AW341,1),"")</f>
        <v>N</v>
      </c>
      <c r="AW341" s="3">
        <v>404</v>
      </c>
      <c r="AX341" s="3" t="str">
        <f>IFERROR(MID(VLOOKUP($B341,Seqs!$A:$B,2,0),AY341,1),"")</f>
        <v>E</v>
      </c>
      <c r="AY341" s="3">
        <v>426</v>
      </c>
      <c r="AZ341" s="77" t="str">
        <f>VLOOKUP(B341,Classification!A:D,2,0)</f>
        <v>B1</v>
      </c>
      <c r="BA341" s="94" t="str">
        <f>VLOOKUP(B341,Classification!A:D,4,0)</f>
        <v>Glucagonreceptorfamily</v>
      </c>
      <c r="BB341" s="27" t="b">
        <f t="shared" si="2124"/>
        <v>1</v>
      </c>
      <c r="BC341" s="23">
        <f t="shared" si="2125"/>
        <v>262</v>
      </c>
      <c r="BD341" s="4" t="s">
        <v>23</v>
      </c>
      <c r="BE341" s="3" t="s">
        <v>1374</v>
      </c>
      <c r="BF341" s="119">
        <v>3</v>
      </c>
      <c r="BG341" s="49" t="s">
        <v>1422</v>
      </c>
      <c r="BH341" s="49" t="s">
        <v>1422</v>
      </c>
      <c r="BI341" s="1"/>
      <c r="BJ341" s="70" t="s">
        <v>1287</v>
      </c>
      <c r="BK341" s="57" t="s">
        <v>1287</v>
      </c>
      <c r="BL341" s="57" t="s">
        <v>1287</v>
      </c>
      <c r="BM341" s="57" t="s">
        <v>1287</v>
      </c>
      <c r="BN341" s="57" t="s">
        <v>1287</v>
      </c>
      <c r="BO341" s="57" t="s">
        <v>1287</v>
      </c>
      <c r="BP341" s="57" t="s">
        <v>1287</v>
      </c>
      <c r="BQ341" s="57" t="s">
        <v>1287</v>
      </c>
      <c r="BR341" s="57" t="s">
        <v>1287</v>
      </c>
      <c r="BS341" s="57" t="s">
        <v>1287</v>
      </c>
      <c r="BT341" s="57" t="s">
        <v>1287</v>
      </c>
      <c r="BU341" s="57" t="s">
        <v>1287</v>
      </c>
      <c r="BV341" s="70">
        <f t="shared" si="2126"/>
        <v>124</v>
      </c>
      <c r="BW341" s="71">
        <f t="shared" si="2127"/>
        <v>167</v>
      </c>
      <c r="BX341" s="72">
        <f t="shared" si="2128"/>
        <v>171</v>
      </c>
      <c r="BY341" s="71" t="str">
        <f t="shared" si="2129"/>
        <v>-</v>
      </c>
      <c r="BZ341" s="72">
        <f t="shared" si="2130"/>
        <v>220</v>
      </c>
      <c r="CA341" s="71" t="str">
        <f t="shared" si="2131"/>
        <v>-</v>
      </c>
      <c r="CB341" s="72">
        <f t="shared" si="2132"/>
        <v>263</v>
      </c>
      <c r="CC341" s="71">
        <f t="shared" si="2133"/>
        <v>294</v>
      </c>
      <c r="CD341" s="72">
        <f t="shared" si="2134"/>
        <v>303</v>
      </c>
      <c r="CE341" s="71">
        <f t="shared" si="2135"/>
        <v>342</v>
      </c>
      <c r="CF341" s="72">
        <f t="shared" si="2136"/>
        <v>375</v>
      </c>
      <c r="CG341" s="71">
        <f t="shared" si="2137"/>
        <v>404</v>
      </c>
      <c r="CH341" s="70">
        <f t="shared" si="2138"/>
        <v>166</v>
      </c>
      <c r="CI341" s="71">
        <f t="shared" si="2139"/>
        <v>170</v>
      </c>
      <c r="CJ341" s="72">
        <f t="shared" si="2140"/>
        <v>203</v>
      </c>
      <c r="CK341" s="72" t="str">
        <f t="shared" si="2141"/>
        <v>-</v>
      </c>
      <c r="CL341" s="72">
        <f t="shared" si="2142"/>
        <v>255</v>
      </c>
      <c r="CM341" s="72" t="str">
        <f t="shared" si="2143"/>
        <v>-</v>
      </c>
      <c r="CN341" s="72">
        <f t="shared" si="2144"/>
        <v>290</v>
      </c>
      <c r="CO341" s="72">
        <f t="shared" si="2145"/>
        <v>296</v>
      </c>
      <c r="CP341" s="72">
        <f t="shared" si="2146"/>
        <v>335</v>
      </c>
      <c r="CQ341" s="72">
        <f t="shared" si="2147"/>
        <v>369</v>
      </c>
      <c r="CR341" s="72">
        <f t="shared" si="2148"/>
        <v>403</v>
      </c>
      <c r="CS341" s="72">
        <f t="shared" si="2149"/>
        <v>426</v>
      </c>
      <c r="CT341" s="23">
        <f t="shared" si="2150"/>
        <v>1</v>
      </c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  <c r="AMK341" s="1"/>
      <c r="AML341" s="1"/>
      <c r="AMM341" s="1"/>
      <c r="AMN341" s="1"/>
      <c r="AMO341" s="1"/>
    </row>
    <row r="342" spans="1:1029" x14ac:dyDescent="0.2">
      <c r="A342" s="3" t="str">
        <f t="shared" si="2123"/>
        <v>glp1r_human__wt</v>
      </c>
      <c r="B342" s="3" t="s">
        <v>406</v>
      </c>
      <c r="C342" s="3" t="s">
        <v>100</v>
      </c>
      <c r="D342" s="3" t="str">
        <f>IFERROR(MID(VLOOKUP($B342,Seqs!$A:$B,2,0),E342,1),"")</f>
        <v>E</v>
      </c>
      <c r="E342" s="3">
        <v>138</v>
      </c>
      <c r="F342" s="3" t="str">
        <f>IFERROR(MID(VLOOKUP($B342,Seqs!$A:$B,2,0),G342,1),"")</f>
        <v>F</v>
      </c>
      <c r="G342" s="3">
        <v>169</v>
      </c>
      <c r="H342" s="3" t="str">
        <f>IFERROR(MID(VLOOKUP($B342,Seqs!$A:$B,2,0),I342,1),"")</f>
        <v>R</v>
      </c>
      <c r="I342" s="23">
        <v>170</v>
      </c>
      <c r="J342" s="3" t="str">
        <f>IFERROR(MID(VLOOKUP($B342,Seqs!$A:$B,2,0),K342,1),"")</f>
        <v>H</v>
      </c>
      <c r="K342" s="23">
        <v>173</v>
      </c>
      <c r="L342" s="3" t="str">
        <f>IFERROR(MID(VLOOKUP($B342,Seqs!$A:$B,2,0),M342,1),"")</f>
        <v>C</v>
      </c>
      <c r="M342" s="23">
        <v>174</v>
      </c>
      <c r="N342" s="3" t="str">
        <f>IFERROR(MID(VLOOKUP($B342,Seqs!$A:$B,2,0),O342,1),"")</f>
        <v>S</v>
      </c>
      <c r="O342" s="3">
        <v>206</v>
      </c>
      <c r="P342" s="3" t="str">
        <f>IFERROR(MID(VLOOKUP($B342,Seqs!$A:$B,2,0),Q342,1),"")</f>
        <v/>
      </c>
      <c r="Q342" s="3" t="s">
        <v>23</v>
      </c>
      <c r="R342" s="3" t="str">
        <f>IFERROR(MID(VLOOKUP($B342,Seqs!$A:$B,2,0),S342,1),"")</f>
        <v/>
      </c>
      <c r="S342" s="3" t="s">
        <v>23</v>
      </c>
      <c r="T342" s="3" t="str">
        <f>IFERROR(MID(VLOOKUP($B342,Seqs!$A:$B,2,0),U342,1),"")</f>
        <v>L</v>
      </c>
      <c r="U342" s="3">
        <v>224</v>
      </c>
      <c r="V342" s="3" t="str">
        <f>IFERROR(MID(VLOOKUP($B342,Seqs!$A:$B,2,0),W342,1),"")</f>
        <v>F</v>
      </c>
      <c r="W342" s="3">
        <v>257</v>
      </c>
      <c r="X342" s="3" t="str">
        <f>IFERROR(MID(VLOOKUP($B342,Seqs!$A:$B,2,0),Y342,1),"")</f>
        <v/>
      </c>
      <c r="Y342" s="3" t="s">
        <v>23</v>
      </c>
      <c r="Z342" s="3" t="str">
        <f>IFERROR(MID(VLOOKUP($B342,Seqs!$A:$B,2,0),AA342,1),"")</f>
        <v/>
      </c>
      <c r="AA342" s="3" t="s">
        <v>23</v>
      </c>
      <c r="AB342" s="3" t="str">
        <f>IFERROR(MID(VLOOKUP($B342,Seqs!$A:$B,2,0),AC342,1),"")</f>
        <v>E</v>
      </c>
      <c r="AC342" s="3">
        <v>262</v>
      </c>
      <c r="AD342" s="3" t="str">
        <f>IFERROR(MID(VLOOKUP($B342,Seqs!$A:$B,2,0),AE342,1),"")</f>
        <v>E</v>
      </c>
      <c r="AE342" s="3">
        <v>292</v>
      </c>
      <c r="AF342" s="3" t="str">
        <f>IFERROR(MID(VLOOKUP($B342,Seqs!$A:$B,2,0),AG342,1),"")</f>
        <v>C</v>
      </c>
      <c r="AG342" s="3">
        <v>296</v>
      </c>
      <c r="AH342" s="3" t="str">
        <f>IFERROR(MID(VLOOKUP($B342,Seqs!$A:$B,2,0),AI342,1),"")</f>
        <v>T</v>
      </c>
      <c r="AI342" s="3">
        <v>298</v>
      </c>
      <c r="AJ342" s="3" t="str">
        <f>IFERROR(MID(VLOOKUP($B342,Seqs!$A:$B,2,0),AK342,1),"")</f>
        <v>N</v>
      </c>
      <c r="AK342" s="3">
        <v>302</v>
      </c>
      <c r="AL342" s="3" t="str">
        <f>IFERROR(MID(VLOOKUP($B342,Seqs!$A:$B,2,0),AM342,1),"")</f>
        <v>A</v>
      </c>
      <c r="AM342" s="3">
        <v>337</v>
      </c>
      <c r="AN342" s="3" t="str">
        <f>IFERROR(MID(VLOOKUP($B342,Seqs!$A:$B,2,0),AO342,1),"")</f>
        <v>D</v>
      </c>
      <c r="AO342" s="3">
        <v>344</v>
      </c>
      <c r="AP342" s="3" t="str">
        <f>IFERROR(MID(VLOOKUP($B342,Seqs!$A:$B,2,0),AQ342,1),"")</f>
        <v>F</v>
      </c>
      <c r="AQ342" s="3">
        <v>369</v>
      </c>
      <c r="AR342" s="3" t="str">
        <f>IFERROR(MID(VLOOKUP($B342,Seqs!$A:$B,2,0),AS342,1),"")</f>
        <v>G</v>
      </c>
      <c r="AS342" s="3">
        <v>377</v>
      </c>
      <c r="AT342" s="3" t="str">
        <f>IFERROR(MID(VLOOKUP($B342,Seqs!$A:$B,2,0),AU342,1),"")</f>
        <v>V</v>
      </c>
      <c r="AU342" s="3">
        <v>405</v>
      </c>
      <c r="AV342" s="3" t="str">
        <f>IFERROR(MID(VLOOKUP($B342,Seqs!$A:$B,2,0),AW342,1),"")</f>
        <v>N</v>
      </c>
      <c r="AW342" s="3">
        <v>406</v>
      </c>
      <c r="AX342" s="3" t="str">
        <f>IFERROR(MID(VLOOKUP($B342,Seqs!$A:$B,2,0),AY342,1),"")</f>
        <v>S</v>
      </c>
      <c r="AY342" s="3">
        <v>431</v>
      </c>
      <c r="AZ342" s="77" t="str">
        <f>VLOOKUP(B342,Classification!A:D,2,0)</f>
        <v>B1</v>
      </c>
      <c r="BA342" s="94" t="str">
        <f>VLOOKUP(B342,Classification!A:D,4,0)</f>
        <v>Glucagonreceptorfamily</v>
      </c>
      <c r="BB342" s="27" t="b">
        <f t="shared" si="2124"/>
        <v>1</v>
      </c>
      <c r="BC342" s="23">
        <f t="shared" si="2125"/>
        <v>256</v>
      </c>
      <c r="BD342" s="4" t="s">
        <v>23</v>
      </c>
      <c r="BE342" s="3" t="s">
        <v>23</v>
      </c>
      <c r="BF342" s="119" t="s">
        <v>23</v>
      </c>
      <c r="BG342" s="49" t="s">
        <v>1377</v>
      </c>
      <c r="BH342" s="49" t="s">
        <v>1377</v>
      </c>
      <c r="BI342" s="1"/>
      <c r="BJ342" s="70" t="s">
        <v>1287</v>
      </c>
      <c r="BK342" s="57" t="s">
        <v>1287</v>
      </c>
      <c r="BL342" s="57" t="s">
        <v>1287</v>
      </c>
      <c r="BM342" s="57" t="s">
        <v>1287</v>
      </c>
      <c r="BN342" s="57" t="s">
        <v>1287</v>
      </c>
      <c r="BO342" s="57" t="s">
        <v>1287</v>
      </c>
      <c r="BP342" s="57" t="s">
        <v>1287</v>
      </c>
      <c r="BQ342" s="57" t="s">
        <v>1287</v>
      </c>
      <c r="BR342" s="57" t="s">
        <v>1287</v>
      </c>
      <c r="BS342" s="57" t="s">
        <v>1287</v>
      </c>
      <c r="BT342" s="57" t="s">
        <v>1287</v>
      </c>
      <c r="BU342" s="57" t="s">
        <v>1287</v>
      </c>
      <c r="BV342" s="70">
        <f t="shared" si="2126"/>
        <v>138</v>
      </c>
      <c r="BW342" s="71">
        <f t="shared" si="2127"/>
        <v>170</v>
      </c>
      <c r="BX342" s="72">
        <f t="shared" si="2128"/>
        <v>174</v>
      </c>
      <c r="BY342" s="71" t="str">
        <f t="shared" si="2129"/>
        <v>-</v>
      </c>
      <c r="BZ342" s="72">
        <f t="shared" si="2130"/>
        <v>224</v>
      </c>
      <c r="CA342" s="71" t="str">
        <f t="shared" si="2131"/>
        <v>-</v>
      </c>
      <c r="CB342" s="72">
        <f t="shared" si="2132"/>
        <v>262</v>
      </c>
      <c r="CC342" s="71">
        <f t="shared" si="2133"/>
        <v>296</v>
      </c>
      <c r="CD342" s="72">
        <f t="shared" si="2134"/>
        <v>302</v>
      </c>
      <c r="CE342" s="71">
        <f t="shared" si="2135"/>
        <v>344</v>
      </c>
      <c r="CF342" s="72">
        <f t="shared" si="2136"/>
        <v>377</v>
      </c>
      <c r="CG342" s="71">
        <f t="shared" si="2137"/>
        <v>406</v>
      </c>
      <c r="CH342" s="70">
        <f t="shared" si="2138"/>
        <v>169</v>
      </c>
      <c r="CI342" s="71">
        <f t="shared" si="2139"/>
        <v>173</v>
      </c>
      <c r="CJ342" s="72">
        <f t="shared" si="2140"/>
        <v>206</v>
      </c>
      <c r="CK342" s="72" t="str">
        <f t="shared" si="2141"/>
        <v>-</v>
      </c>
      <c r="CL342" s="72">
        <f t="shared" si="2142"/>
        <v>257</v>
      </c>
      <c r="CM342" s="72" t="str">
        <f t="shared" si="2143"/>
        <v>-</v>
      </c>
      <c r="CN342" s="72">
        <f t="shared" si="2144"/>
        <v>292</v>
      </c>
      <c r="CO342" s="72">
        <f t="shared" si="2145"/>
        <v>298</v>
      </c>
      <c r="CP342" s="72">
        <f t="shared" si="2146"/>
        <v>337</v>
      </c>
      <c r="CQ342" s="72">
        <f t="shared" si="2147"/>
        <v>369</v>
      </c>
      <c r="CR342" s="72">
        <f t="shared" si="2148"/>
        <v>405</v>
      </c>
      <c r="CS342" s="72">
        <f t="shared" si="2149"/>
        <v>431</v>
      </c>
      <c r="CT342" s="23">
        <f t="shared" si="2150"/>
        <v>1</v>
      </c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  <c r="AMK342" s="1"/>
      <c r="AML342" s="1"/>
      <c r="AMM342" s="1"/>
      <c r="AMN342" s="1"/>
      <c r="AMO342" s="1"/>
    </row>
    <row r="343" spans="1:1029" x14ac:dyDescent="0.2">
      <c r="A343" s="3" t="str">
        <f t="shared" si="2123"/>
        <v>glp1r_human_5VEW</v>
      </c>
      <c r="B343" s="3" t="s">
        <v>406</v>
      </c>
      <c r="C343" s="3" t="s">
        <v>1407</v>
      </c>
      <c r="D343" s="3" t="str">
        <f>IFERROR(MID(VLOOKUP($B343,Seqs!$A:$B,2,0),E343,1),"")</f>
        <v>S</v>
      </c>
      <c r="E343" s="3">
        <v>136</v>
      </c>
      <c r="F343" s="3" t="str">
        <f>IFERROR(MID(VLOOKUP($B343,Seqs!$A:$B,2,0),G343,1),"")</f>
        <v>F</v>
      </c>
      <c r="G343" s="3">
        <v>169</v>
      </c>
      <c r="H343" s="3" t="str">
        <f>IFERROR(MID(VLOOKUP($B343,Seqs!$A:$B,2,0),I343,1),"")</f>
        <v>R</v>
      </c>
      <c r="I343" s="23">
        <v>170</v>
      </c>
      <c r="J343" s="3" t="str">
        <f>IFERROR(MID(VLOOKUP($B343,Seqs!$A:$B,2,0),K343,1),"")</f>
        <v>H</v>
      </c>
      <c r="K343" s="23">
        <v>173</v>
      </c>
      <c r="L343" s="3" t="str">
        <f>IFERROR(MID(VLOOKUP($B343,Seqs!$A:$B,2,0),M343,1),"")</f>
        <v>C</v>
      </c>
      <c r="M343" s="23">
        <v>174</v>
      </c>
      <c r="N343" s="3" t="str">
        <f>IFERROR(MID(VLOOKUP($B343,Seqs!$A:$B,2,0),O343,1),"")</f>
        <v>L</v>
      </c>
      <c r="O343" s="3">
        <v>201</v>
      </c>
      <c r="P343" s="3" t="str">
        <f>IFERROR(MID(VLOOKUP($B343,Seqs!$A:$B,2,0),Q343,1),"")</f>
        <v/>
      </c>
      <c r="Q343" s="3" t="s">
        <v>23</v>
      </c>
      <c r="R343" s="3" t="str">
        <f>IFERROR(MID(VLOOKUP($B343,Seqs!$A:$B,2,0),S343,1),"")</f>
        <v/>
      </c>
      <c r="S343" s="3" t="s">
        <v>23</v>
      </c>
      <c r="T343" s="3" t="str">
        <f>IFERROR(MID(VLOOKUP($B343,Seqs!$A:$B,2,0),U343,1),"")</f>
        <v>L</v>
      </c>
      <c r="U343" s="3">
        <v>224</v>
      </c>
      <c r="V343" s="3" t="str">
        <f>IFERROR(MID(VLOOKUP($B343,Seqs!$A:$B,2,0),W343,1),"")</f>
        <v>F</v>
      </c>
      <c r="W343" s="3">
        <v>257</v>
      </c>
      <c r="X343" s="3" t="str">
        <f>IFERROR(MID(VLOOKUP($B343,Seqs!$A:$B,2,0),Y343,1),"")</f>
        <v/>
      </c>
      <c r="Y343" s="3" t="s">
        <v>23</v>
      </c>
      <c r="Z343" s="3" t="str">
        <f>IFERROR(MID(VLOOKUP($B343,Seqs!$A:$B,2,0),AA343,1),"")</f>
        <v/>
      </c>
      <c r="AA343" s="3" t="s">
        <v>23</v>
      </c>
      <c r="AB343" s="3" t="str">
        <f>IFERROR(MID(VLOOKUP($B343,Seqs!$A:$B,2,0),AC343,1),"")</f>
        <v>E</v>
      </c>
      <c r="AC343" s="3">
        <v>262</v>
      </c>
      <c r="AD343" s="3" t="str">
        <f>IFERROR(MID(VLOOKUP($B343,Seqs!$A:$B,2,0),AE343,1),"")</f>
        <v>E</v>
      </c>
      <c r="AE343" s="3">
        <v>292</v>
      </c>
      <c r="AF343" s="3" t="str">
        <f>IFERROR(MID(VLOOKUP($B343,Seqs!$A:$B,2,0),AG343,1),"")</f>
        <v>C</v>
      </c>
      <c r="AG343" s="3">
        <v>296</v>
      </c>
      <c r="AH343" s="3" t="str">
        <f>IFERROR(MID(VLOOKUP($B343,Seqs!$A:$B,2,0),AI343,1),"")</f>
        <v>T</v>
      </c>
      <c r="AI343" s="3">
        <v>298</v>
      </c>
      <c r="AJ343" s="3" t="str">
        <f>IFERROR(MID(VLOOKUP($B343,Seqs!$A:$B,2,0),AK343,1),"")</f>
        <v>Y</v>
      </c>
      <c r="AK343" s="3">
        <v>305</v>
      </c>
      <c r="AL343" s="3" t="str">
        <f>IFERROR(MID(VLOOKUP($B343,Seqs!$A:$B,2,0),AM343,1),"")</f>
        <v>A</v>
      </c>
      <c r="AM343" s="3">
        <v>337</v>
      </c>
      <c r="AN343" s="3" t="str">
        <f>IFERROR(MID(VLOOKUP($B343,Seqs!$A:$B,2,0),AO343,1),"")</f>
        <v>D</v>
      </c>
      <c r="AO343" s="3">
        <v>344</v>
      </c>
      <c r="AP343" s="3" t="str">
        <f>IFERROR(MID(VLOOKUP($B343,Seqs!$A:$B,2,0),AQ343,1),"")</f>
        <v>F</v>
      </c>
      <c r="AQ343" s="3">
        <v>367</v>
      </c>
      <c r="AR343" s="3" t="str">
        <f>IFERROR(MID(VLOOKUP($B343,Seqs!$A:$B,2,0),AS343,1),"")</f>
        <v>R</v>
      </c>
      <c r="AS343" s="3">
        <v>380</v>
      </c>
      <c r="AT343" s="3" t="str">
        <f>IFERROR(MID(VLOOKUP($B343,Seqs!$A:$B,2,0),AU343,1),"")</f>
        <v>V</v>
      </c>
      <c r="AU343" s="3">
        <v>405</v>
      </c>
      <c r="AV343" s="3" t="str">
        <f>IFERROR(MID(VLOOKUP($B343,Seqs!$A:$B,2,0),AW343,1),"")</f>
        <v>N</v>
      </c>
      <c r="AW343" s="3">
        <v>406</v>
      </c>
      <c r="AX343" s="3" t="str">
        <f>IFERROR(MID(VLOOKUP($B343,Seqs!$A:$B,2,0),AY343,1),"")</f>
        <v>L</v>
      </c>
      <c r="AY343" s="3">
        <v>422</v>
      </c>
      <c r="AZ343" s="77" t="str">
        <f>VLOOKUP(B343,Classification!A:D,2,0)</f>
        <v>B1</v>
      </c>
      <c r="BA343" s="94" t="str">
        <f>VLOOKUP(B343,Classification!A:D,4,0)</f>
        <v>Glucagonreceptorfamily</v>
      </c>
      <c r="BB343" s="27" t="b">
        <f t="shared" si="2124"/>
        <v>1</v>
      </c>
      <c r="BC343" s="23">
        <f t="shared" si="2125"/>
        <v>236</v>
      </c>
      <c r="BD343" s="4" t="s">
        <v>1376</v>
      </c>
      <c r="BE343" s="3" t="s">
        <v>1374</v>
      </c>
      <c r="BF343" s="119">
        <v>2.7</v>
      </c>
      <c r="BG343" s="49" t="s">
        <v>1281</v>
      </c>
      <c r="BH343" s="49" t="s">
        <v>1281</v>
      </c>
      <c r="BI343" s="1"/>
      <c r="BJ343" s="70" t="s">
        <v>1287</v>
      </c>
      <c r="BK343" s="57" t="s">
        <v>1287</v>
      </c>
      <c r="BL343" s="57" t="s">
        <v>1287</v>
      </c>
      <c r="BM343" s="57" t="s">
        <v>1287</v>
      </c>
      <c r="BN343" s="57" t="s">
        <v>1287</v>
      </c>
      <c r="BO343" s="57" t="s">
        <v>1287</v>
      </c>
      <c r="BP343" s="57" t="s">
        <v>1287</v>
      </c>
      <c r="BQ343" s="57" t="s">
        <v>1287</v>
      </c>
      <c r="BR343" s="57" t="s">
        <v>1287</v>
      </c>
      <c r="BS343" s="57" t="s">
        <v>1287</v>
      </c>
      <c r="BT343" s="57" t="s">
        <v>1287</v>
      </c>
      <c r="BU343" s="57" t="s">
        <v>1287</v>
      </c>
      <c r="BV343" s="70">
        <f t="shared" si="2126"/>
        <v>136</v>
      </c>
      <c r="BW343" s="71">
        <f t="shared" si="2127"/>
        <v>170</v>
      </c>
      <c r="BX343" s="72">
        <f t="shared" si="2128"/>
        <v>174</v>
      </c>
      <c r="BY343" s="71" t="str">
        <f t="shared" si="2129"/>
        <v>-</v>
      </c>
      <c r="BZ343" s="72">
        <f t="shared" si="2130"/>
        <v>224</v>
      </c>
      <c r="CA343" s="71" t="str">
        <f t="shared" si="2131"/>
        <v>-</v>
      </c>
      <c r="CB343" s="72">
        <f t="shared" si="2132"/>
        <v>262</v>
      </c>
      <c r="CC343" s="71">
        <f t="shared" si="2133"/>
        <v>296</v>
      </c>
      <c r="CD343" s="72">
        <f t="shared" si="2134"/>
        <v>305</v>
      </c>
      <c r="CE343" s="71">
        <f t="shared" si="2135"/>
        <v>344</v>
      </c>
      <c r="CF343" s="72">
        <f t="shared" si="2136"/>
        <v>380</v>
      </c>
      <c r="CG343" s="71">
        <f t="shared" si="2137"/>
        <v>406</v>
      </c>
      <c r="CH343" s="70">
        <f t="shared" si="2138"/>
        <v>169</v>
      </c>
      <c r="CI343" s="71">
        <f t="shared" si="2139"/>
        <v>173</v>
      </c>
      <c r="CJ343" s="72">
        <f t="shared" si="2140"/>
        <v>201</v>
      </c>
      <c r="CK343" s="72" t="str">
        <f t="shared" si="2141"/>
        <v>-</v>
      </c>
      <c r="CL343" s="72">
        <f t="shared" si="2142"/>
        <v>257</v>
      </c>
      <c r="CM343" s="72" t="str">
        <f t="shared" si="2143"/>
        <v>-</v>
      </c>
      <c r="CN343" s="72">
        <f t="shared" si="2144"/>
        <v>292</v>
      </c>
      <c r="CO343" s="72">
        <f t="shared" si="2145"/>
        <v>298</v>
      </c>
      <c r="CP343" s="72">
        <f t="shared" si="2146"/>
        <v>337</v>
      </c>
      <c r="CQ343" s="72">
        <f t="shared" si="2147"/>
        <v>367</v>
      </c>
      <c r="CR343" s="72">
        <f t="shared" si="2148"/>
        <v>405</v>
      </c>
      <c r="CS343" s="72">
        <f t="shared" si="2149"/>
        <v>422</v>
      </c>
      <c r="CT343" s="23">
        <f t="shared" si="2150"/>
        <v>1</v>
      </c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  <c r="AMK343" s="1"/>
      <c r="AML343" s="1"/>
      <c r="AMM343" s="1"/>
      <c r="AMN343" s="1"/>
      <c r="AMO343" s="1"/>
    </row>
    <row r="344" spans="1:1029" x14ac:dyDescent="0.2">
      <c r="A344" s="3" t="str">
        <f t="shared" si="2123"/>
        <v>glp1r_human_5VEX</v>
      </c>
      <c r="B344" s="3" t="s">
        <v>406</v>
      </c>
      <c r="C344" s="3" t="s">
        <v>1406</v>
      </c>
      <c r="D344" s="3" t="str">
        <f>IFERROR(MID(VLOOKUP($B344,Seqs!$A:$B,2,0),E344,1),"")</f>
        <v>S</v>
      </c>
      <c r="E344" s="3">
        <v>136</v>
      </c>
      <c r="F344" s="3" t="str">
        <f>IFERROR(MID(VLOOKUP($B344,Seqs!$A:$B,2,0),G344,1),"")</f>
        <v>F</v>
      </c>
      <c r="G344" s="3">
        <v>169</v>
      </c>
      <c r="H344" s="3" t="str">
        <f>IFERROR(MID(VLOOKUP($B344,Seqs!$A:$B,2,0),I344,1),"")</f>
        <v>R</v>
      </c>
      <c r="I344" s="23">
        <v>170</v>
      </c>
      <c r="J344" s="3" t="str">
        <f>IFERROR(MID(VLOOKUP($B344,Seqs!$A:$B,2,0),K344,1),"")</f>
        <v>H</v>
      </c>
      <c r="K344" s="23">
        <v>173</v>
      </c>
      <c r="L344" s="3" t="str">
        <f>IFERROR(MID(VLOOKUP($B344,Seqs!$A:$B,2,0),M344,1),"")</f>
        <v>C</v>
      </c>
      <c r="M344" s="23">
        <v>174</v>
      </c>
      <c r="N344" s="3" t="str">
        <f>IFERROR(MID(VLOOKUP($B344,Seqs!$A:$B,2,0),O344,1),"")</f>
        <v>L</v>
      </c>
      <c r="O344" s="3">
        <v>201</v>
      </c>
      <c r="P344" s="3" t="str">
        <f>IFERROR(MID(VLOOKUP($B344,Seqs!$A:$B,2,0),Q344,1),"")</f>
        <v/>
      </c>
      <c r="Q344" s="3" t="s">
        <v>23</v>
      </c>
      <c r="R344" s="3" t="str">
        <f>IFERROR(MID(VLOOKUP($B344,Seqs!$A:$B,2,0),S344,1),"")</f>
        <v/>
      </c>
      <c r="S344" s="3" t="s">
        <v>23</v>
      </c>
      <c r="T344" s="3" t="str">
        <f>IFERROR(MID(VLOOKUP($B344,Seqs!$A:$B,2,0),U344,1),"")</f>
        <v>L</v>
      </c>
      <c r="U344" s="3">
        <v>224</v>
      </c>
      <c r="V344" s="3" t="str">
        <f>IFERROR(MID(VLOOKUP($B344,Seqs!$A:$B,2,0),W344,1),"")</f>
        <v>F</v>
      </c>
      <c r="W344" s="3">
        <v>257</v>
      </c>
      <c r="X344" s="3" t="str">
        <f>IFERROR(MID(VLOOKUP($B344,Seqs!$A:$B,2,0),Y344,1),"")</f>
        <v/>
      </c>
      <c r="Y344" s="3" t="s">
        <v>23</v>
      </c>
      <c r="Z344" s="3" t="str">
        <f>IFERROR(MID(VLOOKUP($B344,Seqs!$A:$B,2,0),AA344,1),"")</f>
        <v/>
      </c>
      <c r="AA344" s="3" t="s">
        <v>23</v>
      </c>
      <c r="AB344" s="3" t="str">
        <f>IFERROR(MID(VLOOKUP($B344,Seqs!$A:$B,2,0),AC344,1),"")</f>
        <v>E</v>
      </c>
      <c r="AC344" s="3">
        <v>262</v>
      </c>
      <c r="AD344" s="3" t="str">
        <f>IFERROR(MID(VLOOKUP($B344,Seqs!$A:$B,2,0),AE344,1),"")</f>
        <v>E</v>
      </c>
      <c r="AE344" s="3">
        <v>292</v>
      </c>
      <c r="AF344" s="3" t="str">
        <f>IFERROR(MID(VLOOKUP($B344,Seqs!$A:$B,2,0),AG344,1),"")</f>
        <v>C</v>
      </c>
      <c r="AG344" s="3">
        <v>296</v>
      </c>
      <c r="AH344" s="3" t="str">
        <f>IFERROR(MID(VLOOKUP($B344,Seqs!$A:$B,2,0),AI344,1),"")</f>
        <v>T</v>
      </c>
      <c r="AI344" s="3">
        <v>298</v>
      </c>
      <c r="AJ344" s="3" t="str">
        <f>IFERROR(MID(VLOOKUP($B344,Seqs!$A:$B,2,0),AK344,1),"")</f>
        <v>Y</v>
      </c>
      <c r="AK344" s="3">
        <v>305</v>
      </c>
      <c r="AL344" s="3" t="str">
        <f>IFERROR(MID(VLOOKUP($B344,Seqs!$A:$B,2,0),AM344,1),"")</f>
        <v>A</v>
      </c>
      <c r="AM344" s="3">
        <v>337</v>
      </c>
      <c r="AN344" s="3" t="str">
        <f>IFERROR(MID(VLOOKUP($B344,Seqs!$A:$B,2,0),AO344,1),"")</f>
        <v>D</v>
      </c>
      <c r="AO344" s="3">
        <v>344</v>
      </c>
      <c r="AP344" s="3" t="str">
        <f>IFERROR(MID(VLOOKUP($B344,Seqs!$A:$B,2,0),AQ344,1),"")</f>
        <v>F</v>
      </c>
      <c r="AQ344" s="3">
        <v>367</v>
      </c>
      <c r="AR344" s="3" t="str">
        <f>IFERROR(MID(VLOOKUP($B344,Seqs!$A:$B,2,0),AS344,1),"")</f>
        <v>R</v>
      </c>
      <c r="AS344" s="3">
        <v>380</v>
      </c>
      <c r="AT344" s="3" t="str">
        <f>IFERROR(MID(VLOOKUP($B344,Seqs!$A:$B,2,0),AU344,1),"")</f>
        <v>V</v>
      </c>
      <c r="AU344" s="3">
        <v>405</v>
      </c>
      <c r="AV344" s="3" t="str">
        <f>IFERROR(MID(VLOOKUP($B344,Seqs!$A:$B,2,0),AW344,1),"")</f>
        <v>N</v>
      </c>
      <c r="AW344" s="3">
        <v>406</v>
      </c>
      <c r="AX344" s="3" t="str">
        <f>IFERROR(MID(VLOOKUP($B344,Seqs!$A:$B,2,0),AY344,1),"")</f>
        <v>L</v>
      </c>
      <c r="AY344" s="3">
        <v>422</v>
      </c>
      <c r="AZ344" s="77" t="str">
        <f>VLOOKUP(B344,Classification!A:D,2,0)</f>
        <v>B1</v>
      </c>
      <c r="BA344" s="94" t="str">
        <f>VLOOKUP(B344,Classification!A:D,4,0)</f>
        <v>Glucagonreceptorfamily</v>
      </c>
      <c r="BB344" s="27" t="b">
        <f t="shared" si="2124"/>
        <v>1</v>
      </c>
      <c r="BC344" s="23">
        <f t="shared" si="2125"/>
        <v>236</v>
      </c>
      <c r="BD344" s="4" t="s">
        <v>23</v>
      </c>
      <c r="BE344" s="3" t="s">
        <v>1374</v>
      </c>
      <c r="BF344" s="119">
        <v>3</v>
      </c>
      <c r="BG344" s="49" t="s">
        <v>1</v>
      </c>
      <c r="BH344" s="49" t="s">
        <v>1</v>
      </c>
      <c r="BI344" s="1"/>
      <c r="BJ344" s="70" t="s">
        <v>1287</v>
      </c>
      <c r="BK344" s="57" t="s">
        <v>1287</v>
      </c>
      <c r="BL344" s="57" t="s">
        <v>1287</v>
      </c>
      <c r="BM344" s="57" t="s">
        <v>1287</v>
      </c>
      <c r="BN344" s="57" t="s">
        <v>1287</v>
      </c>
      <c r="BO344" s="57" t="s">
        <v>1287</v>
      </c>
      <c r="BP344" s="57" t="s">
        <v>1287</v>
      </c>
      <c r="BQ344" s="57" t="s">
        <v>1287</v>
      </c>
      <c r="BR344" s="57" t="s">
        <v>1287</v>
      </c>
      <c r="BS344" s="57" t="s">
        <v>1287</v>
      </c>
      <c r="BT344" s="57" t="s">
        <v>1287</v>
      </c>
      <c r="BU344" s="57" t="s">
        <v>1287</v>
      </c>
      <c r="BV344" s="70">
        <f t="shared" si="2126"/>
        <v>136</v>
      </c>
      <c r="BW344" s="71">
        <f t="shared" si="2127"/>
        <v>170</v>
      </c>
      <c r="BX344" s="72">
        <f t="shared" si="2128"/>
        <v>174</v>
      </c>
      <c r="BY344" s="71" t="str">
        <f t="shared" si="2129"/>
        <v>-</v>
      </c>
      <c r="BZ344" s="72">
        <f t="shared" si="2130"/>
        <v>224</v>
      </c>
      <c r="CA344" s="71" t="str">
        <f t="shared" si="2131"/>
        <v>-</v>
      </c>
      <c r="CB344" s="72">
        <f t="shared" si="2132"/>
        <v>262</v>
      </c>
      <c r="CC344" s="71">
        <f t="shared" si="2133"/>
        <v>296</v>
      </c>
      <c r="CD344" s="72">
        <f t="shared" si="2134"/>
        <v>305</v>
      </c>
      <c r="CE344" s="71">
        <f t="shared" si="2135"/>
        <v>344</v>
      </c>
      <c r="CF344" s="72">
        <f t="shared" si="2136"/>
        <v>380</v>
      </c>
      <c r="CG344" s="71">
        <f t="shared" si="2137"/>
        <v>406</v>
      </c>
      <c r="CH344" s="70">
        <f t="shared" si="2138"/>
        <v>169</v>
      </c>
      <c r="CI344" s="71">
        <f t="shared" si="2139"/>
        <v>173</v>
      </c>
      <c r="CJ344" s="72">
        <f t="shared" si="2140"/>
        <v>201</v>
      </c>
      <c r="CK344" s="72" t="str">
        <f t="shared" si="2141"/>
        <v>-</v>
      </c>
      <c r="CL344" s="72">
        <f t="shared" si="2142"/>
        <v>257</v>
      </c>
      <c r="CM344" s="72" t="str">
        <f t="shared" si="2143"/>
        <v>-</v>
      </c>
      <c r="CN344" s="72">
        <f t="shared" si="2144"/>
        <v>292</v>
      </c>
      <c r="CO344" s="72">
        <f t="shared" si="2145"/>
        <v>298</v>
      </c>
      <c r="CP344" s="72">
        <f t="shared" si="2146"/>
        <v>337</v>
      </c>
      <c r="CQ344" s="72">
        <f t="shared" si="2147"/>
        <v>367</v>
      </c>
      <c r="CR344" s="72">
        <f t="shared" si="2148"/>
        <v>405</v>
      </c>
      <c r="CS344" s="72">
        <f t="shared" si="2149"/>
        <v>422</v>
      </c>
      <c r="CT344" s="23">
        <f t="shared" si="2150"/>
        <v>1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29" x14ac:dyDescent="0.2">
      <c r="A345" s="3" t="str">
        <f t="shared" si="2123"/>
        <v>glp1r_human_5NX2</v>
      </c>
      <c r="B345" s="3" t="s">
        <v>406</v>
      </c>
      <c r="C345" s="3" t="s">
        <v>1418</v>
      </c>
      <c r="D345" s="3" t="str">
        <f>IFERROR(MID(VLOOKUP($B345,Seqs!$A:$B,2,0),E345,1),"")</f>
        <v>E</v>
      </c>
      <c r="E345" s="3">
        <v>138</v>
      </c>
      <c r="F345" s="3" t="str">
        <f>IFERROR(MID(VLOOKUP($B345,Seqs!$A:$B,2,0),G345,1),"")</f>
        <v>F</v>
      </c>
      <c r="G345" s="3">
        <v>169</v>
      </c>
      <c r="H345" s="3" t="str">
        <f>IFERROR(MID(VLOOKUP($B345,Seqs!$A:$B,2,0),I345,1),"")</f>
        <v>R</v>
      </c>
      <c r="I345" s="23">
        <v>170</v>
      </c>
      <c r="J345" s="3" t="str">
        <f>IFERROR(MID(VLOOKUP($B345,Seqs!$A:$B,2,0),K345,1),"")</f>
        <v>H</v>
      </c>
      <c r="K345" s="23">
        <v>173</v>
      </c>
      <c r="L345" s="3" t="str">
        <f>IFERROR(MID(VLOOKUP($B345,Seqs!$A:$B,2,0),M345,1),"")</f>
        <v>C</v>
      </c>
      <c r="M345" s="23">
        <v>174</v>
      </c>
      <c r="N345" s="3" t="str">
        <f>IFERROR(MID(VLOOKUP($B345,Seqs!$A:$B,2,0),O345,1),"")</f>
        <v>S</v>
      </c>
      <c r="O345" s="3">
        <v>206</v>
      </c>
      <c r="P345" s="3" t="str">
        <f>IFERROR(MID(VLOOKUP($B345,Seqs!$A:$B,2,0),Q345,1),"")</f>
        <v/>
      </c>
      <c r="Q345" s="3" t="s">
        <v>23</v>
      </c>
      <c r="R345" s="3" t="str">
        <f>IFERROR(MID(VLOOKUP($B345,Seqs!$A:$B,2,0),S345,1),"")</f>
        <v/>
      </c>
      <c r="S345" s="3" t="s">
        <v>23</v>
      </c>
      <c r="T345" s="3" t="str">
        <f>IFERROR(MID(VLOOKUP($B345,Seqs!$A:$B,2,0),U345,1),"")</f>
        <v>L</v>
      </c>
      <c r="U345" s="3">
        <v>224</v>
      </c>
      <c r="V345" s="3" t="str">
        <f>IFERROR(MID(VLOOKUP($B345,Seqs!$A:$B,2,0),W345,1),"")</f>
        <v>F</v>
      </c>
      <c r="W345" s="3">
        <v>257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E</v>
      </c>
      <c r="AC345" s="3">
        <v>262</v>
      </c>
      <c r="AD345" s="3" t="str">
        <f>IFERROR(MID(VLOOKUP($B345,Seqs!$A:$B,2,0),AE345,1),"")</f>
        <v>Y</v>
      </c>
      <c r="AE345" s="3">
        <v>291</v>
      </c>
      <c r="AF345" s="3" t="str">
        <f>IFERROR(MID(VLOOKUP($B345,Seqs!$A:$B,2,0),AG345,1),"")</f>
        <v>C</v>
      </c>
      <c r="AG345" s="3">
        <v>296</v>
      </c>
      <c r="AH345" s="3" t="str">
        <f>IFERROR(MID(VLOOKUP($B345,Seqs!$A:$B,2,0),AI345,1),"")</f>
        <v>T</v>
      </c>
      <c r="AI345" s="3">
        <v>298</v>
      </c>
      <c r="AJ345" s="3" t="str">
        <f>IFERROR(MID(VLOOKUP($B345,Seqs!$A:$B,2,0),AK345,1),"")</f>
        <v>N</v>
      </c>
      <c r="AK345" s="3">
        <v>302</v>
      </c>
      <c r="AL345" s="3" t="str">
        <f>IFERROR(MID(VLOOKUP($B345,Seqs!$A:$B,2,0),AM345,1),"")</f>
        <v>L</v>
      </c>
      <c r="AM345" s="3">
        <v>335</v>
      </c>
      <c r="AN345" s="3" t="str">
        <f>IFERROR(MID(VLOOKUP($B345,Seqs!$A:$B,2,0),AO345,1),"")</f>
        <v>M</v>
      </c>
      <c r="AO345" s="3">
        <v>340</v>
      </c>
      <c r="AP345" s="3" t="str">
        <f>IFERROR(MID(VLOOKUP($B345,Seqs!$A:$B,2,0),AQ345,1),"")</f>
        <v>F</v>
      </c>
      <c r="AQ345" s="3">
        <v>369</v>
      </c>
      <c r="AR345" s="3" t="str">
        <f>IFERROR(MID(VLOOKUP($B345,Seqs!$A:$B,2,0),AS345,1),"")</f>
        <v>G</v>
      </c>
      <c r="AS345" s="3">
        <v>377</v>
      </c>
      <c r="AT345" s="3" t="str">
        <f>IFERROR(MID(VLOOKUP($B345,Seqs!$A:$B,2,0),AU345,1),"")</f>
        <v>V</v>
      </c>
      <c r="AU345" s="3">
        <v>405</v>
      </c>
      <c r="AV345" s="3" t="str">
        <f>IFERROR(MID(VLOOKUP($B345,Seqs!$A:$B,2,0),AW345,1),"")</f>
        <v>N</v>
      </c>
      <c r="AW345" s="3">
        <v>406</v>
      </c>
      <c r="AX345" s="3" t="str">
        <f>IFERROR(MID(VLOOKUP($B345,Seqs!$A:$B,2,0),AY345,1),"")</f>
        <v>S</v>
      </c>
      <c r="AY345" s="3">
        <v>416</v>
      </c>
      <c r="AZ345" s="77" t="str">
        <f>VLOOKUP(B345,Classification!A:D,2,0)</f>
        <v>B1</v>
      </c>
      <c r="BA345" s="94" t="str">
        <f>VLOOKUP(B345,Classification!A:D,4,0)</f>
        <v>Glucagonreceptorfamily</v>
      </c>
      <c r="BB345" s="27" t="b">
        <f t="shared" si="2124"/>
        <v>1</v>
      </c>
      <c r="BC345" s="23">
        <f t="shared" si="2125"/>
        <v>242</v>
      </c>
      <c r="BD345" s="4" t="s">
        <v>1429</v>
      </c>
      <c r="BE345" s="3" t="s">
        <v>1428</v>
      </c>
      <c r="BF345" s="119">
        <v>3.7</v>
      </c>
      <c r="BG345" s="49" t="s">
        <v>1</v>
      </c>
      <c r="BH345" s="49" t="s">
        <v>1</v>
      </c>
      <c r="BI345" s="1"/>
      <c r="BJ345" s="70" t="s">
        <v>1287</v>
      </c>
      <c r="BK345" s="57" t="s">
        <v>1287</v>
      </c>
      <c r="BL345" s="57" t="s">
        <v>1287</v>
      </c>
      <c r="BM345" s="57" t="s">
        <v>1287</v>
      </c>
      <c r="BN345" s="57" t="s">
        <v>1287</v>
      </c>
      <c r="BO345" s="57" t="s">
        <v>1287</v>
      </c>
      <c r="BP345" s="57" t="s">
        <v>1287</v>
      </c>
      <c r="BQ345" s="57" t="s">
        <v>1287</v>
      </c>
      <c r="BR345" s="57" t="s">
        <v>1287</v>
      </c>
      <c r="BS345" s="57" t="s">
        <v>1287</v>
      </c>
      <c r="BT345" s="57" t="s">
        <v>1287</v>
      </c>
      <c r="BU345" s="57" t="s">
        <v>1287</v>
      </c>
      <c r="BV345" s="70">
        <f t="shared" si="2126"/>
        <v>138</v>
      </c>
      <c r="BW345" s="71">
        <f t="shared" si="2127"/>
        <v>170</v>
      </c>
      <c r="BX345" s="72">
        <f t="shared" si="2128"/>
        <v>174</v>
      </c>
      <c r="BY345" s="71" t="str">
        <f t="shared" si="2129"/>
        <v>-</v>
      </c>
      <c r="BZ345" s="72">
        <f t="shared" si="2130"/>
        <v>224</v>
      </c>
      <c r="CA345" s="71" t="str">
        <f t="shared" si="2131"/>
        <v>-</v>
      </c>
      <c r="CB345" s="72">
        <f t="shared" si="2132"/>
        <v>262</v>
      </c>
      <c r="CC345" s="71">
        <f t="shared" si="2133"/>
        <v>296</v>
      </c>
      <c r="CD345" s="72">
        <f t="shared" si="2134"/>
        <v>302</v>
      </c>
      <c r="CE345" s="71">
        <f t="shared" si="2135"/>
        <v>340</v>
      </c>
      <c r="CF345" s="72">
        <f t="shared" si="2136"/>
        <v>377</v>
      </c>
      <c r="CG345" s="71">
        <f t="shared" si="2137"/>
        <v>406</v>
      </c>
      <c r="CH345" s="70">
        <f t="shared" si="2138"/>
        <v>169</v>
      </c>
      <c r="CI345" s="71">
        <f t="shared" si="2139"/>
        <v>173</v>
      </c>
      <c r="CJ345" s="72">
        <f t="shared" si="2140"/>
        <v>206</v>
      </c>
      <c r="CK345" s="72" t="str">
        <f t="shared" si="2141"/>
        <v>-</v>
      </c>
      <c r="CL345" s="72">
        <f t="shared" si="2142"/>
        <v>257</v>
      </c>
      <c r="CM345" s="72" t="str">
        <f t="shared" si="2143"/>
        <v>-</v>
      </c>
      <c r="CN345" s="72">
        <f t="shared" si="2144"/>
        <v>291</v>
      </c>
      <c r="CO345" s="72">
        <f t="shared" si="2145"/>
        <v>298</v>
      </c>
      <c r="CP345" s="72">
        <f t="shared" si="2146"/>
        <v>335</v>
      </c>
      <c r="CQ345" s="72">
        <f t="shared" si="2147"/>
        <v>369</v>
      </c>
      <c r="CR345" s="72">
        <f t="shared" si="2148"/>
        <v>405</v>
      </c>
      <c r="CS345" s="72">
        <f t="shared" si="2149"/>
        <v>416</v>
      </c>
      <c r="CT345" s="23">
        <f t="shared" si="2150"/>
        <v>1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29" x14ac:dyDescent="0.2">
      <c r="A346" s="3" t="str">
        <f t="shared" si="2123"/>
        <v>glp1r_human_6B3J</v>
      </c>
      <c r="B346" s="3" t="s">
        <v>406</v>
      </c>
      <c r="C346" s="3" t="s">
        <v>1473</v>
      </c>
      <c r="D346" s="3" t="str">
        <f>IFERROR(MID(VLOOKUP($B346,Seqs!$A:$B,2,0),E346,1),"")</f>
        <v>E</v>
      </c>
      <c r="E346" s="3">
        <v>138</v>
      </c>
      <c r="F346" s="3" t="str">
        <f>IFERROR(MID(VLOOKUP($B346,Seqs!$A:$B,2,0),G346,1),"")</f>
        <v>F</v>
      </c>
      <c r="G346" s="3">
        <v>169</v>
      </c>
      <c r="H346" s="3" t="str">
        <f>IFERROR(MID(VLOOKUP($B346,Seqs!$A:$B,2,0),I346,1),"")</f>
        <v/>
      </c>
      <c r="I346" s="23" t="s">
        <v>23</v>
      </c>
      <c r="J346" s="3" t="str">
        <f>IFERROR(MID(VLOOKUP($B346,Seqs!$A:$B,2,0),K346,1),"")</f>
        <v/>
      </c>
      <c r="K346" s="23" t="s">
        <v>23</v>
      </c>
      <c r="L346" s="3" t="str">
        <f>IFERROR(MID(VLOOKUP($B346,Seqs!$A:$B,2,0),M346,1),"")</f>
        <v>C</v>
      </c>
      <c r="M346" s="23">
        <v>174</v>
      </c>
      <c r="N346" s="3" t="str">
        <f>IFERROR(MID(VLOOKUP($B346,Seqs!$A:$B,2,0),O346,1),"")</f>
        <v>Y</v>
      </c>
      <c r="O346" s="3">
        <v>205</v>
      </c>
      <c r="P346" s="3" t="str">
        <f>IFERROR(MID(VLOOKUP($B346,Seqs!$A:$B,2,0),Q346,1),"")</f>
        <v/>
      </c>
      <c r="Q346" s="3" t="s">
        <v>23</v>
      </c>
      <c r="R346" s="3" t="str">
        <f>IFERROR(MID(VLOOKUP($B346,Seqs!$A:$B,2,0),S346,1),"")</f>
        <v/>
      </c>
      <c r="S346" s="3" t="s">
        <v>23</v>
      </c>
      <c r="T346" s="3" t="str">
        <f>IFERROR(MID(VLOOKUP($B346,Seqs!$A:$B,2,0),U346,1),"")</f>
        <v>S</v>
      </c>
      <c r="U346" s="3">
        <v>225</v>
      </c>
      <c r="V346" s="3" t="str">
        <f>IFERROR(MID(VLOOKUP($B346,Seqs!$A:$B,2,0),W346,1),"")</f>
        <v>F</v>
      </c>
      <c r="W346" s="3">
        <v>257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S</v>
      </c>
      <c r="AC346" s="3">
        <v>261</v>
      </c>
      <c r="AD346" s="3" t="str">
        <f>IFERROR(MID(VLOOKUP($B346,Seqs!$A:$B,2,0),AE346,1),"")</f>
        <v>E</v>
      </c>
      <c r="AE346" s="3">
        <v>292</v>
      </c>
      <c r="AF346" s="3" t="str">
        <f>IFERROR(MID(VLOOKUP($B346,Seqs!$A:$B,2,0),AG346,1),"")</f>
        <v>C</v>
      </c>
      <c r="AG346" s="3">
        <v>296</v>
      </c>
      <c r="AH346" s="3" t="str">
        <f>IFERROR(MID(VLOOKUP($B346,Seqs!$A:$B,2,0),AI346,1),"")</f>
        <v>T</v>
      </c>
      <c r="AI346" s="3">
        <v>298</v>
      </c>
      <c r="AJ346" s="3" t="str">
        <f>IFERROR(MID(VLOOKUP($B346,Seqs!$A:$B,2,0),AK346,1),"")</f>
        <v>N</v>
      </c>
      <c r="AK346" s="3">
        <v>302</v>
      </c>
      <c r="AL346" s="3" t="str">
        <f>IFERROR(MID(VLOOKUP($B346,Seqs!$A:$B,2,0),AM346,1),"")</f>
        <v>A</v>
      </c>
      <c r="AM346" s="3">
        <v>337</v>
      </c>
      <c r="AN346" s="3" t="str">
        <f>IFERROR(MID(VLOOKUP($B346,Seqs!$A:$B,2,0),AO346,1),"")</f>
        <v>D</v>
      </c>
      <c r="AO346" s="3">
        <v>344</v>
      </c>
      <c r="AP346" s="3" t="str">
        <f>IFERROR(MID(VLOOKUP($B346,Seqs!$A:$B,2,0),AQ346,1),"")</f>
        <v>F</v>
      </c>
      <c r="AQ346" s="3">
        <v>369</v>
      </c>
      <c r="AR346" s="3" t="str">
        <f>IFERROR(MID(VLOOKUP($B346,Seqs!$A:$B,2,0),AS346,1),"")</f>
        <v>R</v>
      </c>
      <c r="AS346" s="3">
        <v>380</v>
      </c>
      <c r="AT346" s="3" t="str">
        <f>IFERROR(MID(VLOOKUP($B346,Seqs!$A:$B,2,0),AU346,1),"")</f>
        <v>V</v>
      </c>
      <c r="AU346" s="3">
        <v>405</v>
      </c>
      <c r="AV346" s="3" t="str">
        <f>IFERROR(MID(VLOOKUP($B346,Seqs!$A:$B,2,0),AW346,1),"")</f>
        <v>N</v>
      </c>
      <c r="AW346" s="3">
        <v>406</v>
      </c>
      <c r="AX346" s="3" t="str">
        <f>IFERROR(MID(VLOOKUP($B346,Seqs!$A:$B,2,0),AY346,1),"")</f>
        <v>E</v>
      </c>
      <c r="AY346" s="3">
        <v>423</v>
      </c>
      <c r="AZ346" s="77" t="str">
        <f>VLOOKUP(B346,Classification!A:D,2,0)</f>
        <v>B1</v>
      </c>
      <c r="BA346" s="94" t="str">
        <f>VLOOKUP(B346,Classification!A:D,4,0)</f>
        <v>Glucagonreceptorfamily</v>
      </c>
      <c r="BB346" s="27" t="b">
        <f t="shared" si="2124"/>
        <v>1</v>
      </c>
      <c r="BC346" s="23">
        <f t="shared" si="2125"/>
        <v>241</v>
      </c>
      <c r="BD346" s="4" t="s">
        <v>1375</v>
      </c>
      <c r="BE346" s="3" t="s">
        <v>1291</v>
      </c>
      <c r="BF346" s="119">
        <v>3.3</v>
      </c>
      <c r="BG346" s="49" t="s">
        <v>1422</v>
      </c>
      <c r="BH346" s="49" t="s">
        <v>1422</v>
      </c>
      <c r="BI346" s="1"/>
      <c r="BJ346" s="70" t="s">
        <v>1287</v>
      </c>
      <c r="BK346" s="57" t="s">
        <v>1287</v>
      </c>
      <c r="BL346" s="57" t="s">
        <v>1287</v>
      </c>
      <c r="BM346" s="57" t="s">
        <v>1287</v>
      </c>
      <c r="BN346" s="57" t="s">
        <v>1287</v>
      </c>
      <c r="BO346" s="57" t="s">
        <v>1287</v>
      </c>
      <c r="BP346" s="57" t="s">
        <v>1287</v>
      </c>
      <c r="BQ346" s="57" t="s">
        <v>1287</v>
      </c>
      <c r="BR346" s="57" t="s">
        <v>1287</v>
      </c>
      <c r="BS346" s="57" t="s">
        <v>1287</v>
      </c>
      <c r="BT346" s="57" t="s">
        <v>1287</v>
      </c>
      <c r="BU346" s="57" t="s">
        <v>1287</v>
      </c>
      <c r="BV346" s="70">
        <f t="shared" si="2126"/>
        <v>138</v>
      </c>
      <c r="BW346" s="71" t="str">
        <f t="shared" si="2127"/>
        <v>-</v>
      </c>
      <c r="BX346" s="72">
        <f t="shared" si="2128"/>
        <v>174</v>
      </c>
      <c r="BY346" s="71" t="str">
        <f t="shared" si="2129"/>
        <v>-</v>
      </c>
      <c r="BZ346" s="72">
        <f t="shared" si="2130"/>
        <v>225</v>
      </c>
      <c r="CA346" s="71" t="str">
        <f t="shared" si="2131"/>
        <v>-</v>
      </c>
      <c r="CB346" s="72">
        <f t="shared" si="2132"/>
        <v>261</v>
      </c>
      <c r="CC346" s="71">
        <f t="shared" si="2133"/>
        <v>296</v>
      </c>
      <c r="CD346" s="72">
        <f t="shared" si="2134"/>
        <v>302</v>
      </c>
      <c r="CE346" s="71">
        <f t="shared" si="2135"/>
        <v>344</v>
      </c>
      <c r="CF346" s="72">
        <f t="shared" si="2136"/>
        <v>380</v>
      </c>
      <c r="CG346" s="71">
        <f t="shared" si="2137"/>
        <v>406</v>
      </c>
      <c r="CH346" s="70">
        <f t="shared" si="2138"/>
        <v>169</v>
      </c>
      <c r="CI346" s="71" t="str">
        <f t="shared" si="2139"/>
        <v>-</v>
      </c>
      <c r="CJ346" s="72">
        <f t="shared" si="2140"/>
        <v>205</v>
      </c>
      <c r="CK346" s="72" t="str">
        <f t="shared" si="2141"/>
        <v>-</v>
      </c>
      <c r="CL346" s="72">
        <f t="shared" si="2142"/>
        <v>257</v>
      </c>
      <c r="CM346" s="72" t="str">
        <f t="shared" si="2143"/>
        <v>-</v>
      </c>
      <c r="CN346" s="72">
        <f t="shared" si="2144"/>
        <v>292</v>
      </c>
      <c r="CO346" s="72">
        <f t="shared" si="2145"/>
        <v>298</v>
      </c>
      <c r="CP346" s="72">
        <f t="shared" si="2146"/>
        <v>337</v>
      </c>
      <c r="CQ346" s="72">
        <f t="shared" si="2147"/>
        <v>369</v>
      </c>
      <c r="CR346" s="72">
        <f t="shared" si="2148"/>
        <v>405</v>
      </c>
      <c r="CS346" s="72">
        <f t="shared" si="2149"/>
        <v>423</v>
      </c>
      <c r="CT346" s="23" t="e">
        <f t="shared" si="2150"/>
        <v>#VALUE!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29" x14ac:dyDescent="0.2">
      <c r="A347" s="3" t="str">
        <f t="shared" si="2123"/>
        <v>g1sgd4_rabit__wt</v>
      </c>
      <c r="B347" s="3" t="s">
        <v>1420</v>
      </c>
      <c r="C347" s="3" t="s">
        <v>100</v>
      </c>
      <c r="D347" s="3" t="str">
        <f>IFERROR(MID(VLOOKUP($B347,Seqs!$A:$B,2,0),E347,1),"")</f>
        <v>P</v>
      </c>
      <c r="E347" s="3">
        <v>137</v>
      </c>
      <c r="F347" s="3" t="str">
        <f>IFERROR(MID(VLOOKUP($B347,Seqs!$A:$B,2,0),G347,1),"")</f>
        <v>F</v>
      </c>
      <c r="G347" s="3">
        <v>169</v>
      </c>
      <c r="H347" s="3" t="str">
        <f>IFERROR(MID(VLOOKUP($B347,Seqs!$A:$B,2,0),I347,1),"")</f>
        <v>R</v>
      </c>
      <c r="I347" s="23">
        <v>170</v>
      </c>
      <c r="J347" s="3" t="str">
        <f>IFERROR(MID(VLOOKUP($B347,Seqs!$A:$B,2,0),K347,1),"")</f>
        <v>H</v>
      </c>
      <c r="K347" s="23">
        <v>173</v>
      </c>
      <c r="L347" s="3" t="str">
        <f>IFERROR(MID(VLOOKUP($B347,Seqs!$A:$B,2,0),M347,1),"")</f>
        <v>C</v>
      </c>
      <c r="M347" s="23">
        <v>174</v>
      </c>
      <c r="N347" s="3" t="str">
        <f>IFERROR(MID(VLOOKUP($B347,Seqs!$A:$B,2,0),O347,1),"")</f>
        <v>Q</v>
      </c>
      <c r="O347" s="3">
        <v>211</v>
      </c>
      <c r="P347" s="3" t="str">
        <f>IFERROR(MID(VLOOKUP($B347,Seqs!$A:$B,2,0),Q347,1),"")</f>
        <v/>
      </c>
      <c r="Q347" s="3" t="s">
        <v>23</v>
      </c>
      <c r="R347" s="3" t="str">
        <f>IFERROR(MID(VLOOKUP($B347,Seqs!$A:$B,2,0),S347,1),"")</f>
        <v/>
      </c>
      <c r="S347" s="3" t="s">
        <v>23</v>
      </c>
      <c r="T347" s="3" t="str">
        <f>IFERROR(MID(VLOOKUP($B347,Seqs!$A:$B,2,0),U347,1),"")</f>
        <v>L</v>
      </c>
      <c r="U347" s="3">
        <v>224</v>
      </c>
      <c r="V347" s="3" t="str">
        <f>IFERROR(MID(VLOOKUP($B347,Seqs!$A:$B,2,0),W347,1),"")</f>
        <v>F</v>
      </c>
      <c r="W347" s="3">
        <v>257</v>
      </c>
      <c r="X347" s="3" t="str">
        <f>IFERROR(MID(VLOOKUP($B347,Seqs!$A:$B,2,0),Y347,1),"")</f>
        <v/>
      </c>
      <c r="Y347" s="3" t="s">
        <v>23</v>
      </c>
      <c r="Z347" s="3" t="str">
        <f>IFERROR(MID(VLOOKUP($B347,Seqs!$A:$B,2,0),AA347,1),"")</f>
        <v/>
      </c>
      <c r="AA347" s="3" t="s">
        <v>23</v>
      </c>
      <c r="AB347" s="3" t="str">
        <f>IFERROR(MID(VLOOKUP($B347,Seqs!$A:$B,2,0),AC347,1),"")</f>
        <v>S</v>
      </c>
      <c r="AC347" s="3">
        <v>261</v>
      </c>
      <c r="AD347" s="3" t="str">
        <f>IFERROR(MID(VLOOKUP($B347,Seqs!$A:$B,2,0),AE347,1),"")</f>
        <v>E</v>
      </c>
      <c r="AE347" s="3">
        <v>292</v>
      </c>
      <c r="AF347" s="3" t="str">
        <f>IFERROR(MID(VLOOKUP($B347,Seqs!$A:$B,2,0),AG347,1),"")</f>
        <v>C</v>
      </c>
      <c r="AG347" s="3">
        <v>296</v>
      </c>
      <c r="AH347" s="3" t="str">
        <f>IFERROR(MID(VLOOKUP($B347,Seqs!$A:$B,2,0),AI347,1),"")</f>
        <v>T</v>
      </c>
      <c r="AI347" s="3">
        <v>298</v>
      </c>
      <c r="AJ347" s="3" t="str">
        <f>IFERROR(MID(VLOOKUP($B347,Seqs!$A:$B,2,0),AK347,1),"")</f>
        <v>Y</v>
      </c>
      <c r="AK347" s="3">
        <v>305</v>
      </c>
      <c r="AL347" s="3" t="str">
        <f>IFERROR(MID(VLOOKUP($B347,Seqs!$A:$B,2,0),AM347,1),"")</f>
        <v>A</v>
      </c>
      <c r="AM347" s="3">
        <v>337</v>
      </c>
      <c r="AN347" s="3" t="str">
        <f>IFERROR(MID(VLOOKUP($B347,Seqs!$A:$B,2,0),AO347,1),"")</f>
        <v>K</v>
      </c>
      <c r="AO347" s="3">
        <v>346</v>
      </c>
      <c r="AP347" s="3" t="str">
        <f>IFERROR(MID(VLOOKUP($B347,Seqs!$A:$B,2,0),AQ347,1),"")</f>
        <v>F</v>
      </c>
      <c r="AQ347" s="3">
        <v>369</v>
      </c>
      <c r="AR347" s="3" t="str">
        <f>IFERROR(MID(VLOOKUP($B347,Seqs!$A:$B,2,0),AS347,1),"")</f>
        <v>L</v>
      </c>
      <c r="AS347" s="3">
        <v>379</v>
      </c>
      <c r="AT347" s="3" t="str">
        <f>IFERROR(MID(VLOOKUP($B347,Seqs!$A:$B,2,0),AU347,1),"")</f>
        <v>V</v>
      </c>
      <c r="AU347" s="3">
        <v>405</v>
      </c>
      <c r="AV347" s="3" t="str">
        <f>IFERROR(MID(VLOOKUP($B347,Seqs!$A:$B,2,0),AW347,1),"")</f>
        <v>N</v>
      </c>
      <c r="AW347" s="3">
        <v>406</v>
      </c>
      <c r="AX347" s="3" t="str">
        <f>IFERROR(MID(VLOOKUP($B347,Seqs!$A:$B,2,0),AY347,1),"")</f>
        <v>S</v>
      </c>
      <c r="AY347" s="3">
        <v>431</v>
      </c>
      <c r="AZ347" s="77" t="str">
        <f>VLOOKUP(B347,Classification!A:D,2,0)</f>
        <v>B1</v>
      </c>
      <c r="BA347" s="94" t="str">
        <f>VLOOKUP(B347,Classification!A:D,4,0)</f>
        <v>Glucagonreceptorfamily</v>
      </c>
      <c r="BB347" s="27" t="b">
        <f t="shared" si="2124"/>
        <v>1</v>
      </c>
      <c r="BC347" s="23">
        <f t="shared" si="2125"/>
        <v>256</v>
      </c>
      <c r="BD347" s="4" t="s">
        <v>23</v>
      </c>
      <c r="BE347" s="3" t="s">
        <v>23</v>
      </c>
      <c r="BF347" s="119" t="s">
        <v>23</v>
      </c>
      <c r="BI347" s="1"/>
      <c r="BJ347" s="70" t="s">
        <v>1287</v>
      </c>
      <c r="BK347" s="57" t="s">
        <v>1287</v>
      </c>
      <c r="BL347" s="57" t="s">
        <v>1287</v>
      </c>
      <c r="BM347" s="57" t="s">
        <v>1287</v>
      </c>
      <c r="BN347" s="57" t="s">
        <v>1287</v>
      </c>
      <c r="BO347" s="57" t="s">
        <v>1287</v>
      </c>
      <c r="BP347" s="57" t="s">
        <v>1287</v>
      </c>
      <c r="BQ347" s="57" t="s">
        <v>1287</v>
      </c>
      <c r="BR347" s="57" t="s">
        <v>1287</v>
      </c>
      <c r="BS347" s="57" t="s">
        <v>1287</v>
      </c>
      <c r="BT347" s="57" t="s">
        <v>1287</v>
      </c>
      <c r="BU347" s="57" t="s">
        <v>1287</v>
      </c>
      <c r="BV347" s="70">
        <f t="shared" si="2126"/>
        <v>137</v>
      </c>
      <c r="BW347" s="71">
        <f t="shared" si="2127"/>
        <v>170</v>
      </c>
      <c r="BX347" s="72">
        <f t="shared" si="2128"/>
        <v>174</v>
      </c>
      <c r="BY347" s="71" t="str">
        <f t="shared" si="2129"/>
        <v>-</v>
      </c>
      <c r="BZ347" s="72">
        <f t="shared" si="2130"/>
        <v>224</v>
      </c>
      <c r="CA347" s="71" t="str">
        <f t="shared" si="2131"/>
        <v>-</v>
      </c>
      <c r="CB347" s="72">
        <f t="shared" si="2132"/>
        <v>261</v>
      </c>
      <c r="CC347" s="71">
        <f t="shared" si="2133"/>
        <v>296</v>
      </c>
      <c r="CD347" s="72">
        <f t="shared" si="2134"/>
        <v>305</v>
      </c>
      <c r="CE347" s="71">
        <f t="shared" si="2135"/>
        <v>346</v>
      </c>
      <c r="CF347" s="72">
        <f t="shared" si="2136"/>
        <v>379</v>
      </c>
      <c r="CG347" s="71">
        <f t="shared" si="2137"/>
        <v>406</v>
      </c>
      <c r="CH347" s="70">
        <f t="shared" si="2138"/>
        <v>169</v>
      </c>
      <c r="CI347" s="71">
        <f t="shared" si="2139"/>
        <v>173</v>
      </c>
      <c r="CJ347" s="72">
        <f t="shared" si="2140"/>
        <v>211</v>
      </c>
      <c r="CK347" s="72" t="str">
        <f t="shared" si="2141"/>
        <v>-</v>
      </c>
      <c r="CL347" s="72">
        <f t="shared" si="2142"/>
        <v>257</v>
      </c>
      <c r="CM347" s="72" t="str">
        <f t="shared" si="2143"/>
        <v>-</v>
      </c>
      <c r="CN347" s="72">
        <f t="shared" si="2144"/>
        <v>292</v>
      </c>
      <c r="CO347" s="72">
        <f t="shared" si="2145"/>
        <v>298</v>
      </c>
      <c r="CP347" s="72">
        <f t="shared" si="2146"/>
        <v>337</v>
      </c>
      <c r="CQ347" s="72">
        <f t="shared" si="2147"/>
        <v>369</v>
      </c>
      <c r="CR347" s="72">
        <f t="shared" si="2148"/>
        <v>405</v>
      </c>
      <c r="CS347" s="72">
        <f t="shared" si="2149"/>
        <v>431</v>
      </c>
      <c r="CT347" s="23">
        <f t="shared" si="2150"/>
        <v>1</v>
      </c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</row>
    <row r="348" spans="1:1029" x14ac:dyDescent="0.2">
      <c r="A348" s="3" t="str">
        <f t="shared" si="2123"/>
        <v>g1sgd4_rabit_5VAI</v>
      </c>
      <c r="B348" s="3" t="s">
        <v>1420</v>
      </c>
      <c r="C348" s="3" t="s">
        <v>1421</v>
      </c>
      <c r="D348" s="3" t="str">
        <f>IFERROR(MID(VLOOKUP($B348,Seqs!$A:$B,2,0),E348,1),"")</f>
        <v>P</v>
      </c>
      <c r="E348" s="3">
        <v>137</v>
      </c>
      <c r="F348" s="3" t="str">
        <f>IFERROR(MID(VLOOKUP($B348,Seqs!$A:$B,2,0),G348,1),"")</f>
        <v>G</v>
      </c>
      <c r="G348" s="3">
        <v>168</v>
      </c>
      <c r="H348" s="3" t="str">
        <f>IFERROR(MID(VLOOKUP($B348,Seqs!$A:$B,2,0),I348,1),"")</f>
        <v>R</v>
      </c>
      <c r="I348" s="23">
        <v>170</v>
      </c>
      <c r="J348" s="3" t="str">
        <f>IFERROR(MID(VLOOKUP($B348,Seqs!$A:$B,2,0),K348,1),"")</f>
        <v>H</v>
      </c>
      <c r="K348" s="23">
        <v>173</v>
      </c>
      <c r="L348" s="3" t="str">
        <f>IFERROR(MID(VLOOKUP($B348,Seqs!$A:$B,2,0),M348,1),"")</f>
        <v>C</v>
      </c>
      <c r="M348" s="23">
        <v>174</v>
      </c>
      <c r="N348" s="3" t="str">
        <f>IFERROR(MID(VLOOKUP($B348,Seqs!$A:$B,2,0),O348,1),"")</f>
        <v>Q</v>
      </c>
      <c r="O348" s="3">
        <v>211</v>
      </c>
      <c r="P348" s="3" t="str">
        <f>IFERROR(MID(VLOOKUP($B348,Seqs!$A:$B,2,0),Q348,1),"")</f>
        <v/>
      </c>
      <c r="Q348" s="3" t="s">
        <v>23</v>
      </c>
      <c r="R348" s="3" t="str">
        <f>IFERROR(MID(VLOOKUP($B348,Seqs!$A:$B,2,0),S348,1),"")</f>
        <v/>
      </c>
      <c r="S348" s="3" t="s">
        <v>23</v>
      </c>
      <c r="T348" s="3" t="str">
        <f>IFERROR(MID(VLOOKUP($B348,Seqs!$A:$B,2,0),U348,1),"")</f>
        <v>L</v>
      </c>
      <c r="U348" s="3">
        <v>224</v>
      </c>
      <c r="V348" s="3" t="str">
        <f>IFERROR(MID(VLOOKUP($B348,Seqs!$A:$B,2,0),W348,1),"")</f>
        <v>F</v>
      </c>
      <c r="W348" s="3">
        <v>257</v>
      </c>
      <c r="X348" s="3" t="str">
        <f>IFERROR(MID(VLOOKUP($B348,Seqs!$A:$B,2,0),Y348,1),"")</f>
        <v/>
      </c>
      <c r="Y348" s="3" t="s">
        <v>23</v>
      </c>
      <c r="Z348" s="3" t="str">
        <f>IFERROR(MID(VLOOKUP($B348,Seqs!$A:$B,2,0),AA348,1),"")</f>
        <v/>
      </c>
      <c r="AA348" s="3" t="s">
        <v>23</v>
      </c>
      <c r="AB348" s="3" t="str">
        <f>IFERROR(MID(VLOOKUP($B348,Seqs!$A:$B,2,0),AC348,1),"")</f>
        <v>S</v>
      </c>
      <c r="AC348" s="3">
        <v>261</v>
      </c>
      <c r="AD348" s="3" t="str">
        <f>IFERROR(MID(VLOOKUP($B348,Seqs!$A:$B,2,0),AE348,1),"")</f>
        <v>E</v>
      </c>
      <c r="AE348" s="3">
        <v>292</v>
      </c>
      <c r="AF348" s="3" t="str">
        <f>IFERROR(MID(VLOOKUP($B348,Seqs!$A:$B,2,0),AG348,1),"")</f>
        <v>C</v>
      </c>
      <c r="AG348" s="3">
        <v>296</v>
      </c>
      <c r="AH348" s="3" t="str">
        <f>IFERROR(MID(VLOOKUP($B348,Seqs!$A:$B,2,0),AI348,1),"")</f>
        <v>T</v>
      </c>
      <c r="AI348" s="3">
        <v>298</v>
      </c>
      <c r="AJ348" s="3" t="str">
        <f>IFERROR(MID(VLOOKUP($B348,Seqs!$A:$B,2,0),AK348,1),"")</f>
        <v>Y</v>
      </c>
      <c r="AK348" s="3">
        <v>305</v>
      </c>
      <c r="AL348" s="3" t="str">
        <f>IFERROR(MID(VLOOKUP($B348,Seqs!$A:$B,2,0),AM348,1),"")</f>
        <v>A</v>
      </c>
      <c r="AM348" s="3">
        <v>337</v>
      </c>
      <c r="AN348" s="3" t="str">
        <f>IFERROR(MID(VLOOKUP($B348,Seqs!$A:$B,2,0),AO348,1),"")</f>
        <v>K</v>
      </c>
      <c r="AO348" s="3">
        <v>346</v>
      </c>
      <c r="AP348" s="3" t="str">
        <f>IFERROR(MID(VLOOKUP($B348,Seqs!$A:$B,2,0),AQ348,1),"")</f>
        <v>F</v>
      </c>
      <c r="AQ348" s="3">
        <v>369</v>
      </c>
      <c r="AR348" s="3" t="str">
        <f>IFERROR(MID(VLOOKUP($B348,Seqs!$A:$B,2,0),AS348,1),"")</f>
        <v>L</v>
      </c>
      <c r="AS348" s="3">
        <v>379</v>
      </c>
      <c r="AT348" s="3" t="str">
        <f>IFERROR(MID(VLOOKUP($B348,Seqs!$A:$B,2,0),AU348,1),"")</f>
        <v>V</v>
      </c>
      <c r="AU348" s="3">
        <v>405</v>
      </c>
      <c r="AV348" s="3" t="str">
        <f>IFERROR(MID(VLOOKUP($B348,Seqs!$A:$B,2,0),AW348,1),"")</f>
        <v>N</v>
      </c>
      <c r="AW348" s="3">
        <v>406</v>
      </c>
      <c r="AX348" s="3" t="str">
        <f>IFERROR(MID(VLOOKUP($B348,Seqs!$A:$B,2,0),AY348,1),"")</f>
        <v>R</v>
      </c>
      <c r="AY348" s="3">
        <v>421</v>
      </c>
      <c r="AZ348" s="77" t="str">
        <f>VLOOKUP(B348,Classification!A:D,2,0)</f>
        <v>B1</v>
      </c>
      <c r="BA348" s="94" t="str">
        <f>VLOOKUP(B348,Classification!A:D,4,0)</f>
        <v>Glucagonreceptorfamily</v>
      </c>
      <c r="BB348" s="27" t="b">
        <f t="shared" si="2124"/>
        <v>1</v>
      </c>
      <c r="BC348" s="23">
        <f t="shared" si="2125"/>
        <v>245</v>
      </c>
      <c r="BD348" s="4" t="s">
        <v>1375</v>
      </c>
      <c r="BE348" s="3" t="s">
        <v>1291</v>
      </c>
      <c r="BF348" s="119">
        <v>4.0999999999999996</v>
      </c>
      <c r="BG348" s="49" t="s">
        <v>1422</v>
      </c>
      <c r="BH348" s="49" t="s">
        <v>1422</v>
      </c>
      <c r="BI348" s="1"/>
      <c r="BJ348" s="70" t="s">
        <v>1287</v>
      </c>
      <c r="BK348" s="57" t="s">
        <v>1287</v>
      </c>
      <c r="BL348" s="57" t="s">
        <v>1287</v>
      </c>
      <c r="BM348" s="57" t="s">
        <v>1287</v>
      </c>
      <c r="BN348" s="57" t="s">
        <v>1287</v>
      </c>
      <c r="BO348" s="57" t="s">
        <v>1287</v>
      </c>
      <c r="BP348" s="57" t="s">
        <v>1287</v>
      </c>
      <c r="BQ348" s="57" t="s">
        <v>1287</v>
      </c>
      <c r="BR348" s="57" t="s">
        <v>1287</v>
      </c>
      <c r="BS348" s="57" t="s">
        <v>1287</v>
      </c>
      <c r="BT348" s="57" t="s">
        <v>1287</v>
      </c>
      <c r="BU348" s="57" t="s">
        <v>1287</v>
      </c>
      <c r="BV348" s="70">
        <f t="shared" si="2126"/>
        <v>137</v>
      </c>
      <c r="BW348" s="71">
        <f t="shared" si="2127"/>
        <v>170</v>
      </c>
      <c r="BX348" s="72">
        <f t="shared" si="2128"/>
        <v>174</v>
      </c>
      <c r="BY348" s="71" t="str">
        <f t="shared" si="2129"/>
        <v>-</v>
      </c>
      <c r="BZ348" s="72">
        <f t="shared" si="2130"/>
        <v>224</v>
      </c>
      <c r="CA348" s="71" t="str">
        <f t="shared" si="2131"/>
        <v>-</v>
      </c>
      <c r="CB348" s="72">
        <f t="shared" si="2132"/>
        <v>261</v>
      </c>
      <c r="CC348" s="71">
        <f t="shared" si="2133"/>
        <v>296</v>
      </c>
      <c r="CD348" s="72">
        <f t="shared" si="2134"/>
        <v>305</v>
      </c>
      <c r="CE348" s="71">
        <f t="shared" si="2135"/>
        <v>346</v>
      </c>
      <c r="CF348" s="72">
        <f t="shared" si="2136"/>
        <v>379</v>
      </c>
      <c r="CG348" s="71">
        <f t="shared" si="2137"/>
        <v>406</v>
      </c>
      <c r="CH348" s="70">
        <f t="shared" si="2138"/>
        <v>168</v>
      </c>
      <c r="CI348" s="71">
        <f t="shared" si="2139"/>
        <v>173</v>
      </c>
      <c r="CJ348" s="72">
        <f t="shared" si="2140"/>
        <v>211</v>
      </c>
      <c r="CK348" s="72" t="str">
        <f t="shared" si="2141"/>
        <v>-</v>
      </c>
      <c r="CL348" s="72">
        <f t="shared" si="2142"/>
        <v>257</v>
      </c>
      <c r="CM348" s="72" t="str">
        <f t="shared" si="2143"/>
        <v>-</v>
      </c>
      <c r="CN348" s="72">
        <f t="shared" si="2144"/>
        <v>292</v>
      </c>
      <c r="CO348" s="72">
        <f t="shared" si="2145"/>
        <v>298</v>
      </c>
      <c r="CP348" s="72">
        <f t="shared" si="2146"/>
        <v>337</v>
      </c>
      <c r="CQ348" s="72">
        <f t="shared" si="2147"/>
        <v>369</v>
      </c>
      <c r="CR348" s="72">
        <f t="shared" si="2148"/>
        <v>405</v>
      </c>
      <c r="CS348" s="72">
        <f t="shared" si="2149"/>
        <v>421</v>
      </c>
      <c r="CT348" s="23">
        <f t="shared" si="2150"/>
        <v>1</v>
      </c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  <c r="AMK348" s="1"/>
      <c r="AML348" s="1"/>
      <c r="AMM348" s="1"/>
      <c r="AMN348" s="1"/>
      <c r="AMO348" s="1"/>
    </row>
    <row r="349" spans="1:1029" x14ac:dyDescent="0.2">
      <c r="A349" s="3" t="str">
        <f t="shared" ref="A349" si="2151">CONCATENATE(B349,"_",C349)</f>
        <v>pth1r_human__wt</v>
      </c>
      <c r="B349" s="3" t="s">
        <v>409</v>
      </c>
      <c r="C349" s="3" t="s">
        <v>100</v>
      </c>
      <c r="D349" s="3" t="str">
        <f>IFERROR(MID(VLOOKUP($B349,Seqs!$A:$B,2,0),E349,1),"")</f>
        <v>F</v>
      </c>
      <c r="E349" s="105">
        <v>173</v>
      </c>
      <c r="F349" s="3" t="str">
        <f>IFERROR(MID(VLOOKUP($B349,Seqs!$A:$B,2,0),G349,1),"")</f>
        <v>F</v>
      </c>
      <c r="G349" s="3">
        <v>212</v>
      </c>
      <c r="H349" s="3" t="str">
        <f>IFERROR(MID(VLOOKUP($B349,Seqs!$A:$B,2,0),I349,1),"")</f>
        <v>R</v>
      </c>
      <c r="I349" s="23">
        <v>213</v>
      </c>
      <c r="J349" s="3" t="str">
        <f>IFERROR(MID(VLOOKUP($B349,Seqs!$A:$B,2,0),K349,1),"")</f>
        <v>H</v>
      </c>
      <c r="K349" s="23">
        <v>216</v>
      </c>
      <c r="L349" s="3" t="str">
        <f>IFERROR(MID(VLOOKUP($B349,Seqs!$A:$B,2,0),M349,1),"")</f>
        <v>C</v>
      </c>
      <c r="M349" s="23">
        <v>217</v>
      </c>
      <c r="N349" s="3" t="str">
        <f>IFERROR(MID(VLOOKUP($B349,Seqs!$A:$B,2,0),O349,1),"")</f>
        <v>T</v>
      </c>
      <c r="O349" s="3">
        <v>249</v>
      </c>
      <c r="P349" s="3" t="str">
        <f>IFERROR(MID(VLOOKUP($B349,Seqs!$A:$B,2,0),Q349,1),"")</f>
        <v/>
      </c>
      <c r="Q349" s="3" t="s">
        <v>23</v>
      </c>
      <c r="R349" s="3" t="str">
        <f>IFERROR(MID(VLOOKUP($B349,Seqs!$A:$B,2,0),S349,1),"")</f>
        <v/>
      </c>
      <c r="S349" s="3" t="s">
        <v>23</v>
      </c>
      <c r="T349" s="3" t="str">
        <f>IFERROR(MID(VLOOKUP($B349,Seqs!$A:$B,2,0),U349,1),"")</f>
        <v>G</v>
      </c>
      <c r="U349" s="3">
        <v>277</v>
      </c>
      <c r="V349" s="3" t="str">
        <f>IFERROR(MID(VLOOKUP($B349,Seqs!$A:$B,2,0),W349,1),"")</f>
        <v>M</v>
      </c>
      <c r="W349" s="3">
        <v>312</v>
      </c>
      <c r="X349" s="3" t="str">
        <f>IFERROR(MID(VLOOKUP($B349,Seqs!$A:$B,2,0),Y349,1),"")</f>
        <v/>
      </c>
      <c r="Y349" s="3" t="s">
        <v>23</v>
      </c>
      <c r="Z349" s="3" t="str">
        <f>IFERROR(MID(VLOOKUP($B349,Seqs!$A:$B,2,0),AA349,1),"")</f>
        <v/>
      </c>
      <c r="AA349" s="3" t="s">
        <v>23</v>
      </c>
      <c r="AB349" s="3" t="str">
        <f>IFERROR(MID(VLOOKUP($B349,Seqs!$A:$B,2,0),AC349,1),"")</f>
        <v>S</v>
      </c>
      <c r="AC349" s="3">
        <v>316</v>
      </c>
      <c r="AD349" s="3" t="str">
        <f>IFERROR(MID(VLOOKUP($B349,Seqs!$A:$B,2,0),AE349,1),"")</f>
        <v>A</v>
      </c>
      <c r="AE349" s="3">
        <v>347</v>
      </c>
      <c r="AF349" s="3" t="str">
        <f>IFERROR(MID(VLOOKUP($B349,Seqs!$A:$B,2,0),AG349,1),"")</f>
        <v>C</v>
      </c>
      <c r="AG349" s="3">
        <v>351</v>
      </c>
      <c r="AH349" s="3" t="str">
        <f>IFERROR(MID(VLOOKUP($B349,Seqs!$A:$B,2,0),AI349,1),"")</f>
        <v>D</v>
      </c>
      <c r="AI349" s="3">
        <v>353</v>
      </c>
      <c r="AJ349" s="3" t="str">
        <f>IFERROR(MID(VLOOKUP($B349,Seqs!$A:$B,2,0),AK349,1),"")</f>
        <v>G</v>
      </c>
      <c r="AK349" s="105">
        <v>357</v>
      </c>
      <c r="AL349" s="3" t="str">
        <f>IFERROR(MID(VLOOKUP($B349,Seqs!$A:$B,2,0),AM349,1),"")</f>
        <v>L</v>
      </c>
      <c r="AM349" s="3">
        <v>389</v>
      </c>
      <c r="AN349" s="3" t="str">
        <f>IFERROR(MID(VLOOKUP($B349,Seqs!$A:$B,2,0),AO349,1),"")</f>
        <v>D</v>
      </c>
      <c r="AO349" s="3">
        <v>398</v>
      </c>
      <c r="AP349" s="3" t="str">
        <f>IFERROR(MID(VLOOKUP($B349,Seqs!$A:$B,2,0),AQ349,1),"")</f>
        <v>T</v>
      </c>
      <c r="AQ349" s="3">
        <v>427</v>
      </c>
      <c r="AR349" s="3" t="str">
        <f>IFERROR(MID(VLOOKUP($B349,Seqs!$A:$B,2,0),AS349,1),"")</f>
        <v>G</v>
      </c>
      <c r="AS349" s="3">
        <v>434</v>
      </c>
      <c r="AT349" s="3" t="str">
        <f>IFERROR(MID(VLOOKUP($B349,Seqs!$A:$B,2,0),AU349,1),"")</f>
        <v>C</v>
      </c>
      <c r="AU349" s="3">
        <v>462</v>
      </c>
      <c r="AV349" s="3" t="str">
        <f>IFERROR(MID(VLOOKUP($B349,Seqs!$A:$B,2,0),AW349,1),"")</f>
        <v>N</v>
      </c>
      <c r="AW349" s="3">
        <v>463</v>
      </c>
      <c r="AX349" s="3" t="str">
        <f>IFERROR(MID(VLOOKUP($B349,Seqs!$A:$B,2,0),AY349,1),"")</f>
        <v>R</v>
      </c>
      <c r="AY349" s="3">
        <v>488</v>
      </c>
      <c r="AZ349" s="77" t="str">
        <f>VLOOKUP(B349,Classification!A:D,2,0)</f>
        <v>B1</v>
      </c>
      <c r="BA349" s="94" t="str">
        <f>VLOOKUP(B349,Classification!A:D,4,0)</f>
        <v>Parathyroidhormone</v>
      </c>
      <c r="BB349" s="27" t="b">
        <f t="shared" ref="BB349" si="2152">AND(E349&lt;G349,OR(G349&lt;I349,I349="-"),OR(I349&lt;K349,I349="-"),OR(K349&lt;M349,K349="-"),M349&lt;O349,OR(O349&lt;Q349,Q349="-"),OR(Q349&lt;S349,Q349="-"),OR(S349&lt;U349,S349="-"),U349&lt;W349,OR(W349&lt;Y349,Y349="-"),OR(Y349&lt;AA349,Y349="-"),OR(AA349&lt;AC349,AA349="-"),AC349&lt;AE349,OR(AE349&lt;AG349,AG349="-"),OR(AG349&lt;AI349,AG349="-"),OR(AI349&lt;AK349,AI349="-"),AK349&lt;AM349,AM349&lt;AO349,AO349&lt;AQ349,AQ349&lt;AS349,AS349&lt;AU349,OR(AU349&lt;AW349,AW349="-"),OR(AW349&lt;AY349,AW349="-"))</f>
        <v>1</v>
      </c>
      <c r="BC349" s="23">
        <f t="shared" ref="BC349" si="2153">_xlfn.AGGREGATE(9,6,CH349:CS349)-_xlfn.AGGREGATE(9,6,BV349:CG349)+12</f>
        <v>268</v>
      </c>
      <c r="BD349" s="4" t="s">
        <v>23</v>
      </c>
      <c r="BE349" s="3" t="s">
        <v>23</v>
      </c>
      <c r="BF349" s="119" t="s">
        <v>23</v>
      </c>
      <c r="BG349" s="49" t="s">
        <v>23</v>
      </c>
      <c r="BH349" s="49" t="s">
        <v>23</v>
      </c>
      <c r="BI349" s="1"/>
      <c r="BJ349" s="70" t="s">
        <v>1287</v>
      </c>
      <c r="BK349" s="57" t="s">
        <v>1287</v>
      </c>
      <c r="BL349" s="57" t="s">
        <v>1287</v>
      </c>
      <c r="BM349" s="57" t="s">
        <v>1287</v>
      </c>
      <c r="BN349" s="57" t="s">
        <v>1287</v>
      </c>
      <c r="BO349" s="57" t="s">
        <v>1287</v>
      </c>
      <c r="BP349" s="57" t="s">
        <v>1287</v>
      </c>
      <c r="BQ349" s="57" t="s">
        <v>1287</v>
      </c>
      <c r="BR349" s="57" t="s">
        <v>1287</v>
      </c>
      <c r="BS349" s="57" t="s">
        <v>1287</v>
      </c>
      <c r="BT349" s="57" t="s">
        <v>1287</v>
      </c>
      <c r="BU349" s="57" t="s">
        <v>1287</v>
      </c>
      <c r="BV349" s="70">
        <f t="shared" ref="BV349" si="2154">E349</f>
        <v>173</v>
      </c>
      <c r="BW349" s="71">
        <f t="shared" ref="BW349" si="2155">I349</f>
        <v>213</v>
      </c>
      <c r="BX349" s="72">
        <f t="shared" ref="BX349" si="2156">M349</f>
        <v>217</v>
      </c>
      <c r="BY349" s="71" t="str">
        <f t="shared" ref="BY349" si="2157">Q349</f>
        <v>-</v>
      </c>
      <c r="BZ349" s="72">
        <f t="shared" ref="BZ349" si="2158">U349</f>
        <v>277</v>
      </c>
      <c r="CA349" s="71" t="str">
        <f t="shared" ref="CA349" si="2159">Y349</f>
        <v>-</v>
      </c>
      <c r="CB349" s="72">
        <f t="shared" ref="CB349" si="2160">AC349</f>
        <v>316</v>
      </c>
      <c r="CC349" s="71">
        <f t="shared" ref="CC349" si="2161">AG349</f>
        <v>351</v>
      </c>
      <c r="CD349" s="72">
        <f t="shared" ref="CD349" si="2162">AK349</f>
        <v>357</v>
      </c>
      <c r="CE349" s="71">
        <f t="shared" ref="CE349" si="2163">AO349</f>
        <v>398</v>
      </c>
      <c r="CF349" s="72">
        <f t="shared" ref="CF349" si="2164">AS349</f>
        <v>434</v>
      </c>
      <c r="CG349" s="71">
        <f t="shared" ref="CG349" si="2165">AW349</f>
        <v>463</v>
      </c>
      <c r="CH349" s="70">
        <f t="shared" ref="CH349" si="2166">G349</f>
        <v>212</v>
      </c>
      <c r="CI349" s="71">
        <f t="shared" ref="CI349" si="2167">K349</f>
        <v>216</v>
      </c>
      <c r="CJ349" s="72">
        <f t="shared" ref="CJ349" si="2168">O349</f>
        <v>249</v>
      </c>
      <c r="CK349" s="72" t="str">
        <f t="shared" ref="CK349" si="2169">S349</f>
        <v>-</v>
      </c>
      <c r="CL349" s="72">
        <f t="shared" ref="CL349" si="2170">W349</f>
        <v>312</v>
      </c>
      <c r="CM349" s="72" t="str">
        <f t="shared" ref="CM349" si="2171">AA349</f>
        <v>-</v>
      </c>
      <c r="CN349" s="72">
        <f t="shared" ref="CN349" si="2172">AE349</f>
        <v>347</v>
      </c>
      <c r="CO349" s="72">
        <f t="shared" ref="CO349" si="2173">AI349</f>
        <v>353</v>
      </c>
      <c r="CP349" s="72">
        <f t="shared" ref="CP349" si="2174">AM349</f>
        <v>389</v>
      </c>
      <c r="CQ349" s="72">
        <f t="shared" ref="CQ349" si="2175">AQ349</f>
        <v>427</v>
      </c>
      <c r="CR349" s="72">
        <f t="shared" ref="CR349" si="2176">AU349</f>
        <v>462</v>
      </c>
      <c r="CS349" s="72">
        <f t="shared" ref="CS349" si="2177">AY349</f>
        <v>488</v>
      </c>
      <c r="CT349" s="23">
        <f t="shared" ref="CT349" si="2178">M349-K349</f>
        <v>1</v>
      </c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  <c r="AMK349" s="1"/>
      <c r="AML349" s="1"/>
      <c r="AMM349" s="1"/>
      <c r="AMN349" s="1"/>
      <c r="AMO349" s="1"/>
    </row>
    <row r="350" spans="1:1029" x14ac:dyDescent="0.2">
      <c r="A350" s="3" t="str">
        <f t="shared" ref="A350" si="2179">CONCATENATE(B350,"_",C350)</f>
        <v>pth1r_human_6FJ3</v>
      </c>
      <c r="B350" s="3" t="s">
        <v>409</v>
      </c>
      <c r="C350" s="3" t="s">
        <v>1527</v>
      </c>
      <c r="D350" s="3" t="str">
        <f>IFERROR(MID(VLOOKUP($B350,Seqs!$A:$B,2,0),E350,1),"")</f>
        <v>R</v>
      </c>
      <c r="E350" s="3">
        <v>179</v>
      </c>
      <c r="F350" s="3" t="str">
        <f>IFERROR(MID(VLOOKUP($B350,Seqs!$A:$B,2,0),G350,1),"")</f>
        <v>F</v>
      </c>
      <c r="G350" s="3">
        <v>212</v>
      </c>
      <c r="H350" s="3" t="str">
        <f>IFERROR(MID(VLOOKUP($B350,Seqs!$A:$B,2,0),I350,1),"")</f>
        <v>R</v>
      </c>
      <c r="I350" s="23">
        <v>213</v>
      </c>
      <c r="J350" s="3" t="str">
        <f>IFERROR(MID(VLOOKUP($B350,Seqs!$A:$B,2,0),K350,1),"")</f>
        <v>H</v>
      </c>
      <c r="K350" s="23">
        <v>216</v>
      </c>
      <c r="L350" s="3" t="str">
        <f>IFERROR(MID(VLOOKUP($B350,Seqs!$A:$B,2,0),M350,1),"")</f>
        <v>C</v>
      </c>
      <c r="M350" s="23">
        <v>217</v>
      </c>
      <c r="N350" s="3" t="str">
        <f>IFERROR(MID(VLOOKUP($B350,Seqs!$A:$B,2,0),O350,1),"")</f>
        <v>Y</v>
      </c>
      <c r="O350" s="3">
        <v>245</v>
      </c>
      <c r="P350" s="3" t="str">
        <f>IFERROR(MID(VLOOKUP($B350,Seqs!$A:$B,2,0),Q350,1),"")</f>
        <v/>
      </c>
      <c r="Q350" s="3" t="s">
        <v>23</v>
      </c>
      <c r="R350" s="3" t="str">
        <f>IFERROR(MID(VLOOKUP($B350,Seqs!$A:$B,2,0),S350,1),"")</f>
        <v/>
      </c>
      <c r="S350" s="3" t="s">
        <v>23</v>
      </c>
      <c r="T350" s="3" t="str">
        <f>IFERROR(MID(VLOOKUP($B350,Seqs!$A:$B,2,0),U350,1),"")</f>
        <v>Y</v>
      </c>
      <c r="U350" s="3">
        <v>278</v>
      </c>
      <c r="V350" s="3" t="str">
        <f>IFERROR(MID(VLOOKUP($B350,Seqs!$A:$B,2,0),W350,1),"")</f>
        <v>M</v>
      </c>
      <c r="W350" s="3">
        <v>312</v>
      </c>
      <c r="X350" s="3" t="str">
        <f>IFERROR(MID(VLOOKUP($B350,Seqs!$A:$B,2,0),Y350,1),"")</f>
        <v/>
      </c>
      <c r="Y350" s="3" t="s">
        <v>23</v>
      </c>
      <c r="Z350" s="3" t="str">
        <f>IFERROR(MID(VLOOKUP($B350,Seqs!$A:$B,2,0),AA350,1),"")</f>
        <v/>
      </c>
      <c r="AA350" s="3" t="s">
        <v>23</v>
      </c>
      <c r="AB350" s="3" t="str">
        <f>IFERROR(MID(VLOOKUP($B350,Seqs!$A:$B,2,0),AC350,1),"")</f>
        <v>S</v>
      </c>
      <c r="AC350" s="3">
        <v>316</v>
      </c>
      <c r="AD350" s="3" t="str">
        <f>IFERROR(MID(VLOOKUP($B350,Seqs!$A:$B,2,0),AE350,1),"")</f>
        <v>A</v>
      </c>
      <c r="AE350" s="3">
        <v>347</v>
      </c>
      <c r="AF350" s="3" t="str">
        <f>IFERROR(MID(VLOOKUP($B350,Seqs!$A:$B,2,0),AG350,1),"")</f>
        <v>C</v>
      </c>
      <c r="AG350" s="3">
        <v>351</v>
      </c>
      <c r="AH350" s="3" t="str">
        <f>IFERROR(MID(VLOOKUP($B350,Seqs!$A:$B,2,0),AI350,1),"")</f>
        <v>D</v>
      </c>
      <c r="AI350" s="3">
        <v>353</v>
      </c>
      <c r="AJ350" s="3" t="str">
        <f>IFERROR(MID(VLOOKUP($B350,Seqs!$A:$B,2,0),AK350,1),"")</f>
        <v>G</v>
      </c>
      <c r="AK350" s="3">
        <v>357</v>
      </c>
      <c r="AL350" s="3" t="str">
        <f>IFERROR(MID(VLOOKUP($B350,Seqs!$A:$B,2,0),AM350,1),"")</f>
        <v>R</v>
      </c>
      <c r="AM350" s="3">
        <v>383</v>
      </c>
      <c r="AN350" s="3" t="str">
        <f>IFERROR(MID(VLOOKUP($B350,Seqs!$A:$B,2,0),AO350,1),"")</f>
        <v>D</v>
      </c>
      <c r="AO350" s="3">
        <v>398</v>
      </c>
      <c r="AP350" s="3" t="str">
        <f>IFERROR(MID(VLOOKUP($B350,Seqs!$A:$B,2,0),AQ350,1),"")</f>
        <v>T</v>
      </c>
      <c r="AQ350" s="3">
        <v>427</v>
      </c>
      <c r="AR350" s="3" t="str">
        <f>IFERROR(MID(VLOOKUP($B350,Seqs!$A:$B,2,0),AS350,1),"")</f>
        <v>G</v>
      </c>
      <c r="AS350" s="3">
        <v>434</v>
      </c>
      <c r="AT350" s="3" t="str">
        <f>IFERROR(MID(VLOOKUP($B350,Seqs!$A:$B,2,0),AU350,1),"")</f>
        <v>C</v>
      </c>
      <c r="AU350" s="3">
        <v>462</v>
      </c>
      <c r="AV350" s="3" t="str">
        <f>IFERROR(MID(VLOOKUP($B350,Seqs!$A:$B,2,0),AW350,1),"")</f>
        <v>N</v>
      </c>
      <c r="AW350" s="3">
        <v>463</v>
      </c>
      <c r="AX350" s="3" t="str">
        <f>IFERROR(MID(VLOOKUP($B350,Seqs!$A:$B,2,0),AY350,1),"")</f>
        <v>W</v>
      </c>
      <c r="AY350" s="3">
        <v>477</v>
      </c>
      <c r="AZ350" s="77" t="str">
        <f>VLOOKUP(B350,Classification!A:D,2,0)</f>
        <v>B1</v>
      </c>
      <c r="BA350" s="94" t="str">
        <f>VLOOKUP(B350,Classification!A:D,4,0)</f>
        <v>Parathyroidhormone</v>
      </c>
      <c r="BB350" s="27" t="b">
        <f t="shared" ref="BB350" si="2180">AND(E350&lt;G350,OR(G350&lt;I350,I350="-"),OR(I350&lt;K350,I350="-"),OR(K350&lt;M350,K350="-"),M350&lt;O350,OR(O350&lt;Q350,Q350="-"),OR(Q350&lt;S350,Q350="-"),OR(S350&lt;U350,S350="-"),U350&lt;W350,OR(W350&lt;Y350,Y350="-"),OR(Y350&lt;AA350,Y350="-"),OR(AA350&lt;AC350,AA350="-"),AC350&lt;AE350,OR(AE350&lt;AG350,AG350="-"),OR(AG350&lt;AI350,AG350="-"),OR(AI350&lt;AK350,AI350="-"),AK350&lt;AM350,AM350&lt;AO350,AO350&lt;AQ350,AQ350&lt;AS350,AS350&lt;AU350,OR(AU350&lt;AW350,AW350="-"),OR(AW350&lt;AY350,AW350="-"))</f>
        <v>1</v>
      </c>
      <c r="BC350" s="23">
        <f t="shared" ref="BC350" si="2181">_xlfn.AGGREGATE(9,6,CH350:CS350)-_xlfn.AGGREGATE(9,6,BV350:CG350)+12</f>
        <v>240</v>
      </c>
      <c r="BD350" s="4" t="s">
        <v>1376</v>
      </c>
      <c r="BE350" s="3" t="s">
        <v>1374</v>
      </c>
      <c r="BF350" s="119">
        <v>2.5</v>
      </c>
      <c r="BG350" s="49" t="s">
        <v>1</v>
      </c>
      <c r="BH350" s="49" t="s">
        <v>1</v>
      </c>
      <c r="BI350" s="1"/>
      <c r="BJ350" s="70" t="s">
        <v>1287</v>
      </c>
      <c r="BK350" s="57" t="s">
        <v>1287</v>
      </c>
      <c r="BL350" s="57" t="s">
        <v>1287</v>
      </c>
      <c r="BM350" s="57" t="s">
        <v>1287</v>
      </c>
      <c r="BN350" s="57" t="s">
        <v>1287</v>
      </c>
      <c r="BO350" s="57" t="s">
        <v>1287</v>
      </c>
      <c r="BP350" s="57" t="s">
        <v>1287</v>
      </c>
      <c r="BQ350" s="57" t="s">
        <v>1287</v>
      </c>
      <c r="BR350" s="57" t="s">
        <v>1287</v>
      </c>
      <c r="BS350" s="57" t="s">
        <v>1287</v>
      </c>
      <c r="BT350" s="57" t="s">
        <v>1287</v>
      </c>
      <c r="BU350" s="57" t="s">
        <v>1287</v>
      </c>
      <c r="BV350" s="70">
        <f t="shared" ref="BV350" si="2182">E350</f>
        <v>179</v>
      </c>
      <c r="BW350" s="71">
        <f t="shared" ref="BW350" si="2183">I350</f>
        <v>213</v>
      </c>
      <c r="BX350" s="72">
        <f t="shared" ref="BX350" si="2184">M350</f>
        <v>217</v>
      </c>
      <c r="BY350" s="71" t="str">
        <f t="shared" ref="BY350" si="2185">Q350</f>
        <v>-</v>
      </c>
      <c r="BZ350" s="72">
        <f t="shared" ref="BZ350" si="2186">U350</f>
        <v>278</v>
      </c>
      <c r="CA350" s="71" t="str">
        <f t="shared" ref="CA350" si="2187">Y350</f>
        <v>-</v>
      </c>
      <c r="CB350" s="72">
        <f t="shared" ref="CB350" si="2188">AC350</f>
        <v>316</v>
      </c>
      <c r="CC350" s="71">
        <f t="shared" ref="CC350" si="2189">AG350</f>
        <v>351</v>
      </c>
      <c r="CD350" s="72">
        <f t="shared" ref="CD350" si="2190">AK350</f>
        <v>357</v>
      </c>
      <c r="CE350" s="71">
        <f t="shared" ref="CE350" si="2191">AO350</f>
        <v>398</v>
      </c>
      <c r="CF350" s="72">
        <f t="shared" ref="CF350" si="2192">AS350</f>
        <v>434</v>
      </c>
      <c r="CG350" s="71">
        <f t="shared" ref="CG350" si="2193">AW350</f>
        <v>463</v>
      </c>
      <c r="CH350" s="70">
        <f t="shared" ref="CH350" si="2194">G350</f>
        <v>212</v>
      </c>
      <c r="CI350" s="71">
        <f t="shared" ref="CI350" si="2195">K350</f>
        <v>216</v>
      </c>
      <c r="CJ350" s="72">
        <f t="shared" ref="CJ350" si="2196">O350</f>
        <v>245</v>
      </c>
      <c r="CK350" s="72" t="str">
        <f t="shared" ref="CK350" si="2197">S350</f>
        <v>-</v>
      </c>
      <c r="CL350" s="72">
        <f t="shared" ref="CL350" si="2198">W350</f>
        <v>312</v>
      </c>
      <c r="CM350" s="72" t="str">
        <f t="shared" ref="CM350" si="2199">AA350</f>
        <v>-</v>
      </c>
      <c r="CN350" s="72">
        <f t="shared" ref="CN350" si="2200">AE350</f>
        <v>347</v>
      </c>
      <c r="CO350" s="72">
        <f t="shared" ref="CO350" si="2201">AI350</f>
        <v>353</v>
      </c>
      <c r="CP350" s="72">
        <f t="shared" ref="CP350" si="2202">AM350</f>
        <v>383</v>
      </c>
      <c r="CQ350" s="72">
        <f t="shared" ref="CQ350" si="2203">AQ350</f>
        <v>427</v>
      </c>
      <c r="CR350" s="72">
        <f t="shared" ref="CR350" si="2204">AU350</f>
        <v>462</v>
      </c>
      <c r="CS350" s="72">
        <f t="shared" ref="CS350" si="2205">AY350</f>
        <v>477</v>
      </c>
      <c r="CT350" s="23">
        <f t="shared" ref="CT350" si="2206">M350-K350</f>
        <v>1</v>
      </c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  <c r="AMO350" s="1"/>
    </row>
    <row r="351" spans="1:1029" s="12" customFormat="1" x14ac:dyDescent="0.2">
      <c r="A351" s="9" t="str">
        <f t="shared" ref="A351" si="2207">CONCATENATE(B351,"_",C351)</f>
        <v>pth1r_human_6NBF</v>
      </c>
      <c r="B351" s="9" t="s">
        <v>409</v>
      </c>
      <c r="C351" s="9" t="s">
        <v>1573</v>
      </c>
      <c r="D351" s="9" t="str">
        <f>IFERROR(MID(VLOOKUP($B351,Seqs!$A:$B,2,0),E351,1),"")</f>
        <v>T</v>
      </c>
      <c r="E351" s="9">
        <v>178</v>
      </c>
      <c r="F351" s="9" t="str">
        <f>IFERROR(MID(VLOOKUP($B351,Seqs!$A:$B,2,0),G351,1),"")</f>
        <v>F</v>
      </c>
      <c r="G351" s="9">
        <v>212</v>
      </c>
      <c r="H351" s="9" t="str">
        <f>IFERROR(MID(VLOOKUP($B351,Seqs!$A:$B,2,0),I351,1),"")</f>
        <v>R</v>
      </c>
      <c r="I351" s="109">
        <v>213</v>
      </c>
      <c r="J351" s="9" t="str">
        <f>IFERROR(MID(VLOOKUP($B351,Seqs!$A:$B,2,0),K351,1),"")</f>
        <v>H</v>
      </c>
      <c r="K351" s="109">
        <v>216</v>
      </c>
      <c r="L351" s="9" t="str">
        <f>IFERROR(MID(VLOOKUP($B351,Seqs!$A:$B,2,0),M351,1),"")</f>
        <v>C</v>
      </c>
      <c r="M351" s="109">
        <v>217</v>
      </c>
      <c r="N351" s="9" t="str">
        <f>IFERROR(MID(VLOOKUP($B351,Seqs!$A:$B,2,0),O351,1),"")</f>
        <v>S</v>
      </c>
      <c r="O351" s="9">
        <v>246</v>
      </c>
      <c r="P351" s="9" t="str">
        <f>IFERROR(MID(VLOOKUP($B351,Seqs!$A:$B,2,0),Q351,1),"")</f>
        <v/>
      </c>
      <c r="Q351" s="9" t="s">
        <v>23</v>
      </c>
      <c r="R351" s="9" t="str">
        <f>IFERROR(MID(VLOOKUP($B351,Seqs!$A:$B,2,0),S351,1),"")</f>
        <v/>
      </c>
      <c r="S351" s="9" t="s">
        <v>23</v>
      </c>
      <c r="T351" s="9" t="str">
        <f>IFERROR(MID(VLOOKUP($B351,Seqs!$A:$B,2,0),U351,1),"")</f>
        <v>Y</v>
      </c>
      <c r="U351" s="9">
        <v>278</v>
      </c>
      <c r="V351" s="9" t="str">
        <f>IFERROR(MID(VLOOKUP($B351,Seqs!$A:$B,2,0),W351,1),"")</f>
        <v>M</v>
      </c>
      <c r="W351" s="9">
        <v>312</v>
      </c>
      <c r="X351" s="9" t="str">
        <f>IFERROR(MID(VLOOKUP($B351,Seqs!$A:$B,2,0),Y351,1),"")</f>
        <v/>
      </c>
      <c r="Y351" s="9" t="s">
        <v>23</v>
      </c>
      <c r="Z351" s="9" t="str">
        <f>IFERROR(MID(VLOOKUP($B351,Seqs!$A:$B,2,0),AA351,1),"")</f>
        <v/>
      </c>
      <c r="AA351" s="9" t="s">
        <v>23</v>
      </c>
      <c r="AB351" s="9" t="str">
        <f>IFERROR(MID(VLOOKUP($B351,Seqs!$A:$B,2,0),AC351,1),"")</f>
        <v>S</v>
      </c>
      <c r="AC351" s="9">
        <v>316</v>
      </c>
      <c r="AD351" s="9" t="str">
        <f>IFERROR(MID(VLOOKUP($B351,Seqs!$A:$B,2,0),AE351,1),"")</f>
        <v>L</v>
      </c>
      <c r="AE351" s="9">
        <v>346</v>
      </c>
      <c r="AF351" s="9" t="str">
        <f>IFERROR(MID(VLOOKUP($B351,Seqs!$A:$B,2,0),AG351,1),"")</f>
        <v>C</v>
      </c>
      <c r="AG351" s="9">
        <v>351</v>
      </c>
      <c r="AH351" s="9" t="str">
        <f>IFERROR(MID(VLOOKUP($B351,Seqs!$A:$B,2,0),AI351,1),"")</f>
        <v>D</v>
      </c>
      <c r="AI351" s="9">
        <v>353</v>
      </c>
      <c r="AJ351" s="9" t="str">
        <f>IFERROR(MID(VLOOKUP($B351,Seqs!$A:$B,2,0),AK351,1),"")</f>
        <v>G</v>
      </c>
      <c r="AK351" s="9">
        <v>357</v>
      </c>
      <c r="AL351" s="9" t="str">
        <f>IFERROR(MID(VLOOKUP($B351,Seqs!$A:$B,2,0),AM351,1),"")</f>
        <v>N</v>
      </c>
      <c r="AM351" s="9">
        <v>393</v>
      </c>
      <c r="AN351" s="9" t="str">
        <f>IFERROR(MID(VLOOKUP($B351,Seqs!$A:$B,2,0),AO351,1),"")</f>
        <v>T</v>
      </c>
      <c r="AO351" s="9">
        <v>399</v>
      </c>
      <c r="AP351" s="9" t="str">
        <f>IFERROR(MID(VLOOKUP($B351,Seqs!$A:$B,2,0),AQ351,1),"")</f>
        <v>F</v>
      </c>
      <c r="AQ351" s="9">
        <v>424</v>
      </c>
      <c r="AR351" s="9" t="str">
        <f>IFERROR(MID(VLOOKUP($B351,Seqs!$A:$B,2,0),AS351,1),"")</f>
        <v>G</v>
      </c>
      <c r="AS351" s="9">
        <v>434</v>
      </c>
      <c r="AT351" s="9" t="str">
        <f>IFERROR(MID(VLOOKUP($B351,Seqs!$A:$B,2,0),AU351,1),"")</f>
        <v>C</v>
      </c>
      <c r="AU351" s="9">
        <v>462</v>
      </c>
      <c r="AV351" s="9" t="str">
        <f>IFERROR(MID(VLOOKUP($B351,Seqs!$A:$B,2,0),AW351,1),"")</f>
        <v>N</v>
      </c>
      <c r="AW351" s="9">
        <v>463</v>
      </c>
      <c r="AX351" s="9" t="str">
        <f>IFERROR(MID(VLOOKUP($B351,Seqs!$A:$B,2,0),AY351,1),"")</f>
        <v>L</v>
      </c>
      <c r="AY351" s="9">
        <v>481</v>
      </c>
      <c r="AZ351" s="110" t="str">
        <f>VLOOKUP(B351,Classification!A:D,2,0)</f>
        <v>B1</v>
      </c>
      <c r="BA351" s="98" t="str">
        <f>VLOOKUP(B351,Classification!A:D,4,0)</f>
        <v>Parathyroidhormone</v>
      </c>
      <c r="BB351" s="36" t="b">
        <f t="shared" ref="BB351" si="2208">AND(E351&lt;G351,OR(G351&lt;I351,I351="-"),OR(I351&lt;K351,I351="-"),OR(K351&lt;M351,K351="-"),M351&lt;O351,OR(O351&lt;Q351,Q351="-"),OR(Q351&lt;S351,Q351="-"),OR(S351&lt;U351,S351="-"),U351&lt;W351,OR(W351&lt;Y351,Y351="-"),OR(Y351&lt;AA351,Y351="-"),OR(AA351&lt;AC351,AA351="-"),AC351&lt;AE351,OR(AE351&lt;AG351,AG351="-"),OR(AG351&lt;AI351,AG351="-"),OR(AI351&lt;AK351,AI351="-"),AK351&lt;AM351,AM351&lt;AO351,AO351&lt;AQ351,AQ351&lt;AS351,AS351&lt;AU351,OR(AU351&lt;AW351,AW351="-"),OR(AW351&lt;AY351,AW351="-"))</f>
        <v>1</v>
      </c>
      <c r="BC351" s="109">
        <f t="shared" ref="BC351" si="2209">_xlfn.AGGREGATE(9,6,CH351:CS351)-_xlfn.AGGREGATE(9,6,BV351:CG351)+12</f>
        <v>251</v>
      </c>
      <c r="BD351" s="11" t="s">
        <v>23</v>
      </c>
      <c r="BE351" s="9" t="s">
        <v>1291</v>
      </c>
      <c r="BF351" s="120">
        <v>3</v>
      </c>
      <c r="BG351" s="51" t="s">
        <v>1422</v>
      </c>
      <c r="BH351" s="51" t="s">
        <v>1422</v>
      </c>
      <c r="BJ351" s="111" t="s">
        <v>1287</v>
      </c>
      <c r="BK351" s="112" t="s">
        <v>1287</v>
      </c>
      <c r="BL351" s="112" t="s">
        <v>1287</v>
      </c>
      <c r="BM351" s="112" t="s">
        <v>1287</v>
      </c>
      <c r="BN351" s="112" t="s">
        <v>1287</v>
      </c>
      <c r="BO351" s="112" t="s">
        <v>1287</v>
      </c>
      <c r="BP351" s="112" t="s">
        <v>1287</v>
      </c>
      <c r="BQ351" s="112" t="s">
        <v>1287</v>
      </c>
      <c r="BR351" s="112" t="s">
        <v>1287</v>
      </c>
      <c r="BS351" s="112" t="s">
        <v>1287</v>
      </c>
      <c r="BT351" s="112" t="s">
        <v>1287</v>
      </c>
      <c r="BU351" s="112" t="s">
        <v>1287</v>
      </c>
      <c r="BV351" s="111">
        <f t="shared" ref="BV351" si="2210">E351</f>
        <v>178</v>
      </c>
      <c r="BW351" s="113">
        <f t="shared" ref="BW351" si="2211">I351</f>
        <v>213</v>
      </c>
      <c r="BX351" s="114">
        <f t="shared" ref="BX351" si="2212">M351</f>
        <v>217</v>
      </c>
      <c r="BY351" s="113" t="str">
        <f t="shared" ref="BY351" si="2213">Q351</f>
        <v>-</v>
      </c>
      <c r="BZ351" s="114">
        <f t="shared" ref="BZ351" si="2214">U351</f>
        <v>278</v>
      </c>
      <c r="CA351" s="113" t="str">
        <f t="shared" ref="CA351" si="2215">Y351</f>
        <v>-</v>
      </c>
      <c r="CB351" s="114">
        <f t="shared" ref="CB351" si="2216">AC351</f>
        <v>316</v>
      </c>
      <c r="CC351" s="113">
        <f t="shared" ref="CC351" si="2217">AG351</f>
        <v>351</v>
      </c>
      <c r="CD351" s="114">
        <f t="shared" ref="CD351" si="2218">AK351</f>
        <v>357</v>
      </c>
      <c r="CE351" s="113">
        <f t="shared" ref="CE351" si="2219">AO351</f>
        <v>399</v>
      </c>
      <c r="CF351" s="114">
        <f t="shared" ref="CF351" si="2220">AS351</f>
        <v>434</v>
      </c>
      <c r="CG351" s="113">
        <f t="shared" ref="CG351" si="2221">AW351</f>
        <v>463</v>
      </c>
      <c r="CH351" s="111">
        <f t="shared" ref="CH351" si="2222">G351</f>
        <v>212</v>
      </c>
      <c r="CI351" s="113">
        <f t="shared" ref="CI351" si="2223">K351</f>
        <v>216</v>
      </c>
      <c r="CJ351" s="114">
        <f t="shared" ref="CJ351" si="2224">O351</f>
        <v>246</v>
      </c>
      <c r="CK351" s="114" t="str">
        <f t="shared" ref="CK351" si="2225">S351</f>
        <v>-</v>
      </c>
      <c r="CL351" s="114">
        <f t="shared" ref="CL351" si="2226">W351</f>
        <v>312</v>
      </c>
      <c r="CM351" s="114" t="str">
        <f t="shared" ref="CM351" si="2227">AA351</f>
        <v>-</v>
      </c>
      <c r="CN351" s="114">
        <f t="shared" ref="CN351" si="2228">AE351</f>
        <v>346</v>
      </c>
      <c r="CO351" s="114">
        <f t="shared" ref="CO351" si="2229">AI351</f>
        <v>353</v>
      </c>
      <c r="CP351" s="114">
        <f t="shared" ref="CP351" si="2230">AM351</f>
        <v>393</v>
      </c>
      <c r="CQ351" s="114">
        <f t="shared" ref="CQ351" si="2231">AQ351</f>
        <v>424</v>
      </c>
      <c r="CR351" s="114">
        <f t="shared" ref="CR351" si="2232">AU351</f>
        <v>462</v>
      </c>
      <c r="CS351" s="114">
        <f t="shared" ref="CS351" si="2233">AY351</f>
        <v>481</v>
      </c>
      <c r="CT351" s="109">
        <f t="shared" ref="CT351" si="2234">M351-K351</f>
        <v>1</v>
      </c>
    </row>
    <row r="352" spans="1:1029" s="12" customFormat="1" x14ac:dyDescent="0.2">
      <c r="A352" s="9" t="str">
        <f t="shared" ref="A352" si="2235">CONCATENATE(B352,"_",C352)</f>
        <v>pth1r_human_6NBH</v>
      </c>
      <c r="B352" s="9" t="s">
        <v>409</v>
      </c>
      <c r="C352" s="9" t="s">
        <v>1574</v>
      </c>
      <c r="D352" s="9" t="str">
        <f>IFERROR(MID(VLOOKUP($B352,Seqs!$A:$B,2,0),E352,1),"")</f>
        <v>T</v>
      </c>
      <c r="E352" s="9">
        <v>178</v>
      </c>
      <c r="F352" s="9" t="str">
        <f>IFERROR(MID(VLOOKUP($B352,Seqs!$A:$B,2,0),G352,1),"")</f>
        <v>F</v>
      </c>
      <c r="G352" s="9">
        <v>212</v>
      </c>
      <c r="H352" s="9" t="str">
        <f>IFERROR(MID(VLOOKUP($B352,Seqs!$A:$B,2,0),I352,1),"")</f>
        <v>R</v>
      </c>
      <c r="I352" s="109">
        <v>213</v>
      </c>
      <c r="J352" s="9" t="str">
        <f>IFERROR(MID(VLOOKUP($B352,Seqs!$A:$B,2,0),K352,1),"")</f>
        <v>H</v>
      </c>
      <c r="K352" s="109">
        <v>216</v>
      </c>
      <c r="L352" s="9" t="str">
        <f>IFERROR(MID(VLOOKUP($B352,Seqs!$A:$B,2,0),M352,1),"")</f>
        <v>C</v>
      </c>
      <c r="M352" s="109">
        <v>217</v>
      </c>
      <c r="N352" s="9" t="str">
        <f>IFERROR(MID(VLOOKUP($B352,Seqs!$A:$B,2,0),O352,1),"")</f>
        <v>L</v>
      </c>
      <c r="O352" s="9">
        <v>250</v>
      </c>
      <c r="P352" s="9" t="str">
        <f>IFERROR(MID(VLOOKUP($B352,Seqs!$A:$B,2,0),Q352,1),"")</f>
        <v/>
      </c>
      <c r="Q352" s="9" t="s">
        <v>23</v>
      </c>
      <c r="R352" s="9" t="str">
        <f>IFERROR(MID(VLOOKUP($B352,Seqs!$A:$B,2,0),S352,1),"")</f>
        <v/>
      </c>
      <c r="S352" s="9" t="s">
        <v>23</v>
      </c>
      <c r="T352" s="9" t="str">
        <f>IFERROR(MID(VLOOKUP($B352,Seqs!$A:$B,2,0),U352,1),"")</f>
        <v>Y</v>
      </c>
      <c r="U352" s="9">
        <v>278</v>
      </c>
      <c r="V352" s="9" t="str">
        <f>IFERROR(MID(VLOOKUP($B352,Seqs!$A:$B,2,0),W352,1),"")</f>
        <v>M</v>
      </c>
      <c r="W352" s="9">
        <v>312</v>
      </c>
      <c r="X352" s="9" t="str">
        <f>IFERROR(MID(VLOOKUP($B352,Seqs!$A:$B,2,0),Y352,1),"")</f>
        <v/>
      </c>
      <c r="Y352" s="9" t="s">
        <v>23</v>
      </c>
      <c r="Z352" s="9" t="str">
        <f>IFERROR(MID(VLOOKUP($B352,Seqs!$A:$B,2,0),AA352,1),"")</f>
        <v/>
      </c>
      <c r="AA352" s="9" t="s">
        <v>23</v>
      </c>
      <c r="AB352" s="9" t="str">
        <f>IFERROR(MID(VLOOKUP($B352,Seqs!$A:$B,2,0),AC352,1),"")</f>
        <v>S</v>
      </c>
      <c r="AC352" s="9">
        <v>316</v>
      </c>
      <c r="AD352" s="9" t="str">
        <f>IFERROR(MID(VLOOKUP($B352,Seqs!$A:$B,2,0),AE352,1),"")</f>
        <v>A</v>
      </c>
      <c r="AE352" s="9">
        <v>347</v>
      </c>
      <c r="AF352" s="9" t="str">
        <f>IFERROR(MID(VLOOKUP($B352,Seqs!$A:$B,2,0),AG352,1),"")</f>
        <v>C</v>
      </c>
      <c r="AG352" s="9">
        <v>351</v>
      </c>
      <c r="AH352" s="9" t="str">
        <f>IFERROR(MID(VLOOKUP($B352,Seqs!$A:$B,2,0),AI352,1),"")</f>
        <v>D</v>
      </c>
      <c r="AI352" s="9">
        <v>353</v>
      </c>
      <c r="AJ352" s="9" t="str">
        <f>IFERROR(MID(VLOOKUP($B352,Seqs!$A:$B,2,0),AK352,1),"")</f>
        <v>G</v>
      </c>
      <c r="AK352" s="9">
        <v>357</v>
      </c>
      <c r="AL352" s="9" t="str">
        <f>IFERROR(MID(VLOOKUP($B352,Seqs!$A:$B,2,0),AM352,1),"")</f>
        <v>T</v>
      </c>
      <c r="AM352" s="9">
        <v>392</v>
      </c>
      <c r="AN352" s="9" t="str">
        <f>IFERROR(MID(VLOOKUP($B352,Seqs!$A:$B,2,0),AO352,1),"")</f>
        <v>T</v>
      </c>
      <c r="AO352" s="9">
        <v>399</v>
      </c>
      <c r="AP352" s="9" t="str">
        <f>IFERROR(MID(VLOOKUP($B352,Seqs!$A:$B,2,0),AQ352,1),"")</f>
        <v>F</v>
      </c>
      <c r="AQ352" s="9">
        <v>424</v>
      </c>
      <c r="AR352" s="9" t="str">
        <f>IFERROR(MID(VLOOKUP($B352,Seqs!$A:$B,2,0),AS352,1),"")</f>
        <v>G</v>
      </c>
      <c r="AS352" s="9">
        <v>434</v>
      </c>
      <c r="AT352" s="9" t="str">
        <f>IFERROR(MID(VLOOKUP($B352,Seqs!$A:$B,2,0),AU352,1),"")</f>
        <v>C</v>
      </c>
      <c r="AU352" s="9">
        <v>462</v>
      </c>
      <c r="AV352" s="9" t="str">
        <f>IFERROR(MID(VLOOKUP($B352,Seqs!$A:$B,2,0),AW352,1),"")</f>
        <v>N</v>
      </c>
      <c r="AW352" s="9">
        <v>463</v>
      </c>
      <c r="AX352" s="9" t="str">
        <f>IFERROR(MID(VLOOKUP($B352,Seqs!$A:$B,2,0),AY352,1),"")</f>
        <v>D</v>
      </c>
      <c r="AY352" s="9">
        <v>482</v>
      </c>
      <c r="AZ352" s="110" t="str">
        <f>VLOOKUP(B352,Classification!A:D,2,0)</f>
        <v>B1</v>
      </c>
      <c r="BA352" s="98" t="str">
        <f>VLOOKUP(B352,Classification!A:D,4,0)</f>
        <v>Parathyroidhormone</v>
      </c>
      <c r="BB352" s="36" t="b">
        <f t="shared" ref="BB352" si="2236">AND(E352&lt;G352,OR(G352&lt;I352,I352="-"),OR(I352&lt;K352,I352="-"),OR(K352&lt;M352,K352="-"),M352&lt;O352,OR(O352&lt;Q352,Q352="-"),OR(Q352&lt;S352,Q352="-"),OR(S352&lt;U352,S352="-"),U352&lt;W352,OR(W352&lt;Y352,Y352="-"),OR(Y352&lt;AA352,Y352="-"),OR(AA352&lt;AC352,AA352="-"),AC352&lt;AE352,OR(AE352&lt;AG352,AG352="-"),OR(AG352&lt;AI352,AG352="-"),OR(AI352&lt;AK352,AI352="-"),AK352&lt;AM352,AM352&lt;AO352,AO352&lt;AQ352,AQ352&lt;AS352,AS352&lt;AU352,OR(AU352&lt;AW352,AW352="-"),OR(AW352&lt;AY352,AW352="-"))</f>
        <v>1</v>
      </c>
      <c r="BC352" s="109">
        <f t="shared" ref="BC352" si="2237">_xlfn.AGGREGATE(9,6,CH352:CS352)-_xlfn.AGGREGATE(9,6,BV352:CG352)+12</f>
        <v>256</v>
      </c>
      <c r="BD352" s="11" t="s">
        <v>23</v>
      </c>
      <c r="BE352" s="9" t="s">
        <v>1291</v>
      </c>
      <c r="BF352" s="120">
        <v>3.5</v>
      </c>
      <c r="BG352" s="51" t="s">
        <v>1422</v>
      </c>
      <c r="BH352" s="51" t="s">
        <v>1422</v>
      </c>
      <c r="BJ352" s="111" t="s">
        <v>1287</v>
      </c>
      <c r="BK352" s="112" t="s">
        <v>1287</v>
      </c>
      <c r="BL352" s="112" t="s">
        <v>1287</v>
      </c>
      <c r="BM352" s="112" t="s">
        <v>1287</v>
      </c>
      <c r="BN352" s="112" t="s">
        <v>1287</v>
      </c>
      <c r="BO352" s="112" t="s">
        <v>1287</v>
      </c>
      <c r="BP352" s="112" t="s">
        <v>1287</v>
      </c>
      <c r="BQ352" s="112" t="s">
        <v>1287</v>
      </c>
      <c r="BR352" s="112" t="s">
        <v>1287</v>
      </c>
      <c r="BS352" s="112" t="s">
        <v>1287</v>
      </c>
      <c r="BT352" s="112" t="s">
        <v>1287</v>
      </c>
      <c r="BU352" s="112" t="s">
        <v>1287</v>
      </c>
      <c r="BV352" s="111">
        <f t="shared" ref="BV352" si="2238">E352</f>
        <v>178</v>
      </c>
      <c r="BW352" s="113">
        <f t="shared" ref="BW352" si="2239">I352</f>
        <v>213</v>
      </c>
      <c r="BX352" s="114">
        <f t="shared" ref="BX352" si="2240">M352</f>
        <v>217</v>
      </c>
      <c r="BY352" s="113" t="str">
        <f t="shared" ref="BY352" si="2241">Q352</f>
        <v>-</v>
      </c>
      <c r="BZ352" s="114">
        <f t="shared" ref="BZ352" si="2242">U352</f>
        <v>278</v>
      </c>
      <c r="CA352" s="113" t="str">
        <f t="shared" ref="CA352" si="2243">Y352</f>
        <v>-</v>
      </c>
      <c r="CB352" s="114">
        <f t="shared" ref="CB352" si="2244">AC352</f>
        <v>316</v>
      </c>
      <c r="CC352" s="113">
        <f t="shared" ref="CC352" si="2245">AG352</f>
        <v>351</v>
      </c>
      <c r="CD352" s="114">
        <f t="shared" ref="CD352" si="2246">AK352</f>
        <v>357</v>
      </c>
      <c r="CE352" s="113">
        <f t="shared" ref="CE352" si="2247">AO352</f>
        <v>399</v>
      </c>
      <c r="CF352" s="114">
        <f t="shared" ref="CF352" si="2248">AS352</f>
        <v>434</v>
      </c>
      <c r="CG352" s="113">
        <f t="shared" ref="CG352" si="2249">AW352</f>
        <v>463</v>
      </c>
      <c r="CH352" s="111">
        <f t="shared" ref="CH352" si="2250">G352</f>
        <v>212</v>
      </c>
      <c r="CI352" s="113">
        <f t="shared" ref="CI352" si="2251">K352</f>
        <v>216</v>
      </c>
      <c r="CJ352" s="114">
        <f t="shared" ref="CJ352" si="2252">O352</f>
        <v>250</v>
      </c>
      <c r="CK352" s="114" t="str">
        <f t="shared" ref="CK352" si="2253">S352</f>
        <v>-</v>
      </c>
      <c r="CL352" s="114">
        <f t="shared" ref="CL352" si="2254">W352</f>
        <v>312</v>
      </c>
      <c r="CM352" s="114" t="str">
        <f t="shared" ref="CM352" si="2255">AA352</f>
        <v>-</v>
      </c>
      <c r="CN352" s="114">
        <f t="shared" ref="CN352" si="2256">AE352</f>
        <v>347</v>
      </c>
      <c r="CO352" s="114">
        <f t="shared" ref="CO352" si="2257">AI352</f>
        <v>353</v>
      </c>
      <c r="CP352" s="114">
        <f t="shared" ref="CP352" si="2258">AM352</f>
        <v>392</v>
      </c>
      <c r="CQ352" s="114">
        <f t="shared" ref="CQ352" si="2259">AQ352</f>
        <v>424</v>
      </c>
      <c r="CR352" s="114">
        <f t="shared" ref="CR352" si="2260">AU352</f>
        <v>462</v>
      </c>
      <c r="CS352" s="114">
        <f t="shared" ref="CS352" si="2261">AY352</f>
        <v>482</v>
      </c>
      <c r="CT352" s="109">
        <f t="shared" ref="CT352" si="2262">M352-K352</f>
        <v>1</v>
      </c>
    </row>
    <row r="353" spans="1:1030" s="12" customFormat="1" x14ac:dyDescent="0.2">
      <c r="A353" s="9" t="str">
        <f t="shared" ref="A353" si="2263">CONCATENATE(B353,"_",C353)</f>
        <v>pth1r_human_6NBI</v>
      </c>
      <c r="B353" s="9" t="s">
        <v>409</v>
      </c>
      <c r="C353" s="9" t="s">
        <v>1575</v>
      </c>
      <c r="D353" s="9" t="str">
        <f>IFERROR(MID(VLOOKUP($B353,Seqs!$A:$B,2,0),E353,1),"")</f>
        <v>F</v>
      </c>
      <c r="E353" s="9">
        <v>173</v>
      </c>
      <c r="F353" s="9" t="str">
        <f>IFERROR(MID(VLOOKUP($B353,Seqs!$A:$B,2,0),G353,1),"")</f>
        <v>F</v>
      </c>
      <c r="G353" s="9">
        <v>212</v>
      </c>
      <c r="H353" s="9" t="str">
        <f>IFERROR(MID(VLOOKUP($B353,Seqs!$A:$B,2,0),I353,1),"")</f>
        <v>R</v>
      </c>
      <c r="I353" s="109">
        <v>213</v>
      </c>
      <c r="J353" s="9" t="str">
        <f>IFERROR(MID(VLOOKUP($B353,Seqs!$A:$B,2,0),K353,1),"")</f>
        <v>H</v>
      </c>
      <c r="K353" s="109">
        <v>216</v>
      </c>
      <c r="L353" s="9" t="str">
        <f>IFERROR(MID(VLOOKUP($B353,Seqs!$A:$B,2,0),M353,1),"")</f>
        <v>C</v>
      </c>
      <c r="M353" s="109">
        <v>217</v>
      </c>
      <c r="N353" s="9" t="str">
        <f>IFERROR(MID(VLOOKUP($B353,Seqs!$A:$B,2,0),O353,1),"")</f>
        <v>L</v>
      </c>
      <c r="O353" s="9">
        <v>250</v>
      </c>
      <c r="P353" s="9" t="str">
        <f>IFERROR(MID(VLOOKUP($B353,Seqs!$A:$B,2,0),Q353,1),"")</f>
        <v/>
      </c>
      <c r="Q353" s="9" t="s">
        <v>23</v>
      </c>
      <c r="R353" s="9" t="str">
        <f>IFERROR(MID(VLOOKUP($B353,Seqs!$A:$B,2,0),S353,1),"")</f>
        <v/>
      </c>
      <c r="S353" s="9" t="s">
        <v>23</v>
      </c>
      <c r="T353" s="9" t="str">
        <f>IFERROR(MID(VLOOKUP($B353,Seqs!$A:$B,2,0),U353,1),"")</f>
        <v>T</v>
      </c>
      <c r="U353" s="9">
        <v>273</v>
      </c>
      <c r="V353" s="9" t="str">
        <f>IFERROR(MID(VLOOKUP($B353,Seqs!$A:$B,2,0),W353,1),"")</f>
        <v>F</v>
      </c>
      <c r="W353" s="9">
        <v>311</v>
      </c>
      <c r="X353" s="9" t="str">
        <f>IFERROR(MID(VLOOKUP($B353,Seqs!$A:$B,2,0),Y353,1),"")</f>
        <v/>
      </c>
      <c r="Y353" s="9" t="s">
        <v>23</v>
      </c>
      <c r="Z353" s="9" t="str">
        <f>IFERROR(MID(VLOOKUP($B353,Seqs!$A:$B,2,0),AA353,1),"")</f>
        <v/>
      </c>
      <c r="AA353" s="9" t="s">
        <v>23</v>
      </c>
      <c r="AB353" s="9" t="str">
        <f>IFERROR(MID(VLOOKUP($B353,Seqs!$A:$B,2,0),AC353,1),"")</f>
        <v>S</v>
      </c>
      <c r="AC353" s="9">
        <v>316</v>
      </c>
      <c r="AD353" s="9" t="str">
        <f>IFERROR(MID(VLOOKUP($B353,Seqs!$A:$B,2,0),AE353,1),"")</f>
        <v>A</v>
      </c>
      <c r="AE353" s="9">
        <v>347</v>
      </c>
      <c r="AF353" s="9" t="str">
        <f>IFERROR(MID(VLOOKUP($B353,Seqs!$A:$B,2,0),AG353,1),"")</f>
        <v>C</v>
      </c>
      <c r="AG353" s="9">
        <v>351</v>
      </c>
      <c r="AH353" s="9" t="str">
        <f>IFERROR(MID(VLOOKUP($B353,Seqs!$A:$B,2,0),AI353,1),"")</f>
        <v>D</v>
      </c>
      <c r="AI353" s="9">
        <v>353</v>
      </c>
      <c r="AJ353" s="9" t="str">
        <f>IFERROR(MID(VLOOKUP($B353,Seqs!$A:$B,2,0),AK353,1),"")</f>
        <v>G</v>
      </c>
      <c r="AK353" s="9">
        <v>357</v>
      </c>
      <c r="AL353" s="9" t="str">
        <f>IFERROR(MID(VLOOKUP($B353,Seqs!$A:$B,2,0),AM353,1),"")</f>
        <v>A</v>
      </c>
      <c r="AM353" s="9">
        <v>394</v>
      </c>
      <c r="AN353" s="9" t="str">
        <f>IFERROR(MID(VLOOKUP($B353,Seqs!$A:$B,2,0),AO353,1),"")</f>
        <v>T</v>
      </c>
      <c r="AO353" s="9">
        <v>399</v>
      </c>
      <c r="AP353" s="9" t="str">
        <f>IFERROR(MID(VLOOKUP($B353,Seqs!$A:$B,2,0),AQ353,1),"")</f>
        <v>F</v>
      </c>
      <c r="AQ353" s="9">
        <v>424</v>
      </c>
      <c r="AR353" s="9" t="str">
        <f>IFERROR(MID(VLOOKUP($B353,Seqs!$A:$B,2,0),AS353,1),"")</f>
        <v>G</v>
      </c>
      <c r="AS353" s="9">
        <v>434</v>
      </c>
      <c r="AT353" s="9" t="str">
        <f>IFERROR(MID(VLOOKUP($B353,Seqs!$A:$B,2,0),AU353,1),"")</f>
        <v>C</v>
      </c>
      <c r="AU353" s="9">
        <v>462</v>
      </c>
      <c r="AV353" s="9" t="str">
        <f>IFERROR(MID(VLOOKUP($B353,Seqs!$A:$B,2,0),AW353,1),"")</f>
        <v>N</v>
      </c>
      <c r="AW353" s="9">
        <v>463</v>
      </c>
      <c r="AX353" s="9" t="str">
        <f>IFERROR(MID(VLOOKUP($B353,Seqs!$A:$B,2,0),AY353,1),"")</f>
        <v>D</v>
      </c>
      <c r="AY353" s="9">
        <v>482</v>
      </c>
      <c r="AZ353" s="110" t="str">
        <f>VLOOKUP(B353,Classification!A:D,2,0)</f>
        <v>B1</v>
      </c>
      <c r="BA353" s="98" t="str">
        <f>VLOOKUP(B353,Classification!A:D,4,0)</f>
        <v>Parathyroidhormone</v>
      </c>
      <c r="BB353" s="36" t="b">
        <f t="shared" ref="BB353" si="2264">AND(E353&lt;G353,OR(G353&lt;I353,I353="-"),OR(I353&lt;K353,I353="-"),OR(K353&lt;M353,K353="-"),M353&lt;O353,OR(O353&lt;Q353,Q353="-"),OR(Q353&lt;S353,Q353="-"),OR(S353&lt;U353,S353="-"),U353&lt;W353,OR(W353&lt;Y353,Y353="-"),OR(Y353&lt;AA353,Y353="-"),OR(AA353&lt;AC353,AA353="-"),AC353&lt;AE353,OR(AE353&lt;AG353,AG353="-"),OR(AG353&lt;AI353,AG353="-"),OR(AI353&lt;AK353,AI353="-"),AK353&lt;AM353,AM353&lt;AO353,AO353&lt;AQ353,AQ353&lt;AS353,AS353&lt;AU353,OR(AU353&lt;AW353,AW353="-"),OR(AW353&lt;AY353,AW353="-"))</f>
        <v>1</v>
      </c>
      <c r="BC353" s="109">
        <f t="shared" ref="BC353" si="2265">_xlfn.AGGREGATE(9,6,CH353:CS353)-_xlfn.AGGREGATE(9,6,BV353:CG353)+12</f>
        <v>267</v>
      </c>
      <c r="BD353" s="11" t="s">
        <v>1375</v>
      </c>
      <c r="BE353" s="9" t="s">
        <v>1291</v>
      </c>
      <c r="BF353" s="120">
        <v>4</v>
      </c>
      <c r="BG353" s="51" t="s">
        <v>1422</v>
      </c>
      <c r="BH353" s="51" t="s">
        <v>1422</v>
      </c>
      <c r="BJ353" s="111" t="s">
        <v>1287</v>
      </c>
      <c r="BK353" s="112" t="s">
        <v>1287</v>
      </c>
      <c r="BL353" s="112" t="s">
        <v>1287</v>
      </c>
      <c r="BM353" s="112" t="s">
        <v>1287</v>
      </c>
      <c r="BN353" s="112" t="s">
        <v>1287</v>
      </c>
      <c r="BO353" s="112" t="s">
        <v>1287</v>
      </c>
      <c r="BP353" s="112" t="s">
        <v>1287</v>
      </c>
      <c r="BQ353" s="112" t="s">
        <v>1287</v>
      </c>
      <c r="BR353" s="112" t="s">
        <v>1287</v>
      </c>
      <c r="BS353" s="112" t="s">
        <v>1287</v>
      </c>
      <c r="BT353" s="112" t="s">
        <v>1287</v>
      </c>
      <c r="BU353" s="112" t="s">
        <v>1287</v>
      </c>
      <c r="BV353" s="111">
        <f t="shared" ref="BV353" si="2266">E353</f>
        <v>173</v>
      </c>
      <c r="BW353" s="113">
        <f t="shared" ref="BW353" si="2267">I353</f>
        <v>213</v>
      </c>
      <c r="BX353" s="114">
        <f t="shared" ref="BX353" si="2268">M353</f>
        <v>217</v>
      </c>
      <c r="BY353" s="113" t="str">
        <f t="shared" ref="BY353" si="2269">Q353</f>
        <v>-</v>
      </c>
      <c r="BZ353" s="114">
        <f t="shared" ref="BZ353" si="2270">U353</f>
        <v>273</v>
      </c>
      <c r="CA353" s="113" t="str">
        <f t="shared" ref="CA353" si="2271">Y353</f>
        <v>-</v>
      </c>
      <c r="CB353" s="114">
        <f t="shared" ref="CB353" si="2272">AC353</f>
        <v>316</v>
      </c>
      <c r="CC353" s="113">
        <f t="shared" ref="CC353" si="2273">AG353</f>
        <v>351</v>
      </c>
      <c r="CD353" s="114">
        <f t="shared" ref="CD353" si="2274">AK353</f>
        <v>357</v>
      </c>
      <c r="CE353" s="113">
        <f t="shared" ref="CE353" si="2275">AO353</f>
        <v>399</v>
      </c>
      <c r="CF353" s="114">
        <f t="shared" ref="CF353" si="2276">AS353</f>
        <v>434</v>
      </c>
      <c r="CG353" s="113">
        <f t="shared" ref="CG353" si="2277">AW353</f>
        <v>463</v>
      </c>
      <c r="CH353" s="111">
        <f t="shared" ref="CH353" si="2278">G353</f>
        <v>212</v>
      </c>
      <c r="CI353" s="113">
        <f t="shared" ref="CI353" si="2279">K353</f>
        <v>216</v>
      </c>
      <c r="CJ353" s="114">
        <f t="shared" ref="CJ353" si="2280">O353</f>
        <v>250</v>
      </c>
      <c r="CK353" s="114" t="str">
        <f t="shared" ref="CK353" si="2281">S353</f>
        <v>-</v>
      </c>
      <c r="CL353" s="114">
        <f t="shared" ref="CL353" si="2282">W353</f>
        <v>311</v>
      </c>
      <c r="CM353" s="114" t="str">
        <f t="shared" ref="CM353" si="2283">AA353</f>
        <v>-</v>
      </c>
      <c r="CN353" s="114">
        <f t="shared" ref="CN353" si="2284">AE353</f>
        <v>347</v>
      </c>
      <c r="CO353" s="114">
        <f t="shared" ref="CO353" si="2285">AI353</f>
        <v>353</v>
      </c>
      <c r="CP353" s="114">
        <f t="shared" ref="CP353" si="2286">AM353</f>
        <v>394</v>
      </c>
      <c r="CQ353" s="114">
        <f t="shared" ref="CQ353" si="2287">AQ353</f>
        <v>424</v>
      </c>
      <c r="CR353" s="114">
        <f t="shared" ref="CR353" si="2288">AU353</f>
        <v>462</v>
      </c>
      <c r="CS353" s="114">
        <f t="shared" ref="CS353" si="2289">AY353</f>
        <v>482</v>
      </c>
      <c r="CT353" s="109">
        <f t="shared" ref="CT353" si="2290">M353-K353</f>
        <v>1</v>
      </c>
    </row>
    <row r="354" spans="1:1030" x14ac:dyDescent="0.2">
      <c r="A354" s="3" t="str">
        <f t="shared" si="2121"/>
        <v>grm1_human__wt</v>
      </c>
      <c r="B354" s="3" t="s">
        <v>40</v>
      </c>
      <c r="C354" s="3" t="s">
        <v>100</v>
      </c>
      <c r="D354" s="3" t="str">
        <f>IFERROR(MID(VLOOKUP($B354,Seqs!$A:$B,2,0),E354,1),"")</f>
        <v>I</v>
      </c>
      <c r="E354" s="3">
        <v>591</v>
      </c>
      <c r="F354" s="3" t="str">
        <f>IFERROR(MID(VLOOKUP($B354,Seqs!$A:$B,2,0),G354,1),"")</f>
        <v>Y</v>
      </c>
      <c r="G354" s="3">
        <v>617</v>
      </c>
      <c r="H354" s="3" t="str">
        <f>IFERROR(MID(VLOOKUP($B354,Seqs!$A:$B,2,0),I354,1),"")</f>
        <v>T</v>
      </c>
      <c r="I354" s="23">
        <v>620</v>
      </c>
      <c r="J354" s="3" t="str">
        <f>IFERROR(MID(VLOOKUP($B354,Seqs!$A:$B,2,0),K354,1),"")</f>
        <v>S</v>
      </c>
      <c r="K354" s="23">
        <v>626</v>
      </c>
      <c r="L354" s="3" t="str">
        <f>IFERROR(MID(VLOOKUP($B354,Seqs!$A:$B,2,0),M354,1),"")</f>
        <v>S</v>
      </c>
      <c r="M354" s="3">
        <v>627</v>
      </c>
      <c r="N354" s="3" t="str">
        <f>IFERROR(MID(VLOOKUP($B354,Seqs!$A:$B,2,0),O354,1),"")</f>
        <v>I</v>
      </c>
      <c r="O354" s="3">
        <v>649</v>
      </c>
      <c r="P354" s="3" t="str">
        <f>IFERROR(MID(VLOOKUP($B354,Seqs!$A:$B,2,0),Q354,1),"")</f>
        <v/>
      </c>
      <c r="Q354" s="3" t="s">
        <v>23</v>
      </c>
      <c r="R354" s="3" t="str">
        <f>IFERROR(MID(VLOOKUP($B354,Seqs!$A:$B,2,0),S354,1),"")</f>
        <v/>
      </c>
      <c r="S354" s="3" t="s">
        <v>23</v>
      </c>
      <c r="T354" s="3" t="str">
        <f>IFERROR(MID(VLOOKUP($B354,Seqs!$A:$B,2,0),U354,1),"")</f>
        <v>T</v>
      </c>
      <c r="U354" s="3">
        <v>654</v>
      </c>
      <c r="V354" s="3" t="str">
        <f>IFERROR(MID(VLOOKUP($B354,Seqs!$A:$B,2,0),W354,1),"")</f>
        <v>L</v>
      </c>
      <c r="W354" s="3">
        <v>686</v>
      </c>
      <c r="X354" s="3" t="str">
        <f>IFERROR(MID(VLOOKUP($B354,Seqs!$A:$B,2,0),Y354,1),"")</f>
        <v/>
      </c>
      <c r="Y354" s="3" t="s">
        <v>23</v>
      </c>
      <c r="Z354" s="3" t="str">
        <f>IFERROR(MID(VLOOKUP($B354,Seqs!$A:$B,2,0),AA354,1),"")</f>
        <v/>
      </c>
      <c r="AA354" s="3" t="s">
        <v>23</v>
      </c>
      <c r="AB354" s="3" t="str">
        <f>IFERROR(MID(VLOOKUP($B354,Seqs!$A:$B,2,0),AC354,1),"")</f>
        <v>S</v>
      </c>
      <c r="AC354" s="3">
        <v>702</v>
      </c>
      <c r="AD354" s="3" t="str">
        <f>IFERROR(MID(VLOOKUP($B354,Seqs!$A:$B,2,0),AE354,1),"")</f>
        <v>E</v>
      </c>
      <c r="AE354" s="3">
        <v>728</v>
      </c>
      <c r="AF354" s="3" t="str">
        <f>IFERROR(MID(VLOOKUP($B354,Seqs!$A:$B,2,0),AG354,1),"")</f>
        <v>C</v>
      </c>
      <c r="AG354" s="3">
        <v>746</v>
      </c>
      <c r="AH354" s="3" t="str">
        <f>IFERROR(MID(VLOOKUP($B354,Seqs!$A:$B,2,0),AI354,1),"")</f>
        <v>T</v>
      </c>
      <c r="AI354" s="3">
        <v>748</v>
      </c>
      <c r="AJ354" s="3" t="str">
        <f>IFERROR(MID(VLOOKUP($B354,Seqs!$A:$B,2,0),AK354,1),"")</f>
        <v>S</v>
      </c>
      <c r="AK354" s="3">
        <v>749</v>
      </c>
      <c r="AL354" s="3" t="str">
        <f>IFERROR(MID(VLOOKUP($B354,Seqs!$A:$B,2,0),AM354,1),"")</f>
        <v>T</v>
      </c>
      <c r="AM354" s="3">
        <v>774</v>
      </c>
      <c r="AN354" s="3" t="str">
        <f>IFERROR(MID(VLOOKUP($B354,Seqs!$A:$B,2,0),AO354,1),"")</f>
        <v>E</v>
      </c>
      <c r="AO354" s="3">
        <v>783</v>
      </c>
      <c r="AP354" s="3" t="str">
        <f>IFERROR(MID(VLOOKUP($B354,Seqs!$A:$B,2,0),AQ354,1),"")</f>
        <v>G</v>
      </c>
      <c r="AQ354" s="3">
        <v>807</v>
      </c>
      <c r="AR354" s="3" t="str">
        <f>IFERROR(MID(VLOOKUP($B354,Seqs!$A:$B,2,0),AS354,1),"")</f>
        <v>Y</v>
      </c>
      <c r="AS354" s="3">
        <v>810</v>
      </c>
      <c r="AT354" s="3" t="str">
        <f>IFERROR(MID(VLOOKUP($B354,Seqs!$A:$B,2,0),AU354,1),"")</f>
        <v>K</v>
      </c>
      <c r="AU354" s="3">
        <v>841</v>
      </c>
      <c r="AV354" s="3" t="str">
        <f>IFERROR(MID(VLOOKUP($B354,Seqs!$A:$B,2,0),AW354,1),"")</f>
        <v>P</v>
      </c>
      <c r="AW354" s="3">
        <v>842</v>
      </c>
      <c r="AX354" s="3" t="str">
        <f>IFERROR(MID(VLOOKUP($B354,Seqs!$A:$B,2,0),AY354,1),"")</f>
        <v>S</v>
      </c>
      <c r="AY354" s="3">
        <v>853</v>
      </c>
      <c r="AZ354" s="77" t="str">
        <f>VLOOKUP(B354,Classification!A:D,2,0)</f>
        <v>C</v>
      </c>
      <c r="BA354" s="94" t="str">
        <f>VLOOKUP(B354,Classification!A:D,4,0)</f>
        <v>Metabotropicglutamate</v>
      </c>
      <c r="BB354" s="27" t="b">
        <f t="shared" si="2122"/>
        <v>1</v>
      </c>
      <c r="BC354" s="23">
        <f t="shared" si="2095"/>
        <v>217</v>
      </c>
      <c r="BD354" s="56" t="s">
        <v>23</v>
      </c>
      <c r="BE354" s="3" t="s">
        <v>23</v>
      </c>
      <c r="BF354" s="119" t="s">
        <v>23</v>
      </c>
      <c r="BG354" s="49" t="s">
        <v>1372</v>
      </c>
      <c r="BH354" s="49" t="s">
        <v>1377</v>
      </c>
      <c r="BI354" s="3" t="s">
        <v>1163</v>
      </c>
      <c r="BJ354" s="70" t="s">
        <v>1287</v>
      </c>
      <c r="BK354" s="57" t="s">
        <v>1287</v>
      </c>
      <c r="BL354" s="57" t="s">
        <v>1287</v>
      </c>
      <c r="BM354" s="57" t="s">
        <v>1287</v>
      </c>
      <c r="BN354" s="57" t="s">
        <v>1287</v>
      </c>
      <c r="BO354" s="57" t="s">
        <v>1287</v>
      </c>
      <c r="BP354" s="57" t="s">
        <v>1287</v>
      </c>
      <c r="BQ354" s="57" t="s">
        <v>1287</v>
      </c>
      <c r="BR354" s="57" t="s">
        <v>1287</v>
      </c>
      <c r="BS354" s="57" t="s">
        <v>1287</v>
      </c>
      <c r="BT354" s="57" t="s">
        <v>1287</v>
      </c>
      <c r="BU354" s="57" t="s">
        <v>1287</v>
      </c>
      <c r="BV354" s="70">
        <f t="shared" si="2096"/>
        <v>591</v>
      </c>
      <c r="BW354" s="71">
        <f t="shared" si="2097"/>
        <v>620</v>
      </c>
      <c r="BX354" s="72">
        <f t="shared" si="2098"/>
        <v>627</v>
      </c>
      <c r="BY354" s="71" t="str">
        <f t="shared" si="2099"/>
        <v>-</v>
      </c>
      <c r="BZ354" s="72">
        <f t="shared" si="2100"/>
        <v>654</v>
      </c>
      <c r="CA354" s="71" t="str">
        <f t="shared" si="2101"/>
        <v>-</v>
      </c>
      <c r="CB354" s="72">
        <f t="shared" si="2102"/>
        <v>702</v>
      </c>
      <c r="CC354" s="71">
        <f t="shared" si="2103"/>
        <v>746</v>
      </c>
      <c r="CD354" s="72">
        <f t="shared" si="2104"/>
        <v>749</v>
      </c>
      <c r="CE354" s="71">
        <f t="shared" si="2105"/>
        <v>783</v>
      </c>
      <c r="CF354" s="72">
        <f t="shared" si="2106"/>
        <v>810</v>
      </c>
      <c r="CG354" s="71">
        <f t="shared" si="2107"/>
        <v>842</v>
      </c>
      <c r="CH354" s="70">
        <f t="shared" si="2108"/>
        <v>617</v>
      </c>
      <c r="CI354" s="71">
        <f t="shared" si="2109"/>
        <v>626</v>
      </c>
      <c r="CJ354" s="72">
        <f t="shared" si="2110"/>
        <v>649</v>
      </c>
      <c r="CK354" s="72" t="str">
        <f t="shared" si="2111"/>
        <v>-</v>
      </c>
      <c r="CL354" s="72">
        <f t="shared" si="2112"/>
        <v>686</v>
      </c>
      <c r="CM354" s="72" t="str">
        <f t="shared" si="2113"/>
        <v>-</v>
      </c>
      <c r="CN354" s="72">
        <f t="shared" si="2114"/>
        <v>728</v>
      </c>
      <c r="CO354" s="72">
        <f t="shared" si="2115"/>
        <v>748</v>
      </c>
      <c r="CP354" s="72">
        <f t="shared" si="2116"/>
        <v>774</v>
      </c>
      <c r="CQ354" s="72">
        <f t="shared" si="2117"/>
        <v>807</v>
      </c>
      <c r="CR354" s="72">
        <f t="shared" si="2118"/>
        <v>841</v>
      </c>
      <c r="CS354" s="72">
        <f t="shared" si="2119"/>
        <v>853</v>
      </c>
      <c r="CT354" s="23">
        <f t="shared" si="2120"/>
        <v>1</v>
      </c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</row>
    <row r="355" spans="1:1030" x14ac:dyDescent="0.2">
      <c r="A355" s="3" t="str">
        <f t="shared" si="2121"/>
        <v>grm1_human_4OR2</v>
      </c>
      <c r="B355" s="3" t="s">
        <v>40</v>
      </c>
      <c r="C355" s="3" t="s">
        <v>96</v>
      </c>
      <c r="D355" s="3" t="str">
        <f>IFERROR(MID(VLOOKUP($B355,Seqs!$A:$B,2,0),E355,1),"")</f>
        <v>I</v>
      </c>
      <c r="E355" s="3">
        <v>591</v>
      </c>
      <c r="F355" s="3" t="str">
        <f>IFERROR(MID(VLOOKUP($B355,Seqs!$A:$B,2,0),G355,1),"")</f>
        <v>Y</v>
      </c>
      <c r="G355" s="3">
        <v>617</v>
      </c>
      <c r="H355" s="3" t="str">
        <f>IFERROR(MID(VLOOKUP($B355,Seqs!$A:$B,2,0),I355,1),"")</f>
        <v>T</v>
      </c>
      <c r="I355" s="23">
        <v>620</v>
      </c>
      <c r="J355" s="3" t="str">
        <f>IFERROR(MID(VLOOKUP($B355,Seqs!$A:$B,2,0),K355,1),"")</f>
        <v>S</v>
      </c>
      <c r="K355" s="23">
        <v>626</v>
      </c>
      <c r="L355" s="3" t="str">
        <f>IFERROR(MID(VLOOKUP($B355,Seqs!$A:$B,2,0),M355,1),"")</f>
        <v>S</v>
      </c>
      <c r="M355" s="3">
        <v>627</v>
      </c>
      <c r="N355" s="3" t="str">
        <f>IFERROR(MID(VLOOKUP($B355,Seqs!$A:$B,2,0),O355,1),"")</f>
        <v>I</v>
      </c>
      <c r="O355" s="3">
        <v>649</v>
      </c>
      <c r="P355" s="3" t="str">
        <f>IFERROR(MID(VLOOKUP($B355,Seqs!$A:$B,2,0),Q355,1),"")</f>
        <v/>
      </c>
      <c r="Q355" s="3" t="s">
        <v>23</v>
      </c>
      <c r="R355" s="3" t="str">
        <f>IFERROR(MID(VLOOKUP($B355,Seqs!$A:$B,2,0),S355,1),"")</f>
        <v/>
      </c>
      <c r="S355" s="3" t="s">
        <v>23</v>
      </c>
      <c r="T355" s="3" t="str">
        <f>IFERROR(MID(VLOOKUP($B355,Seqs!$A:$B,2,0),U355,1),"")</f>
        <v>T</v>
      </c>
      <c r="U355" s="3">
        <v>654</v>
      </c>
      <c r="V355" s="3" t="str">
        <f>IFERROR(MID(VLOOKUP($B355,Seqs!$A:$B,2,0),W355,1),"")</f>
        <v>L</v>
      </c>
      <c r="W355" s="3">
        <v>686</v>
      </c>
      <c r="X355" s="3" t="str">
        <f>IFERROR(MID(VLOOKUP($B355,Seqs!$A:$B,2,0),Y355,1),"")</f>
        <v/>
      </c>
      <c r="Y355" s="3" t="s">
        <v>23</v>
      </c>
      <c r="Z355" s="3" t="str">
        <f>IFERROR(MID(VLOOKUP($B355,Seqs!$A:$B,2,0),AA355,1),"")</f>
        <v/>
      </c>
      <c r="AA355" s="3" t="s">
        <v>23</v>
      </c>
      <c r="AB355" s="3" t="str">
        <f>IFERROR(MID(VLOOKUP($B355,Seqs!$A:$B,2,0),AC355,1),"")</f>
        <v>S</v>
      </c>
      <c r="AC355" s="9">
        <v>702</v>
      </c>
      <c r="AD355" s="3" t="str">
        <f>IFERROR(MID(VLOOKUP($B355,Seqs!$A:$B,2,0),AE355,1),"")</f>
        <v>E</v>
      </c>
      <c r="AE355" s="3">
        <v>728</v>
      </c>
      <c r="AF355" s="3" t="str">
        <f>IFERROR(MID(VLOOKUP($B355,Seqs!$A:$B,2,0),AG355,1),"")</f>
        <v>C</v>
      </c>
      <c r="AG355" s="3">
        <v>746</v>
      </c>
      <c r="AH355" s="3" t="str">
        <f>IFERROR(MID(VLOOKUP($B355,Seqs!$A:$B,2,0),AI355,1),"")</f>
        <v>T</v>
      </c>
      <c r="AI355" s="3">
        <v>748</v>
      </c>
      <c r="AJ355" s="3" t="str">
        <f>IFERROR(MID(VLOOKUP($B355,Seqs!$A:$B,2,0),AK355,1),"")</f>
        <v>S</v>
      </c>
      <c r="AK355" s="105">
        <v>749</v>
      </c>
      <c r="AL355" s="3" t="str">
        <f>IFERROR(MID(VLOOKUP($B355,Seqs!$A:$B,2,0),AM355,1),"")</f>
        <v>T</v>
      </c>
      <c r="AM355" s="3">
        <v>774</v>
      </c>
      <c r="AN355" s="3" t="str">
        <f>IFERROR(MID(VLOOKUP($B355,Seqs!$A:$B,2,0),AO355,1),"")</f>
        <v>E</v>
      </c>
      <c r="AO355" s="3">
        <v>783</v>
      </c>
      <c r="AP355" s="3" t="str">
        <f>IFERROR(MID(VLOOKUP($B355,Seqs!$A:$B,2,0),AQ355,1),"")</f>
        <v>G</v>
      </c>
      <c r="AQ355" s="3">
        <v>807</v>
      </c>
      <c r="AR355" s="3" t="str">
        <f>IFERROR(MID(VLOOKUP($B355,Seqs!$A:$B,2,0),AS355,1),"")</f>
        <v>Y</v>
      </c>
      <c r="AS355" s="105">
        <v>810</v>
      </c>
      <c r="AT355" s="3" t="str">
        <f>IFERROR(MID(VLOOKUP($B355,Seqs!$A:$B,2,0),AU355,1),"")</f>
        <v>K</v>
      </c>
      <c r="AU355" s="3">
        <v>841</v>
      </c>
      <c r="AV355" s="3" t="str">
        <f>IFERROR(MID(VLOOKUP($B355,Seqs!$A:$B,2,0),AW355,1),"")</f>
        <v/>
      </c>
      <c r="AW355" s="3" t="s">
        <v>23</v>
      </c>
      <c r="AX355" s="3" t="str">
        <f>IFERROR(MID(VLOOKUP($B355,Seqs!$A:$B,2,0),AY355,1),"")</f>
        <v/>
      </c>
      <c r="AY355" s="3" t="s">
        <v>23</v>
      </c>
      <c r="AZ355" s="77" t="str">
        <f>VLOOKUP(B355,Classification!A:D,2,0)</f>
        <v>C</v>
      </c>
      <c r="BA355" s="94" t="str">
        <f>VLOOKUP(B355,Classification!A:D,4,0)</f>
        <v>Metabotropicglutamate</v>
      </c>
      <c r="BB355" s="27" t="b">
        <f t="shared" si="2122"/>
        <v>1</v>
      </c>
      <c r="BC355" s="23">
        <f t="shared" si="2095"/>
        <v>206</v>
      </c>
      <c r="BD355" s="2" t="s">
        <v>1376</v>
      </c>
      <c r="BE355" s="3" t="s">
        <v>1374</v>
      </c>
      <c r="BF355" s="119">
        <v>2.8</v>
      </c>
      <c r="BG355" s="49" t="s">
        <v>1377</v>
      </c>
      <c r="BH355" s="49" t="s">
        <v>1377</v>
      </c>
      <c r="BJ355" s="70" t="s">
        <v>1287</v>
      </c>
      <c r="BK355" s="57" t="s">
        <v>1287</v>
      </c>
      <c r="BL355" s="57" t="s">
        <v>1287</v>
      </c>
      <c r="BM355" s="57" t="s">
        <v>1287</v>
      </c>
      <c r="BN355" s="57" t="s">
        <v>1287</v>
      </c>
      <c r="BO355" s="57" t="s">
        <v>1287</v>
      </c>
      <c r="BP355" s="57" t="s">
        <v>1287</v>
      </c>
      <c r="BQ355" s="57" t="s">
        <v>1287</v>
      </c>
      <c r="BR355" s="57" t="s">
        <v>1287</v>
      </c>
      <c r="BS355" s="57" t="s">
        <v>1287</v>
      </c>
      <c r="BT355" s="57" t="s">
        <v>1287</v>
      </c>
      <c r="BU355" s="57" t="s">
        <v>1287</v>
      </c>
      <c r="BV355" s="70">
        <f t="shared" si="2096"/>
        <v>591</v>
      </c>
      <c r="BW355" s="71">
        <f t="shared" si="2097"/>
        <v>620</v>
      </c>
      <c r="BX355" s="72">
        <f t="shared" si="2098"/>
        <v>627</v>
      </c>
      <c r="BY355" s="71" t="str">
        <f t="shared" si="2099"/>
        <v>-</v>
      </c>
      <c r="BZ355" s="72">
        <f t="shared" si="2100"/>
        <v>654</v>
      </c>
      <c r="CA355" s="71" t="str">
        <f t="shared" si="2101"/>
        <v>-</v>
      </c>
      <c r="CB355" s="72">
        <f t="shared" si="2102"/>
        <v>702</v>
      </c>
      <c r="CC355" s="71">
        <f t="shared" si="2103"/>
        <v>746</v>
      </c>
      <c r="CD355" s="72">
        <f t="shared" si="2104"/>
        <v>749</v>
      </c>
      <c r="CE355" s="71">
        <f t="shared" si="2105"/>
        <v>783</v>
      </c>
      <c r="CF355" s="72">
        <f t="shared" si="2106"/>
        <v>810</v>
      </c>
      <c r="CG355" s="71" t="str">
        <f t="shared" si="2107"/>
        <v>-</v>
      </c>
      <c r="CH355" s="70">
        <f t="shared" si="2108"/>
        <v>617</v>
      </c>
      <c r="CI355" s="71">
        <f t="shared" si="2109"/>
        <v>626</v>
      </c>
      <c r="CJ355" s="72">
        <f t="shared" si="2110"/>
        <v>649</v>
      </c>
      <c r="CK355" s="72" t="str">
        <f t="shared" si="2111"/>
        <v>-</v>
      </c>
      <c r="CL355" s="72">
        <f t="shared" si="2112"/>
        <v>686</v>
      </c>
      <c r="CM355" s="72" t="str">
        <f t="shared" si="2113"/>
        <v>-</v>
      </c>
      <c r="CN355" s="72">
        <f t="shared" si="2114"/>
        <v>728</v>
      </c>
      <c r="CO355" s="72">
        <f t="shared" si="2115"/>
        <v>748</v>
      </c>
      <c r="CP355" s="72">
        <f t="shared" si="2116"/>
        <v>774</v>
      </c>
      <c r="CQ355" s="72">
        <f t="shared" si="2117"/>
        <v>807</v>
      </c>
      <c r="CR355" s="72">
        <f t="shared" si="2118"/>
        <v>841</v>
      </c>
      <c r="CS355" s="72" t="str">
        <f t="shared" si="2119"/>
        <v>-</v>
      </c>
      <c r="CT355" s="23">
        <f t="shared" si="2120"/>
        <v>1</v>
      </c>
    </row>
    <row r="356" spans="1:1030" x14ac:dyDescent="0.2">
      <c r="A356" s="3" t="str">
        <f t="shared" si="2121"/>
        <v>grm5_human__wt</v>
      </c>
      <c r="B356" s="3" t="s">
        <v>41</v>
      </c>
      <c r="C356" s="3" t="s">
        <v>100</v>
      </c>
      <c r="D356" s="3" t="str">
        <f>IFERROR(MID(VLOOKUP($B356,Seqs!$A:$B,2,0),E356,1),"")</f>
        <v>P</v>
      </c>
      <c r="E356" s="3">
        <v>578</v>
      </c>
      <c r="F356" s="3" t="str">
        <f>IFERROR(MID(VLOOKUP($B356,Seqs!$A:$B,2,0),G356,1),"")</f>
        <v>Y</v>
      </c>
      <c r="G356" s="3">
        <v>604</v>
      </c>
      <c r="H356" s="3" t="str">
        <f>IFERROR(MID(VLOOKUP($B356,Seqs!$A:$B,2,0),I356,1),"")</f>
        <v>T</v>
      </c>
      <c r="I356" s="23">
        <v>607</v>
      </c>
      <c r="J356" s="3" t="str">
        <f>IFERROR(MID(VLOOKUP($B356,Seqs!$A:$B,2,0),K356,1),"")</f>
        <v>S</v>
      </c>
      <c r="K356" s="23">
        <v>613</v>
      </c>
      <c r="L356" s="3" t="str">
        <f>IFERROR(MID(VLOOKUP($B356,Seqs!$A:$B,2,0),M356,1),"")</f>
        <v>S</v>
      </c>
      <c r="M356" s="3">
        <v>614</v>
      </c>
      <c r="N356" s="3" t="str">
        <f>IFERROR(MID(VLOOKUP($B356,Seqs!$A:$B,2,0),O356,1),"")</f>
        <v>I</v>
      </c>
      <c r="O356" s="3">
        <v>636</v>
      </c>
      <c r="P356" s="3" t="str">
        <f>IFERROR(MID(VLOOKUP($B356,Seqs!$A:$B,2,0),Q356,1),"")</f>
        <v/>
      </c>
      <c r="Q356" s="3" t="s">
        <v>23</v>
      </c>
      <c r="R356" s="3" t="str">
        <f>IFERROR(MID(VLOOKUP($B356,Seqs!$A:$B,2,0),S356,1),"")</f>
        <v/>
      </c>
      <c r="S356" s="3" t="s">
        <v>23</v>
      </c>
      <c r="T356" s="3" t="str">
        <f>IFERROR(MID(VLOOKUP($B356,Seqs!$A:$B,2,0),U356,1),"")</f>
        <v>K</v>
      </c>
      <c r="U356" s="105">
        <v>640</v>
      </c>
      <c r="V356" s="3" t="str">
        <f>IFERROR(MID(VLOOKUP($B356,Seqs!$A:$B,2,0),W356,1),"")</f>
        <v>L</v>
      </c>
      <c r="W356" s="3">
        <v>673</v>
      </c>
      <c r="X356" s="3" t="str">
        <f>IFERROR(MID(VLOOKUP($B356,Seqs!$A:$B,2,0),Y356,1),"")</f>
        <v/>
      </c>
      <c r="Y356" s="3" t="s">
        <v>23</v>
      </c>
      <c r="Z356" s="3" t="str">
        <f>IFERROR(MID(VLOOKUP($B356,Seqs!$A:$B,2,0),AA356,1),"")</f>
        <v/>
      </c>
      <c r="AA356" s="3" t="s">
        <v>23</v>
      </c>
      <c r="AB356" s="3" t="str">
        <f>IFERROR(MID(VLOOKUP($B356,Seqs!$A:$B,2,0),AC356,1),"")</f>
        <v>S</v>
      </c>
      <c r="AC356" s="9">
        <v>689</v>
      </c>
      <c r="AD356" s="3" t="str">
        <f>IFERROR(MID(VLOOKUP($B356,Seqs!$A:$B,2,0),AE356,1),"")</f>
        <v>E</v>
      </c>
      <c r="AE356" s="3">
        <v>715</v>
      </c>
      <c r="AF356" s="3" t="str">
        <f>IFERROR(MID(VLOOKUP($B356,Seqs!$A:$B,2,0),AG356,1),"")</f>
        <v>C</v>
      </c>
      <c r="AG356" s="3">
        <v>733</v>
      </c>
      <c r="AH356" s="3" t="str">
        <f>IFERROR(MID(VLOOKUP($B356,Seqs!$A:$B,2,0),AI356,1),"")</f>
        <v>T</v>
      </c>
      <c r="AI356" s="3">
        <v>735</v>
      </c>
      <c r="AJ356" s="3" t="str">
        <f>IFERROR(MID(VLOOKUP($B356,Seqs!$A:$B,2,0),AK356,1),"")</f>
        <v>T</v>
      </c>
      <c r="AK356" s="105">
        <v>736</v>
      </c>
      <c r="AL356" s="3" t="str">
        <f>IFERROR(MID(VLOOKUP($B356,Seqs!$A:$B,2,0),AM356,1),"")</f>
        <v>T</v>
      </c>
      <c r="AM356" s="3">
        <v>761</v>
      </c>
      <c r="AN356" s="3" t="str">
        <f>IFERROR(MID(VLOOKUP($B356,Seqs!$A:$B,2,0),AO356,1),"")</f>
        <v>E</v>
      </c>
      <c r="AO356" s="3">
        <v>770</v>
      </c>
      <c r="AP356" s="3" t="str">
        <f>IFERROR(MID(VLOOKUP($B356,Seqs!$A:$B,2,0),AQ356,1),"")</f>
        <v>G</v>
      </c>
      <c r="AQ356" s="3">
        <v>794</v>
      </c>
      <c r="AR356" s="3" t="str">
        <f>IFERROR(MID(VLOOKUP($B356,Seqs!$A:$B,2,0),AS356,1),"")</f>
        <v>Y</v>
      </c>
      <c r="AS356" s="105">
        <v>797</v>
      </c>
      <c r="AT356" s="3" t="str">
        <f>IFERROR(MID(VLOOKUP($B356,Seqs!$A:$B,2,0),AU356,1),"")</f>
        <v>K</v>
      </c>
      <c r="AU356" s="3">
        <v>828</v>
      </c>
      <c r="AV356" s="3" t="str">
        <f>IFERROR(MID(VLOOKUP($B356,Seqs!$A:$B,2,0),AW356,1),"")</f>
        <v>P</v>
      </c>
      <c r="AW356" s="3">
        <v>829</v>
      </c>
      <c r="AX356" s="3" t="str">
        <f>IFERROR(MID(VLOOKUP($B356,Seqs!$A:$B,2,0),AY356,1),"")</f>
        <v>S</v>
      </c>
      <c r="AY356" s="3">
        <v>840</v>
      </c>
      <c r="AZ356" s="77" t="str">
        <f>VLOOKUP(B356,Classification!A:D,2,0)</f>
        <v>C</v>
      </c>
      <c r="BA356" s="94" t="str">
        <f>VLOOKUP(B356,Classification!A:D,4,0)</f>
        <v>Metabotropicglutamate</v>
      </c>
      <c r="BB356" s="27" t="b">
        <f t="shared" si="2122"/>
        <v>1</v>
      </c>
      <c r="BC356" s="23">
        <f t="shared" si="2095"/>
        <v>218</v>
      </c>
      <c r="BD356" s="56" t="s">
        <v>23</v>
      </c>
      <c r="BE356" s="3" t="s">
        <v>23</v>
      </c>
      <c r="BF356" s="119" t="s">
        <v>23</v>
      </c>
      <c r="BG356" s="49" t="s">
        <v>1372</v>
      </c>
      <c r="BH356" s="49" t="s">
        <v>1377</v>
      </c>
      <c r="BJ356" s="70" t="s">
        <v>1287</v>
      </c>
      <c r="BK356" s="57" t="s">
        <v>1287</v>
      </c>
      <c r="BL356" s="57" t="s">
        <v>1287</v>
      </c>
      <c r="BM356" s="57" t="s">
        <v>1287</v>
      </c>
      <c r="BN356" s="57" t="s">
        <v>1287</v>
      </c>
      <c r="BO356" s="57" t="s">
        <v>1287</v>
      </c>
      <c r="BP356" s="57" t="s">
        <v>1287</v>
      </c>
      <c r="BQ356" s="57" t="s">
        <v>1287</v>
      </c>
      <c r="BR356" s="57" t="s">
        <v>1287</v>
      </c>
      <c r="BS356" s="57" t="s">
        <v>1287</v>
      </c>
      <c r="BT356" s="57" t="s">
        <v>1287</v>
      </c>
      <c r="BU356" s="57" t="s">
        <v>1287</v>
      </c>
      <c r="BV356" s="70">
        <f t="shared" si="2096"/>
        <v>578</v>
      </c>
      <c r="BW356" s="71">
        <f t="shared" si="2097"/>
        <v>607</v>
      </c>
      <c r="BX356" s="72">
        <f t="shared" si="2098"/>
        <v>614</v>
      </c>
      <c r="BY356" s="71" t="str">
        <f t="shared" si="2099"/>
        <v>-</v>
      </c>
      <c r="BZ356" s="72">
        <f t="shared" si="2100"/>
        <v>640</v>
      </c>
      <c r="CA356" s="71" t="str">
        <f t="shared" si="2101"/>
        <v>-</v>
      </c>
      <c r="CB356" s="72">
        <f t="shared" si="2102"/>
        <v>689</v>
      </c>
      <c r="CC356" s="71">
        <f t="shared" si="2103"/>
        <v>733</v>
      </c>
      <c r="CD356" s="72">
        <f t="shared" si="2104"/>
        <v>736</v>
      </c>
      <c r="CE356" s="71">
        <f t="shared" si="2105"/>
        <v>770</v>
      </c>
      <c r="CF356" s="72">
        <f t="shared" si="2106"/>
        <v>797</v>
      </c>
      <c r="CG356" s="71">
        <f t="shared" si="2107"/>
        <v>829</v>
      </c>
      <c r="CH356" s="70">
        <f t="shared" si="2108"/>
        <v>604</v>
      </c>
      <c r="CI356" s="71">
        <f t="shared" si="2109"/>
        <v>613</v>
      </c>
      <c r="CJ356" s="72">
        <f t="shared" si="2110"/>
        <v>636</v>
      </c>
      <c r="CK356" s="72" t="str">
        <f t="shared" si="2111"/>
        <v>-</v>
      </c>
      <c r="CL356" s="72">
        <f t="shared" si="2112"/>
        <v>673</v>
      </c>
      <c r="CM356" s="72" t="str">
        <f t="shared" si="2113"/>
        <v>-</v>
      </c>
      <c r="CN356" s="72">
        <f t="shared" si="2114"/>
        <v>715</v>
      </c>
      <c r="CO356" s="72">
        <f t="shared" si="2115"/>
        <v>735</v>
      </c>
      <c r="CP356" s="72">
        <f t="shared" si="2116"/>
        <v>761</v>
      </c>
      <c r="CQ356" s="72">
        <f t="shared" si="2117"/>
        <v>794</v>
      </c>
      <c r="CR356" s="72">
        <f t="shared" si="2118"/>
        <v>828</v>
      </c>
      <c r="CS356" s="72">
        <f t="shared" si="2119"/>
        <v>840</v>
      </c>
      <c r="CT356" s="23">
        <f t="shared" si="2120"/>
        <v>1</v>
      </c>
    </row>
    <row r="357" spans="1:1030" x14ac:dyDescent="0.2">
      <c r="A357" s="3" t="str">
        <f t="shared" si="2121"/>
        <v>grm5_human_4OO9</v>
      </c>
      <c r="B357" s="3" t="s">
        <v>41</v>
      </c>
      <c r="C357" s="3" t="s">
        <v>57</v>
      </c>
      <c r="D357" s="3" t="str">
        <f>IFERROR(MID(VLOOKUP($B357,Seqs!$A:$B,2,0),E357,1),"")</f>
        <v>P</v>
      </c>
      <c r="E357" s="3">
        <v>578</v>
      </c>
      <c r="F357" s="3" t="str">
        <f>IFERROR(MID(VLOOKUP($B357,Seqs!$A:$B,2,0),G357,1),"")</f>
        <v>Y</v>
      </c>
      <c r="G357" s="3">
        <v>604</v>
      </c>
      <c r="H357" s="3" t="str">
        <f>IFERROR(MID(VLOOKUP($B357,Seqs!$A:$B,2,0),I357,1),"")</f>
        <v>T</v>
      </c>
      <c r="I357" s="23">
        <v>607</v>
      </c>
      <c r="J357" s="3" t="str">
        <f>IFERROR(MID(VLOOKUP($B357,Seqs!$A:$B,2,0),K357,1),"")</f>
        <v>S</v>
      </c>
      <c r="K357" s="23">
        <v>613</v>
      </c>
      <c r="L357" s="3" t="str">
        <f>IFERROR(MID(VLOOKUP($B357,Seqs!$A:$B,2,0),M357,1),"")</f>
        <v>S</v>
      </c>
      <c r="M357" s="3">
        <v>614</v>
      </c>
      <c r="N357" s="3" t="str">
        <f>IFERROR(MID(VLOOKUP($B357,Seqs!$A:$B,2,0),O357,1),"")</f>
        <v>I</v>
      </c>
      <c r="O357" s="3">
        <v>636</v>
      </c>
      <c r="P357" s="3" t="str">
        <f>IFERROR(MID(VLOOKUP($B357,Seqs!$A:$B,2,0),Q357,1),"")</f>
        <v/>
      </c>
      <c r="Q357" s="3" t="s">
        <v>23</v>
      </c>
      <c r="R357" s="3" t="str">
        <f>IFERROR(MID(VLOOKUP($B357,Seqs!$A:$B,2,0),S357,1),"")</f>
        <v/>
      </c>
      <c r="S357" s="3" t="s">
        <v>23</v>
      </c>
      <c r="T357" s="3" t="str">
        <f>IFERROR(MID(VLOOKUP($B357,Seqs!$A:$B,2,0),U357,1),"")</f>
        <v>Q</v>
      </c>
      <c r="U357" s="3">
        <v>641</v>
      </c>
      <c r="V357" s="3" t="str">
        <f>IFERROR(MID(VLOOKUP($B357,Seqs!$A:$B,2,0),W357,1),"")</f>
        <v>K</v>
      </c>
      <c r="W357" s="3">
        <v>678</v>
      </c>
      <c r="X357" s="3" t="str">
        <f>IFERROR(MID(VLOOKUP($B357,Seqs!$A:$B,2,0),Y357,1),"")</f>
        <v/>
      </c>
      <c r="Y357" s="3" t="s">
        <v>23</v>
      </c>
      <c r="Z357" s="3" t="str">
        <f>IFERROR(MID(VLOOKUP($B357,Seqs!$A:$B,2,0),AA357,1),"")</f>
        <v/>
      </c>
      <c r="AA357" s="3" t="s">
        <v>23</v>
      </c>
      <c r="AB357" s="3" t="str">
        <f>IFERROR(MID(VLOOKUP($B357,Seqs!$A:$B,2,0),AC357,1),"")</f>
        <v>S</v>
      </c>
      <c r="AC357" s="9">
        <v>689</v>
      </c>
      <c r="AD357" s="3" t="str">
        <f>IFERROR(MID(VLOOKUP($B357,Seqs!$A:$B,2,0),AE357,1),"")</f>
        <v>E</v>
      </c>
      <c r="AE357" s="3">
        <v>715</v>
      </c>
      <c r="AF357" s="3" t="str">
        <f>IFERROR(MID(VLOOKUP($B357,Seqs!$A:$B,2,0),AG357,1),"")</f>
        <v>C</v>
      </c>
      <c r="AG357" s="3">
        <v>733</v>
      </c>
      <c r="AH357" s="3" t="str">
        <f>IFERROR(MID(VLOOKUP($B357,Seqs!$A:$B,2,0),AI357,1),"")</f>
        <v>T</v>
      </c>
      <c r="AI357" s="3">
        <v>735</v>
      </c>
      <c r="AJ357" s="3" t="str">
        <f>IFERROR(MID(VLOOKUP($B357,Seqs!$A:$B,2,0),AK357,1),"")</f>
        <v>N</v>
      </c>
      <c r="AK357" s="3">
        <v>737</v>
      </c>
      <c r="AL357" s="3" t="str">
        <f>IFERROR(MID(VLOOKUP($B357,Seqs!$A:$B,2,0),AM357,1),"")</f>
        <v>T</v>
      </c>
      <c r="AM357" s="3">
        <v>761</v>
      </c>
      <c r="AN357" s="3" t="str">
        <f>IFERROR(MID(VLOOKUP($B357,Seqs!$A:$B,2,0),AO357,1),"")</f>
        <v>E</v>
      </c>
      <c r="AO357" s="3">
        <v>770</v>
      </c>
      <c r="AP357" s="3" t="str">
        <f>IFERROR(MID(VLOOKUP($B357,Seqs!$A:$B,2,0),AQ357,1),"")</f>
        <v>G</v>
      </c>
      <c r="AQ357" s="3">
        <v>794</v>
      </c>
      <c r="AR357" s="3" t="str">
        <f>IFERROR(MID(VLOOKUP($B357,Seqs!$A:$B,2,0),AS357,1),"")</f>
        <v>Y</v>
      </c>
      <c r="AS357" s="105">
        <v>797</v>
      </c>
      <c r="AT357" s="3" t="str">
        <f>IFERROR(MID(VLOOKUP($B357,Seqs!$A:$B,2,0),AU357,1),"")</f>
        <v>K</v>
      </c>
      <c r="AU357" s="3">
        <v>828</v>
      </c>
      <c r="AV357" s="3" t="str">
        <f>IFERROR(MID(VLOOKUP($B357,Seqs!$A:$B,2,0),AW357,1),"")</f>
        <v>P</v>
      </c>
      <c r="AW357" s="3">
        <v>829</v>
      </c>
      <c r="AX357" s="3" t="str">
        <f>IFERROR(MID(VLOOKUP($B357,Seqs!$A:$B,2,0),AY357,1),"")</f>
        <v>N</v>
      </c>
      <c r="AY357" s="3">
        <v>832</v>
      </c>
      <c r="AZ357" s="77" t="str">
        <f>VLOOKUP(B357,Classification!A:D,2,0)</f>
        <v>C</v>
      </c>
      <c r="BA357" s="94" t="str">
        <f>VLOOKUP(B357,Classification!A:D,4,0)</f>
        <v>Metabotropicglutamate</v>
      </c>
      <c r="BB357" s="27" t="b">
        <f t="shared" si="2122"/>
        <v>1</v>
      </c>
      <c r="BC357" s="23">
        <f t="shared" si="2095"/>
        <v>213</v>
      </c>
      <c r="BD357" s="106" t="s">
        <v>1376</v>
      </c>
      <c r="BE357" s="3" t="s">
        <v>1374</v>
      </c>
      <c r="BF357" s="119">
        <v>2.6</v>
      </c>
      <c r="BG357" s="49" t="s">
        <v>1377</v>
      </c>
      <c r="BH357" s="49" t="s">
        <v>1377</v>
      </c>
      <c r="BJ357" s="70" t="s">
        <v>1287</v>
      </c>
      <c r="BK357" s="57" t="s">
        <v>1287</v>
      </c>
      <c r="BL357" s="57" t="s">
        <v>1287</v>
      </c>
      <c r="BM357" s="57" t="s">
        <v>1287</v>
      </c>
      <c r="BN357" s="57" t="s">
        <v>1287</v>
      </c>
      <c r="BO357" s="57" t="s">
        <v>1287</v>
      </c>
      <c r="BP357" s="57" t="s">
        <v>1287</v>
      </c>
      <c r="BQ357" s="57" t="s">
        <v>1287</v>
      </c>
      <c r="BR357" s="57" t="s">
        <v>1287</v>
      </c>
      <c r="BS357" s="57" t="s">
        <v>1287</v>
      </c>
      <c r="BT357" s="57" t="s">
        <v>1287</v>
      </c>
      <c r="BU357" s="57" t="s">
        <v>1287</v>
      </c>
      <c r="BV357" s="70">
        <f t="shared" si="2096"/>
        <v>578</v>
      </c>
      <c r="BW357" s="71">
        <f t="shared" si="2097"/>
        <v>607</v>
      </c>
      <c r="BX357" s="72">
        <f t="shared" si="2098"/>
        <v>614</v>
      </c>
      <c r="BY357" s="71" t="str">
        <f t="shared" si="2099"/>
        <v>-</v>
      </c>
      <c r="BZ357" s="72">
        <f t="shared" si="2100"/>
        <v>641</v>
      </c>
      <c r="CA357" s="71" t="str">
        <f t="shared" si="2101"/>
        <v>-</v>
      </c>
      <c r="CB357" s="72">
        <f t="shared" si="2102"/>
        <v>689</v>
      </c>
      <c r="CC357" s="71">
        <f t="shared" si="2103"/>
        <v>733</v>
      </c>
      <c r="CD357" s="72">
        <f t="shared" si="2104"/>
        <v>737</v>
      </c>
      <c r="CE357" s="71">
        <f t="shared" si="2105"/>
        <v>770</v>
      </c>
      <c r="CF357" s="72">
        <f t="shared" si="2106"/>
        <v>797</v>
      </c>
      <c r="CG357" s="71">
        <f t="shared" si="2107"/>
        <v>829</v>
      </c>
      <c r="CH357" s="70">
        <f t="shared" si="2108"/>
        <v>604</v>
      </c>
      <c r="CI357" s="71">
        <f t="shared" si="2109"/>
        <v>613</v>
      </c>
      <c r="CJ357" s="72">
        <f t="shared" si="2110"/>
        <v>636</v>
      </c>
      <c r="CK357" s="72" t="str">
        <f t="shared" si="2111"/>
        <v>-</v>
      </c>
      <c r="CL357" s="72">
        <f t="shared" si="2112"/>
        <v>678</v>
      </c>
      <c r="CM357" s="72" t="str">
        <f t="shared" si="2113"/>
        <v>-</v>
      </c>
      <c r="CN357" s="72">
        <f t="shared" si="2114"/>
        <v>715</v>
      </c>
      <c r="CO357" s="72">
        <f t="shared" si="2115"/>
        <v>735</v>
      </c>
      <c r="CP357" s="72">
        <f t="shared" si="2116"/>
        <v>761</v>
      </c>
      <c r="CQ357" s="72">
        <f t="shared" si="2117"/>
        <v>794</v>
      </c>
      <c r="CR357" s="72">
        <f t="shared" si="2118"/>
        <v>828</v>
      </c>
      <c r="CS357" s="72">
        <f t="shared" si="2119"/>
        <v>832</v>
      </c>
      <c r="CT357" s="23">
        <f t="shared" si="2120"/>
        <v>1</v>
      </c>
    </row>
    <row r="358" spans="1:1030" x14ac:dyDescent="0.2">
      <c r="A358" s="3" t="str">
        <f t="shared" si="2121"/>
        <v>grm5_human_5CGC</v>
      </c>
      <c r="B358" s="3" t="s">
        <v>41</v>
      </c>
      <c r="C358" s="3" t="s">
        <v>58</v>
      </c>
      <c r="D358" s="3" t="str">
        <f>IFERROR(MID(VLOOKUP($B358,Seqs!$A:$B,2,0),E358,1),"")</f>
        <v>P</v>
      </c>
      <c r="E358" s="3">
        <v>578</v>
      </c>
      <c r="F358" s="3" t="str">
        <f>IFERROR(MID(VLOOKUP($B358,Seqs!$A:$B,2,0),G358,1),"")</f>
        <v>Y</v>
      </c>
      <c r="G358" s="3">
        <v>604</v>
      </c>
      <c r="H358" s="3" t="str">
        <f>IFERROR(MID(VLOOKUP($B358,Seqs!$A:$B,2,0),I358,1),"")</f>
        <v>T</v>
      </c>
      <c r="I358" s="23">
        <v>607</v>
      </c>
      <c r="J358" s="3" t="str">
        <f>IFERROR(MID(VLOOKUP($B358,Seqs!$A:$B,2,0),K358,1),"")</f>
        <v>S</v>
      </c>
      <c r="K358" s="23">
        <v>613</v>
      </c>
      <c r="L358" s="3" t="str">
        <f>IFERROR(MID(VLOOKUP($B358,Seqs!$A:$B,2,0),M358,1),"")</f>
        <v>S</v>
      </c>
      <c r="M358" s="3">
        <v>614</v>
      </c>
      <c r="N358" s="3" t="str">
        <f>IFERROR(MID(VLOOKUP($B358,Seqs!$A:$B,2,0),O358,1),"")</f>
        <v>I</v>
      </c>
      <c r="O358" s="3">
        <v>636</v>
      </c>
      <c r="P358" s="3" t="str">
        <f>IFERROR(MID(VLOOKUP($B358,Seqs!$A:$B,2,0),Q358,1),"")</f>
        <v/>
      </c>
      <c r="Q358" s="3" t="s">
        <v>23</v>
      </c>
      <c r="R358" s="3" t="str">
        <f>IFERROR(MID(VLOOKUP($B358,Seqs!$A:$B,2,0),S358,1),"")</f>
        <v/>
      </c>
      <c r="S358" s="3" t="s">
        <v>23</v>
      </c>
      <c r="T358" s="3" t="str">
        <f>IFERROR(MID(VLOOKUP($B358,Seqs!$A:$B,2,0),U358,1),"")</f>
        <v>K</v>
      </c>
      <c r="U358" s="105">
        <v>640</v>
      </c>
      <c r="V358" s="3" t="str">
        <f>IFERROR(MID(VLOOKUP($B358,Seqs!$A:$B,2,0),W358,1),"")</f>
        <v>K</v>
      </c>
      <c r="W358" s="3">
        <v>678</v>
      </c>
      <c r="X358" s="3" t="str">
        <f>IFERROR(MID(VLOOKUP($B358,Seqs!$A:$B,2,0),Y358,1),"")</f>
        <v/>
      </c>
      <c r="Y358" s="3" t="s">
        <v>23</v>
      </c>
      <c r="Z358" s="3" t="str">
        <f>IFERROR(MID(VLOOKUP($B358,Seqs!$A:$B,2,0),AA358,1),"")</f>
        <v/>
      </c>
      <c r="AA358" s="3" t="s">
        <v>23</v>
      </c>
      <c r="AB358" s="3" t="str">
        <f>IFERROR(MID(VLOOKUP($B358,Seqs!$A:$B,2,0),AC358,1),"")</f>
        <v>S</v>
      </c>
      <c r="AC358" s="9">
        <v>689</v>
      </c>
      <c r="AD358" s="3" t="str">
        <f>IFERROR(MID(VLOOKUP($B358,Seqs!$A:$B,2,0),AE358,1),"")</f>
        <v>E</v>
      </c>
      <c r="AE358" s="3">
        <v>715</v>
      </c>
      <c r="AF358" s="3" t="str">
        <f>IFERROR(MID(VLOOKUP($B358,Seqs!$A:$B,2,0),AG358,1),"")</f>
        <v>C</v>
      </c>
      <c r="AG358" s="3">
        <v>733</v>
      </c>
      <c r="AH358" s="3" t="str">
        <f>IFERROR(MID(VLOOKUP($B358,Seqs!$A:$B,2,0),AI358,1),"")</f>
        <v>T</v>
      </c>
      <c r="AI358" s="3">
        <v>735</v>
      </c>
      <c r="AJ358" s="3" t="str">
        <f>IFERROR(MID(VLOOKUP($B358,Seqs!$A:$B,2,0),AK358,1),"")</f>
        <v>N</v>
      </c>
      <c r="AK358" s="3">
        <v>737</v>
      </c>
      <c r="AL358" s="3" t="str">
        <f>IFERROR(MID(VLOOKUP($B358,Seqs!$A:$B,2,0),AM358,1),"")</f>
        <v>T</v>
      </c>
      <c r="AM358" s="3">
        <v>761</v>
      </c>
      <c r="AN358" s="3" t="str">
        <f>IFERROR(MID(VLOOKUP($B358,Seqs!$A:$B,2,0),AO358,1),"")</f>
        <v>E</v>
      </c>
      <c r="AO358" s="3">
        <v>770</v>
      </c>
      <c r="AP358" s="3" t="str">
        <f>IFERROR(MID(VLOOKUP($B358,Seqs!$A:$B,2,0),AQ358,1),"")</f>
        <v>G</v>
      </c>
      <c r="AQ358" s="3">
        <v>794</v>
      </c>
      <c r="AR358" s="3" t="str">
        <f>IFERROR(MID(VLOOKUP($B358,Seqs!$A:$B,2,0),AS358,1),"")</f>
        <v>Y</v>
      </c>
      <c r="AS358" s="105">
        <v>797</v>
      </c>
      <c r="AT358" s="3" t="str">
        <f>IFERROR(MID(VLOOKUP($B358,Seqs!$A:$B,2,0),AU358,1),"")</f>
        <v>K</v>
      </c>
      <c r="AU358" s="3">
        <v>828</v>
      </c>
      <c r="AV358" s="3" t="str">
        <f>IFERROR(MID(VLOOKUP($B358,Seqs!$A:$B,2,0),AW358,1),"")</f>
        <v>P</v>
      </c>
      <c r="AW358" s="3">
        <v>829</v>
      </c>
      <c r="AX358" s="3" t="str">
        <f>IFERROR(MID(VLOOKUP($B358,Seqs!$A:$B,2,0),AY358,1),"")</f>
        <v>N</v>
      </c>
      <c r="AY358" s="3">
        <v>832</v>
      </c>
      <c r="AZ358" s="77" t="str">
        <f>VLOOKUP(B358,Classification!A:D,2,0)</f>
        <v>C</v>
      </c>
      <c r="BA358" s="94" t="str">
        <f>VLOOKUP(B358,Classification!A:D,4,0)</f>
        <v>Metabotropicglutamate</v>
      </c>
      <c r="BB358" s="27" t="b">
        <f t="shared" si="2122"/>
        <v>1</v>
      </c>
      <c r="BC358" s="23">
        <f t="shared" si="2095"/>
        <v>214</v>
      </c>
      <c r="BD358" s="4" t="s">
        <v>23</v>
      </c>
      <c r="BE358" s="3" t="s">
        <v>1374</v>
      </c>
      <c r="BF358" s="119">
        <v>3.1</v>
      </c>
      <c r="BG358" s="49" t="s">
        <v>1377</v>
      </c>
      <c r="BH358" s="49" t="s">
        <v>1377</v>
      </c>
      <c r="BJ358" s="70" t="s">
        <v>1287</v>
      </c>
      <c r="BK358" s="57" t="s">
        <v>1287</v>
      </c>
      <c r="BL358" s="57" t="s">
        <v>1287</v>
      </c>
      <c r="BM358" s="57" t="s">
        <v>1287</v>
      </c>
      <c r="BN358" s="57" t="s">
        <v>1287</v>
      </c>
      <c r="BO358" s="57" t="s">
        <v>1287</v>
      </c>
      <c r="BP358" s="57" t="s">
        <v>1287</v>
      </c>
      <c r="BQ358" s="57" t="s">
        <v>1287</v>
      </c>
      <c r="BR358" s="57" t="s">
        <v>1287</v>
      </c>
      <c r="BS358" s="57" t="s">
        <v>1287</v>
      </c>
      <c r="BT358" s="57" t="s">
        <v>1287</v>
      </c>
      <c r="BU358" s="57" t="s">
        <v>1287</v>
      </c>
      <c r="BV358" s="70">
        <f t="shared" si="2096"/>
        <v>578</v>
      </c>
      <c r="BW358" s="71">
        <f t="shared" si="2097"/>
        <v>607</v>
      </c>
      <c r="BX358" s="72">
        <f t="shared" si="2098"/>
        <v>614</v>
      </c>
      <c r="BY358" s="71" t="str">
        <f t="shared" si="2099"/>
        <v>-</v>
      </c>
      <c r="BZ358" s="72">
        <f t="shared" si="2100"/>
        <v>640</v>
      </c>
      <c r="CA358" s="71" t="str">
        <f t="shared" si="2101"/>
        <v>-</v>
      </c>
      <c r="CB358" s="72">
        <f t="shared" si="2102"/>
        <v>689</v>
      </c>
      <c r="CC358" s="71">
        <f t="shared" si="2103"/>
        <v>733</v>
      </c>
      <c r="CD358" s="72">
        <f t="shared" si="2104"/>
        <v>737</v>
      </c>
      <c r="CE358" s="71">
        <f t="shared" si="2105"/>
        <v>770</v>
      </c>
      <c r="CF358" s="72">
        <f t="shared" si="2106"/>
        <v>797</v>
      </c>
      <c r="CG358" s="71">
        <f t="shared" si="2107"/>
        <v>829</v>
      </c>
      <c r="CH358" s="70">
        <f t="shared" si="2108"/>
        <v>604</v>
      </c>
      <c r="CI358" s="71">
        <f t="shared" si="2109"/>
        <v>613</v>
      </c>
      <c r="CJ358" s="72">
        <f t="shared" si="2110"/>
        <v>636</v>
      </c>
      <c r="CK358" s="72" t="str">
        <f t="shared" si="2111"/>
        <v>-</v>
      </c>
      <c r="CL358" s="72">
        <f t="shared" si="2112"/>
        <v>678</v>
      </c>
      <c r="CM358" s="72" t="str">
        <f t="shared" si="2113"/>
        <v>-</v>
      </c>
      <c r="CN358" s="72">
        <f t="shared" si="2114"/>
        <v>715</v>
      </c>
      <c r="CO358" s="72">
        <f t="shared" si="2115"/>
        <v>735</v>
      </c>
      <c r="CP358" s="72">
        <f t="shared" si="2116"/>
        <v>761</v>
      </c>
      <c r="CQ358" s="72">
        <f t="shared" si="2117"/>
        <v>794</v>
      </c>
      <c r="CR358" s="72">
        <f t="shared" si="2118"/>
        <v>828</v>
      </c>
      <c r="CS358" s="72">
        <f t="shared" si="2119"/>
        <v>832</v>
      </c>
      <c r="CT358" s="23">
        <f t="shared" si="2120"/>
        <v>1</v>
      </c>
    </row>
    <row r="359" spans="1:1030" x14ac:dyDescent="0.2">
      <c r="A359" s="3" t="str">
        <f t="shared" si="2121"/>
        <v>grm5_human_5CGD</v>
      </c>
      <c r="B359" s="3" t="s">
        <v>41</v>
      </c>
      <c r="C359" s="3" t="s">
        <v>59</v>
      </c>
      <c r="D359" s="3" t="str">
        <f>IFERROR(MID(VLOOKUP($B359,Seqs!$A:$B,2,0),E359,1),"")</f>
        <v>P</v>
      </c>
      <c r="E359" s="3">
        <v>578</v>
      </c>
      <c r="F359" s="3" t="str">
        <f>IFERROR(MID(VLOOKUP($B359,Seqs!$A:$B,2,0),G359,1),"")</f>
        <v>Y</v>
      </c>
      <c r="G359" s="3">
        <v>604</v>
      </c>
      <c r="H359" s="3" t="str">
        <f>IFERROR(MID(VLOOKUP($B359,Seqs!$A:$B,2,0),I359,1),"")</f>
        <v>T</v>
      </c>
      <c r="I359" s="23">
        <v>607</v>
      </c>
      <c r="J359" s="3" t="str">
        <f>IFERROR(MID(VLOOKUP($B359,Seqs!$A:$B,2,0),K359,1),"")</f>
        <v>S</v>
      </c>
      <c r="K359" s="23">
        <v>613</v>
      </c>
      <c r="L359" s="3" t="str">
        <f>IFERROR(MID(VLOOKUP($B359,Seqs!$A:$B,2,0),M359,1),"")</f>
        <v>S</v>
      </c>
      <c r="M359" s="3">
        <v>614</v>
      </c>
      <c r="N359" s="3" t="str">
        <f>IFERROR(MID(VLOOKUP($B359,Seqs!$A:$B,2,0),O359,1),"")</f>
        <v>I</v>
      </c>
      <c r="O359" s="3">
        <v>636</v>
      </c>
      <c r="P359" s="3" t="str">
        <f>IFERROR(MID(VLOOKUP($B359,Seqs!$A:$B,2,0),Q359,1),"")</f>
        <v/>
      </c>
      <c r="Q359" s="3" t="s">
        <v>23</v>
      </c>
      <c r="R359" s="3" t="str">
        <f>IFERROR(MID(VLOOKUP($B359,Seqs!$A:$B,2,0),S359,1),"")</f>
        <v/>
      </c>
      <c r="S359" s="3" t="s">
        <v>23</v>
      </c>
      <c r="T359" s="3" t="str">
        <f>IFERROR(MID(VLOOKUP($B359,Seqs!$A:$B,2,0),U359,1),"")</f>
        <v>Q</v>
      </c>
      <c r="U359" s="3">
        <v>641</v>
      </c>
      <c r="V359" s="3" t="str">
        <f>IFERROR(MID(VLOOKUP($B359,Seqs!$A:$B,2,0),W359,1),"")</f>
        <v>K</v>
      </c>
      <c r="W359" s="3">
        <v>678</v>
      </c>
      <c r="X359" s="3" t="str">
        <f>IFERROR(MID(VLOOKUP($B359,Seqs!$A:$B,2,0),Y359,1),"")</f>
        <v/>
      </c>
      <c r="Y359" s="3" t="s">
        <v>23</v>
      </c>
      <c r="Z359" s="3" t="str">
        <f>IFERROR(MID(VLOOKUP($B359,Seqs!$A:$B,2,0),AA359,1),"")</f>
        <v/>
      </c>
      <c r="AA359" s="3" t="s">
        <v>23</v>
      </c>
      <c r="AB359" s="3" t="str">
        <f>IFERROR(MID(VLOOKUP($B359,Seqs!$A:$B,2,0),AC359,1),"")</f>
        <v>S</v>
      </c>
      <c r="AC359" s="9">
        <v>689</v>
      </c>
      <c r="AD359" s="3" t="str">
        <f>IFERROR(MID(VLOOKUP($B359,Seqs!$A:$B,2,0),AE359,1),"")</f>
        <v>E</v>
      </c>
      <c r="AE359" s="3">
        <v>715</v>
      </c>
      <c r="AF359" s="3" t="str">
        <f>IFERROR(MID(VLOOKUP($B359,Seqs!$A:$B,2,0),AG359,1),"")</f>
        <v>C</v>
      </c>
      <c r="AG359" s="3">
        <v>733</v>
      </c>
      <c r="AH359" s="3" t="str">
        <f>IFERROR(MID(VLOOKUP($B359,Seqs!$A:$B,2,0),AI359,1),"")</f>
        <v>T</v>
      </c>
      <c r="AI359" s="3">
        <v>735</v>
      </c>
      <c r="AJ359" s="3" t="str">
        <f>IFERROR(MID(VLOOKUP($B359,Seqs!$A:$B,2,0),AK359,1),"")</f>
        <v>N</v>
      </c>
      <c r="AK359" s="3">
        <v>737</v>
      </c>
      <c r="AL359" s="3" t="str">
        <f>IFERROR(MID(VLOOKUP($B359,Seqs!$A:$B,2,0),AM359,1),"")</f>
        <v>T</v>
      </c>
      <c r="AM359" s="3">
        <v>761</v>
      </c>
      <c r="AN359" s="3" t="str">
        <f>IFERROR(MID(VLOOKUP($B359,Seqs!$A:$B,2,0),AO359,1),"")</f>
        <v>E</v>
      </c>
      <c r="AO359" s="3">
        <v>770</v>
      </c>
      <c r="AP359" s="3" t="str">
        <f>IFERROR(MID(VLOOKUP($B359,Seqs!$A:$B,2,0),AQ359,1),"")</f>
        <v>G</v>
      </c>
      <c r="AQ359" s="3">
        <v>794</v>
      </c>
      <c r="AR359" s="3" t="str">
        <f>IFERROR(MID(VLOOKUP($B359,Seqs!$A:$B,2,0),AS359,1),"")</f>
        <v>Y</v>
      </c>
      <c r="AS359" s="105">
        <v>797</v>
      </c>
      <c r="AT359" s="3" t="str">
        <f>IFERROR(MID(VLOOKUP($B359,Seqs!$A:$B,2,0),AU359,1),"")</f>
        <v>K</v>
      </c>
      <c r="AU359" s="3">
        <v>828</v>
      </c>
      <c r="AV359" s="3" t="str">
        <f>IFERROR(MID(VLOOKUP($B359,Seqs!$A:$B,2,0),AW359,1),"")</f>
        <v>P</v>
      </c>
      <c r="AW359" s="3">
        <v>829</v>
      </c>
      <c r="AX359" s="3" t="str">
        <f>IFERROR(MID(VLOOKUP($B359,Seqs!$A:$B,2,0),AY359,1),"")</f>
        <v>R</v>
      </c>
      <c r="AY359" s="3">
        <v>831</v>
      </c>
      <c r="AZ359" s="77" t="str">
        <f>VLOOKUP(B359,Classification!A:D,2,0)</f>
        <v>C</v>
      </c>
      <c r="BA359" s="94" t="str">
        <f>VLOOKUP(B359,Classification!A:D,4,0)</f>
        <v>Metabotropicglutamate</v>
      </c>
      <c r="BB359" s="27" t="b">
        <f t="shared" si="2122"/>
        <v>1</v>
      </c>
      <c r="BC359" s="23">
        <f t="shared" si="2095"/>
        <v>212</v>
      </c>
      <c r="BD359" s="4" t="s">
        <v>23</v>
      </c>
      <c r="BE359" s="3" t="s">
        <v>1374</v>
      </c>
      <c r="BF359" s="119">
        <v>2.6</v>
      </c>
      <c r="BG359" s="49" t="s">
        <v>1377</v>
      </c>
      <c r="BH359" s="49" t="s">
        <v>1377</v>
      </c>
      <c r="BJ359" s="70" t="s">
        <v>1287</v>
      </c>
      <c r="BK359" s="57" t="s">
        <v>1287</v>
      </c>
      <c r="BL359" s="57" t="s">
        <v>1287</v>
      </c>
      <c r="BM359" s="57" t="s">
        <v>1287</v>
      </c>
      <c r="BN359" s="57" t="s">
        <v>1287</v>
      </c>
      <c r="BO359" s="57" t="s">
        <v>1287</v>
      </c>
      <c r="BP359" s="57" t="s">
        <v>1287</v>
      </c>
      <c r="BQ359" s="57" t="s">
        <v>1287</v>
      </c>
      <c r="BR359" s="57" t="s">
        <v>1287</v>
      </c>
      <c r="BS359" s="57" t="s">
        <v>1287</v>
      </c>
      <c r="BT359" s="57" t="s">
        <v>1287</v>
      </c>
      <c r="BU359" s="57" t="s">
        <v>1287</v>
      </c>
      <c r="BV359" s="70">
        <f t="shared" si="2096"/>
        <v>578</v>
      </c>
      <c r="BW359" s="71">
        <f t="shared" si="2097"/>
        <v>607</v>
      </c>
      <c r="BX359" s="72">
        <f t="shared" si="2098"/>
        <v>614</v>
      </c>
      <c r="BY359" s="71" t="str">
        <f t="shared" si="2099"/>
        <v>-</v>
      </c>
      <c r="BZ359" s="72">
        <f t="shared" si="2100"/>
        <v>641</v>
      </c>
      <c r="CA359" s="71" t="str">
        <f t="shared" si="2101"/>
        <v>-</v>
      </c>
      <c r="CB359" s="72">
        <f t="shared" si="2102"/>
        <v>689</v>
      </c>
      <c r="CC359" s="71">
        <f t="shared" si="2103"/>
        <v>733</v>
      </c>
      <c r="CD359" s="72">
        <f t="shared" si="2104"/>
        <v>737</v>
      </c>
      <c r="CE359" s="71">
        <f t="shared" si="2105"/>
        <v>770</v>
      </c>
      <c r="CF359" s="72">
        <f t="shared" si="2106"/>
        <v>797</v>
      </c>
      <c r="CG359" s="71">
        <f t="shared" si="2107"/>
        <v>829</v>
      </c>
      <c r="CH359" s="70">
        <f t="shared" si="2108"/>
        <v>604</v>
      </c>
      <c r="CI359" s="71">
        <f t="shared" si="2109"/>
        <v>613</v>
      </c>
      <c r="CJ359" s="72">
        <f t="shared" si="2110"/>
        <v>636</v>
      </c>
      <c r="CK359" s="72" t="str">
        <f t="shared" si="2111"/>
        <v>-</v>
      </c>
      <c r="CL359" s="72">
        <f t="shared" si="2112"/>
        <v>678</v>
      </c>
      <c r="CM359" s="72" t="str">
        <f t="shared" si="2113"/>
        <v>-</v>
      </c>
      <c r="CN359" s="72">
        <f t="shared" si="2114"/>
        <v>715</v>
      </c>
      <c r="CO359" s="72">
        <f t="shared" si="2115"/>
        <v>735</v>
      </c>
      <c r="CP359" s="72">
        <f t="shared" si="2116"/>
        <v>761</v>
      </c>
      <c r="CQ359" s="72">
        <f t="shared" si="2117"/>
        <v>794</v>
      </c>
      <c r="CR359" s="72">
        <f t="shared" si="2118"/>
        <v>828</v>
      </c>
      <c r="CS359" s="72">
        <f t="shared" si="2119"/>
        <v>831</v>
      </c>
      <c r="CT359" s="23">
        <f t="shared" si="2120"/>
        <v>1</v>
      </c>
      <c r="AMP359" s="3"/>
    </row>
    <row r="360" spans="1:1030" x14ac:dyDescent="0.2">
      <c r="A360" s="3" t="str">
        <f>CONCATENATE(B360,"_",C360)</f>
        <v>grm5_human_6FFH</v>
      </c>
      <c r="B360" s="3" t="s">
        <v>41</v>
      </c>
      <c r="C360" s="3" t="s">
        <v>1474</v>
      </c>
      <c r="D360" s="3" t="str">
        <f>IFERROR(MID(VLOOKUP($B360,Seqs!$A:$B,2,0),E360,1),"")</f>
        <v>P</v>
      </c>
      <c r="E360" s="3">
        <v>578</v>
      </c>
      <c r="F360" s="3" t="str">
        <f>IFERROR(MID(VLOOKUP($B360,Seqs!$A:$B,2,0),G360,1),"")</f>
        <v>Y</v>
      </c>
      <c r="G360" s="3">
        <v>604</v>
      </c>
      <c r="H360" s="3" t="str">
        <f>IFERROR(MID(VLOOKUP($B360,Seqs!$A:$B,2,0),I360,1),"")</f>
        <v>T</v>
      </c>
      <c r="I360" s="23">
        <v>607</v>
      </c>
      <c r="J360" s="3" t="str">
        <f>IFERROR(MID(VLOOKUP($B360,Seqs!$A:$B,2,0),K360,1),"")</f>
        <v>S</v>
      </c>
      <c r="K360" s="23">
        <v>613</v>
      </c>
      <c r="L360" s="3" t="str">
        <f>IFERROR(MID(VLOOKUP($B360,Seqs!$A:$B,2,0),M360,1),"")</f>
        <v>S</v>
      </c>
      <c r="M360" s="3">
        <v>614</v>
      </c>
      <c r="N360" s="3" t="str">
        <f>IFERROR(MID(VLOOKUP($B360,Seqs!$A:$B,2,0),O360,1),"")</f>
        <v>I</v>
      </c>
      <c r="O360" s="3">
        <v>636</v>
      </c>
      <c r="P360" s="3" t="str">
        <f>IFERROR(MID(VLOOKUP($B360,Seqs!$A:$B,2,0),Q360,1),"")</f>
        <v/>
      </c>
      <c r="Q360" s="3" t="s">
        <v>23</v>
      </c>
      <c r="R360" s="3" t="str">
        <f>IFERROR(MID(VLOOKUP($B360,Seqs!$A:$B,2,0),S360,1),"")</f>
        <v/>
      </c>
      <c r="S360" s="3" t="s">
        <v>23</v>
      </c>
      <c r="T360" s="3" t="str">
        <f>IFERROR(MID(VLOOKUP($B360,Seqs!$A:$B,2,0),U360,1),"")</f>
        <v>K</v>
      </c>
      <c r="U360" s="3">
        <v>640</v>
      </c>
      <c r="V360" s="3" t="str">
        <f>IFERROR(MID(VLOOKUP($B360,Seqs!$A:$B,2,0),W360,1),"")</f>
        <v>K</v>
      </c>
      <c r="W360" s="3">
        <v>678</v>
      </c>
      <c r="X360" s="3" t="str">
        <f>IFERROR(MID(VLOOKUP($B360,Seqs!$A:$B,2,0),Y360,1),"")</f>
        <v/>
      </c>
      <c r="Y360" s="3" t="s">
        <v>23</v>
      </c>
      <c r="Z360" s="3" t="str">
        <f>IFERROR(MID(VLOOKUP($B360,Seqs!$A:$B,2,0),AA360,1),"")</f>
        <v/>
      </c>
      <c r="AA360" s="3" t="s">
        <v>23</v>
      </c>
      <c r="AB360" s="3" t="str">
        <f>IFERROR(MID(VLOOKUP($B360,Seqs!$A:$B,2,0),AC360,1),"")</f>
        <v/>
      </c>
      <c r="AC360" s="3">
        <v>1689</v>
      </c>
      <c r="AD360" s="3" t="str">
        <f>IFERROR(MID(VLOOKUP($B360,Seqs!$A:$B,2,0),AE360,1),"")</f>
        <v/>
      </c>
      <c r="AE360" s="3">
        <v>1715</v>
      </c>
      <c r="AF360" s="3" t="str">
        <f>IFERROR(MID(VLOOKUP($B360,Seqs!$A:$B,2,0),AG360,1),"")</f>
        <v/>
      </c>
      <c r="AG360" s="3">
        <v>1733</v>
      </c>
      <c r="AH360" s="3" t="str">
        <f>IFERROR(MID(VLOOKUP($B360,Seqs!$A:$B,2,0),AI360,1),"")</f>
        <v/>
      </c>
      <c r="AI360" s="3">
        <v>1735</v>
      </c>
      <c r="AJ360" s="3" t="str">
        <f>IFERROR(MID(VLOOKUP($B360,Seqs!$A:$B,2,0),AK360,1),"")</f>
        <v/>
      </c>
      <c r="AK360" s="3">
        <v>1736</v>
      </c>
      <c r="AL360" s="3" t="str">
        <f>IFERROR(MID(VLOOKUP($B360,Seqs!$A:$B,2,0),AM360,1),"")</f>
        <v/>
      </c>
      <c r="AM360" s="3">
        <v>1761</v>
      </c>
      <c r="AN360" s="3" t="str">
        <f>IFERROR(MID(VLOOKUP($B360,Seqs!$A:$B,2,0),AO360,1),"")</f>
        <v/>
      </c>
      <c r="AO360" s="3">
        <v>1770</v>
      </c>
      <c r="AP360" s="3" t="str">
        <f>IFERROR(MID(VLOOKUP($B360,Seqs!$A:$B,2,0),AQ360,1),"")</f>
        <v/>
      </c>
      <c r="AQ360" s="3">
        <v>1794</v>
      </c>
      <c r="AR360" s="3" t="str">
        <f>IFERROR(MID(VLOOKUP($B360,Seqs!$A:$B,2,0),AS360,1),"")</f>
        <v/>
      </c>
      <c r="AS360" s="3">
        <v>1797</v>
      </c>
      <c r="AT360" s="3" t="str">
        <f>IFERROR(MID(VLOOKUP($B360,Seqs!$A:$B,2,0),AU360,1),"")</f>
        <v/>
      </c>
      <c r="AU360" s="3">
        <v>1828</v>
      </c>
      <c r="AV360" s="3" t="str">
        <f>IFERROR(MID(VLOOKUP($B360,Seqs!$A:$B,2,0),AW360,1),"")</f>
        <v/>
      </c>
      <c r="AW360" s="3">
        <v>1829</v>
      </c>
      <c r="AX360" s="3" t="str">
        <f>IFERROR(MID(VLOOKUP($B360,Seqs!$A:$B,2,0),AY360,1),"")</f>
        <v/>
      </c>
      <c r="AY360" s="3">
        <v>1832</v>
      </c>
      <c r="AZ360" s="77" t="str">
        <f>VLOOKUP(B360,Classification!A:D,2,0)</f>
        <v>C</v>
      </c>
      <c r="BA360" s="94" t="str">
        <f>VLOOKUP(B360,Classification!A:D,4,0)</f>
        <v>Metabotropicglutamate</v>
      </c>
      <c r="BB360" s="27" t="b">
        <f>AND(E360&lt;G360,OR(G360&lt;I360,I360="-"),OR(I360&lt;K360,I360="-"),OR(K360&lt;M360,K360="-"),M360&lt;O360,OR(O360&lt;Q360,Q360="-"),OR(Q360&lt;S360,Q360="-"),OR(S360&lt;U360,S360="-"),U360&lt;W360,OR(W360&lt;Y360,Y360="-"),OR(Y360&lt;AA360,Y360="-"),OR(AA360&lt;AC360,AA360="-"),AC360&lt;AE360,OR(AE360&lt;AG360,AG360="-"),OR(AG360&lt;AI360,AG360="-"),OR(AI360&lt;AK360,AI360="-"),AK360&lt;AM360,AM360&lt;AO360,AO360&lt;AQ360,AQ360&lt;AS360,AS360&lt;AU360,OR(AU360&lt;AW360,AW360="-"),OR(AW360&lt;AY360,AW360="-"))</f>
        <v>1</v>
      </c>
      <c r="BC360" s="23">
        <f>_xlfn.AGGREGATE(9,6,CH360:CS360)-_xlfn.AGGREGATE(9,6,BV360:CG360)+12</f>
        <v>215</v>
      </c>
      <c r="BD360" s="4" t="s">
        <v>23</v>
      </c>
      <c r="BE360" s="3" t="s">
        <v>1374</v>
      </c>
      <c r="BF360" s="119">
        <v>2.65</v>
      </c>
      <c r="BG360" s="49" t="s">
        <v>1</v>
      </c>
      <c r="BH360" s="49" t="s">
        <v>1</v>
      </c>
      <c r="BJ360" s="70" t="s">
        <v>1287</v>
      </c>
      <c r="BK360" s="57" t="s">
        <v>1287</v>
      </c>
      <c r="BL360" s="57" t="s">
        <v>1287</v>
      </c>
      <c r="BM360" s="57" t="s">
        <v>1287</v>
      </c>
      <c r="BN360" s="57" t="s">
        <v>1287</v>
      </c>
      <c r="BO360" s="57" t="s">
        <v>1287</v>
      </c>
      <c r="BP360" s="57" t="s">
        <v>1287</v>
      </c>
      <c r="BQ360" s="57" t="s">
        <v>1287</v>
      </c>
      <c r="BR360" s="57" t="s">
        <v>1287</v>
      </c>
      <c r="BS360" s="57" t="s">
        <v>1287</v>
      </c>
      <c r="BT360" s="57" t="s">
        <v>1287</v>
      </c>
      <c r="BU360" s="57" t="s">
        <v>1287</v>
      </c>
      <c r="BV360" s="70">
        <f>E360</f>
        <v>578</v>
      </c>
      <c r="BW360" s="71">
        <f>I360</f>
        <v>607</v>
      </c>
      <c r="BX360" s="72">
        <f>M360</f>
        <v>614</v>
      </c>
      <c r="BY360" s="71" t="str">
        <f>Q360</f>
        <v>-</v>
      </c>
      <c r="BZ360" s="72">
        <f>U360</f>
        <v>640</v>
      </c>
      <c r="CA360" s="71" t="str">
        <f>Y360</f>
        <v>-</v>
      </c>
      <c r="CB360" s="72">
        <f>AC360</f>
        <v>1689</v>
      </c>
      <c r="CC360" s="71">
        <f>AG360</f>
        <v>1733</v>
      </c>
      <c r="CD360" s="72">
        <f>AK360</f>
        <v>1736</v>
      </c>
      <c r="CE360" s="71">
        <f>AO360</f>
        <v>1770</v>
      </c>
      <c r="CF360" s="72">
        <f>AS360</f>
        <v>1797</v>
      </c>
      <c r="CG360" s="71">
        <f>AW360</f>
        <v>1829</v>
      </c>
      <c r="CH360" s="70">
        <f>G360</f>
        <v>604</v>
      </c>
      <c r="CI360" s="71">
        <f>K360</f>
        <v>613</v>
      </c>
      <c r="CJ360" s="72">
        <f>O360</f>
        <v>636</v>
      </c>
      <c r="CK360" s="72" t="str">
        <f>S360</f>
        <v>-</v>
      </c>
      <c r="CL360" s="72">
        <f>W360</f>
        <v>678</v>
      </c>
      <c r="CM360" s="72" t="str">
        <f>AA360</f>
        <v>-</v>
      </c>
      <c r="CN360" s="72">
        <f>AE360</f>
        <v>1715</v>
      </c>
      <c r="CO360" s="72">
        <f>AI360</f>
        <v>1735</v>
      </c>
      <c r="CP360" s="72">
        <f>AM360</f>
        <v>1761</v>
      </c>
      <c r="CQ360" s="72">
        <f>AQ360</f>
        <v>1794</v>
      </c>
      <c r="CR360" s="72">
        <f>AU360</f>
        <v>1828</v>
      </c>
      <c r="CS360" s="72">
        <f>AY360</f>
        <v>1832</v>
      </c>
      <c r="CT360" s="23">
        <f>M360-K360</f>
        <v>1</v>
      </c>
      <c r="AMP360" s="3"/>
    </row>
    <row r="361" spans="1:1030" x14ac:dyDescent="0.2">
      <c r="A361" s="3" t="str">
        <f>CONCATENATE(B361,"_",C361)</f>
        <v>grm5_human_6FFI</v>
      </c>
      <c r="B361" s="3" t="s">
        <v>41</v>
      </c>
      <c r="C361" s="3" t="s">
        <v>1475</v>
      </c>
      <c r="D361" s="3" t="str">
        <f>IFERROR(MID(VLOOKUP($B361,Seqs!$A:$B,2,0),E361,1),"")</f>
        <v>P</v>
      </c>
      <c r="E361" s="3">
        <v>578</v>
      </c>
      <c r="F361" s="3" t="str">
        <f>IFERROR(MID(VLOOKUP($B361,Seqs!$A:$B,2,0),G361,1),"")</f>
        <v>Y</v>
      </c>
      <c r="G361" s="3">
        <v>604</v>
      </c>
      <c r="H361" s="3" t="str">
        <f>IFERROR(MID(VLOOKUP($B361,Seqs!$A:$B,2,0),I361,1),"")</f>
        <v>T</v>
      </c>
      <c r="I361" s="23">
        <v>607</v>
      </c>
      <c r="J361" s="3" t="str">
        <f>IFERROR(MID(VLOOKUP($B361,Seqs!$A:$B,2,0),K361,1),"")</f>
        <v>S</v>
      </c>
      <c r="K361" s="23">
        <v>613</v>
      </c>
      <c r="L361" s="3" t="str">
        <f>IFERROR(MID(VLOOKUP($B361,Seqs!$A:$B,2,0),M361,1),"")</f>
        <v>S</v>
      </c>
      <c r="M361" s="3">
        <v>614</v>
      </c>
      <c r="N361" s="3" t="str">
        <f>IFERROR(MID(VLOOKUP($B361,Seqs!$A:$B,2,0),O361,1),"")</f>
        <v>I</v>
      </c>
      <c r="O361" s="3">
        <v>636</v>
      </c>
      <c r="P361" s="3" t="str">
        <f>IFERROR(MID(VLOOKUP($B361,Seqs!$A:$B,2,0),Q361,1),"")</f>
        <v/>
      </c>
      <c r="Q361" s="3" t="s">
        <v>23</v>
      </c>
      <c r="R361" s="3" t="str">
        <f>IFERROR(MID(VLOOKUP($B361,Seqs!$A:$B,2,0),S361,1),"")</f>
        <v/>
      </c>
      <c r="S361" s="3" t="s">
        <v>23</v>
      </c>
      <c r="T361" s="3" t="str">
        <f>IFERROR(MID(VLOOKUP($B361,Seqs!$A:$B,2,0),U361,1),"")</f>
        <v>K</v>
      </c>
      <c r="U361" s="3">
        <v>640</v>
      </c>
      <c r="V361" s="3" t="str">
        <f>IFERROR(MID(VLOOKUP($B361,Seqs!$A:$B,2,0),W361,1),"")</f>
        <v>K</v>
      </c>
      <c r="W361" s="3">
        <v>678</v>
      </c>
      <c r="X361" s="3" t="str">
        <f>IFERROR(MID(VLOOKUP($B361,Seqs!$A:$B,2,0),Y361,1),"")</f>
        <v/>
      </c>
      <c r="Y361" s="3" t="s">
        <v>23</v>
      </c>
      <c r="Z361" s="3" t="str">
        <f>IFERROR(MID(VLOOKUP($B361,Seqs!$A:$B,2,0),AA361,1),"")</f>
        <v/>
      </c>
      <c r="AA361" s="3" t="s">
        <v>23</v>
      </c>
      <c r="AB361" s="3" t="str">
        <f>IFERROR(MID(VLOOKUP($B361,Seqs!$A:$B,2,0),AC361,1),"")</f>
        <v>D</v>
      </c>
      <c r="AC361" s="3">
        <v>849</v>
      </c>
      <c r="AD361" s="3" t="str">
        <f>IFERROR(MID(VLOOKUP($B361,Seqs!$A:$B,2,0),AE361,1),"")</f>
        <v>T</v>
      </c>
      <c r="AE361" s="3">
        <v>875</v>
      </c>
      <c r="AF361" s="3" t="str">
        <f>IFERROR(MID(VLOOKUP($B361,Seqs!$A:$B,2,0),AG361,1),"")</f>
        <v>F</v>
      </c>
      <c r="AG361" s="3">
        <v>893</v>
      </c>
      <c r="AH361" s="3" t="str">
        <f>IFERROR(MID(VLOOKUP($B361,Seqs!$A:$B,2,0),AI361,1),"")</f>
        <v>P</v>
      </c>
      <c r="AI361" s="3">
        <v>895</v>
      </c>
      <c r="AJ361" s="3" t="str">
        <f>IFERROR(MID(VLOOKUP($B361,Seqs!$A:$B,2,0),AK361,1),"")</f>
        <v>K</v>
      </c>
      <c r="AK361" s="3">
        <v>896</v>
      </c>
      <c r="AL361" s="3" t="str">
        <f>IFERROR(MID(VLOOKUP($B361,Seqs!$A:$B,2,0),AM361,1),"")</f>
        <v>E</v>
      </c>
      <c r="AM361" s="3">
        <v>921</v>
      </c>
      <c r="AN361" s="3" t="str">
        <f>IFERROR(MID(VLOOKUP($B361,Seqs!$A:$B,2,0),AO361,1),"")</f>
        <v>L</v>
      </c>
      <c r="AO361" s="3">
        <v>929</v>
      </c>
      <c r="AP361" s="3" t="str">
        <f>IFERROR(MID(VLOOKUP($B361,Seqs!$A:$B,2,0),AQ361,1),"")</f>
        <v>S</v>
      </c>
      <c r="AQ361" s="3">
        <v>955</v>
      </c>
      <c r="AR361" s="3" t="str">
        <f>IFERROR(MID(VLOOKUP($B361,Seqs!$A:$B,2,0),AS361,1),"")</f>
        <v>E</v>
      </c>
      <c r="AS361" s="3">
        <v>957</v>
      </c>
      <c r="AT361" s="3" t="str">
        <f>IFERROR(MID(VLOOKUP($B361,Seqs!$A:$B,2,0),AU361,1),"")</f>
        <v>G</v>
      </c>
      <c r="AU361" s="3">
        <v>988</v>
      </c>
      <c r="AV361" s="3" t="str">
        <f>IFERROR(MID(VLOOKUP($B361,Seqs!$A:$B,2,0),AW361,1),"")</f>
        <v>G</v>
      </c>
      <c r="AW361" s="3">
        <v>989</v>
      </c>
      <c r="AX361" s="3" t="str">
        <f>IFERROR(MID(VLOOKUP($B361,Seqs!$A:$B,2,0),AY361,1),"")</f>
        <v>S</v>
      </c>
      <c r="AY361" s="3">
        <v>992</v>
      </c>
      <c r="AZ361" s="77" t="str">
        <f>VLOOKUP(B361,Classification!A:D,2,0)</f>
        <v>C</v>
      </c>
      <c r="BA361" s="94" t="str">
        <f>VLOOKUP(B361,Classification!A:D,4,0)</f>
        <v>Metabotropicglutamate</v>
      </c>
      <c r="BB361" s="27" t="b">
        <f>AND(E361&lt;G361,OR(G361&lt;I361,I361="-"),OR(I361&lt;K361,I361="-"),OR(K361&lt;M361,K361="-"),M361&lt;O361,OR(O361&lt;Q361,Q361="-"),OR(Q361&lt;S361,Q361="-"),OR(S361&lt;U361,S361="-"),U361&lt;W361,OR(W361&lt;Y361,Y361="-"),OR(Y361&lt;AA361,Y361="-"),OR(AA361&lt;AC361,AA361="-"),AC361&lt;AE361,OR(AE361&lt;AG361,AG361="-"),OR(AG361&lt;AI361,AG361="-"),OR(AI361&lt;AK361,AI361="-"),AK361&lt;AM361,AM361&lt;AO361,AO361&lt;AQ361,AQ361&lt;AS361,AS361&lt;AU361,OR(AU361&lt;AW361,AW361="-"),OR(AW361&lt;AY361,AW361="-"))</f>
        <v>1</v>
      </c>
      <c r="BC361" s="23">
        <f>_xlfn.AGGREGATE(9,6,CH361:CS361)-_xlfn.AGGREGATE(9,6,BV361:CG361)+12</f>
        <v>217</v>
      </c>
      <c r="BD361" s="4" t="s">
        <v>23</v>
      </c>
      <c r="BE361" s="3" t="s">
        <v>1374</v>
      </c>
      <c r="BF361" s="119">
        <v>2.2000000000000002</v>
      </c>
      <c r="BG361" s="49" t="s">
        <v>1</v>
      </c>
      <c r="BH361" s="49" t="s">
        <v>1</v>
      </c>
      <c r="BJ361" s="70" t="s">
        <v>1287</v>
      </c>
      <c r="BK361" s="57" t="s">
        <v>1287</v>
      </c>
      <c r="BL361" s="57" t="s">
        <v>1287</v>
      </c>
      <c r="BM361" s="57" t="s">
        <v>1287</v>
      </c>
      <c r="BN361" s="57" t="s">
        <v>1287</v>
      </c>
      <c r="BO361" s="57" t="s">
        <v>1287</v>
      </c>
      <c r="BP361" s="57" t="s">
        <v>1287</v>
      </c>
      <c r="BQ361" s="57" t="s">
        <v>1287</v>
      </c>
      <c r="BR361" s="57" t="s">
        <v>1287</v>
      </c>
      <c r="BS361" s="57" t="s">
        <v>1287</v>
      </c>
      <c r="BT361" s="57" t="s">
        <v>1287</v>
      </c>
      <c r="BU361" s="57" t="s">
        <v>1287</v>
      </c>
      <c r="BV361" s="70">
        <f>E361</f>
        <v>578</v>
      </c>
      <c r="BW361" s="71">
        <f>I361</f>
        <v>607</v>
      </c>
      <c r="BX361" s="72">
        <f>M361</f>
        <v>614</v>
      </c>
      <c r="BY361" s="71" t="str">
        <f>Q361</f>
        <v>-</v>
      </c>
      <c r="BZ361" s="72">
        <f>U361</f>
        <v>640</v>
      </c>
      <c r="CA361" s="71" t="str">
        <f>Y361</f>
        <v>-</v>
      </c>
      <c r="CB361" s="72">
        <f>AC361</f>
        <v>849</v>
      </c>
      <c r="CC361" s="71">
        <f>AG361</f>
        <v>893</v>
      </c>
      <c r="CD361" s="72">
        <f>AK361</f>
        <v>896</v>
      </c>
      <c r="CE361" s="71">
        <f>AO361</f>
        <v>929</v>
      </c>
      <c r="CF361" s="72">
        <f>AS361</f>
        <v>957</v>
      </c>
      <c r="CG361" s="71">
        <f>AW361</f>
        <v>989</v>
      </c>
      <c r="CH361" s="70">
        <f>G361</f>
        <v>604</v>
      </c>
      <c r="CI361" s="71">
        <f>K361</f>
        <v>613</v>
      </c>
      <c r="CJ361" s="72">
        <f>O361</f>
        <v>636</v>
      </c>
      <c r="CK361" s="72" t="str">
        <f>S361</f>
        <v>-</v>
      </c>
      <c r="CL361" s="72">
        <f>W361</f>
        <v>678</v>
      </c>
      <c r="CM361" s="72" t="str">
        <f>AA361</f>
        <v>-</v>
      </c>
      <c r="CN361" s="72">
        <f>AE361</f>
        <v>875</v>
      </c>
      <c r="CO361" s="72">
        <f>AI361</f>
        <v>895</v>
      </c>
      <c r="CP361" s="72">
        <f>AM361</f>
        <v>921</v>
      </c>
      <c r="CQ361" s="72">
        <f>AQ361</f>
        <v>955</v>
      </c>
      <c r="CR361" s="72">
        <f>AU361</f>
        <v>988</v>
      </c>
      <c r="CS361" s="72">
        <f>AY361</f>
        <v>992</v>
      </c>
      <c r="CT361" s="23">
        <f>M361-K361</f>
        <v>1</v>
      </c>
      <c r="AMP361" s="3"/>
    </row>
    <row r="362" spans="1:1030" s="12" customFormat="1" x14ac:dyDescent="0.2">
      <c r="A362" s="9" t="str">
        <f>CONCATENATE(B362,"_",C362)</f>
        <v>grm5_human_6N51</v>
      </c>
      <c r="B362" s="9" t="s">
        <v>41</v>
      </c>
      <c r="C362" s="9" t="s">
        <v>1552</v>
      </c>
      <c r="D362" s="9" t="str">
        <f>IFERROR(MID(VLOOKUP($B362,Seqs!$A:$B,2,0),E362,1),"")</f>
        <v>D</v>
      </c>
      <c r="E362" s="9">
        <v>577</v>
      </c>
      <c r="F362" s="9" t="str">
        <f>IFERROR(MID(VLOOKUP($B362,Seqs!$A:$B,2,0),G362,1),"")</f>
        <v>I</v>
      </c>
      <c r="G362" s="9">
        <v>602</v>
      </c>
      <c r="H362" s="9" t="str">
        <f>IFERROR(MID(VLOOKUP($B362,Seqs!$A:$B,2,0),I362,1),"")</f>
        <v>T</v>
      </c>
      <c r="I362" s="109">
        <v>607</v>
      </c>
      <c r="J362" s="9" t="str">
        <f>IFERROR(MID(VLOOKUP($B362,Seqs!$A:$B,2,0),K362,1),"")</f>
        <v>S</v>
      </c>
      <c r="K362" s="109">
        <v>613</v>
      </c>
      <c r="L362" s="9" t="str">
        <f>IFERROR(MID(VLOOKUP($B362,Seqs!$A:$B,2,0),M362,1),"")</f>
        <v>S</v>
      </c>
      <c r="M362" s="9">
        <v>614</v>
      </c>
      <c r="N362" s="9" t="str">
        <f>IFERROR(MID(VLOOKUP($B362,Seqs!$A:$B,2,0),O362,1),"")</f>
        <v>C</v>
      </c>
      <c r="O362" s="9">
        <v>634</v>
      </c>
      <c r="P362" s="9" t="str">
        <f>IFERROR(MID(VLOOKUP($B362,Seqs!$A:$B,2,0),Q362,1),"")</f>
        <v/>
      </c>
      <c r="Q362" s="9" t="s">
        <v>23</v>
      </c>
      <c r="R362" s="9" t="str">
        <f>IFERROR(MID(VLOOKUP($B362,Seqs!$A:$B,2,0),S362,1),"")</f>
        <v/>
      </c>
      <c r="S362" s="9" t="s">
        <v>23</v>
      </c>
      <c r="T362" s="9" t="str">
        <f>IFERROR(MID(VLOOKUP($B362,Seqs!$A:$B,2,0),U362,1),"")</f>
        <v>K</v>
      </c>
      <c r="U362" s="9">
        <v>640</v>
      </c>
      <c r="V362" s="9" t="str">
        <f>IFERROR(MID(VLOOKUP($B362,Seqs!$A:$B,2,0),W362,1),"")</f>
        <v>A</v>
      </c>
      <c r="W362" s="9">
        <v>674</v>
      </c>
      <c r="X362" s="9" t="str">
        <f>IFERROR(MID(VLOOKUP($B362,Seqs!$A:$B,2,0),Y362,1),"")</f>
        <v/>
      </c>
      <c r="Y362" s="9" t="s">
        <v>23</v>
      </c>
      <c r="Z362" s="9" t="str">
        <f>IFERROR(MID(VLOOKUP($B362,Seqs!$A:$B,2,0),AA362,1),"")</f>
        <v/>
      </c>
      <c r="AA362" s="9" t="s">
        <v>23</v>
      </c>
      <c r="AB362" s="9" t="str">
        <f>IFERROR(MID(VLOOKUP($B362,Seqs!$A:$B,2,0),AC362,1),"")</f>
        <v>S</v>
      </c>
      <c r="AC362" s="9">
        <v>689</v>
      </c>
      <c r="AD362" s="9" t="str">
        <f>IFERROR(MID(VLOOKUP($B362,Seqs!$A:$B,2,0),AE362,1),"")</f>
        <v>E</v>
      </c>
      <c r="AE362" s="9">
        <v>715</v>
      </c>
      <c r="AF362" s="9" t="str">
        <f>IFERROR(MID(VLOOKUP($B362,Seqs!$A:$B,2,0),AG362,1),"")</f>
        <v>C</v>
      </c>
      <c r="AG362" s="9">
        <v>733</v>
      </c>
      <c r="AH362" s="9" t="str">
        <f>IFERROR(MID(VLOOKUP($B362,Seqs!$A:$B,2,0),AI362,1),"")</f>
        <v>T</v>
      </c>
      <c r="AI362" s="9">
        <v>735</v>
      </c>
      <c r="AJ362" s="9" t="str">
        <f>IFERROR(MID(VLOOKUP($B362,Seqs!$A:$B,2,0),AK362,1),"")</f>
        <v>N</v>
      </c>
      <c r="AK362" s="9">
        <v>737</v>
      </c>
      <c r="AL362" s="9" t="str">
        <f>IFERROR(MID(VLOOKUP($B362,Seqs!$A:$B,2,0),AM362,1),"")</f>
        <v>A</v>
      </c>
      <c r="AM362" s="9">
        <v>758</v>
      </c>
      <c r="AN362" s="9" t="str">
        <f>IFERROR(MID(VLOOKUP($B362,Seqs!$A:$B,2,0),AO362,1),"")</f>
        <v>N</v>
      </c>
      <c r="AO362" s="9">
        <v>769</v>
      </c>
      <c r="AP362" s="9" t="str">
        <f>IFERROR(MID(VLOOKUP($B362,Seqs!$A:$B,2,0),AQ362,1),"")</f>
        <v>G</v>
      </c>
      <c r="AQ362" s="9">
        <v>794</v>
      </c>
      <c r="AR362" s="9" t="str">
        <f>IFERROR(MID(VLOOKUP($B362,Seqs!$A:$B,2,0),AS362,1),"")</f>
        <v>I</v>
      </c>
      <c r="AS362" s="9">
        <v>799</v>
      </c>
      <c r="AT362" s="9" t="str">
        <f>IFERROR(MID(VLOOKUP($B362,Seqs!$A:$B,2,0),AU362,1),"")</f>
        <v>L</v>
      </c>
      <c r="AU362" s="9">
        <v>826</v>
      </c>
      <c r="AV362" s="9" t="str">
        <f>IFERROR(MID(VLOOKUP($B362,Seqs!$A:$B,2,0),AW362,1),"")</f>
        <v/>
      </c>
      <c r="AW362" s="9" t="s">
        <v>23</v>
      </c>
      <c r="AX362" s="9" t="str">
        <f>IFERROR(MID(VLOOKUP($B362,Seqs!$A:$B,2,0),AY362,1),"")</f>
        <v/>
      </c>
      <c r="AY362" s="9" t="s">
        <v>23</v>
      </c>
      <c r="AZ362" s="110" t="str">
        <f>VLOOKUP(B362,Classification!A:D,2,0)</f>
        <v>C</v>
      </c>
      <c r="BA362" s="98" t="str">
        <f>VLOOKUP(B362,Classification!A:D,4,0)</f>
        <v>Metabotropicglutamate</v>
      </c>
      <c r="BB362" s="36" t="b">
        <f>AND(E362&lt;G362,OR(G362&lt;I362,I362="-"),OR(I362&lt;K362,I362="-"),OR(K362&lt;M362,K362="-"),M362&lt;O362,OR(O362&lt;Q362,Q362="-"),OR(Q362&lt;S362,Q362="-"),OR(S362&lt;U362,S362="-"),U362&lt;W362,OR(W362&lt;Y362,Y362="-"),OR(Y362&lt;AA362,Y362="-"),OR(AA362&lt;AC362,AA362="-"),AC362&lt;AE362,OR(AE362&lt;AG362,AG362="-"),OR(AG362&lt;AI362,AG362="-"),OR(AI362&lt;AK362,AI362="-"),AK362&lt;AM362,AM362&lt;AO362,AO362&lt;AQ362,AQ362&lt;AS362,AS362&lt;AU362,OR(AU362&lt;AW362,AW362="-"),OR(AW362&lt;AY362,AW362="-"))</f>
        <v>1</v>
      </c>
      <c r="BC362" s="109">
        <f>_xlfn.AGGREGATE(9,6,CH362:CS362)-_xlfn.AGGREGATE(9,6,BV362:CG362)+12</f>
        <v>198</v>
      </c>
      <c r="BD362" s="11" t="s">
        <v>23</v>
      </c>
      <c r="BE362" s="9" t="s">
        <v>1374</v>
      </c>
      <c r="BF362" s="120">
        <v>4</v>
      </c>
      <c r="BG362" s="51" t="s">
        <v>1281</v>
      </c>
      <c r="BH362" s="51" t="s">
        <v>1281</v>
      </c>
      <c r="BI362" s="9"/>
      <c r="BJ362" s="111" t="s">
        <v>1287</v>
      </c>
      <c r="BK362" s="112" t="s">
        <v>1287</v>
      </c>
      <c r="BL362" s="112" t="s">
        <v>1287</v>
      </c>
      <c r="BM362" s="112" t="s">
        <v>1287</v>
      </c>
      <c r="BN362" s="112" t="s">
        <v>1287</v>
      </c>
      <c r="BO362" s="112" t="s">
        <v>1287</v>
      </c>
      <c r="BP362" s="112" t="s">
        <v>1287</v>
      </c>
      <c r="BQ362" s="112" t="s">
        <v>1287</v>
      </c>
      <c r="BR362" s="112" t="s">
        <v>1287</v>
      </c>
      <c r="BS362" s="112" t="s">
        <v>1287</v>
      </c>
      <c r="BT362" s="112" t="s">
        <v>1287</v>
      </c>
      <c r="BU362" s="112" t="s">
        <v>1287</v>
      </c>
      <c r="BV362" s="111">
        <f>E362</f>
        <v>577</v>
      </c>
      <c r="BW362" s="113">
        <f>I362</f>
        <v>607</v>
      </c>
      <c r="BX362" s="114">
        <f>M362</f>
        <v>614</v>
      </c>
      <c r="BY362" s="113" t="str">
        <f>Q362</f>
        <v>-</v>
      </c>
      <c r="BZ362" s="114">
        <f>U362</f>
        <v>640</v>
      </c>
      <c r="CA362" s="113" t="str">
        <f>Y362</f>
        <v>-</v>
      </c>
      <c r="CB362" s="114">
        <f>AC362</f>
        <v>689</v>
      </c>
      <c r="CC362" s="113">
        <f>AG362</f>
        <v>733</v>
      </c>
      <c r="CD362" s="114">
        <f>AK362</f>
        <v>737</v>
      </c>
      <c r="CE362" s="113">
        <f>AO362</f>
        <v>769</v>
      </c>
      <c r="CF362" s="114">
        <f>AS362</f>
        <v>799</v>
      </c>
      <c r="CG362" s="113" t="str">
        <f>AW362</f>
        <v>-</v>
      </c>
      <c r="CH362" s="111">
        <f>G362</f>
        <v>602</v>
      </c>
      <c r="CI362" s="113">
        <f>K362</f>
        <v>613</v>
      </c>
      <c r="CJ362" s="114">
        <f>O362</f>
        <v>634</v>
      </c>
      <c r="CK362" s="114" t="str">
        <f>S362</f>
        <v>-</v>
      </c>
      <c r="CL362" s="114">
        <f>W362</f>
        <v>674</v>
      </c>
      <c r="CM362" s="114" t="str">
        <f>AA362</f>
        <v>-</v>
      </c>
      <c r="CN362" s="114">
        <f>AE362</f>
        <v>715</v>
      </c>
      <c r="CO362" s="114">
        <f>AI362</f>
        <v>735</v>
      </c>
      <c r="CP362" s="114">
        <f>AM362</f>
        <v>758</v>
      </c>
      <c r="CQ362" s="114">
        <f>AQ362</f>
        <v>794</v>
      </c>
      <c r="CR362" s="114">
        <f>AU362</f>
        <v>826</v>
      </c>
      <c r="CS362" s="114" t="str">
        <f>AY362</f>
        <v>-</v>
      </c>
      <c r="CT362" s="109">
        <f>M362-K362</f>
        <v>1</v>
      </c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9"/>
      <c r="FT362" s="9"/>
      <c r="FU362" s="9"/>
      <c r="FV362" s="9"/>
      <c r="FW362" s="9"/>
      <c r="FX362" s="9"/>
      <c r="FY362" s="9"/>
      <c r="FZ362" s="9"/>
      <c r="GA362" s="9"/>
      <c r="GB362" s="9"/>
      <c r="GC362" s="9"/>
      <c r="GD362" s="9"/>
      <c r="GE362" s="9"/>
      <c r="GF362" s="9"/>
      <c r="GG362" s="9"/>
      <c r="GH362" s="9"/>
      <c r="GI362" s="9"/>
      <c r="GJ362" s="9"/>
      <c r="GK362" s="9"/>
      <c r="GL362" s="9"/>
      <c r="GM362" s="9"/>
      <c r="GN362" s="9"/>
      <c r="GO362" s="9"/>
      <c r="GP362" s="9"/>
      <c r="GQ362" s="9"/>
      <c r="GR362" s="9"/>
      <c r="GS362" s="9"/>
      <c r="GT362" s="9"/>
      <c r="GU362" s="9"/>
      <c r="GV362" s="9"/>
      <c r="GW362" s="9"/>
      <c r="GX362" s="9"/>
      <c r="GY362" s="9"/>
      <c r="GZ362" s="9"/>
      <c r="HA362" s="9"/>
      <c r="HB362" s="9"/>
      <c r="HC362" s="9"/>
      <c r="HD362" s="9"/>
      <c r="HE362" s="9"/>
      <c r="HF362" s="9"/>
      <c r="HG362" s="9"/>
      <c r="HH362" s="9"/>
      <c r="HI362" s="9"/>
      <c r="HJ362" s="9"/>
      <c r="HK362" s="9"/>
      <c r="HL362" s="9"/>
      <c r="HM362" s="9"/>
      <c r="HN362" s="9"/>
      <c r="HO362" s="9"/>
      <c r="HP362" s="9"/>
      <c r="HQ362" s="9"/>
      <c r="HR362" s="9"/>
      <c r="HS362" s="9"/>
      <c r="HT362" s="9"/>
      <c r="HU362" s="9"/>
      <c r="HV362" s="9"/>
      <c r="HW362" s="9"/>
      <c r="HX362" s="9"/>
      <c r="HY362" s="9"/>
      <c r="HZ362" s="9"/>
      <c r="IA362" s="9"/>
      <c r="IB362" s="9"/>
      <c r="IC362" s="9"/>
      <c r="ID362" s="9"/>
      <c r="IE362" s="9"/>
      <c r="IF362" s="9"/>
      <c r="IG362" s="9"/>
      <c r="IH362" s="9"/>
      <c r="II362" s="9"/>
      <c r="IJ362" s="9"/>
      <c r="IK362" s="9"/>
      <c r="IL362" s="9"/>
      <c r="IM362" s="9"/>
      <c r="IN362" s="9"/>
      <c r="IO362" s="9"/>
      <c r="IP362" s="9"/>
      <c r="IQ362" s="9"/>
      <c r="IR362" s="9"/>
      <c r="IS362" s="9"/>
      <c r="IT362" s="9"/>
      <c r="IU362" s="9"/>
      <c r="IV362" s="9"/>
      <c r="IW362" s="9"/>
      <c r="IX362" s="9"/>
      <c r="IY362" s="9"/>
      <c r="IZ362" s="9"/>
      <c r="JA362" s="9"/>
      <c r="JB362" s="9"/>
      <c r="JC362" s="9"/>
      <c r="JD362" s="9"/>
      <c r="JE362" s="9"/>
      <c r="JF362" s="9"/>
      <c r="JG362" s="9"/>
      <c r="JH362" s="9"/>
      <c r="JI362" s="9"/>
      <c r="JJ362" s="9"/>
      <c r="JK362" s="9"/>
      <c r="JL362" s="9"/>
      <c r="JM362" s="9"/>
      <c r="JN362" s="9"/>
      <c r="JO362" s="9"/>
      <c r="JP362" s="9"/>
      <c r="JQ362" s="9"/>
      <c r="JR362" s="9"/>
      <c r="JS362" s="9"/>
      <c r="JT362" s="9"/>
      <c r="JU362" s="9"/>
      <c r="JV362" s="9"/>
      <c r="JW362" s="9"/>
      <c r="JX362" s="9"/>
      <c r="JY362" s="9"/>
      <c r="JZ362" s="9"/>
      <c r="KA362" s="9"/>
      <c r="KB362" s="9"/>
      <c r="KC362" s="9"/>
      <c r="KD362" s="9"/>
      <c r="KE362" s="9"/>
      <c r="KF362" s="9"/>
      <c r="KG362" s="9"/>
      <c r="KH362" s="9"/>
      <c r="KI362" s="9"/>
      <c r="KJ362" s="9"/>
      <c r="KK362" s="9"/>
      <c r="KL362" s="9"/>
      <c r="KM362" s="9"/>
      <c r="KN362" s="9"/>
      <c r="KO362" s="9"/>
      <c r="KP362" s="9"/>
      <c r="KQ362" s="9"/>
      <c r="KR362" s="9"/>
      <c r="KS362" s="9"/>
      <c r="KT362" s="9"/>
      <c r="KU362" s="9"/>
      <c r="KV362" s="9"/>
      <c r="KW362" s="9"/>
      <c r="KX362" s="9"/>
      <c r="KY362" s="9"/>
      <c r="KZ362" s="9"/>
      <c r="LA362" s="9"/>
      <c r="LB362" s="9"/>
      <c r="LC362" s="9"/>
      <c r="LD362" s="9"/>
      <c r="LE362" s="9"/>
      <c r="LF362" s="9"/>
      <c r="LG362" s="9"/>
      <c r="LH362" s="9"/>
      <c r="LI362" s="9"/>
      <c r="LJ362" s="9"/>
      <c r="LK362" s="9"/>
      <c r="LL362" s="9"/>
      <c r="LM362" s="9"/>
      <c r="LN362" s="9"/>
      <c r="LO362" s="9"/>
      <c r="LP362" s="9"/>
      <c r="LQ362" s="9"/>
      <c r="LR362" s="9"/>
      <c r="LS362" s="9"/>
      <c r="LT362" s="9"/>
      <c r="LU362" s="9"/>
      <c r="LV362" s="9"/>
      <c r="LW362" s="9"/>
      <c r="LX362" s="9"/>
      <c r="LY362" s="9"/>
      <c r="LZ362" s="9"/>
      <c r="MA362" s="9"/>
      <c r="MB362" s="9"/>
      <c r="MC362" s="9"/>
      <c r="MD362" s="9"/>
      <c r="ME362" s="9"/>
      <c r="MF362" s="9"/>
      <c r="MG362" s="9"/>
      <c r="MH362" s="9"/>
      <c r="MI362" s="9"/>
      <c r="MJ362" s="9"/>
      <c r="MK362" s="9"/>
      <c r="ML362" s="9"/>
      <c r="MM362" s="9"/>
      <c r="MN362" s="9"/>
      <c r="MO362" s="9"/>
      <c r="MP362" s="9"/>
      <c r="MQ362" s="9"/>
      <c r="MR362" s="9"/>
      <c r="MS362" s="9"/>
      <c r="MT362" s="9"/>
      <c r="MU362" s="9"/>
      <c r="MV362" s="9"/>
      <c r="MW362" s="9"/>
      <c r="MX362" s="9"/>
      <c r="MY362" s="9"/>
      <c r="MZ362" s="9"/>
      <c r="NA362" s="9"/>
      <c r="NB362" s="9"/>
      <c r="NC362" s="9"/>
      <c r="ND362" s="9"/>
      <c r="NE362" s="9"/>
      <c r="NF362" s="9"/>
      <c r="NG362" s="9"/>
      <c r="NH362" s="9"/>
      <c r="NI362" s="9"/>
      <c r="NJ362" s="9"/>
      <c r="NK362" s="9"/>
      <c r="NL362" s="9"/>
      <c r="NM362" s="9"/>
      <c r="NN362" s="9"/>
      <c r="NO362" s="9"/>
      <c r="NP362" s="9"/>
      <c r="NQ362" s="9"/>
      <c r="NR362" s="9"/>
      <c r="NS362" s="9"/>
      <c r="NT362" s="9"/>
      <c r="NU362" s="9"/>
      <c r="NV362" s="9"/>
      <c r="NW362" s="9"/>
      <c r="NX362" s="9"/>
      <c r="NY362" s="9"/>
      <c r="NZ362" s="9"/>
      <c r="OA362" s="9"/>
      <c r="OB362" s="9"/>
      <c r="OC362" s="9"/>
      <c r="OD362" s="9"/>
      <c r="OE362" s="9"/>
      <c r="OF362" s="9"/>
      <c r="OG362" s="9"/>
      <c r="OH362" s="9"/>
      <c r="OI362" s="9"/>
      <c r="OJ362" s="9"/>
      <c r="OK362" s="9"/>
      <c r="OL362" s="9"/>
      <c r="OM362" s="9"/>
      <c r="ON362" s="9"/>
      <c r="OO362" s="9"/>
      <c r="OP362" s="9"/>
      <c r="OQ362" s="9"/>
      <c r="OR362" s="9"/>
      <c r="OS362" s="9"/>
      <c r="OT362" s="9"/>
      <c r="OU362" s="9"/>
      <c r="OV362" s="9"/>
      <c r="OW362" s="9"/>
      <c r="OX362" s="9"/>
      <c r="OY362" s="9"/>
      <c r="OZ362" s="9"/>
      <c r="PA362" s="9"/>
      <c r="PB362" s="9"/>
      <c r="PC362" s="9"/>
      <c r="PD362" s="9"/>
      <c r="PE362" s="9"/>
      <c r="PF362" s="9"/>
      <c r="PG362" s="9"/>
      <c r="PH362" s="9"/>
      <c r="PI362" s="9"/>
      <c r="PJ362" s="9"/>
      <c r="PK362" s="9"/>
      <c r="PL362" s="9"/>
      <c r="PM362" s="9"/>
      <c r="PN362" s="9"/>
      <c r="PO362" s="9"/>
      <c r="PP362" s="9"/>
      <c r="PQ362" s="9"/>
      <c r="PR362" s="9"/>
      <c r="PS362" s="9"/>
      <c r="PT362" s="9"/>
      <c r="PU362" s="9"/>
      <c r="PV362" s="9"/>
      <c r="PW362" s="9"/>
      <c r="PX362" s="9"/>
      <c r="PY362" s="9"/>
      <c r="PZ362" s="9"/>
      <c r="QA362" s="9"/>
      <c r="QB362" s="9"/>
      <c r="QC362" s="9"/>
      <c r="QD362" s="9"/>
      <c r="QE362" s="9"/>
      <c r="QF362" s="9"/>
      <c r="QG362" s="9"/>
      <c r="QH362" s="9"/>
      <c r="QI362" s="9"/>
      <c r="QJ362" s="9"/>
      <c r="QK362" s="9"/>
      <c r="QL362" s="9"/>
      <c r="QM362" s="9"/>
      <c r="QN362" s="9"/>
      <c r="QO362" s="9"/>
      <c r="QP362" s="9"/>
      <c r="QQ362" s="9"/>
      <c r="QR362" s="9"/>
      <c r="QS362" s="9"/>
      <c r="QT362" s="9"/>
      <c r="QU362" s="9"/>
      <c r="QV362" s="9"/>
      <c r="QW362" s="9"/>
      <c r="QX362" s="9"/>
      <c r="QY362" s="9"/>
      <c r="QZ362" s="9"/>
      <c r="RA362" s="9"/>
      <c r="RB362" s="9"/>
      <c r="RC362" s="9"/>
      <c r="RD362" s="9"/>
      <c r="RE362" s="9"/>
      <c r="RF362" s="9"/>
      <c r="RG362" s="9"/>
      <c r="RH362" s="9"/>
      <c r="RI362" s="9"/>
      <c r="RJ362" s="9"/>
      <c r="RK362" s="9"/>
      <c r="RL362" s="9"/>
      <c r="RM362" s="9"/>
      <c r="RN362" s="9"/>
      <c r="RO362" s="9"/>
      <c r="RP362" s="9"/>
      <c r="RQ362" s="9"/>
      <c r="RR362" s="9"/>
      <c r="RS362" s="9"/>
      <c r="RT362" s="9"/>
      <c r="RU362" s="9"/>
      <c r="RV362" s="9"/>
      <c r="RW362" s="9"/>
      <c r="RX362" s="9"/>
      <c r="RY362" s="9"/>
      <c r="RZ362" s="9"/>
      <c r="SA362" s="9"/>
      <c r="SB362" s="9"/>
      <c r="SC362" s="9"/>
      <c r="SD362" s="9"/>
      <c r="SE362" s="9"/>
      <c r="SF362" s="9"/>
      <c r="SG362" s="9"/>
      <c r="SH362" s="9"/>
      <c r="SI362" s="9"/>
      <c r="SJ362" s="9"/>
      <c r="SK362" s="9"/>
      <c r="SL362" s="9"/>
      <c r="SM362" s="9"/>
      <c r="SN362" s="9"/>
      <c r="SO362" s="9"/>
      <c r="SP362" s="9"/>
      <c r="SQ362" s="9"/>
      <c r="SR362" s="9"/>
      <c r="SS362" s="9"/>
      <c r="ST362" s="9"/>
      <c r="SU362" s="9"/>
      <c r="SV362" s="9"/>
      <c r="SW362" s="9"/>
      <c r="SX362" s="9"/>
      <c r="SY362" s="9"/>
      <c r="SZ362" s="9"/>
      <c r="TA362" s="9"/>
      <c r="TB362" s="9"/>
      <c r="TC362" s="9"/>
      <c r="TD362" s="9"/>
      <c r="TE362" s="9"/>
      <c r="TF362" s="9"/>
      <c r="TG362" s="9"/>
      <c r="TH362" s="9"/>
      <c r="TI362" s="9"/>
      <c r="TJ362" s="9"/>
      <c r="TK362" s="9"/>
      <c r="TL362" s="9"/>
      <c r="TM362" s="9"/>
      <c r="TN362" s="9"/>
      <c r="TO362" s="9"/>
      <c r="TP362" s="9"/>
      <c r="TQ362" s="9"/>
      <c r="TR362" s="9"/>
      <c r="TS362" s="9"/>
      <c r="TT362" s="9"/>
      <c r="TU362" s="9"/>
      <c r="TV362" s="9"/>
      <c r="TW362" s="9"/>
      <c r="TX362" s="9"/>
      <c r="TY362" s="9"/>
      <c r="TZ362" s="9"/>
      <c r="UA362" s="9"/>
      <c r="UB362" s="9"/>
      <c r="UC362" s="9"/>
      <c r="UD362" s="9"/>
      <c r="UE362" s="9"/>
      <c r="UF362" s="9"/>
      <c r="UG362" s="9"/>
      <c r="UH362" s="9"/>
      <c r="UI362" s="9"/>
      <c r="UJ362" s="9"/>
      <c r="UK362" s="9"/>
      <c r="UL362" s="9"/>
      <c r="UM362" s="9"/>
      <c r="UN362" s="9"/>
      <c r="UO362" s="9"/>
      <c r="UP362" s="9"/>
      <c r="UQ362" s="9"/>
      <c r="UR362" s="9"/>
      <c r="US362" s="9"/>
      <c r="UT362" s="9"/>
      <c r="UU362" s="9"/>
      <c r="UV362" s="9"/>
      <c r="UW362" s="9"/>
      <c r="UX362" s="9"/>
      <c r="UY362" s="9"/>
      <c r="UZ362" s="9"/>
      <c r="VA362" s="9"/>
      <c r="VB362" s="9"/>
      <c r="VC362" s="9"/>
      <c r="VD362" s="9"/>
      <c r="VE362" s="9"/>
      <c r="VF362" s="9"/>
      <c r="VG362" s="9"/>
      <c r="VH362" s="9"/>
      <c r="VI362" s="9"/>
      <c r="VJ362" s="9"/>
      <c r="VK362" s="9"/>
      <c r="VL362" s="9"/>
      <c r="VM362" s="9"/>
      <c r="VN362" s="9"/>
      <c r="VO362" s="9"/>
      <c r="VP362" s="9"/>
      <c r="VQ362" s="9"/>
      <c r="VR362" s="9"/>
      <c r="VS362" s="9"/>
      <c r="VT362" s="9"/>
      <c r="VU362" s="9"/>
      <c r="VV362" s="9"/>
      <c r="VW362" s="9"/>
      <c r="VX362" s="9"/>
      <c r="VY362" s="9"/>
      <c r="VZ362" s="9"/>
      <c r="WA362" s="9"/>
      <c r="WB362" s="9"/>
      <c r="WC362" s="9"/>
      <c r="WD362" s="9"/>
      <c r="WE362" s="9"/>
      <c r="WF362" s="9"/>
      <c r="WG362" s="9"/>
      <c r="WH362" s="9"/>
      <c r="WI362" s="9"/>
      <c r="WJ362" s="9"/>
      <c r="WK362" s="9"/>
      <c r="WL362" s="9"/>
      <c r="WM362" s="9"/>
      <c r="WN362" s="9"/>
      <c r="WO362" s="9"/>
      <c r="WP362" s="9"/>
      <c r="WQ362" s="9"/>
      <c r="WR362" s="9"/>
      <c r="WS362" s="9"/>
      <c r="WT362" s="9"/>
      <c r="WU362" s="9"/>
      <c r="WV362" s="9"/>
      <c r="WW362" s="9"/>
      <c r="WX362" s="9"/>
      <c r="WY362" s="9"/>
      <c r="WZ362" s="9"/>
      <c r="XA362" s="9"/>
      <c r="XB362" s="9"/>
      <c r="XC362" s="9"/>
      <c r="XD362" s="9"/>
      <c r="XE362" s="9"/>
      <c r="XF362" s="9"/>
      <c r="XG362" s="9"/>
      <c r="XH362" s="9"/>
      <c r="XI362" s="9"/>
      <c r="XJ362" s="9"/>
      <c r="XK362" s="9"/>
      <c r="XL362" s="9"/>
      <c r="XM362" s="9"/>
      <c r="XN362" s="9"/>
      <c r="XO362" s="9"/>
      <c r="XP362" s="9"/>
      <c r="XQ362" s="9"/>
      <c r="XR362" s="9"/>
      <c r="XS362" s="9"/>
      <c r="XT362" s="9"/>
      <c r="XU362" s="9"/>
      <c r="XV362" s="9"/>
      <c r="XW362" s="9"/>
      <c r="XX362" s="9"/>
      <c r="XY362" s="9"/>
      <c r="XZ362" s="9"/>
      <c r="YA362" s="9"/>
      <c r="YB362" s="9"/>
      <c r="YC362" s="9"/>
      <c r="YD362" s="9"/>
      <c r="YE362" s="9"/>
      <c r="YF362" s="9"/>
      <c r="YG362" s="9"/>
      <c r="YH362" s="9"/>
      <c r="YI362" s="9"/>
      <c r="YJ362" s="9"/>
      <c r="YK362" s="9"/>
      <c r="YL362" s="9"/>
      <c r="YM362" s="9"/>
      <c r="YN362" s="9"/>
      <c r="YO362" s="9"/>
      <c r="YP362" s="9"/>
      <c r="YQ362" s="9"/>
      <c r="YR362" s="9"/>
      <c r="YS362" s="9"/>
      <c r="YT362" s="9"/>
      <c r="YU362" s="9"/>
      <c r="YV362" s="9"/>
      <c r="YW362" s="9"/>
      <c r="YX362" s="9"/>
      <c r="YY362" s="9"/>
      <c r="YZ362" s="9"/>
      <c r="ZA362" s="9"/>
      <c r="ZB362" s="9"/>
      <c r="ZC362" s="9"/>
      <c r="ZD362" s="9"/>
      <c r="ZE362" s="9"/>
      <c r="ZF362" s="9"/>
      <c r="ZG362" s="9"/>
      <c r="ZH362" s="9"/>
      <c r="ZI362" s="9"/>
      <c r="ZJ362" s="9"/>
      <c r="ZK362" s="9"/>
      <c r="ZL362" s="9"/>
      <c r="ZM362" s="9"/>
      <c r="ZN362" s="9"/>
      <c r="ZO362" s="9"/>
      <c r="ZP362" s="9"/>
      <c r="ZQ362" s="9"/>
      <c r="ZR362" s="9"/>
      <c r="ZS362" s="9"/>
      <c r="ZT362" s="9"/>
      <c r="ZU362" s="9"/>
      <c r="ZV362" s="9"/>
      <c r="ZW362" s="9"/>
      <c r="ZX362" s="9"/>
      <c r="ZY362" s="9"/>
      <c r="ZZ362" s="9"/>
      <c r="AAA362" s="9"/>
      <c r="AAB362" s="9"/>
      <c r="AAC362" s="9"/>
      <c r="AAD362" s="9"/>
      <c r="AAE362" s="9"/>
      <c r="AAF362" s="9"/>
      <c r="AAG362" s="9"/>
      <c r="AAH362" s="9"/>
      <c r="AAI362" s="9"/>
      <c r="AAJ362" s="9"/>
      <c r="AAK362" s="9"/>
      <c r="AAL362" s="9"/>
      <c r="AAM362" s="9"/>
      <c r="AAN362" s="9"/>
      <c r="AAO362" s="9"/>
      <c r="AAP362" s="9"/>
      <c r="AAQ362" s="9"/>
      <c r="AAR362" s="9"/>
      <c r="AAS362" s="9"/>
      <c r="AAT362" s="9"/>
      <c r="AAU362" s="9"/>
      <c r="AAV362" s="9"/>
      <c r="AAW362" s="9"/>
      <c r="AAX362" s="9"/>
      <c r="AAY362" s="9"/>
      <c r="AAZ362" s="9"/>
      <c r="ABA362" s="9"/>
      <c r="ABB362" s="9"/>
      <c r="ABC362" s="9"/>
      <c r="ABD362" s="9"/>
      <c r="ABE362" s="9"/>
      <c r="ABF362" s="9"/>
      <c r="ABG362" s="9"/>
      <c r="ABH362" s="9"/>
      <c r="ABI362" s="9"/>
      <c r="ABJ362" s="9"/>
      <c r="ABK362" s="9"/>
      <c r="ABL362" s="9"/>
      <c r="ABM362" s="9"/>
      <c r="ABN362" s="9"/>
      <c r="ABO362" s="9"/>
      <c r="ABP362" s="9"/>
      <c r="ABQ362" s="9"/>
      <c r="ABR362" s="9"/>
      <c r="ABS362" s="9"/>
      <c r="ABT362" s="9"/>
      <c r="ABU362" s="9"/>
      <c r="ABV362" s="9"/>
      <c r="ABW362" s="9"/>
      <c r="ABX362" s="9"/>
      <c r="ABY362" s="9"/>
      <c r="ABZ362" s="9"/>
      <c r="ACA362" s="9"/>
      <c r="ACB362" s="9"/>
      <c r="ACC362" s="9"/>
      <c r="ACD362" s="9"/>
      <c r="ACE362" s="9"/>
      <c r="ACF362" s="9"/>
      <c r="ACG362" s="9"/>
      <c r="ACH362" s="9"/>
      <c r="ACI362" s="9"/>
      <c r="ACJ362" s="9"/>
      <c r="ACK362" s="9"/>
      <c r="ACL362" s="9"/>
      <c r="ACM362" s="9"/>
      <c r="ACN362" s="9"/>
      <c r="ACO362" s="9"/>
      <c r="ACP362" s="9"/>
      <c r="ACQ362" s="9"/>
      <c r="ACR362" s="9"/>
      <c r="ACS362" s="9"/>
      <c r="ACT362" s="9"/>
      <c r="ACU362" s="9"/>
      <c r="ACV362" s="9"/>
      <c r="ACW362" s="9"/>
      <c r="ACX362" s="9"/>
      <c r="ACY362" s="9"/>
      <c r="ACZ362" s="9"/>
      <c r="ADA362" s="9"/>
      <c r="ADB362" s="9"/>
      <c r="ADC362" s="9"/>
      <c r="ADD362" s="9"/>
      <c r="ADE362" s="9"/>
      <c r="ADF362" s="9"/>
      <c r="ADG362" s="9"/>
      <c r="ADH362" s="9"/>
      <c r="ADI362" s="9"/>
      <c r="ADJ362" s="9"/>
      <c r="ADK362" s="9"/>
      <c r="ADL362" s="9"/>
      <c r="ADM362" s="9"/>
      <c r="ADN362" s="9"/>
      <c r="ADO362" s="9"/>
      <c r="ADP362" s="9"/>
      <c r="ADQ362" s="9"/>
      <c r="ADR362" s="9"/>
      <c r="ADS362" s="9"/>
      <c r="ADT362" s="9"/>
      <c r="ADU362" s="9"/>
      <c r="ADV362" s="9"/>
      <c r="ADW362" s="9"/>
      <c r="ADX362" s="9"/>
      <c r="ADY362" s="9"/>
      <c r="ADZ362" s="9"/>
      <c r="AEA362" s="9"/>
      <c r="AEB362" s="9"/>
      <c r="AEC362" s="9"/>
      <c r="AED362" s="9"/>
      <c r="AEE362" s="9"/>
      <c r="AEF362" s="9"/>
      <c r="AEG362" s="9"/>
      <c r="AEH362" s="9"/>
      <c r="AEI362" s="9"/>
      <c r="AEJ362" s="9"/>
      <c r="AEK362" s="9"/>
      <c r="AEL362" s="9"/>
      <c r="AEM362" s="9"/>
      <c r="AEN362" s="9"/>
      <c r="AEO362" s="9"/>
      <c r="AEP362" s="9"/>
      <c r="AEQ362" s="9"/>
      <c r="AER362" s="9"/>
      <c r="AES362" s="9"/>
      <c r="AET362" s="9"/>
      <c r="AEU362" s="9"/>
      <c r="AEV362" s="9"/>
      <c r="AEW362" s="9"/>
      <c r="AEX362" s="9"/>
      <c r="AEY362" s="9"/>
      <c r="AEZ362" s="9"/>
      <c r="AFA362" s="9"/>
      <c r="AFB362" s="9"/>
      <c r="AFC362" s="9"/>
      <c r="AFD362" s="9"/>
      <c r="AFE362" s="9"/>
      <c r="AFF362" s="9"/>
      <c r="AFG362" s="9"/>
      <c r="AFH362" s="9"/>
      <c r="AFI362" s="9"/>
      <c r="AFJ362" s="9"/>
      <c r="AFK362" s="9"/>
      <c r="AFL362" s="9"/>
      <c r="AFM362" s="9"/>
      <c r="AFN362" s="9"/>
      <c r="AFO362" s="9"/>
      <c r="AFP362" s="9"/>
      <c r="AFQ362" s="9"/>
      <c r="AFR362" s="9"/>
      <c r="AFS362" s="9"/>
      <c r="AFT362" s="9"/>
      <c r="AFU362" s="9"/>
      <c r="AFV362" s="9"/>
      <c r="AFW362" s="9"/>
      <c r="AFX362" s="9"/>
      <c r="AFY362" s="9"/>
      <c r="AFZ362" s="9"/>
      <c r="AGA362" s="9"/>
      <c r="AGB362" s="9"/>
      <c r="AGC362" s="9"/>
      <c r="AGD362" s="9"/>
      <c r="AGE362" s="9"/>
      <c r="AGF362" s="9"/>
      <c r="AGG362" s="9"/>
      <c r="AGH362" s="9"/>
      <c r="AGI362" s="9"/>
      <c r="AGJ362" s="9"/>
      <c r="AGK362" s="9"/>
      <c r="AGL362" s="9"/>
      <c r="AGM362" s="9"/>
      <c r="AGN362" s="9"/>
      <c r="AGO362" s="9"/>
      <c r="AGP362" s="9"/>
      <c r="AGQ362" s="9"/>
      <c r="AGR362" s="9"/>
      <c r="AGS362" s="9"/>
      <c r="AGT362" s="9"/>
      <c r="AGU362" s="9"/>
      <c r="AGV362" s="9"/>
      <c r="AGW362" s="9"/>
      <c r="AGX362" s="9"/>
      <c r="AGY362" s="9"/>
      <c r="AGZ362" s="9"/>
      <c r="AHA362" s="9"/>
      <c r="AHB362" s="9"/>
      <c r="AHC362" s="9"/>
      <c r="AHD362" s="9"/>
      <c r="AHE362" s="9"/>
      <c r="AHF362" s="9"/>
      <c r="AHG362" s="9"/>
      <c r="AHH362" s="9"/>
      <c r="AHI362" s="9"/>
      <c r="AHJ362" s="9"/>
      <c r="AHK362" s="9"/>
      <c r="AHL362" s="9"/>
      <c r="AHM362" s="9"/>
      <c r="AHN362" s="9"/>
      <c r="AHO362" s="9"/>
      <c r="AHP362" s="9"/>
      <c r="AHQ362" s="9"/>
      <c r="AHR362" s="9"/>
      <c r="AHS362" s="9"/>
      <c r="AHT362" s="9"/>
      <c r="AHU362" s="9"/>
      <c r="AHV362" s="9"/>
      <c r="AHW362" s="9"/>
      <c r="AHX362" s="9"/>
      <c r="AHY362" s="9"/>
      <c r="AHZ362" s="9"/>
      <c r="AIA362" s="9"/>
      <c r="AIB362" s="9"/>
      <c r="AIC362" s="9"/>
      <c r="AID362" s="9"/>
      <c r="AIE362" s="9"/>
      <c r="AIF362" s="9"/>
      <c r="AIG362" s="9"/>
      <c r="AIH362" s="9"/>
      <c r="AII362" s="9"/>
      <c r="AIJ362" s="9"/>
      <c r="AIK362" s="9"/>
      <c r="AIL362" s="9"/>
      <c r="AIM362" s="9"/>
      <c r="AIN362" s="9"/>
      <c r="AIO362" s="9"/>
      <c r="AIP362" s="9"/>
      <c r="AIQ362" s="9"/>
      <c r="AIR362" s="9"/>
      <c r="AIS362" s="9"/>
      <c r="AIT362" s="9"/>
      <c r="AIU362" s="9"/>
      <c r="AIV362" s="9"/>
      <c r="AIW362" s="9"/>
      <c r="AIX362" s="9"/>
      <c r="AIY362" s="9"/>
      <c r="AIZ362" s="9"/>
      <c r="AJA362" s="9"/>
      <c r="AJB362" s="9"/>
      <c r="AJC362" s="9"/>
      <c r="AJD362" s="9"/>
      <c r="AJE362" s="9"/>
      <c r="AJF362" s="9"/>
      <c r="AJG362" s="9"/>
      <c r="AJH362" s="9"/>
      <c r="AJI362" s="9"/>
      <c r="AJJ362" s="9"/>
      <c r="AJK362" s="9"/>
      <c r="AJL362" s="9"/>
      <c r="AJM362" s="9"/>
      <c r="AJN362" s="9"/>
      <c r="AJO362" s="9"/>
      <c r="AJP362" s="9"/>
      <c r="AJQ362" s="9"/>
      <c r="AJR362" s="9"/>
      <c r="AJS362" s="9"/>
      <c r="AJT362" s="9"/>
      <c r="AJU362" s="9"/>
      <c r="AJV362" s="9"/>
      <c r="AJW362" s="9"/>
      <c r="AJX362" s="9"/>
      <c r="AJY362" s="9"/>
      <c r="AJZ362" s="9"/>
      <c r="AKA362" s="9"/>
      <c r="AKB362" s="9"/>
      <c r="AKC362" s="9"/>
      <c r="AKD362" s="9"/>
      <c r="AKE362" s="9"/>
      <c r="AKF362" s="9"/>
      <c r="AKG362" s="9"/>
      <c r="AKH362" s="9"/>
      <c r="AKI362" s="9"/>
      <c r="AKJ362" s="9"/>
      <c r="AKK362" s="9"/>
      <c r="AKL362" s="9"/>
      <c r="AKM362" s="9"/>
      <c r="AKN362" s="9"/>
      <c r="AKO362" s="9"/>
      <c r="AKP362" s="9"/>
      <c r="AKQ362" s="9"/>
      <c r="AKR362" s="9"/>
      <c r="AKS362" s="9"/>
      <c r="AKT362" s="9"/>
      <c r="AKU362" s="9"/>
      <c r="AKV362" s="9"/>
      <c r="AKW362" s="9"/>
      <c r="AKX362" s="9"/>
      <c r="AKY362" s="9"/>
      <c r="AKZ362" s="9"/>
      <c r="ALA362" s="9"/>
      <c r="ALB362" s="9"/>
      <c r="ALC362" s="9"/>
      <c r="ALD362" s="9"/>
      <c r="ALE362" s="9"/>
      <c r="ALF362" s="9"/>
      <c r="ALG362" s="9"/>
      <c r="ALH362" s="9"/>
      <c r="ALI362" s="9"/>
      <c r="ALJ362" s="9"/>
      <c r="ALK362" s="9"/>
      <c r="ALL362" s="9"/>
      <c r="ALM362" s="9"/>
      <c r="ALN362" s="9"/>
      <c r="ALO362" s="9"/>
      <c r="ALP362" s="9"/>
      <c r="ALQ362" s="9"/>
      <c r="ALR362" s="9"/>
      <c r="ALS362" s="9"/>
      <c r="ALT362" s="9"/>
      <c r="ALU362" s="9"/>
      <c r="ALV362" s="9"/>
      <c r="ALW362" s="9"/>
      <c r="ALX362" s="9"/>
      <c r="ALY362" s="9"/>
      <c r="ALZ362" s="9"/>
      <c r="AMA362" s="9"/>
      <c r="AMB362" s="9"/>
      <c r="AMC362" s="9"/>
      <c r="AMD362" s="9"/>
      <c r="AME362" s="9"/>
      <c r="AMF362" s="9"/>
      <c r="AMG362" s="9"/>
      <c r="AMH362" s="9"/>
      <c r="AMI362" s="9"/>
      <c r="AMJ362" s="9"/>
      <c r="AMK362" s="9"/>
      <c r="AML362" s="9"/>
      <c r="AMM362" s="9"/>
      <c r="AMN362" s="9"/>
      <c r="AMO362" s="9"/>
      <c r="AMP362" s="9"/>
    </row>
    <row r="363" spans="1:1030" s="12" customFormat="1" x14ac:dyDescent="0.2">
      <c r="A363" s="9" t="str">
        <f>CONCATENATE(B363,"_",C363)</f>
        <v>grm5_human_6N52</v>
      </c>
      <c r="B363" s="9" t="s">
        <v>41</v>
      </c>
      <c r="C363" s="9" t="s">
        <v>1553</v>
      </c>
      <c r="D363" s="9" t="str">
        <f>IFERROR(MID(VLOOKUP($B363,Seqs!$A:$B,2,0),E363,1),"")</f>
        <v>P</v>
      </c>
      <c r="E363" s="9">
        <v>580</v>
      </c>
      <c r="F363" s="9" t="str">
        <f>IFERROR(MID(VLOOKUP($B363,Seqs!$A:$B,2,0),G363,1),"")</f>
        <v>T</v>
      </c>
      <c r="G363" s="9">
        <v>598</v>
      </c>
      <c r="H363" s="9" t="str">
        <f>IFERROR(MID(VLOOKUP($B363,Seqs!$A:$B,2,0),I363,1),"")</f>
        <v>T</v>
      </c>
      <c r="I363" s="109">
        <v>607</v>
      </c>
      <c r="J363" s="9" t="str">
        <f>IFERROR(MID(VLOOKUP($B363,Seqs!$A:$B,2,0),K363,1),"")</f>
        <v>S</v>
      </c>
      <c r="K363" s="109">
        <v>613</v>
      </c>
      <c r="L363" s="9" t="str">
        <f>IFERROR(MID(VLOOKUP($B363,Seqs!$A:$B,2,0),M363,1),"")</f>
        <v>S</v>
      </c>
      <c r="M363" s="9">
        <v>614</v>
      </c>
      <c r="N363" s="9" t="str">
        <f>IFERROR(MID(VLOOKUP($B363,Seqs!$A:$B,2,0),O363,1),"")</f>
        <v>I</v>
      </c>
      <c r="O363" s="9">
        <v>636</v>
      </c>
      <c r="P363" s="9" t="str">
        <f>IFERROR(MID(VLOOKUP($B363,Seqs!$A:$B,2,0),Q363,1),"")</f>
        <v/>
      </c>
      <c r="Q363" s="9" t="s">
        <v>23</v>
      </c>
      <c r="R363" s="9" t="str">
        <f>IFERROR(MID(VLOOKUP($B363,Seqs!$A:$B,2,0),S363,1),"")</f>
        <v/>
      </c>
      <c r="S363" s="9" t="s">
        <v>23</v>
      </c>
      <c r="T363" s="9" t="str">
        <f>IFERROR(MID(VLOOKUP($B363,Seqs!$A:$B,2,0),U363,1),"")</f>
        <v>K</v>
      </c>
      <c r="U363" s="9">
        <v>640</v>
      </c>
      <c r="V363" s="9" t="str">
        <f>IFERROR(MID(VLOOKUP($B363,Seqs!$A:$B,2,0),W363,1),"")</f>
        <v>I</v>
      </c>
      <c r="W363" s="9">
        <v>669</v>
      </c>
      <c r="X363" s="9" t="str">
        <f>IFERROR(MID(VLOOKUP($B363,Seqs!$A:$B,2,0),Y363,1),"")</f>
        <v/>
      </c>
      <c r="Y363" s="9" t="s">
        <v>23</v>
      </c>
      <c r="Z363" s="9" t="str">
        <f>IFERROR(MID(VLOOKUP($B363,Seqs!$A:$B,2,0),AA363,1),"")</f>
        <v/>
      </c>
      <c r="AA363" s="9" t="s">
        <v>23</v>
      </c>
      <c r="AB363" s="9" t="str">
        <f>IFERROR(MID(VLOOKUP($B363,Seqs!$A:$B,2,0),AC363,1),"")</f>
        <v>A</v>
      </c>
      <c r="AC363" s="9">
        <v>692</v>
      </c>
      <c r="AD363" s="9" t="str">
        <f>IFERROR(MID(VLOOKUP($B363,Seqs!$A:$B,2,0),AE363,1),"")</f>
        <v>E</v>
      </c>
      <c r="AE363" s="9">
        <v>715</v>
      </c>
      <c r="AF363" s="9" t="str">
        <f>IFERROR(MID(VLOOKUP($B363,Seqs!$A:$B,2,0),AG363,1),"")</f>
        <v>C</v>
      </c>
      <c r="AG363" s="9">
        <v>733</v>
      </c>
      <c r="AH363" s="9" t="str">
        <f>IFERROR(MID(VLOOKUP($B363,Seqs!$A:$B,2,0),AI363,1),"")</f>
        <v>T</v>
      </c>
      <c r="AI363" s="9">
        <v>735</v>
      </c>
      <c r="AJ363" s="9" t="str">
        <f>IFERROR(MID(VLOOKUP($B363,Seqs!$A:$B,2,0),AK363,1),"")</f>
        <v>T</v>
      </c>
      <c r="AK363" s="9">
        <v>736</v>
      </c>
      <c r="AL363" s="9" t="str">
        <f>IFERROR(MID(VLOOKUP($B363,Seqs!$A:$B,2,0),AM363,1),"")</f>
        <v>T</v>
      </c>
      <c r="AM363" s="9">
        <v>761</v>
      </c>
      <c r="AN363" s="9" t="str">
        <f>IFERROR(MID(VLOOKUP($B363,Seqs!$A:$B,2,0),AO363,1),"")</f>
        <v>E</v>
      </c>
      <c r="AO363" s="9">
        <v>770</v>
      </c>
      <c r="AP363" s="9" t="str">
        <f>IFERROR(MID(VLOOKUP($B363,Seqs!$A:$B,2,0),AQ363,1),"")</f>
        <v>F</v>
      </c>
      <c r="AQ363" s="9">
        <v>793</v>
      </c>
      <c r="AR363" s="9" t="str">
        <f>IFERROR(MID(VLOOKUP($B363,Seqs!$A:$B,2,0),AS363,1),"")</f>
        <v>I</v>
      </c>
      <c r="AS363" s="9">
        <v>799</v>
      </c>
      <c r="AT363" s="9" t="str">
        <f>IFERROR(MID(VLOOKUP($B363,Seqs!$A:$B,2,0),AU363,1),"")</f>
        <v>K</v>
      </c>
      <c r="AU363" s="9">
        <v>828</v>
      </c>
      <c r="AV363" s="9" t="str">
        <f>IFERROR(MID(VLOOKUP($B363,Seqs!$A:$B,2,0),AW363,1),"")</f>
        <v>P</v>
      </c>
      <c r="AW363" s="9">
        <v>829</v>
      </c>
      <c r="AX363" s="9" t="str">
        <f>IFERROR(MID(VLOOKUP($B363,Seqs!$A:$B,2,0),AY363,1),"")</f>
        <v>N</v>
      </c>
      <c r="AY363" s="9">
        <v>832</v>
      </c>
      <c r="AZ363" s="110" t="str">
        <f>VLOOKUP(B363,Classification!A:D,2,0)</f>
        <v>C</v>
      </c>
      <c r="BA363" s="98" t="str">
        <f>VLOOKUP(B363,Classification!A:D,4,0)</f>
        <v>Metabotropicglutamate</v>
      </c>
      <c r="BB363" s="36" t="b">
        <f>AND(E363&lt;G363,OR(G363&lt;I363,I363="-"),OR(I363&lt;K363,I363="-"),OR(K363&lt;M363,K363="-"),M363&lt;O363,OR(O363&lt;Q363,Q363="-"),OR(Q363&lt;S363,Q363="-"),OR(S363&lt;U363,S363="-"),U363&lt;W363,OR(W363&lt;Y363,Y363="-"),OR(Y363&lt;AA363,Y363="-"),OR(AA363&lt;AC363,AA363="-"),AC363&lt;AE363,OR(AE363&lt;AG363,AG363="-"),OR(AG363&lt;AI363,AG363="-"),OR(AI363&lt;AK363,AI363="-"),AK363&lt;AM363,AM363&lt;AO363,AO363&lt;AQ363,AQ363&lt;AS363,AS363&lt;AU363,OR(AU363&lt;AW363,AW363="-"),OR(AW363&lt;AY363,AW363="-"))</f>
        <v>1</v>
      </c>
      <c r="BC363" s="109">
        <f>_xlfn.AGGREGATE(9,6,CH363:CS363)-_xlfn.AGGREGATE(9,6,BV363:CG363)+12</f>
        <v>192</v>
      </c>
      <c r="BD363" s="11" t="s">
        <v>23</v>
      </c>
      <c r="BE363" s="9" t="s">
        <v>1374</v>
      </c>
      <c r="BF363" s="120">
        <v>4</v>
      </c>
      <c r="BG363" s="51" t="s">
        <v>1</v>
      </c>
      <c r="BH363" s="51" t="s">
        <v>1</v>
      </c>
      <c r="BI363" s="9"/>
      <c r="BJ363" s="111" t="s">
        <v>1287</v>
      </c>
      <c r="BK363" s="112" t="s">
        <v>1287</v>
      </c>
      <c r="BL363" s="112" t="s">
        <v>1287</v>
      </c>
      <c r="BM363" s="112" t="s">
        <v>1287</v>
      </c>
      <c r="BN363" s="112" t="s">
        <v>1287</v>
      </c>
      <c r="BO363" s="112" t="s">
        <v>1287</v>
      </c>
      <c r="BP363" s="112" t="s">
        <v>1287</v>
      </c>
      <c r="BQ363" s="112" t="s">
        <v>1287</v>
      </c>
      <c r="BR363" s="112" t="s">
        <v>1287</v>
      </c>
      <c r="BS363" s="112" t="s">
        <v>1287</v>
      </c>
      <c r="BT363" s="112" t="s">
        <v>1287</v>
      </c>
      <c r="BU363" s="112" t="s">
        <v>1287</v>
      </c>
      <c r="BV363" s="111">
        <f>E363</f>
        <v>580</v>
      </c>
      <c r="BW363" s="113">
        <f>I363</f>
        <v>607</v>
      </c>
      <c r="BX363" s="114">
        <f>M363</f>
        <v>614</v>
      </c>
      <c r="BY363" s="113" t="str">
        <f>Q363</f>
        <v>-</v>
      </c>
      <c r="BZ363" s="114">
        <f>U363</f>
        <v>640</v>
      </c>
      <c r="CA363" s="113" t="str">
        <f>Y363</f>
        <v>-</v>
      </c>
      <c r="CB363" s="114">
        <f>AC363</f>
        <v>692</v>
      </c>
      <c r="CC363" s="113">
        <f>AG363</f>
        <v>733</v>
      </c>
      <c r="CD363" s="114">
        <f>AK363</f>
        <v>736</v>
      </c>
      <c r="CE363" s="113">
        <f>AO363</f>
        <v>770</v>
      </c>
      <c r="CF363" s="114">
        <f>AS363</f>
        <v>799</v>
      </c>
      <c r="CG363" s="113">
        <f>AW363</f>
        <v>829</v>
      </c>
      <c r="CH363" s="111">
        <f>G363</f>
        <v>598</v>
      </c>
      <c r="CI363" s="113">
        <f>K363</f>
        <v>613</v>
      </c>
      <c r="CJ363" s="114">
        <f>O363</f>
        <v>636</v>
      </c>
      <c r="CK363" s="114" t="str">
        <f>S363</f>
        <v>-</v>
      </c>
      <c r="CL363" s="114">
        <f>W363</f>
        <v>669</v>
      </c>
      <c r="CM363" s="114" t="str">
        <f>AA363</f>
        <v>-</v>
      </c>
      <c r="CN363" s="114">
        <f>AE363</f>
        <v>715</v>
      </c>
      <c r="CO363" s="114">
        <f>AI363</f>
        <v>735</v>
      </c>
      <c r="CP363" s="114">
        <f>AM363</f>
        <v>761</v>
      </c>
      <c r="CQ363" s="114">
        <f>AQ363</f>
        <v>793</v>
      </c>
      <c r="CR363" s="114">
        <f>AU363</f>
        <v>828</v>
      </c>
      <c r="CS363" s="114">
        <f>AY363</f>
        <v>832</v>
      </c>
      <c r="CT363" s="109">
        <f>M363-K363</f>
        <v>1</v>
      </c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  <c r="GA363" s="9"/>
      <c r="GB363" s="9"/>
      <c r="GC363" s="9"/>
      <c r="GD363" s="9"/>
      <c r="GE363" s="9"/>
      <c r="GF363" s="9"/>
      <c r="GG363" s="9"/>
      <c r="GH363" s="9"/>
      <c r="GI363" s="9"/>
      <c r="GJ363" s="9"/>
      <c r="GK363" s="9"/>
      <c r="GL363" s="9"/>
      <c r="GM363" s="9"/>
      <c r="GN363" s="9"/>
      <c r="GO363" s="9"/>
      <c r="GP363" s="9"/>
      <c r="GQ363" s="9"/>
      <c r="GR363" s="9"/>
      <c r="GS363" s="9"/>
      <c r="GT363" s="9"/>
      <c r="GU363" s="9"/>
      <c r="GV363" s="9"/>
      <c r="GW363" s="9"/>
      <c r="GX363" s="9"/>
      <c r="GY363" s="9"/>
      <c r="GZ363" s="9"/>
      <c r="HA363" s="9"/>
      <c r="HB363" s="9"/>
      <c r="HC363" s="9"/>
      <c r="HD363" s="9"/>
      <c r="HE363" s="9"/>
      <c r="HF363" s="9"/>
      <c r="HG363" s="9"/>
      <c r="HH363" s="9"/>
      <c r="HI363" s="9"/>
      <c r="HJ363" s="9"/>
      <c r="HK363" s="9"/>
      <c r="HL363" s="9"/>
      <c r="HM363" s="9"/>
      <c r="HN363" s="9"/>
      <c r="HO363" s="9"/>
      <c r="HP363" s="9"/>
      <c r="HQ363" s="9"/>
      <c r="HR363" s="9"/>
      <c r="HS363" s="9"/>
      <c r="HT363" s="9"/>
      <c r="HU363" s="9"/>
      <c r="HV363" s="9"/>
      <c r="HW363" s="9"/>
      <c r="HX363" s="9"/>
      <c r="HY363" s="9"/>
      <c r="HZ363" s="9"/>
      <c r="IA363" s="9"/>
      <c r="IB363" s="9"/>
      <c r="IC363" s="9"/>
      <c r="ID363" s="9"/>
      <c r="IE363" s="9"/>
      <c r="IF363" s="9"/>
      <c r="IG363" s="9"/>
      <c r="IH363" s="9"/>
      <c r="II363" s="9"/>
      <c r="IJ363" s="9"/>
      <c r="IK363" s="9"/>
      <c r="IL363" s="9"/>
      <c r="IM363" s="9"/>
      <c r="IN363" s="9"/>
      <c r="IO363" s="9"/>
      <c r="IP363" s="9"/>
      <c r="IQ363" s="9"/>
      <c r="IR363" s="9"/>
      <c r="IS363" s="9"/>
      <c r="IT363" s="9"/>
      <c r="IU363" s="9"/>
      <c r="IV363" s="9"/>
      <c r="IW363" s="9"/>
      <c r="IX363" s="9"/>
      <c r="IY363" s="9"/>
      <c r="IZ363" s="9"/>
      <c r="JA363" s="9"/>
      <c r="JB363" s="9"/>
      <c r="JC363" s="9"/>
      <c r="JD363" s="9"/>
      <c r="JE363" s="9"/>
      <c r="JF363" s="9"/>
      <c r="JG363" s="9"/>
      <c r="JH363" s="9"/>
      <c r="JI363" s="9"/>
      <c r="JJ363" s="9"/>
      <c r="JK363" s="9"/>
      <c r="JL363" s="9"/>
      <c r="JM363" s="9"/>
      <c r="JN363" s="9"/>
      <c r="JO363" s="9"/>
      <c r="JP363" s="9"/>
      <c r="JQ363" s="9"/>
      <c r="JR363" s="9"/>
      <c r="JS363" s="9"/>
      <c r="JT363" s="9"/>
      <c r="JU363" s="9"/>
      <c r="JV363" s="9"/>
      <c r="JW363" s="9"/>
      <c r="JX363" s="9"/>
      <c r="JY363" s="9"/>
      <c r="JZ363" s="9"/>
      <c r="KA363" s="9"/>
      <c r="KB363" s="9"/>
      <c r="KC363" s="9"/>
      <c r="KD363" s="9"/>
      <c r="KE363" s="9"/>
      <c r="KF363" s="9"/>
      <c r="KG363" s="9"/>
      <c r="KH363" s="9"/>
      <c r="KI363" s="9"/>
      <c r="KJ363" s="9"/>
      <c r="KK363" s="9"/>
      <c r="KL363" s="9"/>
      <c r="KM363" s="9"/>
      <c r="KN363" s="9"/>
      <c r="KO363" s="9"/>
      <c r="KP363" s="9"/>
      <c r="KQ363" s="9"/>
      <c r="KR363" s="9"/>
      <c r="KS363" s="9"/>
      <c r="KT363" s="9"/>
      <c r="KU363" s="9"/>
      <c r="KV363" s="9"/>
      <c r="KW363" s="9"/>
      <c r="KX363" s="9"/>
      <c r="KY363" s="9"/>
      <c r="KZ363" s="9"/>
      <c r="LA363" s="9"/>
      <c r="LB363" s="9"/>
      <c r="LC363" s="9"/>
      <c r="LD363" s="9"/>
      <c r="LE363" s="9"/>
      <c r="LF363" s="9"/>
      <c r="LG363" s="9"/>
      <c r="LH363" s="9"/>
      <c r="LI363" s="9"/>
      <c r="LJ363" s="9"/>
      <c r="LK363" s="9"/>
      <c r="LL363" s="9"/>
      <c r="LM363" s="9"/>
      <c r="LN363" s="9"/>
      <c r="LO363" s="9"/>
      <c r="LP363" s="9"/>
      <c r="LQ363" s="9"/>
      <c r="LR363" s="9"/>
      <c r="LS363" s="9"/>
      <c r="LT363" s="9"/>
      <c r="LU363" s="9"/>
      <c r="LV363" s="9"/>
      <c r="LW363" s="9"/>
      <c r="LX363" s="9"/>
      <c r="LY363" s="9"/>
      <c r="LZ363" s="9"/>
      <c r="MA363" s="9"/>
      <c r="MB363" s="9"/>
      <c r="MC363" s="9"/>
      <c r="MD363" s="9"/>
      <c r="ME363" s="9"/>
      <c r="MF363" s="9"/>
      <c r="MG363" s="9"/>
      <c r="MH363" s="9"/>
      <c r="MI363" s="9"/>
      <c r="MJ363" s="9"/>
      <c r="MK363" s="9"/>
      <c r="ML363" s="9"/>
      <c r="MM363" s="9"/>
      <c r="MN363" s="9"/>
      <c r="MO363" s="9"/>
      <c r="MP363" s="9"/>
      <c r="MQ363" s="9"/>
      <c r="MR363" s="9"/>
      <c r="MS363" s="9"/>
      <c r="MT363" s="9"/>
      <c r="MU363" s="9"/>
      <c r="MV363" s="9"/>
      <c r="MW363" s="9"/>
      <c r="MX363" s="9"/>
      <c r="MY363" s="9"/>
      <c r="MZ363" s="9"/>
      <c r="NA363" s="9"/>
      <c r="NB363" s="9"/>
      <c r="NC363" s="9"/>
      <c r="ND363" s="9"/>
      <c r="NE363" s="9"/>
      <c r="NF363" s="9"/>
      <c r="NG363" s="9"/>
      <c r="NH363" s="9"/>
      <c r="NI363" s="9"/>
      <c r="NJ363" s="9"/>
      <c r="NK363" s="9"/>
      <c r="NL363" s="9"/>
      <c r="NM363" s="9"/>
      <c r="NN363" s="9"/>
      <c r="NO363" s="9"/>
      <c r="NP363" s="9"/>
      <c r="NQ363" s="9"/>
      <c r="NR363" s="9"/>
      <c r="NS363" s="9"/>
      <c r="NT363" s="9"/>
      <c r="NU363" s="9"/>
      <c r="NV363" s="9"/>
      <c r="NW363" s="9"/>
      <c r="NX363" s="9"/>
      <c r="NY363" s="9"/>
      <c r="NZ363" s="9"/>
      <c r="OA363" s="9"/>
      <c r="OB363" s="9"/>
      <c r="OC363" s="9"/>
      <c r="OD363" s="9"/>
      <c r="OE363" s="9"/>
      <c r="OF363" s="9"/>
      <c r="OG363" s="9"/>
      <c r="OH363" s="9"/>
      <c r="OI363" s="9"/>
      <c r="OJ363" s="9"/>
      <c r="OK363" s="9"/>
      <c r="OL363" s="9"/>
      <c r="OM363" s="9"/>
      <c r="ON363" s="9"/>
      <c r="OO363" s="9"/>
      <c r="OP363" s="9"/>
      <c r="OQ363" s="9"/>
      <c r="OR363" s="9"/>
      <c r="OS363" s="9"/>
      <c r="OT363" s="9"/>
      <c r="OU363" s="9"/>
      <c r="OV363" s="9"/>
      <c r="OW363" s="9"/>
      <c r="OX363" s="9"/>
      <c r="OY363" s="9"/>
      <c r="OZ363" s="9"/>
      <c r="PA363" s="9"/>
      <c r="PB363" s="9"/>
      <c r="PC363" s="9"/>
      <c r="PD363" s="9"/>
      <c r="PE363" s="9"/>
      <c r="PF363" s="9"/>
      <c r="PG363" s="9"/>
      <c r="PH363" s="9"/>
      <c r="PI363" s="9"/>
      <c r="PJ363" s="9"/>
      <c r="PK363" s="9"/>
      <c r="PL363" s="9"/>
      <c r="PM363" s="9"/>
      <c r="PN363" s="9"/>
      <c r="PO363" s="9"/>
      <c r="PP363" s="9"/>
      <c r="PQ363" s="9"/>
      <c r="PR363" s="9"/>
      <c r="PS363" s="9"/>
      <c r="PT363" s="9"/>
      <c r="PU363" s="9"/>
      <c r="PV363" s="9"/>
      <c r="PW363" s="9"/>
      <c r="PX363" s="9"/>
      <c r="PY363" s="9"/>
      <c r="PZ363" s="9"/>
      <c r="QA363" s="9"/>
      <c r="QB363" s="9"/>
      <c r="QC363" s="9"/>
      <c r="QD363" s="9"/>
      <c r="QE363" s="9"/>
      <c r="QF363" s="9"/>
      <c r="QG363" s="9"/>
      <c r="QH363" s="9"/>
      <c r="QI363" s="9"/>
      <c r="QJ363" s="9"/>
      <c r="QK363" s="9"/>
      <c r="QL363" s="9"/>
      <c r="QM363" s="9"/>
      <c r="QN363" s="9"/>
      <c r="QO363" s="9"/>
      <c r="QP363" s="9"/>
      <c r="QQ363" s="9"/>
      <c r="QR363" s="9"/>
      <c r="QS363" s="9"/>
      <c r="QT363" s="9"/>
      <c r="QU363" s="9"/>
      <c r="QV363" s="9"/>
      <c r="QW363" s="9"/>
      <c r="QX363" s="9"/>
      <c r="QY363" s="9"/>
      <c r="QZ363" s="9"/>
      <c r="RA363" s="9"/>
      <c r="RB363" s="9"/>
      <c r="RC363" s="9"/>
      <c r="RD363" s="9"/>
      <c r="RE363" s="9"/>
      <c r="RF363" s="9"/>
      <c r="RG363" s="9"/>
      <c r="RH363" s="9"/>
      <c r="RI363" s="9"/>
      <c r="RJ363" s="9"/>
      <c r="RK363" s="9"/>
      <c r="RL363" s="9"/>
      <c r="RM363" s="9"/>
      <c r="RN363" s="9"/>
      <c r="RO363" s="9"/>
      <c r="RP363" s="9"/>
      <c r="RQ363" s="9"/>
      <c r="RR363" s="9"/>
      <c r="RS363" s="9"/>
      <c r="RT363" s="9"/>
      <c r="RU363" s="9"/>
      <c r="RV363" s="9"/>
      <c r="RW363" s="9"/>
      <c r="RX363" s="9"/>
      <c r="RY363" s="9"/>
      <c r="RZ363" s="9"/>
      <c r="SA363" s="9"/>
      <c r="SB363" s="9"/>
      <c r="SC363" s="9"/>
      <c r="SD363" s="9"/>
      <c r="SE363" s="9"/>
      <c r="SF363" s="9"/>
      <c r="SG363" s="9"/>
      <c r="SH363" s="9"/>
      <c r="SI363" s="9"/>
      <c r="SJ363" s="9"/>
      <c r="SK363" s="9"/>
      <c r="SL363" s="9"/>
      <c r="SM363" s="9"/>
      <c r="SN363" s="9"/>
      <c r="SO363" s="9"/>
      <c r="SP363" s="9"/>
      <c r="SQ363" s="9"/>
      <c r="SR363" s="9"/>
      <c r="SS363" s="9"/>
      <c r="ST363" s="9"/>
      <c r="SU363" s="9"/>
      <c r="SV363" s="9"/>
      <c r="SW363" s="9"/>
      <c r="SX363" s="9"/>
      <c r="SY363" s="9"/>
      <c r="SZ363" s="9"/>
      <c r="TA363" s="9"/>
      <c r="TB363" s="9"/>
      <c r="TC363" s="9"/>
      <c r="TD363" s="9"/>
      <c r="TE363" s="9"/>
      <c r="TF363" s="9"/>
      <c r="TG363" s="9"/>
      <c r="TH363" s="9"/>
      <c r="TI363" s="9"/>
      <c r="TJ363" s="9"/>
      <c r="TK363" s="9"/>
      <c r="TL363" s="9"/>
      <c r="TM363" s="9"/>
      <c r="TN363" s="9"/>
      <c r="TO363" s="9"/>
      <c r="TP363" s="9"/>
      <c r="TQ363" s="9"/>
      <c r="TR363" s="9"/>
      <c r="TS363" s="9"/>
      <c r="TT363" s="9"/>
      <c r="TU363" s="9"/>
      <c r="TV363" s="9"/>
      <c r="TW363" s="9"/>
      <c r="TX363" s="9"/>
      <c r="TY363" s="9"/>
      <c r="TZ363" s="9"/>
      <c r="UA363" s="9"/>
      <c r="UB363" s="9"/>
      <c r="UC363" s="9"/>
      <c r="UD363" s="9"/>
      <c r="UE363" s="9"/>
      <c r="UF363" s="9"/>
      <c r="UG363" s="9"/>
      <c r="UH363" s="9"/>
      <c r="UI363" s="9"/>
      <c r="UJ363" s="9"/>
      <c r="UK363" s="9"/>
      <c r="UL363" s="9"/>
      <c r="UM363" s="9"/>
      <c r="UN363" s="9"/>
      <c r="UO363" s="9"/>
      <c r="UP363" s="9"/>
      <c r="UQ363" s="9"/>
      <c r="UR363" s="9"/>
      <c r="US363" s="9"/>
      <c r="UT363" s="9"/>
      <c r="UU363" s="9"/>
      <c r="UV363" s="9"/>
      <c r="UW363" s="9"/>
      <c r="UX363" s="9"/>
      <c r="UY363" s="9"/>
      <c r="UZ363" s="9"/>
      <c r="VA363" s="9"/>
      <c r="VB363" s="9"/>
      <c r="VC363" s="9"/>
      <c r="VD363" s="9"/>
      <c r="VE363" s="9"/>
      <c r="VF363" s="9"/>
      <c r="VG363" s="9"/>
      <c r="VH363" s="9"/>
      <c r="VI363" s="9"/>
      <c r="VJ363" s="9"/>
      <c r="VK363" s="9"/>
      <c r="VL363" s="9"/>
      <c r="VM363" s="9"/>
      <c r="VN363" s="9"/>
      <c r="VO363" s="9"/>
      <c r="VP363" s="9"/>
      <c r="VQ363" s="9"/>
      <c r="VR363" s="9"/>
      <c r="VS363" s="9"/>
      <c r="VT363" s="9"/>
      <c r="VU363" s="9"/>
      <c r="VV363" s="9"/>
      <c r="VW363" s="9"/>
      <c r="VX363" s="9"/>
      <c r="VY363" s="9"/>
      <c r="VZ363" s="9"/>
      <c r="WA363" s="9"/>
      <c r="WB363" s="9"/>
      <c r="WC363" s="9"/>
      <c r="WD363" s="9"/>
      <c r="WE363" s="9"/>
      <c r="WF363" s="9"/>
      <c r="WG363" s="9"/>
      <c r="WH363" s="9"/>
      <c r="WI363" s="9"/>
      <c r="WJ363" s="9"/>
      <c r="WK363" s="9"/>
      <c r="WL363" s="9"/>
      <c r="WM363" s="9"/>
      <c r="WN363" s="9"/>
      <c r="WO363" s="9"/>
      <c r="WP363" s="9"/>
      <c r="WQ363" s="9"/>
      <c r="WR363" s="9"/>
      <c r="WS363" s="9"/>
      <c r="WT363" s="9"/>
      <c r="WU363" s="9"/>
      <c r="WV363" s="9"/>
      <c r="WW363" s="9"/>
      <c r="WX363" s="9"/>
      <c r="WY363" s="9"/>
      <c r="WZ363" s="9"/>
      <c r="XA363" s="9"/>
      <c r="XB363" s="9"/>
      <c r="XC363" s="9"/>
      <c r="XD363" s="9"/>
      <c r="XE363" s="9"/>
      <c r="XF363" s="9"/>
      <c r="XG363" s="9"/>
      <c r="XH363" s="9"/>
      <c r="XI363" s="9"/>
      <c r="XJ363" s="9"/>
      <c r="XK363" s="9"/>
      <c r="XL363" s="9"/>
      <c r="XM363" s="9"/>
      <c r="XN363" s="9"/>
      <c r="XO363" s="9"/>
      <c r="XP363" s="9"/>
      <c r="XQ363" s="9"/>
      <c r="XR363" s="9"/>
      <c r="XS363" s="9"/>
      <c r="XT363" s="9"/>
      <c r="XU363" s="9"/>
      <c r="XV363" s="9"/>
      <c r="XW363" s="9"/>
      <c r="XX363" s="9"/>
      <c r="XY363" s="9"/>
      <c r="XZ363" s="9"/>
      <c r="YA363" s="9"/>
      <c r="YB363" s="9"/>
      <c r="YC363" s="9"/>
      <c r="YD363" s="9"/>
      <c r="YE363" s="9"/>
      <c r="YF363" s="9"/>
      <c r="YG363" s="9"/>
      <c r="YH363" s="9"/>
      <c r="YI363" s="9"/>
      <c r="YJ363" s="9"/>
      <c r="YK363" s="9"/>
      <c r="YL363" s="9"/>
      <c r="YM363" s="9"/>
      <c r="YN363" s="9"/>
      <c r="YO363" s="9"/>
      <c r="YP363" s="9"/>
      <c r="YQ363" s="9"/>
      <c r="YR363" s="9"/>
      <c r="YS363" s="9"/>
      <c r="YT363" s="9"/>
      <c r="YU363" s="9"/>
      <c r="YV363" s="9"/>
      <c r="YW363" s="9"/>
      <c r="YX363" s="9"/>
      <c r="YY363" s="9"/>
      <c r="YZ363" s="9"/>
      <c r="ZA363" s="9"/>
      <c r="ZB363" s="9"/>
      <c r="ZC363" s="9"/>
      <c r="ZD363" s="9"/>
      <c r="ZE363" s="9"/>
      <c r="ZF363" s="9"/>
      <c r="ZG363" s="9"/>
      <c r="ZH363" s="9"/>
      <c r="ZI363" s="9"/>
      <c r="ZJ363" s="9"/>
      <c r="ZK363" s="9"/>
      <c r="ZL363" s="9"/>
      <c r="ZM363" s="9"/>
      <c r="ZN363" s="9"/>
      <c r="ZO363" s="9"/>
      <c r="ZP363" s="9"/>
      <c r="ZQ363" s="9"/>
      <c r="ZR363" s="9"/>
      <c r="ZS363" s="9"/>
      <c r="ZT363" s="9"/>
      <c r="ZU363" s="9"/>
      <c r="ZV363" s="9"/>
      <c r="ZW363" s="9"/>
      <c r="ZX363" s="9"/>
      <c r="ZY363" s="9"/>
      <c r="ZZ363" s="9"/>
      <c r="AAA363" s="9"/>
      <c r="AAB363" s="9"/>
      <c r="AAC363" s="9"/>
      <c r="AAD363" s="9"/>
      <c r="AAE363" s="9"/>
      <c r="AAF363" s="9"/>
      <c r="AAG363" s="9"/>
      <c r="AAH363" s="9"/>
      <c r="AAI363" s="9"/>
      <c r="AAJ363" s="9"/>
      <c r="AAK363" s="9"/>
      <c r="AAL363" s="9"/>
      <c r="AAM363" s="9"/>
      <c r="AAN363" s="9"/>
      <c r="AAO363" s="9"/>
      <c r="AAP363" s="9"/>
      <c r="AAQ363" s="9"/>
      <c r="AAR363" s="9"/>
      <c r="AAS363" s="9"/>
      <c r="AAT363" s="9"/>
      <c r="AAU363" s="9"/>
      <c r="AAV363" s="9"/>
      <c r="AAW363" s="9"/>
      <c r="AAX363" s="9"/>
      <c r="AAY363" s="9"/>
      <c r="AAZ363" s="9"/>
      <c r="ABA363" s="9"/>
      <c r="ABB363" s="9"/>
      <c r="ABC363" s="9"/>
      <c r="ABD363" s="9"/>
      <c r="ABE363" s="9"/>
      <c r="ABF363" s="9"/>
      <c r="ABG363" s="9"/>
      <c r="ABH363" s="9"/>
      <c r="ABI363" s="9"/>
      <c r="ABJ363" s="9"/>
      <c r="ABK363" s="9"/>
      <c r="ABL363" s="9"/>
      <c r="ABM363" s="9"/>
      <c r="ABN363" s="9"/>
      <c r="ABO363" s="9"/>
      <c r="ABP363" s="9"/>
      <c r="ABQ363" s="9"/>
      <c r="ABR363" s="9"/>
      <c r="ABS363" s="9"/>
      <c r="ABT363" s="9"/>
      <c r="ABU363" s="9"/>
      <c r="ABV363" s="9"/>
      <c r="ABW363" s="9"/>
      <c r="ABX363" s="9"/>
      <c r="ABY363" s="9"/>
      <c r="ABZ363" s="9"/>
      <c r="ACA363" s="9"/>
      <c r="ACB363" s="9"/>
      <c r="ACC363" s="9"/>
      <c r="ACD363" s="9"/>
      <c r="ACE363" s="9"/>
      <c r="ACF363" s="9"/>
      <c r="ACG363" s="9"/>
      <c r="ACH363" s="9"/>
      <c r="ACI363" s="9"/>
      <c r="ACJ363" s="9"/>
      <c r="ACK363" s="9"/>
      <c r="ACL363" s="9"/>
      <c r="ACM363" s="9"/>
      <c r="ACN363" s="9"/>
      <c r="ACO363" s="9"/>
      <c r="ACP363" s="9"/>
      <c r="ACQ363" s="9"/>
      <c r="ACR363" s="9"/>
      <c r="ACS363" s="9"/>
      <c r="ACT363" s="9"/>
      <c r="ACU363" s="9"/>
      <c r="ACV363" s="9"/>
      <c r="ACW363" s="9"/>
      <c r="ACX363" s="9"/>
      <c r="ACY363" s="9"/>
      <c r="ACZ363" s="9"/>
      <c r="ADA363" s="9"/>
      <c r="ADB363" s="9"/>
      <c r="ADC363" s="9"/>
      <c r="ADD363" s="9"/>
      <c r="ADE363" s="9"/>
      <c r="ADF363" s="9"/>
      <c r="ADG363" s="9"/>
      <c r="ADH363" s="9"/>
      <c r="ADI363" s="9"/>
      <c r="ADJ363" s="9"/>
      <c r="ADK363" s="9"/>
      <c r="ADL363" s="9"/>
      <c r="ADM363" s="9"/>
      <c r="ADN363" s="9"/>
      <c r="ADO363" s="9"/>
      <c r="ADP363" s="9"/>
      <c r="ADQ363" s="9"/>
      <c r="ADR363" s="9"/>
      <c r="ADS363" s="9"/>
      <c r="ADT363" s="9"/>
      <c r="ADU363" s="9"/>
      <c r="ADV363" s="9"/>
      <c r="ADW363" s="9"/>
      <c r="ADX363" s="9"/>
      <c r="ADY363" s="9"/>
      <c r="ADZ363" s="9"/>
      <c r="AEA363" s="9"/>
      <c r="AEB363" s="9"/>
      <c r="AEC363" s="9"/>
      <c r="AED363" s="9"/>
      <c r="AEE363" s="9"/>
      <c r="AEF363" s="9"/>
      <c r="AEG363" s="9"/>
      <c r="AEH363" s="9"/>
      <c r="AEI363" s="9"/>
      <c r="AEJ363" s="9"/>
      <c r="AEK363" s="9"/>
      <c r="AEL363" s="9"/>
      <c r="AEM363" s="9"/>
      <c r="AEN363" s="9"/>
      <c r="AEO363" s="9"/>
      <c r="AEP363" s="9"/>
      <c r="AEQ363" s="9"/>
      <c r="AER363" s="9"/>
      <c r="AES363" s="9"/>
      <c r="AET363" s="9"/>
      <c r="AEU363" s="9"/>
      <c r="AEV363" s="9"/>
      <c r="AEW363" s="9"/>
      <c r="AEX363" s="9"/>
      <c r="AEY363" s="9"/>
      <c r="AEZ363" s="9"/>
      <c r="AFA363" s="9"/>
      <c r="AFB363" s="9"/>
      <c r="AFC363" s="9"/>
      <c r="AFD363" s="9"/>
      <c r="AFE363" s="9"/>
      <c r="AFF363" s="9"/>
      <c r="AFG363" s="9"/>
      <c r="AFH363" s="9"/>
      <c r="AFI363" s="9"/>
      <c r="AFJ363" s="9"/>
      <c r="AFK363" s="9"/>
      <c r="AFL363" s="9"/>
      <c r="AFM363" s="9"/>
      <c r="AFN363" s="9"/>
      <c r="AFO363" s="9"/>
      <c r="AFP363" s="9"/>
      <c r="AFQ363" s="9"/>
      <c r="AFR363" s="9"/>
      <c r="AFS363" s="9"/>
      <c r="AFT363" s="9"/>
      <c r="AFU363" s="9"/>
      <c r="AFV363" s="9"/>
      <c r="AFW363" s="9"/>
      <c r="AFX363" s="9"/>
      <c r="AFY363" s="9"/>
      <c r="AFZ363" s="9"/>
      <c r="AGA363" s="9"/>
      <c r="AGB363" s="9"/>
      <c r="AGC363" s="9"/>
      <c r="AGD363" s="9"/>
      <c r="AGE363" s="9"/>
      <c r="AGF363" s="9"/>
      <c r="AGG363" s="9"/>
      <c r="AGH363" s="9"/>
      <c r="AGI363" s="9"/>
      <c r="AGJ363" s="9"/>
      <c r="AGK363" s="9"/>
      <c r="AGL363" s="9"/>
      <c r="AGM363" s="9"/>
      <c r="AGN363" s="9"/>
      <c r="AGO363" s="9"/>
      <c r="AGP363" s="9"/>
      <c r="AGQ363" s="9"/>
      <c r="AGR363" s="9"/>
      <c r="AGS363" s="9"/>
      <c r="AGT363" s="9"/>
      <c r="AGU363" s="9"/>
      <c r="AGV363" s="9"/>
      <c r="AGW363" s="9"/>
      <c r="AGX363" s="9"/>
      <c r="AGY363" s="9"/>
      <c r="AGZ363" s="9"/>
      <c r="AHA363" s="9"/>
      <c r="AHB363" s="9"/>
      <c r="AHC363" s="9"/>
      <c r="AHD363" s="9"/>
      <c r="AHE363" s="9"/>
      <c r="AHF363" s="9"/>
      <c r="AHG363" s="9"/>
      <c r="AHH363" s="9"/>
      <c r="AHI363" s="9"/>
      <c r="AHJ363" s="9"/>
      <c r="AHK363" s="9"/>
      <c r="AHL363" s="9"/>
      <c r="AHM363" s="9"/>
      <c r="AHN363" s="9"/>
      <c r="AHO363" s="9"/>
      <c r="AHP363" s="9"/>
      <c r="AHQ363" s="9"/>
      <c r="AHR363" s="9"/>
      <c r="AHS363" s="9"/>
      <c r="AHT363" s="9"/>
      <c r="AHU363" s="9"/>
      <c r="AHV363" s="9"/>
      <c r="AHW363" s="9"/>
      <c r="AHX363" s="9"/>
      <c r="AHY363" s="9"/>
      <c r="AHZ363" s="9"/>
      <c r="AIA363" s="9"/>
      <c r="AIB363" s="9"/>
      <c r="AIC363" s="9"/>
      <c r="AID363" s="9"/>
      <c r="AIE363" s="9"/>
      <c r="AIF363" s="9"/>
      <c r="AIG363" s="9"/>
      <c r="AIH363" s="9"/>
      <c r="AII363" s="9"/>
      <c r="AIJ363" s="9"/>
      <c r="AIK363" s="9"/>
      <c r="AIL363" s="9"/>
      <c r="AIM363" s="9"/>
      <c r="AIN363" s="9"/>
      <c r="AIO363" s="9"/>
      <c r="AIP363" s="9"/>
      <c r="AIQ363" s="9"/>
      <c r="AIR363" s="9"/>
      <c r="AIS363" s="9"/>
      <c r="AIT363" s="9"/>
      <c r="AIU363" s="9"/>
      <c r="AIV363" s="9"/>
      <c r="AIW363" s="9"/>
      <c r="AIX363" s="9"/>
      <c r="AIY363" s="9"/>
      <c r="AIZ363" s="9"/>
      <c r="AJA363" s="9"/>
      <c r="AJB363" s="9"/>
      <c r="AJC363" s="9"/>
      <c r="AJD363" s="9"/>
      <c r="AJE363" s="9"/>
      <c r="AJF363" s="9"/>
      <c r="AJG363" s="9"/>
      <c r="AJH363" s="9"/>
      <c r="AJI363" s="9"/>
      <c r="AJJ363" s="9"/>
      <c r="AJK363" s="9"/>
      <c r="AJL363" s="9"/>
      <c r="AJM363" s="9"/>
      <c r="AJN363" s="9"/>
      <c r="AJO363" s="9"/>
      <c r="AJP363" s="9"/>
      <c r="AJQ363" s="9"/>
      <c r="AJR363" s="9"/>
      <c r="AJS363" s="9"/>
      <c r="AJT363" s="9"/>
      <c r="AJU363" s="9"/>
      <c r="AJV363" s="9"/>
      <c r="AJW363" s="9"/>
      <c r="AJX363" s="9"/>
      <c r="AJY363" s="9"/>
      <c r="AJZ363" s="9"/>
      <c r="AKA363" s="9"/>
      <c r="AKB363" s="9"/>
      <c r="AKC363" s="9"/>
      <c r="AKD363" s="9"/>
      <c r="AKE363" s="9"/>
      <c r="AKF363" s="9"/>
      <c r="AKG363" s="9"/>
      <c r="AKH363" s="9"/>
      <c r="AKI363" s="9"/>
      <c r="AKJ363" s="9"/>
      <c r="AKK363" s="9"/>
      <c r="AKL363" s="9"/>
      <c r="AKM363" s="9"/>
      <c r="AKN363" s="9"/>
      <c r="AKO363" s="9"/>
      <c r="AKP363" s="9"/>
      <c r="AKQ363" s="9"/>
      <c r="AKR363" s="9"/>
      <c r="AKS363" s="9"/>
      <c r="AKT363" s="9"/>
      <c r="AKU363" s="9"/>
      <c r="AKV363" s="9"/>
      <c r="AKW363" s="9"/>
      <c r="AKX363" s="9"/>
      <c r="AKY363" s="9"/>
      <c r="AKZ363" s="9"/>
      <c r="ALA363" s="9"/>
      <c r="ALB363" s="9"/>
      <c r="ALC363" s="9"/>
      <c r="ALD363" s="9"/>
      <c r="ALE363" s="9"/>
      <c r="ALF363" s="9"/>
      <c r="ALG363" s="9"/>
      <c r="ALH363" s="9"/>
      <c r="ALI363" s="9"/>
      <c r="ALJ363" s="9"/>
      <c r="ALK363" s="9"/>
      <c r="ALL363" s="9"/>
      <c r="ALM363" s="9"/>
      <c r="ALN363" s="9"/>
      <c r="ALO363" s="9"/>
      <c r="ALP363" s="9"/>
      <c r="ALQ363" s="9"/>
      <c r="ALR363" s="9"/>
      <c r="ALS363" s="9"/>
      <c r="ALT363" s="9"/>
      <c r="ALU363" s="9"/>
      <c r="ALV363" s="9"/>
      <c r="ALW363" s="9"/>
      <c r="ALX363" s="9"/>
      <c r="ALY363" s="9"/>
      <c r="ALZ363" s="9"/>
      <c r="AMA363" s="9"/>
      <c r="AMB363" s="9"/>
      <c r="AMC363" s="9"/>
      <c r="AMD363" s="9"/>
      <c r="AME363" s="9"/>
      <c r="AMF363" s="9"/>
      <c r="AMG363" s="9"/>
      <c r="AMH363" s="9"/>
      <c r="AMI363" s="9"/>
      <c r="AMJ363" s="9"/>
      <c r="AMK363" s="9"/>
      <c r="AML363" s="9"/>
      <c r="AMM363" s="9"/>
      <c r="AMN363" s="9"/>
      <c r="AMO363" s="9"/>
      <c r="AMP363" s="9"/>
    </row>
    <row r="364" spans="1:1030" s="12" customFormat="1" x14ac:dyDescent="0.2">
      <c r="A364" s="9" t="str">
        <f>CONCATENATE(B364,"_",C364)</f>
        <v>fzd4_human__wt</v>
      </c>
      <c r="B364" s="9" t="s">
        <v>450</v>
      </c>
      <c r="C364" s="9" t="s">
        <v>100</v>
      </c>
      <c r="D364" s="9" t="str">
        <f>IFERROR(MID(VLOOKUP($B364,Seqs!$A:$B,2,0),E364,1),"")</f>
        <v>S</v>
      </c>
      <c r="E364" s="9">
        <v>212</v>
      </c>
      <c r="F364" s="9" t="str">
        <f>IFERROR(MID(VLOOKUP($B364,Seqs!$A:$B,2,0),G364,1),"")</f>
        <v>D</v>
      </c>
      <c r="G364" s="9">
        <v>244</v>
      </c>
      <c r="H364" s="9" t="str">
        <f>IFERROR(MID(VLOOKUP($B364,Seqs!$A:$B,2,0),I364,1),"")</f>
        <v>S</v>
      </c>
      <c r="I364" s="109">
        <v>245</v>
      </c>
      <c r="J364" s="9" t="str">
        <f>IFERROR(MID(VLOOKUP($B364,Seqs!$A:$B,2,0),K364,1),"")</f>
        <v>S</v>
      </c>
      <c r="K364" s="109">
        <v>249</v>
      </c>
      <c r="L364" s="9" t="str">
        <f>IFERROR(MID(VLOOKUP($B364,Seqs!$A:$B,2,0),M364,1),"")</f>
        <v>Y</v>
      </c>
      <c r="M364" s="9">
        <v>250</v>
      </c>
      <c r="N364" s="9" t="str">
        <f>IFERROR(MID(VLOOKUP($B364,Seqs!$A:$B,2,0),O364,1),"")</f>
        <v>G</v>
      </c>
      <c r="O364" s="9">
        <v>276</v>
      </c>
      <c r="P364" s="9" t="str">
        <f>IFERROR(MID(VLOOKUP($B364,Seqs!$A:$B,2,0),Q364,1),"")</f>
        <v/>
      </c>
      <c r="Q364" s="9" t="s">
        <v>23</v>
      </c>
      <c r="R364" s="9" t="str">
        <f>IFERROR(MID(VLOOKUP($B364,Seqs!$A:$B,2,0),S364,1),"")</f>
        <v/>
      </c>
      <c r="S364" s="9" t="s">
        <v>23</v>
      </c>
      <c r="T364" s="9" t="str">
        <f>IFERROR(MID(VLOOKUP($B364,Seqs!$A:$B,2,0),U364,1),"")</f>
        <v>N</v>
      </c>
      <c r="U364" s="9">
        <v>299</v>
      </c>
      <c r="V364" s="9" t="str">
        <f>IFERROR(MID(VLOOKUP($B364,Seqs!$A:$B,2,0),W364,1),"")</f>
        <v>G</v>
      </c>
      <c r="W364" s="9">
        <v>332</v>
      </c>
      <c r="X364" s="9" t="str">
        <f>IFERROR(MID(VLOOKUP($B364,Seqs!$A:$B,2,0),Y364,1),"")</f>
        <v/>
      </c>
      <c r="Y364" s="9" t="s">
        <v>23</v>
      </c>
      <c r="Z364" s="9" t="str">
        <f>IFERROR(MID(VLOOKUP($B364,Seqs!$A:$B,2,0),AA364,1),"")</f>
        <v/>
      </c>
      <c r="AA364" s="9" t="s">
        <v>23</v>
      </c>
      <c r="AB364" s="9" t="str">
        <f>IFERROR(MID(VLOOKUP($B364,Seqs!$A:$B,2,0),AC364,1),"")</f>
        <v>H</v>
      </c>
      <c r="AC364" s="9">
        <v>343</v>
      </c>
      <c r="AD364" s="9" t="str">
        <f>IFERROR(MID(VLOOKUP($B364,Seqs!$A:$B,2,0),AE364,1),"")</f>
        <v>R</v>
      </c>
      <c r="AE364" s="9">
        <v>366</v>
      </c>
      <c r="AF364" s="9" t="str">
        <f>IFERROR(MID(VLOOKUP($B364,Seqs!$A:$B,2,0),AG364,1),"")</f>
        <v>C</v>
      </c>
      <c r="AG364" s="9">
        <v>377</v>
      </c>
      <c r="AH364" s="9" t="str">
        <f>IFERROR(MID(VLOOKUP($B364,Seqs!$A:$B,2,0),AI364,1),"")</f>
        <v>V</v>
      </c>
      <c r="AI364" s="9">
        <v>379</v>
      </c>
      <c r="AJ364" s="9" t="str">
        <f>IFERROR(MID(VLOOKUP($B364,Seqs!$A:$B,2,0),AK364,1),"")</f>
        <v>N</v>
      </c>
      <c r="AK364" s="9">
        <v>383</v>
      </c>
      <c r="AL364" s="9" t="str">
        <f>IFERROR(MID(VLOOKUP($B364,Seqs!$A:$B,2,0),AM364,1),"")</f>
        <v>L</v>
      </c>
      <c r="AM364" s="9">
        <v>420</v>
      </c>
      <c r="AN364" s="9" t="str">
        <f>IFERROR(MID(VLOOKUP($B364,Seqs!$A:$B,2,0),AO364,1),"")</f>
        <v>E</v>
      </c>
      <c r="AO364" s="9">
        <v>431</v>
      </c>
      <c r="AP364" s="9" t="str">
        <f>IFERROR(MID(VLOOKUP($B364,Seqs!$A:$B,2,0),AQ364,1),"")</f>
        <v>N</v>
      </c>
      <c r="AQ364" s="9">
        <v>461</v>
      </c>
      <c r="AR364" s="9" t="str">
        <f>IFERROR(MID(VLOOKUP($B364,Seqs!$A:$B,2,0),AS364,1),"")</f>
        <v>N</v>
      </c>
      <c r="AS364" s="9">
        <v>473</v>
      </c>
      <c r="AT364" s="9" t="str">
        <f>IFERROR(MID(VLOOKUP($B364,Seqs!$A:$B,2,0),AU364,1),"")</f>
        <v>W</v>
      </c>
      <c r="AU364" s="9">
        <v>496</v>
      </c>
      <c r="AV364" s="9" t="str">
        <f>IFERROR(MID(VLOOKUP($B364,Seqs!$A:$B,2,0),AW364,1),"")</f>
        <v>S</v>
      </c>
      <c r="AW364" s="9">
        <v>497</v>
      </c>
      <c r="AX364" s="9" t="str">
        <f>IFERROR(MID(VLOOKUP($B364,Seqs!$A:$B,2,0),AY364,1),"")</f>
        <v>V</v>
      </c>
      <c r="AY364" s="9">
        <v>512</v>
      </c>
      <c r="AZ364" s="110" t="str">
        <f>VLOOKUP(B364,Classification!A:D,2,0)</f>
        <v>F</v>
      </c>
      <c r="BA364" s="98" t="str">
        <f>VLOOKUP(B364,Classification!A:D,4,0)</f>
        <v>Frizzled</v>
      </c>
      <c r="BB364" s="36" t="b">
        <f t="shared" ref="BB364:BB365" si="2291">AND(E364&lt;G364,OR(G364&lt;I364,I364="-"),OR(I364&lt;K364,I364="-"),OR(K364&lt;M364,K364="-"),M364&lt;O364,OR(O364&lt;Q364,Q364="-"),OR(Q364&lt;S364,Q364="-"),OR(S364&lt;U364,S364="-"),U364&lt;W364,OR(W364&lt;Y364,Y364="-"),OR(Y364&lt;AA364,Y364="-"),OR(AA364&lt;AC364,AA364="-"),AC364&lt;AE364,OR(AE364&lt;AG364,AG364="-"),OR(AG364&lt;AI364,AG364="-"),OR(AI364&lt;AK364,AI364="-"),AK364&lt;AM364,AM364&lt;AO364,AO364&lt;AQ364,AQ364&lt;AS364,AS364&lt;AU364,OR(AU364&lt;AW364,AW364="-"),OR(AW364&lt;AY364,AW364="-"))</f>
        <v>1</v>
      </c>
      <c r="BC364" s="109">
        <f t="shared" ref="BC364:BC365" si="2292">_xlfn.AGGREGATE(9,6,CH364:CS364)-_xlfn.AGGREGATE(9,6,BV364:CG364)+12</f>
        <v>237</v>
      </c>
      <c r="BD364" s="11" t="s">
        <v>23</v>
      </c>
      <c r="BE364" s="9" t="s">
        <v>23</v>
      </c>
      <c r="BF364" s="120" t="s">
        <v>23</v>
      </c>
      <c r="BG364" s="51" t="s">
        <v>23</v>
      </c>
      <c r="BH364" s="51" t="s">
        <v>23</v>
      </c>
      <c r="BI364" s="9"/>
      <c r="BJ364" s="111" t="s">
        <v>1287</v>
      </c>
      <c r="BK364" s="112" t="s">
        <v>1287</v>
      </c>
      <c r="BL364" s="112" t="s">
        <v>1287</v>
      </c>
      <c r="BM364" s="112" t="s">
        <v>1287</v>
      </c>
      <c r="BN364" s="112" t="s">
        <v>1287</v>
      </c>
      <c r="BO364" s="112" t="s">
        <v>1287</v>
      </c>
      <c r="BP364" s="112" t="s">
        <v>1287</v>
      </c>
      <c r="BQ364" s="112" t="s">
        <v>1287</v>
      </c>
      <c r="BR364" s="112" t="s">
        <v>1287</v>
      </c>
      <c r="BS364" s="112" t="s">
        <v>1287</v>
      </c>
      <c r="BT364" s="112" t="s">
        <v>1287</v>
      </c>
      <c r="BU364" s="112" t="s">
        <v>1287</v>
      </c>
      <c r="BV364" s="111">
        <f t="shared" ref="BV364:BV365" si="2293">E364</f>
        <v>212</v>
      </c>
      <c r="BW364" s="113">
        <f t="shared" ref="BW364:BW365" si="2294">I364</f>
        <v>245</v>
      </c>
      <c r="BX364" s="114">
        <f t="shared" ref="BX364:BX365" si="2295">M364</f>
        <v>250</v>
      </c>
      <c r="BY364" s="113" t="str">
        <f t="shared" ref="BY364:BY365" si="2296">Q364</f>
        <v>-</v>
      </c>
      <c r="BZ364" s="114">
        <f t="shared" ref="BZ364:BZ365" si="2297">U364</f>
        <v>299</v>
      </c>
      <c r="CA364" s="113" t="str">
        <f t="shared" ref="CA364:CA365" si="2298">Y364</f>
        <v>-</v>
      </c>
      <c r="CB364" s="114">
        <f t="shared" ref="CB364:CB365" si="2299">AC364</f>
        <v>343</v>
      </c>
      <c r="CC364" s="113">
        <f t="shared" ref="CC364:CC365" si="2300">AG364</f>
        <v>377</v>
      </c>
      <c r="CD364" s="114">
        <f t="shared" ref="CD364:CD365" si="2301">AK364</f>
        <v>383</v>
      </c>
      <c r="CE364" s="113">
        <f t="shared" ref="CE364:CE365" si="2302">AO364</f>
        <v>431</v>
      </c>
      <c r="CF364" s="114">
        <f t="shared" ref="CF364:CF365" si="2303">AS364</f>
        <v>473</v>
      </c>
      <c r="CG364" s="113">
        <f t="shared" ref="CG364:CG365" si="2304">AW364</f>
        <v>497</v>
      </c>
      <c r="CH364" s="111">
        <f t="shared" ref="CH364:CH365" si="2305">G364</f>
        <v>244</v>
      </c>
      <c r="CI364" s="113">
        <f t="shared" ref="CI364:CI365" si="2306">K364</f>
        <v>249</v>
      </c>
      <c r="CJ364" s="114">
        <f t="shared" ref="CJ364:CJ365" si="2307">O364</f>
        <v>276</v>
      </c>
      <c r="CK364" s="114" t="str">
        <f t="shared" ref="CK364:CK365" si="2308">S364</f>
        <v>-</v>
      </c>
      <c r="CL364" s="114">
        <f t="shared" ref="CL364:CL365" si="2309">W364</f>
        <v>332</v>
      </c>
      <c r="CM364" s="114" t="str">
        <f t="shared" ref="CM364:CM365" si="2310">AA364</f>
        <v>-</v>
      </c>
      <c r="CN364" s="114">
        <f t="shared" ref="CN364:CN365" si="2311">AE364</f>
        <v>366</v>
      </c>
      <c r="CO364" s="114">
        <f t="shared" ref="CO364:CO365" si="2312">AI364</f>
        <v>379</v>
      </c>
      <c r="CP364" s="114">
        <f t="shared" ref="CP364:CP365" si="2313">AM364</f>
        <v>420</v>
      </c>
      <c r="CQ364" s="114">
        <f t="shared" ref="CQ364:CQ365" si="2314">AQ364</f>
        <v>461</v>
      </c>
      <c r="CR364" s="114">
        <f t="shared" ref="CR364:CR365" si="2315">AU364</f>
        <v>496</v>
      </c>
      <c r="CS364" s="114">
        <f t="shared" ref="CS364:CS365" si="2316">AY364</f>
        <v>512</v>
      </c>
      <c r="CT364" s="109">
        <f t="shared" ref="CT364:CT365" si="2317">M364-K364</f>
        <v>1</v>
      </c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  <c r="GB364" s="9"/>
      <c r="GC364" s="9"/>
      <c r="GD364" s="9"/>
      <c r="GE364" s="9"/>
      <c r="GF364" s="9"/>
      <c r="GG364" s="9"/>
      <c r="GH364" s="9"/>
      <c r="GI364" s="9"/>
      <c r="GJ364" s="9"/>
      <c r="GK364" s="9"/>
      <c r="GL364" s="9"/>
      <c r="GM364" s="9"/>
      <c r="GN364" s="9"/>
      <c r="GO364" s="9"/>
      <c r="GP364" s="9"/>
      <c r="GQ364" s="9"/>
      <c r="GR364" s="9"/>
      <c r="GS364" s="9"/>
      <c r="GT364" s="9"/>
      <c r="GU364" s="9"/>
      <c r="GV364" s="9"/>
      <c r="GW364" s="9"/>
      <c r="GX364" s="9"/>
      <c r="GY364" s="9"/>
      <c r="GZ364" s="9"/>
      <c r="HA364" s="9"/>
      <c r="HB364" s="9"/>
      <c r="HC364" s="9"/>
      <c r="HD364" s="9"/>
      <c r="HE364" s="9"/>
      <c r="HF364" s="9"/>
      <c r="HG364" s="9"/>
      <c r="HH364" s="9"/>
      <c r="HI364" s="9"/>
      <c r="HJ364" s="9"/>
      <c r="HK364" s="9"/>
      <c r="HL364" s="9"/>
      <c r="HM364" s="9"/>
      <c r="HN364" s="9"/>
      <c r="HO364" s="9"/>
      <c r="HP364" s="9"/>
      <c r="HQ364" s="9"/>
      <c r="HR364" s="9"/>
      <c r="HS364" s="9"/>
      <c r="HT364" s="9"/>
      <c r="HU364" s="9"/>
      <c r="HV364" s="9"/>
      <c r="HW364" s="9"/>
      <c r="HX364" s="9"/>
      <c r="HY364" s="9"/>
      <c r="HZ364" s="9"/>
      <c r="IA364" s="9"/>
      <c r="IB364" s="9"/>
      <c r="IC364" s="9"/>
      <c r="ID364" s="9"/>
      <c r="IE364" s="9"/>
      <c r="IF364" s="9"/>
      <c r="IG364" s="9"/>
      <c r="IH364" s="9"/>
      <c r="II364" s="9"/>
      <c r="IJ364" s="9"/>
      <c r="IK364" s="9"/>
      <c r="IL364" s="9"/>
      <c r="IM364" s="9"/>
      <c r="IN364" s="9"/>
      <c r="IO364" s="9"/>
      <c r="IP364" s="9"/>
      <c r="IQ364" s="9"/>
      <c r="IR364" s="9"/>
      <c r="IS364" s="9"/>
      <c r="IT364" s="9"/>
      <c r="IU364" s="9"/>
      <c r="IV364" s="9"/>
      <c r="IW364" s="9"/>
      <c r="IX364" s="9"/>
      <c r="IY364" s="9"/>
      <c r="IZ364" s="9"/>
      <c r="JA364" s="9"/>
      <c r="JB364" s="9"/>
      <c r="JC364" s="9"/>
      <c r="JD364" s="9"/>
      <c r="JE364" s="9"/>
      <c r="JF364" s="9"/>
      <c r="JG364" s="9"/>
      <c r="JH364" s="9"/>
      <c r="JI364" s="9"/>
      <c r="JJ364" s="9"/>
      <c r="JK364" s="9"/>
      <c r="JL364" s="9"/>
      <c r="JM364" s="9"/>
      <c r="JN364" s="9"/>
      <c r="JO364" s="9"/>
      <c r="JP364" s="9"/>
      <c r="JQ364" s="9"/>
      <c r="JR364" s="9"/>
      <c r="JS364" s="9"/>
      <c r="JT364" s="9"/>
      <c r="JU364" s="9"/>
      <c r="JV364" s="9"/>
      <c r="JW364" s="9"/>
      <c r="JX364" s="9"/>
      <c r="JY364" s="9"/>
      <c r="JZ364" s="9"/>
      <c r="KA364" s="9"/>
      <c r="KB364" s="9"/>
      <c r="KC364" s="9"/>
      <c r="KD364" s="9"/>
      <c r="KE364" s="9"/>
      <c r="KF364" s="9"/>
      <c r="KG364" s="9"/>
      <c r="KH364" s="9"/>
      <c r="KI364" s="9"/>
      <c r="KJ364" s="9"/>
      <c r="KK364" s="9"/>
      <c r="KL364" s="9"/>
      <c r="KM364" s="9"/>
      <c r="KN364" s="9"/>
      <c r="KO364" s="9"/>
      <c r="KP364" s="9"/>
      <c r="KQ364" s="9"/>
      <c r="KR364" s="9"/>
      <c r="KS364" s="9"/>
      <c r="KT364" s="9"/>
      <c r="KU364" s="9"/>
      <c r="KV364" s="9"/>
      <c r="KW364" s="9"/>
      <c r="KX364" s="9"/>
      <c r="KY364" s="9"/>
      <c r="KZ364" s="9"/>
      <c r="LA364" s="9"/>
      <c r="LB364" s="9"/>
      <c r="LC364" s="9"/>
      <c r="LD364" s="9"/>
      <c r="LE364" s="9"/>
      <c r="LF364" s="9"/>
      <c r="LG364" s="9"/>
      <c r="LH364" s="9"/>
      <c r="LI364" s="9"/>
      <c r="LJ364" s="9"/>
      <c r="LK364" s="9"/>
      <c r="LL364" s="9"/>
      <c r="LM364" s="9"/>
      <c r="LN364" s="9"/>
      <c r="LO364" s="9"/>
      <c r="LP364" s="9"/>
      <c r="LQ364" s="9"/>
      <c r="LR364" s="9"/>
      <c r="LS364" s="9"/>
      <c r="LT364" s="9"/>
      <c r="LU364" s="9"/>
      <c r="LV364" s="9"/>
      <c r="LW364" s="9"/>
      <c r="LX364" s="9"/>
      <c r="LY364" s="9"/>
      <c r="LZ364" s="9"/>
      <c r="MA364" s="9"/>
      <c r="MB364" s="9"/>
      <c r="MC364" s="9"/>
      <c r="MD364" s="9"/>
      <c r="ME364" s="9"/>
      <c r="MF364" s="9"/>
      <c r="MG364" s="9"/>
      <c r="MH364" s="9"/>
      <c r="MI364" s="9"/>
      <c r="MJ364" s="9"/>
      <c r="MK364" s="9"/>
      <c r="ML364" s="9"/>
      <c r="MM364" s="9"/>
      <c r="MN364" s="9"/>
      <c r="MO364" s="9"/>
      <c r="MP364" s="9"/>
      <c r="MQ364" s="9"/>
      <c r="MR364" s="9"/>
      <c r="MS364" s="9"/>
      <c r="MT364" s="9"/>
      <c r="MU364" s="9"/>
      <c r="MV364" s="9"/>
      <c r="MW364" s="9"/>
      <c r="MX364" s="9"/>
      <c r="MY364" s="9"/>
      <c r="MZ364" s="9"/>
      <c r="NA364" s="9"/>
      <c r="NB364" s="9"/>
      <c r="NC364" s="9"/>
      <c r="ND364" s="9"/>
      <c r="NE364" s="9"/>
      <c r="NF364" s="9"/>
      <c r="NG364" s="9"/>
      <c r="NH364" s="9"/>
      <c r="NI364" s="9"/>
      <c r="NJ364" s="9"/>
      <c r="NK364" s="9"/>
      <c r="NL364" s="9"/>
      <c r="NM364" s="9"/>
      <c r="NN364" s="9"/>
      <c r="NO364" s="9"/>
      <c r="NP364" s="9"/>
      <c r="NQ364" s="9"/>
      <c r="NR364" s="9"/>
      <c r="NS364" s="9"/>
      <c r="NT364" s="9"/>
      <c r="NU364" s="9"/>
      <c r="NV364" s="9"/>
      <c r="NW364" s="9"/>
      <c r="NX364" s="9"/>
      <c r="NY364" s="9"/>
      <c r="NZ364" s="9"/>
      <c r="OA364" s="9"/>
      <c r="OB364" s="9"/>
      <c r="OC364" s="9"/>
      <c r="OD364" s="9"/>
      <c r="OE364" s="9"/>
      <c r="OF364" s="9"/>
      <c r="OG364" s="9"/>
      <c r="OH364" s="9"/>
      <c r="OI364" s="9"/>
      <c r="OJ364" s="9"/>
      <c r="OK364" s="9"/>
      <c r="OL364" s="9"/>
      <c r="OM364" s="9"/>
      <c r="ON364" s="9"/>
      <c r="OO364" s="9"/>
      <c r="OP364" s="9"/>
      <c r="OQ364" s="9"/>
      <c r="OR364" s="9"/>
      <c r="OS364" s="9"/>
      <c r="OT364" s="9"/>
      <c r="OU364" s="9"/>
      <c r="OV364" s="9"/>
      <c r="OW364" s="9"/>
      <c r="OX364" s="9"/>
      <c r="OY364" s="9"/>
      <c r="OZ364" s="9"/>
      <c r="PA364" s="9"/>
      <c r="PB364" s="9"/>
      <c r="PC364" s="9"/>
      <c r="PD364" s="9"/>
      <c r="PE364" s="9"/>
      <c r="PF364" s="9"/>
      <c r="PG364" s="9"/>
      <c r="PH364" s="9"/>
      <c r="PI364" s="9"/>
      <c r="PJ364" s="9"/>
      <c r="PK364" s="9"/>
      <c r="PL364" s="9"/>
      <c r="PM364" s="9"/>
      <c r="PN364" s="9"/>
      <c r="PO364" s="9"/>
      <c r="PP364" s="9"/>
      <c r="PQ364" s="9"/>
      <c r="PR364" s="9"/>
      <c r="PS364" s="9"/>
      <c r="PT364" s="9"/>
      <c r="PU364" s="9"/>
      <c r="PV364" s="9"/>
      <c r="PW364" s="9"/>
      <c r="PX364" s="9"/>
      <c r="PY364" s="9"/>
      <c r="PZ364" s="9"/>
      <c r="QA364" s="9"/>
      <c r="QB364" s="9"/>
      <c r="QC364" s="9"/>
      <c r="QD364" s="9"/>
      <c r="QE364" s="9"/>
      <c r="QF364" s="9"/>
      <c r="QG364" s="9"/>
      <c r="QH364" s="9"/>
      <c r="QI364" s="9"/>
      <c r="QJ364" s="9"/>
      <c r="QK364" s="9"/>
      <c r="QL364" s="9"/>
      <c r="QM364" s="9"/>
      <c r="QN364" s="9"/>
      <c r="QO364" s="9"/>
      <c r="QP364" s="9"/>
      <c r="QQ364" s="9"/>
      <c r="QR364" s="9"/>
      <c r="QS364" s="9"/>
      <c r="QT364" s="9"/>
      <c r="QU364" s="9"/>
      <c r="QV364" s="9"/>
      <c r="QW364" s="9"/>
      <c r="QX364" s="9"/>
      <c r="QY364" s="9"/>
      <c r="QZ364" s="9"/>
      <c r="RA364" s="9"/>
      <c r="RB364" s="9"/>
      <c r="RC364" s="9"/>
      <c r="RD364" s="9"/>
      <c r="RE364" s="9"/>
      <c r="RF364" s="9"/>
      <c r="RG364" s="9"/>
      <c r="RH364" s="9"/>
      <c r="RI364" s="9"/>
      <c r="RJ364" s="9"/>
      <c r="RK364" s="9"/>
      <c r="RL364" s="9"/>
      <c r="RM364" s="9"/>
      <c r="RN364" s="9"/>
      <c r="RO364" s="9"/>
      <c r="RP364" s="9"/>
      <c r="RQ364" s="9"/>
      <c r="RR364" s="9"/>
      <c r="RS364" s="9"/>
      <c r="RT364" s="9"/>
      <c r="RU364" s="9"/>
      <c r="RV364" s="9"/>
      <c r="RW364" s="9"/>
      <c r="RX364" s="9"/>
      <c r="RY364" s="9"/>
      <c r="RZ364" s="9"/>
      <c r="SA364" s="9"/>
      <c r="SB364" s="9"/>
      <c r="SC364" s="9"/>
      <c r="SD364" s="9"/>
      <c r="SE364" s="9"/>
      <c r="SF364" s="9"/>
      <c r="SG364" s="9"/>
      <c r="SH364" s="9"/>
      <c r="SI364" s="9"/>
      <c r="SJ364" s="9"/>
      <c r="SK364" s="9"/>
      <c r="SL364" s="9"/>
      <c r="SM364" s="9"/>
      <c r="SN364" s="9"/>
      <c r="SO364" s="9"/>
      <c r="SP364" s="9"/>
      <c r="SQ364" s="9"/>
      <c r="SR364" s="9"/>
      <c r="SS364" s="9"/>
      <c r="ST364" s="9"/>
      <c r="SU364" s="9"/>
      <c r="SV364" s="9"/>
      <c r="SW364" s="9"/>
      <c r="SX364" s="9"/>
      <c r="SY364" s="9"/>
      <c r="SZ364" s="9"/>
      <c r="TA364" s="9"/>
      <c r="TB364" s="9"/>
      <c r="TC364" s="9"/>
      <c r="TD364" s="9"/>
      <c r="TE364" s="9"/>
      <c r="TF364" s="9"/>
      <c r="TG364" s="9"/>
      <c r="TH364" s="9"/>
      <c r="TI364" s="9"/>
      <c r="TJ364" s="9"/>
      <c r="TK364" s="9"/>
      <c r="TL364" s="9"/>
      <c r="TM364" s="9"/>
      <c r="TN364" s="9"/>
      <c r="TO364" s="9"/>
      <c r="TP364" s="9"/>
      <c r="TQ364" s="9"/>
      <c r="TR364" s="9"/>
      <c r="TS364" s="9"/>
      <c r="TT364" s="9"/>
      <c r="TU364" s="9"/>
      <c r="TV364" s="9"/>
      <c r="TW364" s="9"/>
      <c r="TX364" s="9"/>
      <c r="TY364" s="9"/>
      <c r="TZ364" s="9"/>
      <c r="UA364" s="9"/>
      <c r="UB364" s="9"/>
      <c r="UC364" s="9"/>
      <c r="UD364" s="9"/>
      <c r="UE364" s="9"/>
      <c r="UF364" s="9"/>
      <c r="UG364" s="9"/>
      <c r="UH364" s="9"/>
      <c r="UI364" s="9"/>
      <c r="UJ364" s="9"/>
      <c r="UK364" s="9"/>
      <c r="UL364" s="9"/>
      <c r="UM364" s="9"/>
      <c r="UN364" s="9"/>
      <c r="UO364" s="9"/>
      <c r="UP364" s="9"/>
      <c r="UQ364" s="9"/>
      <c r="UR364" s="9"/>
      <c r="US364" s="9"/>
      <c r="UT364" s="9"/>
      <c r="UU364" s="9"/>
      <c r="UV364" s="9"/>
      <c r="UW364" s="9"/>
      <c r="UX364" s="9"/>
      <c r="UY364" s="9"/>
      <c r="UZ364" s="9"/>
      <c r="VA364" s="9"/>
      <c r="VB364" s="9"/>
      <c r="VC364" s="9"/>
      <c r="VD364" s="9"/>
      <c r="VE364" s="9"/>
      <c r="VF364" s="9"/>
      <c r="VG364" s="9"/>
      <c r="VH364" s="9"/>
      <c r="VI364" s="9"/>
      <c r="VJ364" s="9"/>
      <c r="VK364" s="9"/>
      <c r="VL364" s="9"/>
      <c r="VM364" s="9"/>
      <c r="VN364" s="9"/>
      <c r="VO364" s="9"/>
      <c r="VP364" s="9"/>
      <c r="VQ364" s="9"/>
      <c r="VR364" s="9"/>
      <c r="VS364" s="9"/>
      <c r="VT364" s="9"/>
      <c r="VU364" s="9"/>
      <c r="VV364" s="9"/>
      <c r="VW364" s="9"/>
      <c r="VX364" s="9"/>
      <c r="VY364" s="9"/>
      <c r="VZ364" s="9"/>
      <c r="WA364" s="9"/>
      <c r="WB364" s="9"/>
      <c r="WC364" s="9"/>
      <c r="WD364" s="9"/>
      <c r="WE364" s="9"/>
      <c r="WF364" s="9"/>
      <c r="WG364" s="9"/>
      <c r="WH364" s="9"/>
      <c r="WI364" s="9"/>
      <c r="WJ364" s="9"/>
      <c r="WK364" s="9"/>
      <c r="WL364" s="9"/>
      <c r="WM364" s="9"/>
      <c r="WN364" s="9"/>
      <c r="WO364" s="9"/>
      <c r="WP364" s="9"/>
      <c r="WQ364" s="9"/>
      <c r="WR364" s="9"/>
      <c r="WS364" s="9"/>
      <c r="WT364" s="9"/>
      <c r="WU364" s="9"/>
      <c r="WV364" s="9"/>
      <c r="WW364" s="9"/>
      <c r="WX364" s="9"/>
      <c r="WY364" s="9"/>
      <c r="WZ364" s="9"/>
      <c r="XA364" s="9"/>
      <c r="XB364" s="9"/>
      <c r="XC364" s="9"/>
      <c r="XD364" s="9"/>
      <c r="XE364" s="9"/>
      <c r="XF364" s="9"/>
      <c r="XG364" s="9"/>
      <c r="XH364" s="9"/>
      <c r="XI364" s="9"/>
      <c r="XJ364" s="9"/>
      <c r="XK364" s="9"/>
      <c r="XL364" s="9"/>
      <c r="XM364" s="9"/>
      <c r="XN364" s="9"/>
      <c r="XO364" s="9"/>
      <c r="XP364" s="9"/>
      <c r="XQ364" s="9"/>
      <c r="XR364" s="9"/>
      <c r="XS364" s="9"/>
      <c r="XT364" s="9"/>
      <c r="XU364" s="9"/>
      <c r="XV364" s="9"/>
      <c r="XW364" s="9"/>
      <c r="XX364" s="9"/>
      <c r="XY364" s="9"/>
      <c r="XZ364" s="9"/>
      <c r="YA364" s="9"/>
      <c r="YB364" s="9"/>
      <c r="YC364" s="9"/>
      <c r="YD364" s="9"/>
      <c r="YE364" s="9"/>
      <c r="YF364" s="9"/>
      <c r="YG364" s="9"/>
      <c r="YH364" s="9"/>
      <c r="YI364" s="9"/>
      <c r="YJ364" s="9"/>
      <c r="YK364" s="9"/>
      <c r="YL364" s="9"/>
      <c r="YM364" s="9"/>
      <c r="YN364" s="9"/>
      <c r="YO364" s="9"/>
      <c r="YP364" s="9"/>
      <c r="YQ364" s="9"/>
      <c r="YR364" s="9"/>
      <c r="YS364" s="9"/>
      <c r="YT364" s="9"/>
      <c r="YU364" s="9"/>
      <c r="YV364" s="9"/>
      <c r="YW364" s="9"/>
      <c r="YX364" s="9"/>
      <c r="YY364" s="9"/>
      <c r="YZ364" s="9"/>
      <c r="ZA364" s="9"/>
      <c r="ZB364" s="9"/>
      <c r="ZC364" s="9"/>
      <c r="ZD364" s="9"/>
      <c r="ZE364" s="9"/>
      <c r="ZF364" s="9"/>
      <c r="ZG364" s="9"/>
      <c r="ZH364" s="9"/>
      <c r="ZI364" s="9"/>
      <c r="ZJ364" s="9"/>
      <c r="ZK364" s="9"/>
      <c r="ZL364" s="9"/>
      <c r="ZM364" s="9"/>
      <c r="ZN364" s="9"/>
      <c r="ZO364" s="9"/>
      <c r="ZP364" s="9"/>
      <c r="ZQ364" s="9"/>
      <c r="ZR364" s="9"/>
      <c r="ZS364" s="9"/>
      <c r="ZT364" s="9"/>
      <c r="ZU364" s="9"/>
      <c r="ZV364" s="9"/>
      <c r="ZW364" s="9"/>
      <c r="ZX364" s="9"/>
      <c r="ZY364" s="9"/>
      <c r="ZZ364" s="9"/>
      <c r="AAA364" s="9"/>
      <c r="AAB364" s="9"/>
      <c r="AAC364" s="9"/>
      <c r="AAD364" s="9"/>
      <c r="AAE364" s="9"/>
      <c r="AAF364" s="9"/>
      <c r="AAG364" s="9"/>
      <c r="AAH364" s="9"/>
      <c r="AAI364" s="9"/>
      <c r="AAJ364" s="9"/>
      <c r="AAK364" s="9"/>
      <c r="AAL364" s="9"/>
      <c r="AAM364" s="9"/>
      <c r="AAN364" s="9"/>
      <c r="AAO364" s="9"/>
      <c r="AAP364" s="9"/>
      <c r="AAQ364" s="9"/>
      <c r="AAR364" s="9"/>
      <c r="AAS364" s="9"/>
      <c r="AAT364" s="9"/>
      <c r="AAU364" s="9"/>
      <c r="AAV364" s="9"/>
      <c r="AAW364" s="9"/>
      <c r="AAX364" s="9"/>
      <c r="AAY364" s="9"/>
      <c r="AAZ364" s="9"/>
      <c r="ABA364" s="9"/>
      <c r="ABB364" s="9"/>
      <c r="ABC364" s="9"/>
      <c r="ABD364" s="9"/>
      <c r="ABE364" s="9"/>
      <c r="ABF364" s="9"/>
      <c r="ABG364" s="9"/>
      <c r="ABH364" s="9"/>
      <c r="ABI364" s="9"/>
      <c r="ABJ364" s="9"/>
      <c r="ABK364" s="9"/>
      <c r="ABL364" s="9"/>
      <c r="ABM364" s="9"/>
      <c r="ABN364" s="9"/>
      <c r="ABO364" s="9"/>
      <c r="ABP364" s="9"/>
      <c r="ABQ364" s="9"/>
      <c r="ABR364" s="9"/>
      <c r="ABS364" s="9"/>
      <c r="ABT364" s="9"/>
      <c r="ABU364" s="9"/>
      <c r="ABV364" s="9"/>
      <c r="ABW364" s="9"/>
      <c r="ABX364" s="9"/>
      <c r="ABY364" s="9"/>
      <c r="ABZ364" s="9"/>
      <c r="ACA364" s="9"/>
      <c r="ACB364" s="9"/>
      <c r="ACC364" s="9"/>
      <c r="ACD364" s="9"/>
      <c r="ACE364" s="9"/>
      <c r="ACF364" s="9"/>
      <c r="ACG364" s="9"/>
      <c r="ACH364" s="9"/>
      <c r="ACI364" s="9"/>
      <c r="ACJ364" s="9"/>
      <c r="ACK364" s="9"/>
      <c r="ACL364" s="9"/>
      <c r="ACM364" s="9"/>
      <c r="ACN364" s="9"/>
      <c r="ACO364" s="9"/>
      <c r="ACP364" s="9"/>
      <c r="ACQ364" s="9"/>
      <c r="ACR364" s="9"/>
      <c r="ACS364" s="9"/>
      <c r="ACT364" s="9"/>
      <c r="ACU364" s="9"/>
      <c r="ACV364" s="9"/>
      <c r="ACW364" s="9"/>
      <c r="ACX364" s="9"/>
      <c r="ACY364" s="9"/>
      <c r="ACZ364" s="9"/>
      <c r="ADA364" s="9"/>
      <c r="ADB364" s="9"/>
      <c r="ADC364" s="9"/>
      <c r="ADD364" s="9"/>
      <c r="ADE364" s="9"/>
      <c r="ADF364" s="9"/>
      <c r="ADG364" s="9"/>
      <c r="ADH364" s="9"/>
      <c r="ADI364" s="9"/>
      <c r="ADJ364" s="9"/>
      <c r="ADK364" s="9"/>
      <c r="ADL364" s="9"/>
      <c r="ADM364" s="9"/>
      <c r="ADN364" s="9"/>
      <c r="ADO364" s="9"/>
      <c r="ADP364" s="9"/>
      <c r="ADQ364" s="9"/>
      <c r="ADR364" s="9"/>
      <c r="ADS364" s="9"/>
      <c r="ADT364" s="9"/>
      <c r="ADU364" s="9"/>
      <c r="ADV364" s="9"/>
      <c r="ADW364" s="9"/>
      <c r="ADX364" s="9"/>
      <c r="ADY364" s="9"/>
      <c r="ADZ364" s="9"/>
      <c r="AEA364" s="9"/>
      <c r="AEB364" s="9"/>
      <c r="AEC364" s="9"/>
      <c r="AED364" s="9"/>
      <c r="AEE364" s="9"/>
      <c r="AEF364" s="9"/>
      <c r="AEG364" s="9"/>
      <c r="AEH364" s="9"/>
      <c r="AEI364" s="9"/>
      <c r="AEJ364" s="9"/>
      <c r="AEK364" s="9"/>
      <c r="AEL364" s="9"/>
      <c r="AEM364" s="9"/>
      <c r="AEN364" s="9"/>
      <c r="AEO364" s="9"/>
      <c r="AEP364" s="9"/>
      <c r="AEQ364" s="9"/>
      <c r="AER364" s="9"/>
      <c r="AES364" s="9"/>
      <c r="AET364" s="9"/>
      <c r="AEU364" s="9"/>
      <c r="AEV364" s="9"/>
      <c r="AEW364" s="9"/>
      <c r="AEX364" s="9"/>
      <c r="AEY364" s="9"/>
      <c r="AEZ364" s="9"/>
      <c r="AFA364" s="9"/>
      <c r="AFB364" s="9"/>
      <c r="AFC364" s="9"/>
      <c r="AFD364" s="9"/>
      <c r="AFE364" s="9"/>
      <c r="AFF364" s="9"/>
      <c r="AFG364" s="9"/>
      <c r="AFH364" s="9"/>
      <c r="AFI364" s="9"/>
      <c r="AFJ364" s="9"/>
      <c r="AFK364" s="9"/>
      <c r="AFL364" s="9"/>
      <c r="AFM364" s="9"/>
      <c r="AFN364" s="9"/>
      <c r="AFO364" s="9"/>
      <c r="AFP364" s="9"/>
      <c r="AFQ364" s="9"/>
      <c r="AFR364" s="9"/>
      <c r="AFS364" s="9"/>
      <c r="AFT364" s="9"/>
      <c r="AFU364" s="9"/>
      <c r="AFV364" s="9"/>
      <c r="AFW364" s="9"/>
      <c r="AFX364" s="9"/>
      <c r="AFY364" s="9"/>
      <c r="AFZ364" s="9"/>
      <c r="AGA364" s="9"/>
      <c r="AGB364" s="9"/>
      <c r="AGC364" s="9"/>
      <c r="AGD364" s="9"/>
      <c r="AGE364" s="9"/>
      <c r="AGF364" s="9"/>
      <c r="AGG364" s="9"/>
      <c r="AGH364" s="9"/>
      <c r="AGI364" s="9"/>
      <c r="AGJ364" s="9"/>
      <c r="AGK364" s="9"/>
      <c r="AGL364" s="9"/>
      <c r="AGM364" s="9"/>
      <c r="AGN364" s="9"/>
      <c r="AGO364" s="9"/>
      <c r="AGP364" s="9"/>
      <c r="AGQ364" s="9"/>
      <c r="AGR364" s="9"/>
      <c r="AGS364" s="9"/>
      <c r="AGT364" s="9"/>
      <c r="AGU364" s="9"/>
      <c r="AGV364" s="9"/>
      <c r="AGW364" s="9"/>
      <c r="AGX364" s="9"/>
      <c r="AGY364" s="9"/>
      <c r="AGZ364" s="9"/>
      <c r="AHA364" s="9"/>
      <c r="AHB364" s="9"/>
      <c r="AHC364" s="9"/>
      <c r="AHD364" s="9"/>
      <c r="AHE364" s="9"/>
      <c r="AHF364" s="9"/>
      <c r="AHG364" s="9"/>
      <c r="AHH364" s="9"/>
      <c r="AHI364" s="9"/>
      <c r="AHJ364" s="9"/>
      <c r="AHK364" s="9"/>
      <c r="AHL364" s="9"/>
      <c r="AHM364" s="9"/>
      <c r="AHN364" s="9"/>
      <c r="AHO364" s="9"/>
      <c r="AHP364" s="9"/>
      <c r="AHQ364" s="9"/>
      <c r="AHR364" s="9"/>
      <c r="AHS364" s="9"/>
      <c r="AHT364" s="9"/>
      <c r="AHU364" s="9"/>
      <c r="AHV364" s="9"/>
      <c r="AHW364" s="9"/>
      <c r="AHX364" s="9"/>
      <c r="AHY364" s="9"/>
      <c r="AHZ364" s="9"/>
      <c r="AIA364" s="9"/>
      <c r="AIB364" s="9"/>
      <c r="AIC364" s="9"/>
      <c r="AID364" s="9"/>
      <c r="AIE364" s="9"/>
      <c r="AIF364" s="9"/>
      <c r="AIG364" s="9"/>
      <c r="AIH364" s="9"/>
      <c r="AII364" s="9"/>
      <c r="AIJ364" s="9"/>
      <c r="AIK364" s="9"/>
      <c r="AIL364" s="9"/>
      <c r="AIM364" s="9"/>
      <c r="AIN364" s="9"/>
      <c r="AIO364" s="9"/>
      <c r="AIP364" s="9"/>
      <c r="AIQ364" s="9"/>
      <c r="AIR364" s="9"/>
      <c r="AIS364" s="9"/>
      <c r="AIT364" s="9"/>
      <c r="AIU364" s="9"/>
      <c r="AIV364" s="9"/>
      <c r="AIW364" s="9"/>
      <c r="AIX364" s="9"/>
      <c r="AIY364" s="9"/>
      <c r="AIZ364" s="9"/>
      <c r="AJA364" s="9"/>
      <c r="AJB364" s="9"/>
      <c r="AJC364" s="9"/>
      <c r="AJD364" s="9"/>
      <c r="AJE364" s="9"/>
      <c r="AJF364" s="9"/>
      <c r="AJG364" s="9"/>
      <c r="AJH364" s="9"/>
      <c r="AJI364" s="9"/>
      <c r="AJJ364" s="9"/>
      <c r="AJK364" s="9"/>
      <c r="AJL364" s="9"/>
      <c r="AJM364" s="9"/>
      <c r="AJN364" s="9"/>
      <c r="AJO364" s="9"/>
      <c r="AJP364" s="9"/>
      <c r="AJQ364" s="9"/>
      <c r="AJR364" s="9"/>
      <c r="AJS364" s="9"/>
      <c r="AJT364" s="9"/>
      <c r="AJU364" s="9"/>
      <c r="AJV364" s="9"/>
      <c r="AJW364" s="9"/>
      <c r="AJX364" s="9"/>
      <c r="AJY364" s="9"/>
      <c r="AJZ364" s="9"/>
      <c r="AKA364" s="9"/>
      <c r="AKB364" s="9"/>
      <c r="AKC364" s="9"/>
      <c r="AKD364" s="9"/>
      <c r="AKE364" s="9"/>
      <c r="AKF364" s="9"/>
      <c r="AKG364" s="9"/>
      <c r="AKH364" s="9"/>
      <c r="AKI364" s="9"/>
      <c r="AKJ364" s="9"/>
      <c r="AKK364" s="9"/>
      <c r="AKL364" s="9"/>
      <c r="AKM364" s="9"/>
      <c r="AKN364" s="9"/>
      <c r="AKO364" s="9"/>
      <c r="AKP364" s="9"/>
      <c r="AKQ364" s="9"/>
      <c r="AKR364" s="9"/>
      <c r="AKS364" s="9"/>
      <c r="AKT364" s="9"/>
      <c r="AKU364" s="9"/>
      <c r="AKV364" s="9"/>
      <c r="AKW364" s="9"/>
      <c r="AKX364" s="9"/>
      <c r="AKY364" s="9"/>
      <c r="AKZ364" s="9"/>
      <c r="ALA364" s="9"/>
      <c r="ALB364" s="9"/>
      <c r="ALC364" s="9"/>
      <c r="ALD364" s="9"/>
      <c r="ALE364" s="9"/>
      <c r="ALF364" s="9"/>
      <c r="ALG364" s="9"/>
      <c r="ALH364" s="9"/>
      <c r="ALI364" s="9"/>
      <c r="ALJ364" s="9"/>
      <c r="ALK364" s="9"/>
      <c r="ALL364" s="9"/>
      <c r="ALM364" s="9"/>
      <c r="ALN364" s="9"/>
      <c r="ALO364" s="9"/>
      <c r="ALP364" s="9"/>
      <c r="ALQ364" s="9"/>
      <c r="ALR364" s="9"/>
      <c r="ALS364" s="9"/>
      <c r="ALT364" s="9"/>
      <c r="ALU364" s="9"/>
      <c r="ALV364" s="9"/>
      <c r="ALW364" s="9"/>
      <c r="ALX364" s="9"/>
      <c r="ALY364" s="9"/>
      <c r="ALZ364" s="9"/>
      <c r="AMA364" s="9"/>
      <c r="AMB364" s="9"/>
      <c r="AMC364" s="9"/>
      <c r="AMD364" s="9"/>
      <c r="AME364" s="9"/>
      <c r="AMF364" s="9"/>
      <c r="AMG364" s="9"/>
      <c r="AMH364" s="9"/>
      <c r="AMI364" s="9"/>
      <c r="AMJ364" s="9"/>
      <c r="AMK364" s="9"/>
      <c r="AML364" s="9"/>
      <c r="AMM364" s="9"/>
      <c r="AMN364" s="9"/>
      <c r="AMO364" s="9"/>
      <c r="AMP364" s="9"/>
    </row>
    <row r="365" spans="1:1030" s="12" customFormat="1" x14ac:dyDescent="0.2">
      <c r="A365" s="9" t="str">
        <f t="shared" ref="A365" si="2318">CONCATENATE(B365,"_",C365)</f>
        <v>fzd4_human_6BD4</v>
      </c>
      <c r="B365" s="9" t="s">
        <v>450</v>
      </c>
      <c r="C365" s="9" t="s">
        <v>1554</v>
      </c>
      <c r="D365" s="9" t="str">
        <f>IFERROR(MID(VLOOKUP($B365,Seqs!$A:$B,2,0),E365,1),"")</f>
        <v>S</v>
      </c>
      <c r="E365" s="9">
        <v>212</v>
      </c>
      <c r="F365" s="9" t="str">
        <f>IFERROR(MID(VLOOKUP($B365,Seqs!$A:$B,2,0),G365,1),"")</f>
        <v>D</v>
      </c>
      <c r="G365" s="9">
        <v>244</v>
      </c>
      <c r="H365" s="9" t="str">
        <f>IFERROR(MID(VLOOKUP($B365,Seqs!$A:$B,2,0),I365,1),"")</f>
        <v>S</v>
      </c>
      <c r="I365" s="109">
        <v>245</v>
      </c>
      <c r="J365" s="9" t="str">
        <f>IFERROR(MID(VLOOKUP($B365,Seqs!$A:$B,2,0),K365,1),"")</f>
        <v>S</v>
      </c>
      <c r="K365" s="109">
        <v>249</v>
      </c>
      <c r="L365" s="9" t="str">
        <f>IFERROR(MID(VLOOKUP($B365,Seqs!$A:$B,2,0),M365,1),"")</f>
        <v>Y</v>
      </c>
      <c r="M365" s="9">
        <v>250</v>
      </c>
      <c r="N365" s="9" t="str">
        <f>IFERROR(MID(VLOOKUP($B365,Seqs!$A:$B,2,0),O365,1),"")</f>
        <v>G</v>
      </c>
      <c r="O365" s="9">
        <v>276</v>
      </c>
      <c r="P365" s="9" t="str">
        <f>IFERROR(MID(VLOOKUP($B365,Seqs!$A:$B,2,0),Q365,1),"")</f>
        <v/>
      </c>
      <c r="Q365" s="9" t="s">
        <v>23</v>
      </c>
      <c r="R365" s="9" t="str">
        <f>IFERROR(MID(VLOOKUP($B365,Seqs!$A:$B,2,0),S365,1),"")</f>
        <v/>
      </c>
      <c r="S365" s="9" t="s">
        <v>23</v>
      </c>
      <c r="T365" s="9" t="str">
        <f>IFERROR(MID(VLOOKUP($B365,Seqs!$A:$B,2,0),U365,1),"")</f>
        <v>N</v>
      </c>
      <c r="U365" s="9">
        <v>299</v>
      </c>
      <c r="V365" s="9" t="str">
        <f>IFERROR(MID(VLOOKUP($B365,Seqs!$A:$B,2,0),W365,1),"")</f>
        <v>G</v>
      </c>
      <c r="W365" s="9">
        <v>332</v>
      </c>
      <c r="X365" s="9" t="str">
        <f>IFERROR(MID(VLOOKUP($B365,Seqs!$A:$B,2,0),Y365,1),"")</f>
        <v/>
      </c>
      <c r="Y365" s="9" t="s">
        <v>23</v>
      </c>
      <c r="Z365" s="9" t="str">
        <f>IFERROR(MID(VLOOKUP($B365,Seqs!$A:$B,2,0),AA365,1),"")</f>
        <v/>
      </c>
      <c r="AA365" s="9" t="s">
        <v>23</v>
      </c>
      <c r="AB365" s="9" t="str">
        <f>IFERROR(MID(VLOOKUP($B365,Seqs!$A:$B,2,0),AC365,1),"")</f>
        <v>H</v>
      </c>
      <c r="AC365" s="9">
        <v>343</v>
      </c>
      <c r="AD365" s="9" t="str">
        <f>IFERROR(MID(VLOOKUP($B365,Seqs!$A:$B,2,0),AE365,1),"")</f>
        <v>R</v>
      </c>
      <c r="AE365" s="9">
        <v>366</v>
      </c>
      <c r="AF365" s="9" t="str">
        <f>IFERROR(MID(VLOOKUP($B365,Seqs!$A:$B,2,0),AG365,1),"")</f>
        <v>C</v>
      </c>
      <c r="AG365" s="9">
        <v>377</v>
      </c>
      <c r="AH365" s="9" t="str">
        <f>IFERROR(MID(VLOOKUP($B365,Seqs!$A:$B,2,0),AI365,1),"")</f>
        <v>V</v>
      </c>
      <c r="AI365" s="9">
        <v>379</v>
      </c>
      <c r="AJ365" s="9" t="str">
        <f>IFERROR(MID(VLOOKUP($B365,Seqs!$A:$B,2,0),AK365,1),"")</f>
        <v>N</v>
      </c>
      <c r="AK365" s="9">
        <v>383</v>
      </c>
      <c r="AL365" s="9" t="str">
        <f>IFERROR(MID(VLOOKUP($B365,Seqs!$A:$B,2,0),AM365,1),"")</f>
        <v>S</v>
      </c>
      <c r="AM365" s="9">
        <v>418</v>
      </c>
      <c r="AN365" s="9" t="str">
        <f>IFERROR(MID(VLOOKUP($B365,Seqs!$A:$B,2,0),AO365,1),"")</f>
        <v>E</v>
      </c>
      <c r="AO365" s="9">
        <v>431</v>
      </c>
      <c r="AP365" s="9" t="str">
        <f>IFERROR(MID(VLOOKUP($B365,Seqs!$A:$B,2,0),AQ365,1),"")</f>
        <v>N</v>
      </c>
      <c r="AQ365" s="9">
        <v>461</v>
      </c>
      <c r="AR365" s="9" t="str">
        <f>IFERROR(MID(VLOOKUP($B365,Seqs!$A:$B,2,0),AS365,1),"")</f>
        <v>N</v>
      </c>
      <c r="AS365" s="9">
        <v>473</v>
      </c>
      <c r="AT365" s="9" t="str">
        <f>IFERROR(MID(VLOOKUP($B365,Seqs!$A:$B,2,0),AU365,1),"")</f>
        <v>W</v>
      </c>
      <c r="AU365" s="9">
        <v>496</v>
      </c>
      <c r="AV365" s="9" t="str">
        <f>IFERROR(MID(VLOOKUP($B365,Seqs!$A:$B,2,0),AW365,1),"")</f>
        <v>S</v>
      </c>
      <c r="AW365" s="9">
        <v>497</v>
      </c>
      <c r="AX365" s="9" t="str">
        <f>IFERROR(MID(VLOOKUP($B365,Seqs!$A:$B,2,0),AY365,1),"")</f>
        <v>V</v>
      </c>
      <c r="AY365" s="9">
        <v>512</v>
      </c>
      <c r="AZ365" s="110" t="str">
        <f>VLOOKUP(B365,Classification!A:D,2,0)</f>
        <v>F</v>
      </c>
      <c r="BA365" s="98" t="str">
        <f>VLOOKUP(B365,Classification!A:D,4,0)</f>
        <v>Frizzled</v>
      </c>
      <c r="BB365" s="36" t="b">
        <f t="shared" si="2291"/>
        <v>1</v>
      </c>
      <c r="BC365" s="109">
        <f t="shared" si="2292"/>
        <v>235</v>
      </c>
      <c r="BD365" s="11" t="s">
        <v>1376</v>
      </c>
      <c r="BE365" s="9" t="s">
        <v>1374</v>
      </c>
      <c r="BF365" s="120">
        <v>2.4</v>
      </c>
      <c r="BG365" s="51" t="s">
        <v>1</v>
      </c>
      <c r="BH365" s="51" t="s">
        <v>1</v>
      </c>
      <c r="BI365" s="9"/>
      <c r="BJ365" s="111" t="s">
        <v>1287</v>
      </c>
      <c r="BK365" s="112" t="s">
        <v>1287</v>
      </c>
      <c r="BL365" s="112" t="s">
        <v>1287</v>
      </c>
      <c r="BM365" s="112" t="s">
        <v>1287</v>
      </c>
      <c r="BN365" s="112" t="s">
        <v>1287</v>
      </c>
      <c r="BO365" s="112" t="s">
        <v>1287</v>
      </c>
      <c r="BP365" s="112" t="s">
        <v>1287</v>
      </c>
      <c r="BQ365" s="112" t="s">
        <v>1287</v>
      </c>
      <c r="BR365" s="112" t="s">
        <v>1287</v>
      </c>
      <c r="BS365" s="112" t="s">
        <v>1287</v>
      </c>
      <c r="BT365" s="112" t="s">
        <v>1287</v>
      </c>
      <c r="BU365" s="112" t="s">
        <v>1287</v>
      </c>
      <c r="BV365" s="111">
        <f t="shared" si="2293"/>
        <v>212</v>
      </c>
      <c r="BW365" s="113">
        <f t="shared" si="2294"/>
        <v>245</v>
      </c>
      <c r="BX365" s="114">
        <f t="shared" si="2295"/>
        <v>250</v>
      </c>
      <c r="BY365" s="113" t="str">
        <f t="shared" si="2296"/>
        <v>-</v>
      </c>
      <c r="BZ365" s="114">
        <f t="shared" si="2297"/>
        <v>299</v>
      </c>
      <c r="CA365" s="113" t="str">
        <f t="shared" si="2298"/>
        <v>-</v>
      </c>
      <c r="CB365" s="114">
        <f t="shared" si="2299"/>
        <v>343</v>
      </c>
      <c r="CC365" s="113">
        <f t="shared" si="2300"/>
        <v>377</v>
      </c>
      <c r="CD365" s="114">
        <f t="shared" si="2301"/>
        <v>383</v>
      </c>
      <c r="CE365" s="113">
        <f t="shared" si="2302"/>
        <v>431</v>
      </c>
      <c r="CF365" s="114">
        <f t="shared" si="2303"/>
        <v>473</v>
      </c>
      <c r="CG365" s="113">
        <f t="shared" si="2304"/>
        <v>497</v>
      </c>
      <c r="CH365" s="111">
        <f t="shared" si="2305"/>
        <v>244</v>
      </c>
      <c r="CI365" s="113">
        <f t="shared" si="2306"/>
        <v>249</v>
      </c>
      <c r="CJ365" s="114">
        <f t="shared" si="2307"/>
        <v>276</v>
      </c>
      <c r="CK365" s="114" t="str">
        <f t="shared" si="2308"/>
        <v>-</v>
      </c>
      <c r="CL365" s="114">
        <f t="shared" si="2309"/>
        <v>332</v>
      </c>
      <c r="CM365" s="114" t="str">
        <f t="shared" si="2310"/>
        <v>-</v>
      </c>
      <c r="CN365" s="114">
        <f t="shared" si="2311"/>
        <v>366</v>
      </c>
      <c r="CO365" s="114">
        <f t="shared" si="2312"/>
        <v>379</v>
      </c>
      <c r="CP365" s="114">
        <f t="shared" si="2313"/>
        <v>418</v>
      </c>
      <c r="CQ365" s="114">
        <f t="shared" si="2314"/>
        <v>461</v>
      </c>
      <c r="CR365" s="114">
        <f t="shared" si="2315"/>
        <v>496</v>
      </c>
      <c r="CS365" s="114">
        <f t="shared" si="2316"/>
        <v>512</v>
      </c>
      <c r="CT365" s="109">
        <f t="shared" si="2317"/>
        <v>1</v>
      </c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  <c r="GB365" s="9"/>
      <c r="GC365" s="9"/>
      <c r="GD365" s="9"/>
      <c r="GE365" s="9"/>
      <c r="GF365" s="9"/>
      <c r="GG365" s="9"/>
      <c r="GH365" s="9"/>
      <c r="GI365" s="9"/>
      <c r="GJ365" s="9"/>
      <c r="GK365" s="9"/>
      <c r="GL365" s="9"/>
      <c r="GM365" s="9"/>
      <c r="GN365" s="9"/>
      <c r="GO365" s="9"/>
      <c r="GP365" s="9"/>
      <c r="GQ365" s="9"/>
      <c r="GR365" s="9"/>
      <c r="GS365" s="9"/>
      <c r="GT365" s="9"/>
      <c r="GU365" s="9"/>
      <c r="GV365" s="9"/>
      <c r="GW365" s="9"/>
      <c r="GX365" s="9"/>
      <c r="GY365" s="9"/>
      <c r="GZ365" s="9"/>
      <c r="HA365" s="9"/>
      <c r="HB365" s="9"/>
      <c r="HC365" s="9"/>
      <c r="HD365" s="9"/>
      <c r="HE365" s="9"/>
      <c r="HF365" s="9"/>
      <c r="HG365" s="9"/>
      <c r="HH365" s="9"/>
      <c r="HI365" s="9"/>
      <c r="HJ365" s="9"/>
      <c r="HK365" s="9"/>
      <c r="HL365" s="9"/>
      <c r="HM365" s="9"/>
      <c r="HN365" s="9"/>
      <c r="HO365" s="9"/>
      <c r="HP365" s="9"/>
      <c r="HQ365" s="9"/>
      <c r="HR365" s="9"/>
      <c r="HS365" s="9"/>
      <c r="HT365" s="9"/>
      <c r="HU365" s="9"/>
      <c r="HV365" s="9"/>
      <c r="HW365" s="9"/>
      <c r="HX365" s="9"/>
      <c r="HY365" s="9"/>
      <c r="HZ365" s="9"/>
      <c r="IA365" s="9"/>
      <c r="IB365" s="9"/>
      <c r="IC365" s="9"/>
      <c r="ID365" s="9"/>
      <c r="IE365" s="9"/>
      <c r="IF365" s="9"/>
      <c r="IG365" s="9"/>
      <c r="IH365" s="9"/>
      <c r="II365" s="9"/>
      <c r="IJ365" s="9"/>
      <c r="IK365" s="9"/>
      <c r="IL365" s="9"/>
      <c r="IM365" s="9"/>
      <c r="IN365" s="9"/>
      <c r="IO365" s="9"/>
      <c r="IP365" s="9"/>
      <c r="IQ365" s="9"/>
      <c r="IR365" s="9"/>
      <c r="IS365" s="9"/>
      <c r="IT365" s="9"/>
      <c r="IU365" s="9"/>
      <c r="IV365" s="9"/>
      <c r="IW365" s="9"/>
      <c r="IX365" s="9"/>
      <c r="IY365" s="9"/>
      <c r="IZ365" s="9"/>
      <c r="JA365" s="9"/>
      <c r="JB365" s="9"/>
      <c r="JC365" s="9"/>
      <c r="JD365" s="9"/>
      <c r="JE365" s="9"/>
      <c r="JF365" s="9"/>
      <c r="JG365" s="9"/>
      <c r="JH365" s="9"/>
      <c r="JI365" s="9"/>
      <c r="JJ365" s="9"/>
      <c r="JK365" s="9"/>
      <c r="JL365" s="9"/>
      <c r="JM365" s="9"/>
      <c r="JN365" s="9"/>
      <c r="JO365" s="9"/>
      <c r="JP365" s="9"/>
      <c r="JQ365" s="9"/>
      <c r="JR365" s="9"/>
      <c r="JS365" s="9"/>
      <c r="JT365" s="9"/>
      <c r="JU365" s="9"/>
      <c r="JV365" s="9"/>
      <c r="JW365" s="9"/>
      <c r="JX365" s="9"/>
      <c r="JY365" s="9"/>
      <c r="JZ365" s="9"/>
      <c r="KA365" s="9"/>
      <c r="KB365" s="9"/>
      <c r="KC365" s="9"/>
      <c r="KD365" s="9"/>
      <c r="KE365" s="9"/>
      <c r="KF365" s="9"/>
      <c r="KG365" s="9"/>
      <c r="KH365" s="9"/>
      <c r="KI365" s="9"/>
      <c r="KJ365" s="9"/>
      <c r="KK365" s="9"/>
      <c r="KL365" s="9"/>
      <c r="KM365" s="9"/>
      <c r="KN365" s="9"/>
      <c r="KO365" s="9"/>
      <c r="KP365" s="9"/>
      <c r="KQ365" s="9"/>
      <c r="KR365" s="9"/>
      <c r="KS365" s="9"/>
      <c r="KT365" s="9"/>
      <c r="KU365" s="9"/>
      <c r="KV365" s="9"/>
      <c r="KW365" s="9"/>
      <c r="KX365" s="9"/>
      <c r="KY365" s="9"/>
      <c r="KZ365" s="9"/>
      <c r="LA365" s="9"/>
      <c r="LB365" s="9"/>
      <c r="LC365" s="9"/>
      <c r="LD365" s="9"/>
      <c r="LE365" s="9"/>
      <c r="LF365" s="9"/>
      <c r="LG365" s="9"/>
      <c r="LH365" s="9"/>
      <c r="LI365" s="9"/>
      <c r="LJ365" s="9"/>
      <c r="LK365" s="9"/>
      <c r="LL365" s="9"/>
      <c r="LM365" s="9"/>
      <c r="LN365" s="9"/>
      <c r="LO365" s="9"/>
      <c r="LP365" s="9"/>
      <c r="LQ365" s="9"/>
      <c r="LR365" s="9"/>
      <c r="LS365" s="9"/>
      <c r="LT365" s="9"/>
      <c r="LU365" s="9"/>
      <c r="LV365" s="9"/>
      <c r="LW365" s="9"/>
      <c r="LX365" s="9"/>
      <c r="LY365" s="9"/>
      <c r="LZ365" s="9"/>
      <c r="MA365" s="9"/>
      <c r="MB365" s="9"/>
      <c r="MC365" s="9"/>
      <c r="MD365" s="9"/>
      <c r="ME365" s="9"/>
      <c r="MF365" s="9"/>
      <c r="MG365" s="9"/>
      <c r="MH365" s="9"/>
      <c r="MI365" s="9"/>
      <c r="MJ365" s="9"/>
      <c r="MK365" s="9"/>
      <c r="ML365" s="9"/>
      <c r="MM365" s="9"/>
      <c r="MN365" s="9"/>
      <c r="MO365" s="9"/>
      <c r="MP365" s="9"/>
      <c r="MQ365" s="9"/>
      <c r="MR365" s="9"/>
      <c r="MS365" s="9"/>
      <c r="MT365" s="9"/>
      <c r="MU365" s="9"/>
      <c r="MV365" s="9"/>
      <c r="MW365" s="9"/>
      <c r="MX365" s="9"/>
      <c r="MY365" s="9"/>
      <c r="MZ365" s="9"/>
      <c r="NA365" s="9"/>
      <c r="NB365" s="9"/>
      <c r="NC365" s="9"/>
      <c r="ND365" s="9"/>
      <c r="NE365" s="9"/>
      <c r="NF365" s="9"/>
      <c r="NG365" s="9"/>
      <c r="NH365" s="9"/>
      <c r="NI365" s="9"/>
      <c r="NJ365" s="9"/>
      <c r="NK365" s="9"/>
      <c r="NL365" s="9"/>
      <c r="NM365" s="9"/>
      <c r="NN365" s="9"/>
      <c r="NO365" s="9"/>
      <c r="NP365" s="9"/>
      <c r="NQ365" s="9"/>
      <c r="NR365" s="9"/>
      <c r="NS365" s="9"/>
      <c r="NT365" s="9"/>
      <c r="NU365" s="9"/>
      <c r="NV365" s="9"/>
      <c r="NW365" s="9"/>
      <c r="NX365" s="9"/>
      <c r="NY365" s="9"/>
      <c r="NZ365" s="9"/>
      <c r="OA365" s="9"/>
      <c r="OB365" s="9"/>
      <c r="OC365" s="9"/>
      <c r="OD365" s="9"/>
      <c r="OE365" s="9"/>
      <c r="OF365" s="9"/>
      <c r="OG365" s="9"/>
      <c r="OH365" s="9"/>
      <c r="OI365" s="9"/>
      <c r="OJ365" s="9"/>
      <c r="OK365" s="9"/>
      <c r="OL365" s="9"/>
      <c r="OM365" s="9"/>
      <c r="ON365" s="9"/>
      <c r="OO365" s="9"/>
      <c r="OP365" s="9"/>
      <c r="OQ365" s="9"/>
      <c r="OR365" s="9"/>
      <c r="OS365" s="9"/>
      <c r="OT365" s="9"/>
      <c r="OU365" s="9"/>
      <c r="OV365" s="9"/>
      <c r="OW365" s="9"/>
      <c r="OX365" s="9"/>
      <c r="OY365" s="9"/>
      <c r="OZ365" s="9"/>
      <c r="PA365" s="9"/>
      <c r="PB365" s="9"/>
      <c r="PC365" s="9"/>
      <c r="PD365" s="9"/>
      <c r="PE365" s="9"/>
      <c r="PF365" s="9"/>
      <c r="PG365" s="9"/>
      <c r="PH365" s="9"/>
      <c r="PI365" s="9"/>
      <c r="PJ365" s="9"/>
      <c r="PK365" s="9"/>
      <c r="PL365" s="9"/>
      <c r="PM365" s="9"/>
      <c r="PN365" s="9"/>
      <c r="PO365" s="9"/>
      <c r="PP365" s="9"/>
      <c r="PQ365" s="9"/>
      <c r="PR365" s="9"/>
      <c r="PS365" s="9"/>
      <c r="PT365" s="9"/>
      <c r="PU365" s="9"/>
      <c r="PV365" s="9"/>
      <c r="PW365" s="9"/>
      <c r="PX365" s="9"/>
      <c r="PY365" s="9"/>
      <c r="PZ365" s="9"/>
      <c r="QA365" s="9"/>
      <c r="QB365" s="9"/>
      <c r="QC365" s="9"/>
      <c r="QD365" s="9"/>
      <c r="QE365" s="9"/>
      <c r="QF365" s="9"/>
      <c r="QG365" s="9"/>
      <c r="QH365" s="9"/>
      <c r="QI365" s="9"/>
      <c r="QJ365" s="9"/>
      <c r="QK365" s="9"/>
      <c r="QL365" s="9"/>
      <c r="QM365" s="9"/>
      <c r="QN365" s="9"/>
      <c r="QO365" s="9"/>
      <c r="QP365" s="9"/>
      <c r="QQ365" s="9"/>
      <c r="QR365" s="9"/>
      <c r="QS365" s="9"/>
      <c r="QT365" s="9"/>
      <c r="QU365" s="9"/>
      <c r="QV365" s="9"/>
      <c r="QW365" s="9"/>
      <c r="QX365" s="9"/>
      <c r="QY365" s="9"/>
      <c r="QZ365" s="9"/>
      <c r="RA365" s="9"/>
      <c r="RB365" s="9"/>
      <c r="RC365" s="9"/>
      <c r="RD365" s="9"/>
      <c r="RE365" s="9"/>
      <c r="RF365" s="9"/>
      <c r="RG365" s="9"/>
      <c r="RH365" s="9"/>
      <c r="RI365" s="9"/>
      <c r="RJ365" s="9"/>
      <c r="RK365" s="9"/>
      <c r="RL365" s="9"/>
      <c r="RM365" s="9"/>
      <c r="RN365" s="9"/>
      <c r="RO365" s="9"/>
      <c r="RP365" s="9"/>
      <c r="RQ365" s="9"/>
      <c r="RR365" s="9"/>
      <c r="RS365" s="9"/>
      <c r="RT365" s="9"/>
      <c r="RU365" s="9"/>
      <c r="RV365" s="9"/>
      <c r="RW365" s="9"/>
      <c r="RX365" s="9"/>
      <c r="RY365" s="9"/>
      <c r="RZ365" s="9"/>
      <c r="SA365" s="9"/>
      <c r="SB365" s="9"/>
      <c r="SC365" s="9"/>
      <c r="SD365" s="9"/>
      <c r="SE365" s="9"/>
      <c r="SF365" s="9"/>
      <c r="SG365" s="9"/>
      <c r="SH365" s="9"/>
      <c r="SI365" s="9"/>
      <c r="SJ365" s="9"/>
      <c r="SK365" s="9"/>
      <c r="SL365" s="9"/>
      <c r="SM365" s="9"/>
      <c r="SN365" s="9"/>
      <c r="SO365" s="9"/>
      <c r="SP365" s="9"/>
      <c r="SQ365" s="9"/>
      <c r="SR365" s="9"/>
      <c r="SS365" s="9"/>
      <c r="ST365" s="9"/>
      <c r="SU365" s="9"/>
      <c r="SV365" s="9"/>
      <c r="SW365" s="9"/>
      <c r="SX365" s="9"/>
      <c r="SY365" s="9"/>
      <c r="SZ365" s="9"/>
      <c r="TA365" s="9"/>
      <c r="TB365" s="9"/>
      <c r="TC365" s="9"/>
      <c r="TD365" s="9"/>
      <c r="TE365" s="9"/>
      <c r="TF365" s="9"/>
      <c r="TG365" s="9"/>
      <c r="TH365" s="9"/>
      <c r="TI365" s="9"/>
      <c r="TJ365" s="9"/>
      <c r="TK365" s="9"/>
      <c r="TL365" s="9"/>
      <c r="TM365" s="9"/>
      <c r="TN365" s="9"/>
      <c r="TO365" s="9"/>
      <c r="TP365" s="9"/>
      <c r="TQ365" s="9"/>
      <c r="TR365" s="9"/>
      <c r="TS365" s="9"/>
      <c r="TT365" s="9"/>
      <c r="TU365" s="9"/>
      <c r="TV365" s="9"/>
      <c r="TW365" s="9"/>
      <c r="TX365" s="9"/>
      <c r="TY365" s="9"/>
      <c r="TZ365" s="9"/>
      <c r="UA365" s="9"/>
      <c r="UB365" s="9"/>
      <c r="UC365" s="9"/>
      <c r="UD365" s="9"/>
      <c r="UE365" s="9"/>
      <c r="UF365" s="9"/>
      <c r="UG365" s="9"/>
      <c r="UH365" s="9"/>
      <c r="UI365" s="9"/>
      <c r="UJ365" s="9"/>
      <c r="UK365" s="9"/>
      <c r="UL365" s="9"/>
      <c r="UM365" s="9"/>
      <c r="UN365" s="9"/>
      <c r="UO365" s="9"/>
      <c r="UP365" s="9"/>
      <c r="UQ365" s="9"/>
      <c r="UR365" s="9"/>
      <c r="US365" s="9"/>
      <c r="UT365" s="9"/>
      <c r="UU365" s="9"/>
      <c r="UV365" s="9"/>
      <c r="UW365" s="9"/>
      <c r="UX365" s="9"/>
      <c r="UY365" s="9"/>
      <c r="UZ365" s="9"/>
      <c r="VA365" s="9"/>
      <c r="VB365" s="9"/>
      <c r="VC365" s="9"/>
      <c r="VD365" s="9"/>
      <c r="VE365" s="9"/>
      <c r="VF365" s="9"/>
      <c r="VG365" s="9"/>
      <c r="VH365" s="9"/>
      <c r="VI365" s="9"/>
      <c r="VJ365" s="9"/>
      <c r="VK365" s="9"/>
      <c r="VL365" s="9"/>
      <c r="VM365" s="9"/>
      <c r="VN365" s="9"/>
      <c r="VO365" s="9"/>
      <c r="VP365" s="9"/>
      <c r="VQ365" s="9"/>
      <c r="VR365" s="9"/>
      <c r="VS365" s="9"/>
      <c r="VT365" s="9"/>
      <c r="VU365" s="9"/>
      <c r="VV365" s="9"/>
      <c r="VW365" s="9"/>
      <c r="VX365" s="9"/>
      <c r="VY365" s="9"/>
      <c r="VZ365" s="9"/>
      <c r="WA365" s="9"/>
      <c r="WB365" s="9"/>
      <c r="WC365" s="9"/>
      <c r="WD365" s="9"/>
      <c r="WE365" s="9"/>
      <c r="WF365" s="9"/>
      <c r="WG365" s="9"/>
      <c r="WH365" s="9"/>
      <c r="WI365" s="9"/>
      <c r="WJ365" s="9"/>
      <c r="WK365" s="9"/>
      <c r="WL365" s="9"/>
      <c r="WM365" s="9"/>
      <c r="WN365" s="9"/>
      <c r="WO365" s="9"/>
      <c r="WP365" s="9"/>
      <c r="WQ365" s="9"/>
      <c r="WR365" s="9"/>
      <c r="WS365" s="9"/>
      <c r="WT365" s="9"/>
      <c r="WU365" s="9"/>
      <c r="WV365" s="9"/>
      <c r="WW365" s="9"/>
      <c r="WX365" s="9"/>
      <c r="WY365" s="9"/>
      <c r="WZ365" s="9"/>
      <c r="XA365" s="9"/>
      <c r="XB365" s="9"/>
      <c r="XC365" s="9"/>
      <c r="XD365" s="9"/>
      <c r="XE365" s="9"/>
      <c r="XF365" s="9"/>
      <c r="XG365" s="9"/>
      <c r="XH365" s="9"/>
      <c r="XI365" s="9"/>
      <c r="XJ365" s="9"/>
      <c r="XK365" s="9"/>
      <c r="XL365" s="9"/>
      <c r="XM365" s="9"/>
      <c r="XN365" s="9"/>
      <c r="XO365" s="9"/>
      <c r="XP365" s="9"/>
      <c r="XQ365" s="9"/>
      <c r="XR365" s="9"/>
      <c r="XS365" s="9"/>
      <c r="XT365" s="9"/>
      <c r="XU365" s="9"/>
      <c r="XV365" s="9"/>
      <c r="XW365" s="9"/>
      <c r="XX365" s="9"/>
      <c r="XY365" s="9"/>
      <c r="XZ365" s="9"/>
      <c r="YA365" s="9"/>
      <c r="YB365" s="9"/>
      <c r="YC365" s="9"/>
      <c r="YD365" s="9"/>
      <c r="YE365" s="9"/>
      <c r="YF365" s="9"/>
      <c r="YG365" s="9"/>
      <c r="YH365" s="9"/>
      <c r="YI365" s="9"/>
      <c r="YJ365" s="9"/>
      <c r="YK365" s="9"/>
      <c r="YL365" s="9"/>
      <c r="YM365" s="9"/>
      <c r="YN365" s="9"/>
      <c r="YO365" s="9"/>
      <c r="YP365" s="9"/>
      <c r="YQ365" s="9"/>
      <c r="YR365" s="9"/>
      <c r="YS365" s="9"/>
      <c r="YT365" s="9"/>
      <c r="YU365" s="9"/>
      <c r="YV365" s="9"/>
      <c r="YW365" s="9"/>
      <c r="YX365" s="9"/>
      <c r="YY365" s="9"/>
      <c r="YZ365" s="9"/>
      <c r="ZA365" s="9"/>
      <c r="ZB365" s="9"/>
      <c r="ZC365" s="9"/>
      <c r="ZD365" s="9"/>
      <c r="ZE365" s="9"/>
      <c r="ZF365" s="9"/>
      <c r="ZG365" s="9"/>
      <c r="ZH365" s="9"/>
      <c r="ZI365" s="9"/>
      <c r="ZJ365" s="9"/>
      <c r="ZK365" s="9"/>
      <c r="ZL365" s="9"/>
      <c r="ZM365" s="9"/>
      <c r="ZN365" s="9"/>
      <c r="ZO365" s="9"/>
      <c r="ZP365" s="9"/>
      <c r="ZQ365" s="9"/>
      <c r="ZR365" s="9"/>
      <c r="ZS365" s="9"/>
      <c r="ZT365" s="9"/>
      <c r="ZU365" s="9"/>
      <c r="ZV365" s="9"/>
      <c r="ZW365" s="9"/>
      <c r="ZX365" s="9"/>
      <c r="ZY365" s="9"/>
      <c r="ZZ365" s="9"/>
      <c r="AAA365" s="9"/>
      <c r="AAB365" s="9"/>
      <c r="AAC365" s="9"/>
      <c r="AAD365" s="9"/>
      <c r="AAE365" s="9"/>
      <c r="AAF365" s="9"/>
      <c r="AAG365" s="9"/>
      <c r="AAH365" s="9"/>
      <c r="AAI365" s="9"/>
      <c r="AAJ365" s="9"/>
      <c r="AAK365" s="9"/>
      <c r="AAL365" s="9"/>
      <c r="AAM365" s="9"/>
      <c r="AAN365" s="9"/>
      <c r="AAO365" s="9"/>
      <c r="AAP365" s="9"/>
      <c r="AAQ365" s="9"/>
      <c r="AAR365" s="9"/>
      <c r="AAS365" s="9"/>
      <c r="AAT365" s="9"/>
      <c r="AAU365" s="9"/>
      <c r="AAV365" s="9"/>
      <c r="AAW365" s="9"/>
      <c r="AAX365" s="9"/>
      <c r="AAY365" s="9"/>
      <c r="AAZ365" s="9"/>
      <c r="ABA365" s="9"/>
      <c r="ABB365" s="9"/>
      <c r="ABC365" s="9"/>
      <c r="ABD365" s="9"/>
      <c r="ABE365" s="9"/>
      <c r="ABF365" s="9"/>
      <c r="ABG365" s="9"/>
      <c r="ABH365" s="9"/>
      <c r="ABI365" s="9"/>
      <c r="ABJ365" s="9"/>
      <c r="ABK365" s="9"/>
      <c r="ABL365" s="9"/>
      <c r="ABM365" s="9"/>
      <c r="ABN365" s="9"/>
      <c r="ABO365" s="9"/>
      <c r="ABP365" s="9"/>
      <c r="ABQ365" s="9"/>
      <c r="ABR365" s="9"/>
      <c r="ABS365" s="9"/>
      <c r="ABT365" s="9"/>
      <c r="ABU365" s="9"/>
      <c r="ABV365" s="9"/>
      <c r="ABW365" s="9"/>
      <c r="ABX365" s="9"/>
      <c r="ABY365" s="9"/>
      <c r="ABZ365" s="9"/>
      <c r="ACA365" s="9"/>
      <c r="ACB365" s="9"/>
      <c r="ACC365" s="9"/>
      <c r="ACD365" s="9"/>
      <c r="ACE365" s="9"/>
      <c r="ACF365" s="9"/>
      <c r="ACG365" s="9"/>
      <c r="ACH365" s="9"/>
      <c r="ACI365" s="9"/>
      <c r="ACJ365" s="9"/>
      <c r="ACK365" s="9"/>
      <c r="ACL365" s="9"/>
      <c r="ACM365" s="9"/>
      <c r="ACN365" s="9"/>
      <c r="ACO365" s="9"/>
      <c r="ACP365" s="9"/>
      <c r="ACQ365" s="9"/>
      <c r="ACR365" s="9"/>
      <c r="ACS365" s="9"/>
      <c r="ACT365" s="9"/>
      <c r="ACU365" s="9"/>
      <c r="ACV365" s="9"/>
      <c r="ACW365" s="9"/>
      <c r="ACX365" s="9"/>
      <c r="ACY365" s="9"/>
      <c r="ACZ365" s="9"/>
      <c r="ADA365" s="9"/>
      <c r="ADB365" s="9"/>
      <c r="ADC365" s="9"/>
      <c r="ADD365" s="9"/>
      <c r="ADE365" s="9"/>
      <c r="ADF365" s="9"/>
      <c r="ADG365" s="9"/>
      <c r="ADH365" s="9"/>
      <c r="ADI365" s="9"/>
      <c r="ADJ365" s="9"/>
      <c r="ADK365" s="9"/>
      <c r="ADL365" s="9"/>
      <c r="ADM365" s="9"/>
      <c r="ADN365" s="9"/>
      <c r="ADO365" s="9"/>
      <c r="ADP365" s="9"/>
      <c r="ADQ365" s="9"/>
      <c r="ADR365" s="9"/>
      <c r="ADS365" s="9"/>
      <c r="ADT365" s="9"/>
      <c r="ADU365" s="9"/>
      <c r="ADV365" s="9"/>
      <c r="ADW365" s="9"/>
      <c r="ADX365" s="9"/>
      <c r="ADY365" s="9"/>
      <c r="ADZ365" s="9"/>
      <c r="AEA365" s="9"/>
      <c r="AEB365" s="9"/>
      <c r="AEC365" s="9"/>
      <c r="AED365" s="9"/>
      <c r="AEE365" s="9"/>
      <c r="AEF365" s="9"/>
      <c r="AEG365" s="9"/>
      <c r="AEH365" s="9"/>
      <c r="AEI365" s="9"/>
      <c r="AEJ365" s="9"/>
      <c r="AEK365" s="9"/>
      <c r="AEL365" s="9"/>
      <c r="AEM365" s="9"/>
      <c r="AEN365" s="9"/>
      <c r="AEO365" s="9"/>
      <c r="AEP365" s="9"/>
      <c r="AEQ365" s="9"/>
      <c r="AER365" s="9"/>
      <c r="AES365" s="9"/>
      <c r="AET365" s="9"/>
      <c r="AEU365" s="9"/>
      <c r="AEV365" s="9"/>
      <c r="AEW365" s="9"/>
      <c r="AEX365" s="9"/>
      <c r="AEY365" s="9"/>
      <c r="AEZ365" s="9"/>
      <c r="AFA365" s="9"/>
      <c r="AFB365" s="9"/>
      <c r="AFC365" s="9"/>
      <c r="AFD365" s="9"/>
      <c r="AFE365" s="9"/>
      <c r="AFF365" s="9"/>
      <c r="AFG365" s="9"/>
      <c r="AFH365" s="9"/>
      <c r="AFI365" s="9"/>
      <c r="AFJ365" s="9"/>
      <c r="AFK365" s="9"/>
      <c r="AFL365" s="9"/>
      <c r="AFM365" s="9"/>
      <c r="AFN365" s="9"/>
      <c r="AFO365" s="9"/>
      <c r="AFP365" s="9"/>
      <c r="AFQ365" s="9"/>
      <c r="AFR365" s="9"/>
      <c r="AFS365" s="9"/>
      <c r="AFT365" s="9"/>
      <c r="AFU365" s="9"/>
      <c r="AFV365" s="9"/>
      <c r="AFW365" s="9"/>
      <c r="AFX365" s="9"/>
      <c r="AFY365" s="9"/>
      <c r="AFZ365" s="9"/>
      <c r="AGA365" s="9"/>
      <c r="AGB365" s="9"/>
      <c r="AGC365" s="9"/>
      <c r="AGD365" s="9"/>
      <c r="AGE365" s="9"/>
      <c r="AGF365" s="9"/>
      <c r="AGG365" s="9"/>
      <c r="AGH365" s="9"/>
      <c r="AGI365" s="9"/>
      <c r="AGJ365" s="9"/>
      <c r="AGK365" s="9"/>
      <c r="AGL365" s="9"/>
      <c r="AGM365" s="9"/>
      <c r="AGN365" s="9"/>
      <c r="AGO365" s="9"/>
      <c r="AGP365" s="9"/>
      <c r="AGQ365" s="9"/>
      <c r="AGR365" s="9"/>
      <c r="AGS365" s="9"/>
      <c r="AGT365" s="9"/>
      <c r="AGU365" s="9"/>
      <c r="AGV365" s="9"/>
      <c r="AGW365" s="9"/>
      <c r="AGX365" s="9"/>
      <c r="AGY365" s="9"/>
      <c r="AGZ365" s="9"/>
      <c r="AHA365" s="9"/>
      <c r="AHB365" s="9"/>
      <c r="AHC365" s="9"/>
      <c r="AHD365" s="9"/>
      <c r="AHE365" s="9"/>
      <c r="AHF365" s="9"/>
      <c r="AHG365" s="9"/>
      <c r="AHH365" s="9"/>
      <c r="AHI365" s="9"/>
      <c r="AHJ365" s="9"/>
      <c r="AHK365" s="9"/>
      <c r="AHL365" s="9"/>
      <c r="AHM365" s="9"/>
      <c r="AHN365" s="9"/>
      <c r="AHO365" s="9"/>
      <c r="AHP365" s="9"/>
      <c r="AHQ365" s="9"/>
      <c r="AHR365" s="9"/>
      <c r="AHS365" s="9"/>
      <c r="AHT365" s="9"/>
      <c r="AHU365" s="9"/>
      <c r="AHV365" s="9"/>
      <c r="AHW365" s="9"/>
      <c r="AHX365" s="9"/>
      <c r="AHY365" s="9"/>
      <c r="AHZ365" s="9"/>
      <c r="AIA365" s="9"/>
      <c r="AIB365" s="9"/>
      <c r="AIC365" s="9"/>
      <c r="AID365" s="9"/>
      <c r="AIE365" s="9"/>
      <c r="AIF365" s="9"/>
      <c r="AIG365" s="9"/>
      <c r="AIH365" s="9"/>
      <c r="AII365" s="9"/>
      <c r="AIJ365" s="9"/>
      <c r="AIK365" s="9"/>
      <c r="AIL365" s="9"/>
      <c r="AIM365" s="9"/>
      <c r="AIN365" s="9"/>
      <c r="AIO365" s="9"/>
      <c r="AIP365" s="9"/>
      <c r="AIQ365" s="9"/>
      <c r="AIR365" s="9"/>
      <c r="AIS365" s="9"/>
      <c r="AIT365" s="9"/>
      <c r="AIU365" s="9"/>
      <c r="AIV365" s="9"/>
      <c r="AIW365" s="9"/>
      <c r="AIX365" s="9"/>
      <c r="AIY365" s="9"/>
      <c r="AIZ365" s="9"/>
      <c r="AJA365" s="9"/>
      <c r="AJB365" s="9"/>
      <c r="AJC365" s="9"/>
      <c r="AJD365" s="9"/>
      <c r="AJE365" s="9"/>
      <c r="AJF365" s="9"/>
      <c r="AJG365" s="9"/>
      <c r="AJH365" s="9"/>
      <c r="AJI365" s="9"/>
      <c r="AJJ365" s="9"/>
      <c r="AJK365" s="9"/>
      <c r="AJL365" s="9"/>
      <c r="AJM365" s="9"/>
      <c r="AJN365" s="9"/>
      <c r="AJO365" s="9"/>
      <c r="AJP365" s="9"/>
      <c r="AJQ365" s="9"/>
      <c r="AJR365" s="9"/>
      <c r="AJS365" s="9"/>
      <c r="AJT365" s="9"/>
      <c r="AJU365" s="9"/>
      <c r="AJV365" s="9"/>
      <c r="AJW365" s="9"/>
      <c r="AJX365" s="9"/>
      <c r="AJY365" s="9"/>
      <c r="AJZ365" s="9"/>
      <c r="AKA365" s="9"/>
      <c r="AKB365" s="9"/>
      <c r="AKC365" s="9"/>
      <c r="AKD365" s="9"/>
      <c r="AKE365" s="9"/>
      <c r="AKF365" s="9"/>
      <c r="AKG365" s="9"/>
      <c r="AKH365" s="9"/>
      <c r="AKI365" s="9"/>
      <c r="AKJ365" s="9"/>
      <c r="AKK365" s="9"/>
      <c r="AKL365" s="9"/>
      <c r="AKM365" s="9"/>
      <c r="AKN365" s="9"/>
      <c r="AKO365" s="9"/>
      <c r="AKP365" s="9"/>
      <c r="AKQ365" s="9"/>
      <c r="AKR365" s="9"/>
      <c r="AKS365" s="9"/>
      <c r="AKT365" s="9"/>
      <c r="AKU365" s="9"/>
      <c r="AKV365" s="9"/>
      <c r="AKW365" s="9"/>
      <c r="AKX365" s="9"/>
      <c r="AKY365" s="9"/>
      <c r="AKZ365" s="9"/>
      <c r="ALA365" s="9"/>
      <c r="ALB365" s="9"/>
      <c r="ALC365" s="9"/>
      <c r="ALD365" s="9"/>
      <c r="ALE365" s="9"/>
      <c r="ALF365" s="9"/>
      <c r="ALG365" s="9"/>
      <c r="ALH365" s="9"/>
      <c r="ALI365" s="9"/>
      <c r="ALJ365" s="9"/>
      <c r="ALK365" s="9"/>
      <c r="ALL365" s="9"/>
      <c r="ALM365" s="9"/>
      <c r="ALN365" s="9"/>
      <c r="ALO365" s="9"/>
      <c r="ALP365" s="9"/>
      <c r="ALQ365" s="9"/>
      <c r="ALR365" s="9"/>
      <c r="ALS365" s="9"/>
      <c r="ALT365" s="9"/>
      <c r="ALU365" s="9"/>
      <c r="ALV365" s="9"/>
      <c r="ALW365" s="9"/>
      <c r="ALX365" s="9"/>
      <c r="ALY365" s="9"/>
      <c r="ALZ365" s="9"/>
      <c r="AMA365" s="9"/>
      <c r="AMB365" s="9"/>
      <c r="AMC365" s="9"/>
      <c r="AMD365" s="9"/>
      <c r="AME365" s="9"/>
      <c r="AMF365" s="9"/>
      <c r="AMG365" s="9"/>
      <c r="AMH365" s="9"/>
      <c r="AMI365" s="9"/>
      <c r="AMJ365" s="9"/>
      <c r="AMK365" s="9"/>
      <c r="AML365" s="9"/>
      <c r="AMM365" s="9"/>
      <c r="AMN365" s="9"/>
      <c r="AMO365" s="9"/>
      <c r="AMP365" s="9"/>
    </row>
    <row r="366" spans="1:1030" x14ac:dyDescent="0.2">
      <c r="A366" s="3" t="str">
        <f t="shared" si="2121"/>
        <v>smo_human__wt</v>
      </c>
      <c r="B366" s="3" t="s">
        <v>33</v>
      </c>
      <c r="C366" s="3" t="s">
        <v>100</v>
      </c>
      <c r="D366" s="3" t="str">
        <f>IFERROR(MID(VLOOKUP($B366,Seqs!$A:$B,2,0),E366,1),"")</f>
        <v>T</v>
      </c>
      <c r="E366" s="105">
        <v>223</v>
      </c>
      <c r="F366" s="3" t="str">
        <f>IFERROR(MID(VLOOKUP($B366,Seqs!$A:$B,2,0),G366,1),"")</f>
        <v>D</v>
      </c>
      <c r="G366" s="3">
        <v>255</v>
      </c>
      <c r="H366" s="3" t="str">
        <f>IFERROR(MID(VLOOKUP($B366,Seqs!$A:$B,2,0),I366,1),"")</f>
        <v>W</v>
      </c>
      <c r="I366" s="23">
        <v>256</v>
      </c>
      <c r="J366" s="3" t="str">
        <f>IFERROR(MID(VLOOKUP($B366,Seqs!$A:$B,2,0),K366,1),"")</f>
        <v>N</v>
      </c>
      <c r="K366" s="23">
        <v>260</v>
      </c>
      <c r="L366" s="3" t="str">
        <f>IFERROR(MID(VLOOKUP($B366,Seqs!$A:$B,2,0),M366,1),"")</f>
        <v>R</v>
      </c>
      <c r="M366" s="3">
        <v>261</v>
      </c>
      <c r="N366" s="3" t="str">
        <f>IFERROR(MID(VLOOKUP($B366,Seqs!$A:$B,2,0),O366,1),"")</f>
        <v>F</v>
      </c>
      <c r="O366" s="3">
        <v>285</v>
      </c>
      <c r="P366" s="3" t="str">
        <f>IFERROR(MID(VLOOKUP($B366,Seqs!$A:$B,2,0),Q366,1),"")</f>
        <v/>
      </c>
      <c r="Q366" s="3" t="s">
        <v>23</v>
      </c>
      <c r="R366" s="3" t="str">
        <f>IFERROR(MID(VLOOKUP($B366,Seqs!$A:$B,2,0),S366,1),"")</f>
        <v/>
      </c>
      <c r="S366" s="3" t="s">
        <v>23</v>
      </c>
      <c r="T366" s="3" t="str">
        <f>IFERROR(MID(VLOOKUP($B366,Seqs!$A:$B,2,0),U366,1),"")</f>
        <v>L</v>
      </c>
      <c r="U366" s="3">
        <v>312</v>
      </c>
      <c r="V366" s="3" t="str">
        <f>IFERROR(MID(VLOOKUP($B366,Seqs!$A:$B,2,0),W366,1),"")</f>
        <v>A</v>
      </c>
      <c r="W366" s="105">
        <v>345</v>
      </c>
      <c r="X366" s="3" t="str">
        <f>IFERROR(MID(VLOOKUP($B366,Seqs!$A:$B,2,0),Y366,1),"")</f>
        <v/>
      </c>
      <c r="Y366" s="3" t="s">
        <v>23</v>
      </c>
      <c r="Z366" s="3" t="str">
        <f>IFERROR(MID(VLOOKUP($B366,Seqs!$A:$B,2,0),AA366,1),"")</f>
        <v/>
      </c>
      <c r="AA366" s="3" t="s">
        <v>23</v>
      </c>
      <c r="AB366" s="3" t="str">
        <f>IFERROR(MID(VLOOKUP($B366,Seqs!$A:$B,2,0),AC366,1),"")</f>
        <v>K</v>
      </c>
      <c r="AC366" s="9">
        <v>356</v>
      </c>
      <c r="AD366" s="3" t="str">
        <f>IFERROR(MID(VLOOKUP($B366,Seqs!$A:$B,2,0),AE366,1),"")</f>
        <v>V</v>
      </c>
      <c r="AE366" s="3">
        <v>378</v>
      </c>
      <c r="AF366" s="3" t="str">
        <f>IFERROR(MID(VLOOKUP($B366,Seqs!$A:$B,2,0),AG366,1),"")</f>
        <v>C</v>
      </c>
      <c r="AG366" s="3">
        <v>390</v>
      </c>
      <c r="AH366" s="3" t="str">
        <f>IFERROR(MID(VLOOKUP($B366,Seqs!$A:$B,2,0),AI366,1),"")</f>
        <v>V</v>
      </c>
      <c r="AI366" s="3">
        <v>392</v>
      </c>
      <c r="AJ366" s="3" t="str">
        <f>IFERROR(MID(VLOOKUP($B366,Seqs!$A:$B,2,0),AK366,1),"")</f>
        <v>N</v>
      </c>
      <c r="AK366" s="105">
        <v>396</v>
      </c>
      <c r="AL366" s="3" t="str">
        <f>IFERROR(MID(VLOOKUP($B366,Seqs!$A:$B,2,0),AM366,1),"")</f>
        <v>H</v>
      </c>
      <c r="AM366" s="3">
        <v>433</v>
      </c>
      <c r="AN366" s="3" t="str">
        <f>IFERROR(MID(VLOOKUP($B366,Seqs!$A:$B,2,0),AO366,1),"")</f>
        <v>A</v>
      </c>
      <c r="AO366" s="3">
        <v>442</v>
      </c>
      <c r="AP366" s="3" t="str">
        <f>IFERROR(MID(VLOOKUP($B366,Seqs!$A:$B,2,0),AQ366,1),"")</f>
        <v>I</v>
      </c>
      <c r="AQ366" s="3">
        <v>496</v>
      </c>
      <c r="AR366" s="3" t="str">
        <f>IFERROR(MID(VLOOKUP($B366,Seqs!$A:$B,2,0),AS366,1),"")</f>
        <v>S</v>
      </c>
      <c r="AS366" s="105">
        <v>514</v>
      </c>
      <c r="AT366" s="3" t="str">
        <f>IFERROR(MID(VLOOKUP($B366,Seqs!$A:$B,2,0),AU366,1),"")</f>
        <v>W</v>
      </c>
      <c r="AU366" s="3">
        <v>537</v>
      </c>
      <c r="AV366" s="3" t="str">
        <f>IFERROR(MID(VLOOKUP($B366,Seqs!$A:$B,2,0),AW366,1),"")</f>
        <v>T</v>
      </c>
      <c r="AW366" s="3">
        <v>538</v>
      </c>
      <c r="AX366" s="3" t="str">
        <f>IFERROR(MID(VLOOKUP($B366,Seqs!$A:$B,2,0),AY366,1),"")</f>
        <v>T</v>
      </c>
      <c r="AY366" s="3">
        <v>553</v>
      </c>
      <c r="AZ366" s="77" t="str">
        <f>VLOOKUP(B366,Classification!A:D,2,0)</f>
        <v>F</v>
      </c>
      <c r="BA366" s="94" t="str">
        <f>VLOOKUP(B366,Classification!A:D,4,0)</f>
        <v>Frizzled</v>
      </c>
      <c r="BB366" s="27" t="b">
        <f t="shared" si="2122"/>
        <v>1</v>
      </c>
      <c r="BC366" s="23">
        <f t="shared" si="2095"/>
        <v>258</v>
      </c>
      <c r="BD366" s="56" t="s">
        <v>23</v>
      </c>
      <c r="BE366" s="3" t="s">
        <v>23</v>
      </c>
      <c r="BF366" s="119" t="s">
        <v>23</v>
      </c>
      <c r="BG366" s="49" t="s">
        <v>1372</v>
      </c>
      <c r="BH366" s="49" t="s">
        <v>1377</v>
      </c>
      <c r="BJ366" s="70" t="s">
        <v>1287</v>
      </c>
      <c r="BK366" s="57" t="s">
        <v>1287</v>
      </c>
      <c r="BL366" s="57" t="s">
        <v>1287</v>
      </c>
      <c r="BM366" s="57" t="s">
        <v>1287</v>
      </c>
      <c r="BN366" s="57" t="s">
        <v>1287</v>
      </c>
      <c r="BO366" s="57" t="s">
        <v>1287</v>
      </c>
      <c r="BP366" s="57" t="s">
        <v>1287</v>
      </c>
      <c r="BQ366" s="57" t="s">
        <v>1287</v>
      </c>
      <c r="BR366" s="57" t="s">
        <v>1287</v>
      </c>
      <c r="BS366" s="57" t="s">
        <v>1287</v>
      </c>
      <c r="BT366" s="57" t="s">
        <v>1287</v>
      </c>
      <c r="BU366" s="57" t="s">
        <v>1287</v>
      </c>
      <c r="BV366" s="70">
        <f t="shared" si="2096"/>
        <v>223</v>
      </c>
      <c r="BW366" s="71">
        <f t="shared" si="2097"/>
        <v>256</v>
      </c>
      <c r="BX366" s="72">
        <f t="shared" si="2098"/>
        <v>261</v>
      </c>
      <c r="BY366" s="71" t="str">
        <f t="shared" si="2099"/>
        <v>-</v>
      </c>
      <c r="BZ366" s="72">
        <f t="shared" si="2100"/>
        <v>312</v>
      </c>
      <c r="CA366" s="71" t="str">
        <f t="shared" si="2101"/>
        <v>-</v>
      </c>
      <c r="CB366" s="72">
        <f t="shared" si="2102"/>
        <v>356</v>
      </c>
      <c r="CC366" s="71">
        <f t="shared" si="2103"/>
        <v>390</v>
      </c>
      <c r="CD366" s="72">
        <f t="shared" si="2104"/>
        <v>396</v>
      </c>
      <c r="CE366" s="71">
        <f t="shared" si="2105"/>
        <v>442</v>
      </c>
      <c r="CF366" s="72">
        <f t="shared" si="2106"/>
        <v>514</v>
      </c>
      <c r="CG366" s="71">
        <f t="shared" si="2107"/>
        <v>538</v>
      </c>
      <c r="CH366" s="70">
        <f t="shared" si="2108"/>
        <v>255</v>
      </c>
      <c r="CI366" s="71">
        <f t="shared" si="2109"/>
        <v>260</v>
      </c>
      <c r="CJ366" s="72">
        <f t="shared" si="2110"/>
        <v>285</v>
      </c>
      <c r="CK366" s="72" t="str">
        <f t="shared" si="2111"/>
        <v>-</v>
      </c>
      <c r="CL366" s="72">
        <f t="shared" si="2112"/>
        <v>345</v>
      </c>
      <c r="CM366" s="72" t="str">
        <f t="shared" si="2113"/>
        <v>-</v>
      </c>
      <c r="CN366" s="72">
        <f t="shared" si="2114"/>
        <v>378</v>
      </c>
      <c r="CO366" s="72">
        <f t="shared" si="2115"/>
        <v>392</v>
      </c>
      <c r="CP366" s="72">
        <f t="shared" si="2116"/>
        <v>433</v>
      </c>
      <c r="CQ366" s="72">
        <f t="shared" si="2117"/>
        <v>496</v>
      </c>
      <c r="CR366" s="72">
        <f t="shared" si="2118"/>
        <v>537</v>
      </c>
      <c r="CS366" s="72">
        <f t="shared" si="2119"/>
        <v>553</v>
      </c>
      <c r="CT366" s="23">
        <f t="shared" si="2120"/>
        <v>1</v>
      </c>
    </row>
    <row r="367" spans="1:1030" x14ac:dyDescent="0.2">
      <c r="A367" s="3" t="str">
        <f t="shared" si="2121"/>
        <v>smo_human_4JKV</v>
      </c>
      <c r="B367" s="3" t="s">
        <v>33</v>
      </c>
      <c r="C367" s="3" t="s">
        <v>86</v>
      </c>
      <c r="D367" s="3" t="str">
        <f>IFERROR(MID(VLOOKUP($B367,Seqs!$A:$B,2,0),E367,1),"")</f>
        <v>T</v>
      </c>
      <c r="E367" s="105">
        <v>223</v>
      </c>
      <c r="F367" s="3" t="str">
        <f>IFERROR(MID(VLOOKUP($B367,Seqs!$A:$B,2,0),G367,1),"")</f>
        <v>D</v>
      </c>
      <c r="G367" s="3">
        <v>255</v>
      </c>
      <c r="H367" s="3" t="str">
        <f>IFERROR(MID(VLOOKUP($B367,Seqs!$A:$B,2,0),I367,1),"")</f>
        <v>W</v>
      </c>
      <c r="I367" s="23">
        <v>256</v>
      </c>
      <c r="J367" s="3" t="str">
        <f>IFERROR(MID(VLOOKUP($B367,Seqs!$A:$B,2,0),K367,1),"")</f>
        <v>N</v>
      </c>
      <c r="K367" s="23">
        <v>260</v>
      </c>
      <c r="L367" s="3" t="str">
        <f>IFERROR(MID(VLOOKUP($B367,Seqs!$A:$B,2,0),M367,1),"")</f>
        <v>R</v>
      </c>
      <c r="M367" s="3">
        <v>261</v>
      </c>
      <c r="N367" s="3" t="str">
        <f>IFERROR(MID(VLOOKUP($B367,Seqs!$A:$B,2,0),O367,1),"")</f>
        <v>F</v>
      </c>
      <c r="O367" s="3">
        <v>285</v>
      </c>
      <c r="P367" s="3" t="str">
        <f>IFERROR(MID(VLOOKUP($B367,Seqs!$A:$B,2,0),Q367,1),"")</f>
        <v/>
      </c>
      <c r="Q367" s="3" t="s">
        <v>23</v>
      </c>
      <c r="R367" s="3" t="str">
        <f>IFERROR(MID(VLOOKUP($B367,Seqs!$A:$B,2,0),S367,1),"")</f>
        <v/>
      </c>
      <c r="S367" s="3" t="s">
        <v>23</v>
      </c>
      <c r="T367" s="3" t="str">
        <f>IFERROR(MID(VLOOKUP($B367,Seqs!$A:$B,2,0),U367,1),"")</f>
        <v>L</v>
      </c>
      <c r="U367" s="3">
        <v>312</v>
      </c>
      <c r="V367" s="3" t="str">
        <f>IFERROR(MID(VLOOKUP($B367,Seqs!$A:$B,2,0),W367,1),"")</f>
        <v>T</v>
      </c>
      <c r="W367" s="3">
        <v>348</v>
      </c>
      <c r="X367" s="3" t="str">
        <f>IFERROR(MID(VLOOKUP($B367,Seqs!$A:$B,2,0),Y367,1),"")</f>
        <v/>
      </c>
      <c r="Y367" s="3" t="s">
        <v>23</v>
      </c>
      <c r="Z367" s="3" t="str">
        <f>IFERROR(MID(VLOOKUP($B367,Seqs!$A:$B,2,0),AA367,1),"")</f>
        <v/>
      </c>
      <c r="AA367" s="3" t="s">
        <v>23</v>
      </c>
      <c r="AB367" s="3" t="str">
        <f>IFERROR(MID(VLOOKUP($B367,Seqs!$A:$B,2,0),AC367,1),"")</f>
        <v>F</v>
      </c>
      <c r="AC367" s="9">
        <v>360</v>
      </c>
      <c r="AD367" s="3" t="str">
        <f>IFERROR(MID(VLOOKUP($B367,Seqs!$A:$B,2,0),AE367,1),"")</f>
        <v>V</v>
      </c>
      <c r="AE367" s="3">
        <v>378</v>
      </c>
      <c r="AF367" s="3" t="str">
        <f>IFERROR(MID(VLOOKUP($B367,Seqs!$A:$B,2,0),AG367,1),"")</f>
        <v>C</v>
      </c>
      <c r="AG367" s="3">
        <v>390</v>
      </c>
      <c r="AH367" s="3" t="str">
        <f>IFERROR(MID(VLOOKUP($B367,Seqs!$A:$B,2,0),AI367,1),"")</f>
        <v>V</v>
      </c>
      <c r="AI367" s="3">
        <v>392</v>
      </c>
      <c r="AJ367" s="3" t="str">
        <f>IFERROR(MID(VLOOKUP($B367,Seqs!$A:$B,2,0),AK367,1),"")</f>
        <v>N</v>
      </c>
      <c r="AK367" s="105">
        <v>396</v>
      </c>
      <c r="AL367" s="3" t="str">
        <f>IFERROR(MID(VLOOKUP($B367,Seqs!$A:$B,2,0),AM367,1),"")</f>
        <v>H</v>
      </c>
      <c r="AM367" s="3">
        <v>433</v>
      </c>
      <c r="AN367" s="3" t="str">
        <f>IFERROR(MID(VLOOKUP($B367,Seqs!$A:$B,2,0),AO367,1),"")</f>
        <v>A</v>
      </c>
      <c r="AO367" s="3">
        <v>442</v>
      </c>
      <c r="AP367" s="3" t="str">
        <f>IFERROR(MID(VLOOKUP($B367,Seqs!$A:$B,2,0),AQ367,1),"")</f>
        <v>N</v>
      </c>
      <c r="AQ367" s="3">
        <v>493</v>
      </c>
      <c r="AR367" s="3" t="str">
        <f>IFERROR(MID(VLOOKUP($B367,Seqs!$A:$B,2,0),AS367,1),"")</f>
        <v>S</v>
      </c>
      <c r="AS367" s="105">
        <v>514</v>
      </c>
      <c r="AT367" s="3" t="str">
        <f>IFERROR(MID(VLOOKUP($B367,Seqs!$A:$B,2,0),AU367,1),"")</f>
        <v>W</v>
      </c>
      <c r="AU367" s="3">
        <v>537</v>
      </c>
      <c r="AV367" s="3" t="str">
        <f>IFERROR(MID(VLOOKUP($B367,Seqs!$A:$B,2,0),AW367,1),"")</f>
        <v>T</v>
      </c>
      <c r="AW367" s="3">
        <v>538</v>
      </c>
      <c r="AX367" s="3" t="str">
        <f>IFERROR(MID(VLOOKUP($B367,Seqs!$A:$B,2,0),AY367,1),"")</f>
        <v>C</v>
      </c>
      <c r="AY367" s="3">
        <v>550</v>
      </c>
      <c r="AZ367" s="77" t="str">
        <f>VLOOKUP(B367,Classification!A:D,2,0)</f>
        <v>F</v>
      </c>
      <c r="BA367" s="94" t="str">
        <f>VLOOKUP(B367,Classification!A:D,4,0)</f>
        <v>Frizzled</v>
      </c>
      <c r="BB367" s="27" t="b">
        <f t="shared" si="2122"/>
        <v>1</v>
      </c>
      <c r="BC367" s="23">
        <f t="shared" si="2095"/>
        <v>251</v>
      </c>
      <c r="BD367" s="4" t="s">
        <v>23</v>
      </c>
      <c r="BE367" s="3" t="s">
        <v>1374</v>
      </c>
      <c r="BF367" s="119">
        <v>2.4500000000000002</v>
      </c>
      <c r="BG367" s="49" t="s">
        <v>1377</v>
      </c>
      <c r="BH367" s="49" t="s">
        <v>1377</v>
      </c>
      <c r="BJ367" s="70" t="s">
        <v>1287</v>
      </c>
      <c r="BK367" s="57" t="s">
        <v>1287</v>
      </c>
      <c r="BL367" s="57" t="s">
        <v>1287</v>
      </c>
      <c r="BM367" s="57" t="s">
        <v>1287</v>
      </c>
      <c r="BN367" s="57" t="s">
        <v>1287</v>
      </c>
      <c r="BO367" s="57" t="s">
        <v>1287</v>
      </c>
      <c r="BP367" s="57" t="s">
        <v>1287</v>
      </c>
      <c r="BQ367" s="57" t="s">
        <v>1287</v>
      </c>
      <c r="BR367" s="57" t="s">
        <v>1287</v>
      </c>
      <c r="BS367" s="57" t="s">
        <v>1287</v>
      </c>
      <c r="BT367" s="57" t="s">
        <v>1287</v>
      </c>
      <c r="BU367" s="57" t="s">
        <v>1287</v>
      </c>
      <c r="BV367" s="70">
        <f t="shared" si="2096"/>
        <v>223</v>
      </c>
      <c r="BW367" s="71">
        <f t="shared" si="2097"/>
        <v>256</v>
      </c>
      <c r="BX367" s="72">
        <f t="shared" si="2098"/>
        <v>261</v>
      </c>
      <c r="BY367" s="71" t="str">
        <f t="shared" si="2099"/>
        <v>-</v>
      </c>
      <c r="BZ367" s="72">
        <f t="shared" si="2100"/>
        <v>312</v>
      </c>
      <c r="CA367" s="71" t="str">
        <f t="shared" si="2101"/>
        <v>-</v>
      </c>
      <c r="CB367" s="72">
        <f t="shared" si="2102"/>
        <v>360</v>
      </c>
      <c r="CC367" s="71">
        <f t="shared" si="2103"/>
        <v>390</v>
      </c>
      <c r="CD367" s="72">
        <f t="shared" si="2104"/>
        <v>396</v>
      </c>
      <c r="CE367" s="71">
        <f t="shared" si="2105"/>
        <v>442</v>
      </c>
      <c r="CF367" s="72">
        <f t="shared" si="2106"/>
        <v>514</v>
      </c>
      <c r="CG367" s="71">
        <f t="shared" si="2107"/>
        <v>538</v>
      </c>
      <c r="CH367" s="70">
        <f t="shared" si="2108"/>
        <v>255</v>
      </c>
      <c r="CI367" s="71">
        <f t="shared" si="2109"/>
        <v>260</v>
      </c>
      <c r="CJ367" s="72">
        <f t="shared" si="2110"/>
        <v>285</v>
      </c>
      <c r="CK367" s="72" t="str">
        <f t="shared" si="2111"/>
        <v>-</v>
      </c>
      <c r="CL367" s="72">
        <f t="shared" si="2112"/>
        <v>348</v>
      </c>
      <c r="CM367" s="72" t="str">
        <f t="shared" si="2113"/>
        <v>-</v>
      </c>
      <c r="CN367" s="72">
        <f t="shared" si="2114"/>
        <v>378</v>
      </c>
      <c r="CO367" s="72">
        <f t="shared" si="2115"/>
        <v>392</v>
      </c>
      <c r="CP367" s="72">
        <f t="shared" si="2116"/>
        <v>433</v>
      </c>
      <c r="CQ367" s="72">
        <f t="shared" si="2117"/>
        <v>493</v>
      </c>
      <c r="CR367" s="72">
        <f t="shared" si="2118"/>
        <v>537</v>
      </c>
      <c r="CS367" s="72">
        <f t="shared" si="2119"/>
        <v>550</v>
      </c>
      <c r="CT367" s="23">
        <f t="shared" si="2120"/>
        <v>1</v>
      </c>
    </row>
    <row r="368" spans="1:1030" x14ac:dyDescent="0.2">
      <c r="A368" s="3" t="str">
        <f t="shared" si="2121"/>
        <v>smo_human_4N4W</v>
      </c>
      <c r="B368" s="3" t="s">
        <v>33</v>
      </c>
      <c r="C368" s="3" t="s">
        <v>1047</v>
      </c>
      <c r="D368" s="3" t="str">
        <f>IFERROR(MID(VLOOKUP($B368,Seqs!$A:$B,2,0),E368,1),"")</f>
        <v>T</v>
      </c>
      <c r="E368" s="105">
        <v>223</v>
      </c>
      <c r="F368" s="3" t="str">
        <f>IFERROR(MID(VLOOKUP($B368,Seqs!$A:$B,2,0),G368,1),"")</f>
        <v>D</v>
      </c>
      <c r="G368" s="3">
        <v>255</v>
      </c>
      <c r="H368" s="3" t="str">
        <f>IFERROR(MID(VLOOKUP($B368,Seqs!$A:$B,2,0),I368,1),"")</f>
        <v>W</v>
      </c>
      <c r="I368" s="23">
        <v>256</v>
      </c>
      <c r="J368" s="3" t="str">
        <f>IFERROR(MID(VLOOKUP($B368,Seqs!$A:$B,2,0),K368,1),"")</f>
        <v>N</v>
      </c>
      <c r="K368" s="23">
        <v>260</v>
      </c>
      <c r="L368" s="3" t="str">
        <f>IFERROR(MID(VLOOKUP($B368,Seqs!$A:$B,2,0),M368,1),"")</f>
        <v>R</v>
      </c>
      <c r="M368" s="3">
        <v>261</v>
      </c>
      <c r="N368" s="3" t="str">
        <f>IFERROR(MID(VLOOKUP($B368,Seqs!$A:$B,2,0),O368,1),"")</f>
        <v>F</v>
      </c>
      <c r="O368" s="3">
        <v>285</v>
      </c>
      <c r="P368" s="3" t="str">
        <f>IFERROR(MID(VLOOKUP($B368,Seqs!$A:$B,2,0),Q368,1),"")</f>
        <v/>
      </c>
      <c r="Q368" s="3" t="s">
        <v>23</v>
      </c>
      <c r="R368" s="3" t="str">
        <f>IFERROR(MID(VLOOKUP($B368,Seqs!$A:$B,2,0),S368,1),"")</f>
        <v/>
      </c>
      <c r="S368" s="3" t="s">
        <v>23</v>
      </c>
      <c r="T368" s="3" t="str">
        <f>IFERROR(MID(VLOOKUP($B368,Seqs!$A:$B,2,0),U368,1),"")</f>
        <v>L</v>
      </c>
      <c r="U368" s="3">
        <v>312</v>
      </c>
      <c r="V368" s="3" t="str">
        <f>IFERROR(MID(VLOOKUP($B368,Seqs!$A:$B,2,0),W368,1),"")</f>
        <v>A</v>
      </c>
      <c r="W368" s="3">
        <v>345</v>
      </c>
      <c r="X368" s="3" t="str">
        <f>IFERROR(MID(VLOOKUP($B368,Seqs!$A:$B,2,0),Y368,1),"")</f>
        <v/>
      </c>
      <c r="Y368" s="3" t="s">
        <v>23</v>
      </c>
      <c r="Z368" s="3" t="str">
        <f>IFERROR(MID(VLOOKUP($B368,Seqs!$A:$B,2,0),AA368,1),"")</f>
        <v/>
      </c>
      <c r="AA368" s="3" t="s">
        <v>23</v>
      </c>
      <c r="AB368" s="3" t="str">
        <f>IFERROR(MID(VLOOKUP($B368,Seqs!$A:$B,2,0),AC368,1),"")</f>
        <v>K</v>
      </c>
      <c r="AC368" s="9">
        <v>356</v>
      </c>
      <c r="AD368" s="3" t="str">
        <f>IFERROR(MID(VLOOKUP($B368,Seqs!$A:$B,2,0),AE368,1),"")</f>
        <v>V</v>
      </c>
      <c r="AE368" s="3">
        <v>378</v>
      </c>
      <c r="AF368" s="3" t="str">
        <f>IFERROR(MID(VLOOKUP($B368,Seqs!$A:$B,2,0),AG368,1),"")</f>
        <v>C</v>
      </c>
      <c r="AG368" s="3">
        <v>390</v>
      </c>
      <c r="AH368" s="3" t="str">
        <f>IFERROR(MID(VLOOKUP($B368,Seqs!$A:$B,2,0),AI368,1),"")</f>
        <v>V</v>
      </c>
      <c r="AI368" s="3">
        <v>392</v>
      </c>
      <c r="AJ368" s="3" t="str">
        <f>IFERROR(MID(VLOOKUP($B368,Seqs!$A:$B,2,0),AK368,1),"")</f>
        <v>N</v>
      </c>
      <c r="AK368" s="105">
        <v>396</v>
      </c>
      <c r="AL368" s="3" t="str">
        <f>IFERROR(MID(VLOOKUP($B368,Seqs!$A:$B,2,0),AM368,1),"")</f>
        <v>H</v>
      </c>
      <c r="AM368" s="3">
        <v>433</v>
      </c>
      <c r="AN368" s="3" t="str">
        <f>IFERROR(MID(VLOOKUP($B368,Seqs!$A:$B,2,0),AO368,1),"")</f>
        <v>S</v>
      </c>
      <c r="AO368" s="3">
        <v>443</v>
      </c>
      <c r="AP368" s="3" t="str">
        <f>IFERROR(MID(VLOOKUP($B368,Seqs!$A:$B,2,0),AQ368,1),"")</f>
        <v>Q</v>
      </c>
      <c r="AQ368" s="3">
        <v>491</v>
      </c>
      <c r="AR368" s="3" t="str">
        <f>IFERROR(MID(VLOOKUP($B368,Seqs!$A:$B,2,0),AS368,1),"")</f>
        <v>S</v>
      </c>
      <c r="AS368" s="105">
        <v>514</v>
      </c>
      <c r="AT368" s="3" t="str">
        <f>IFERROR(MID(VLOOKUP($B368,Seqs!$A:$B,2,0),AU368,1),"")</f>
        <v>W</v>
      </c>
      <c r="AU368" s="3">
        <v>537</v>
      </c>
      <c r="AV368" s="3" t="str">
        <f>IFERROR(MID(VLOOKUP($B368,Seqs!$A:$B,2,0),AW368,1),"")</f>
        <v>T</v>
      </c>
      <c r="AW368" s="3">
        <v>538</v>
      </c>
      <c r="AX368" s="3" t="str">
        <f>IFERROR(MID(VLOOKUP($B368,Seqs!$A:$B,2,0),AY368,1),"")</f>
        <v>L</v>
      </c>
      <c r="AY368" s="3">
        <v>552</v>
      </c>
      <c r="AZ368" s="77" t="str">
        <f>VLOOKUP(B368,Classification!A:D,2,0)</f>
        <v>F</v>
      </c>
      <c r="BA368" s="94" t="str">
        <f>VLOOKUP(B368,Classification!A:D,4,0)</f>
        <v>Frizzled</v>
      </c>
      <c r="BB368" s="27" t="b">
        <f t="shared" si="2122"/>
        <v>1</v>
      </c>
      <c r="BC368" s="23">
        <f t="shared" si="2095"/>
        <v>251</v>
      </c>
      <c r="BD368" s="2" t="s">
        <v>23</v>
      </c>
      <c r="BE368" s="3" t="s">
        <v>1374</v>
      </c>
      <c r="BF368" s="119">
        <v>2.8</v>
      </c>
      <c r="BG368" s="49" t="s">
        <v>1377</v>
      </c>
      <c r="BH368" s="49" t="s">
        <v>1377</v>
      </c>
      <c r="BJ368" s="70" t="s">
        <v>1287</v>
      </c>
      <c r="BK368" s="57" t="s">
        <v>1287</v>
      </c>
      <c r="BL368" s="57" t="s">
        <v>1287</v>
      </c>
      <c r="BM368" s="57" t="s">
        <v>1287</v>
      </c>
      <c r="BN368" s="57" t="s">
        <v>1287</v>
      </c>
      <c r="BO368" s="57" t="s">
        <v>1287</v>
      </c>
      <c r="BP368" s="57" t="s">
        <v>1287</v>
      </c>
      <c r="BQ368" s="57" t="s">
        <v>1287</v>
      </c>
      <c r="BR368" s="57" t="s">
        <v>1287</v>
      </c>
      <c r="BS368" s="57" t="s">
        <v>1287</v>
      </c>
      <c r="BT368" s="57" t="s">
        <v>1287</v>
      </c>
      <c r="BU368" s="57" t="s">
        <v>1287</v>
      </c>
      <c r="BV368" s="70">
        <f t="shared" si="2096"/>
        <v>223</v>
      </c>
      <c r="BW368" s="71">
        <f t="shared" si="2097"/>
        <v>256</v>
      </c>
      <c r="BX368" s="72">
        <f t="shared" si="2098"/>
        <v>261</v>
      </c>
      <c r="BY368" s="71" t="str">
        <f t="shared" si="2099"/>
        <v>-</v>
      </c>
      <c r="BZ368" s="72">
        <f t="shared" si="2100"/>
        <v>312</v>
      </c>
      <c r="CA368" s="71" t="str">
        <f t="shared" si="2101"/>
        <v>-</v>
      </c>
      <c r="CB368" s="72">
        <f t="shared" si="2102"/>
        <v>356</v>
      </c>
      <c r="CC368" s="71">
        <f t="shared" si="2103"/>
        <v>390</v>
      </c>
      <c r="CD368" s="72">
        <f t="shared" si="2104"/>
        <v>396</v>
      </c>
      <c r="CE368" s="71">
        <f t="shared" si="2105"/>
        <v>443</v>
      </c>
      <c r="CF368" s="72">
        <f t="shared" si="2106"/>
        <v>514</v>
      </c>
      <c r="CG368" s="71">
        <f t="shared" si="2107"/>
        <v>538</v>
      </c>
      <c r="CH368" s="70">
        <f t="shared" si="2108"/>
        <v>255</v>
      </c>
      <c r="CI368" s="71">
        <f t="shared" si="2109"/>
        <v>260</v>
      </c>
      <c r="CJ368" s="72">
        <f t="shared" si="2110"/>
        <v>285</v>
      </c>
      <c r="CK368" s="72" t="str">
        <f t="shared" si="2111"/>
        <v>-</v>
      </c>
      <c r="CL368" s="72">
        <f t="shared" si="2112"/>
        <v>345</v>
      </c>
      <c r="CM368" s="72" t="str">
        <f t="shared" si="2113"/>
        <v>-</v>
      </c>
      <c r="CN368" s="72">
        <f t="shared" si="2114"/>
        <v>378</v>
      </c>
      <c r="CO368" s="72">
        <f t="shared" si="2115"/>
        <v>392</v>
      </c>
      <c r="CP368" s="72">
        <f t="shared" si="2116"/>
        <v>433</v>
      </c>
      <c r="CQ368" s="72">
        <f t="shared" si="2117"/>
        <v>491</v>
      </c>
      <c r="CR368" s="72">
        <f t="shared" si="2118"/>
        <v>537</v>
      </c>
      <c r="CS368" s="72">
        <f t="shared" si="2119"/>
        <v>552</v>
      </c>
      <c r="CT368" s="23">
        <f t="shared" si="2120"/>
        <v>1</v>
      </c>
    </row>
    <row r="369" spans="1:1030" x14ac:dyDescent="0.2">
      <c r="A369" s="3" t="str">
        <f t="shared" si="2121"/>
        <v>smo_human_4O9R</v>
      </c>
      <c r="B369" s="3" t="s">
        <v>33</v>
      </c>
      <c r="C369" s="3" t="s">
        <v>1049</v>
      </c>
      <c r="D369" s="3" t="str">
        <f>IFERROR(MID(VLOOKUP($B369,Seqs!$A:$B,2,0),E369,1),"")</f>
        <v>T</v>
      </c>
      <c r="E369" s="105">
        <v>223</v>
      </c>
      <c r="F369" s="3" t="str">
        <f>IFERROR(MID(VLOOKUP($B369,Seqs!$A:$B,2,0),G369,1),"")</f>
        <v>D</v>
      </c>
      <c r="G369" s="3">
        <v>255</v>
      </c>
      <c r="H369" s="3" t="str">
        <f>IFERROR(MID(VLOOKUP($B369,Seqs!$A:$B,2,0),I369,1),"")</f>
        <v>W</v>
      </c>
      <c r="I369" s="23">
        <v>256</v>
      </c>
      <c r="J369" s="3" t="str">
        <f>IFERROR(MID(VLOOKUP($B369,Seqs!$A:$B,2,0),K369,1),"")</f>
        <v>N</v>
      </c>
      <c r="K369" s="23">
        <v>260</v>
      </c>
      <c r="L369" s="3" t="str">
        <f>IFERROR(MID(VLOOKUP($B369,Seqs!$A:$B,2,0),M369,1),"")</f>
        <v>R</v>
      </c>
      <c r="M369" s="3">
        <v>261</v>
      </c>
      <c r="N369" s="3" t="str">
        <f>IFERROR(MID(VLOOKUP($B369,Seqs!$A:$B,2,0),O369,1),"")</f>
        <v>F</v>
      </c>
      <c r="O369" s="3">
        <v>285</v>
      </c>
      <c r="P369" s="3" t="str">
        <f>IFERROR(MID(VLOOKUP($B369,Seqs!$A:$B,2,0),Q369,1),"")</f>
        <v/>
      </c>
      <c r="Q369" s="3" t="s">
        <v>23</v>
      </c>
      <c r="R369" s="3" t="str">
        <f>IFERROR(MID(VLOOKUP($B369,Seqs!$A:$B,2,0),S369,1),"")</f>
        <v/>
      </c>
      <c r="S369" s="3" t="s">
        <v>23</v>
      </c>
      <c r="T369" s="3" t="str">
        <f>IFERROR(MID(VLOOKUP($B369,Seqs!$A:$B,2,0),U369,1),"")</f>
        <v>L</v>
      </c>
      <c r="U369" s="3">
        <v>312</v>
      </c>
      <c r="V369" s="3" t="str">
        <f>IFERROR(MID(VLOOKUP($B369,Seqs!$A:$B,2,0),W369,1),"")</f>
        <v>F</v>
      </c>
      <c r="W369" s="3">
        <v>343</v>
      </c>
      <c r="X369" s="3" t="str">
        <f>IFERROR(MID(VLOOKUP($B369,Seqs!$A:$B,2,0),Y369,1),"")</f>
        <v/>
      </c>
      <c r="Y369" s="3" t="s">
        <v>23</v>
      </c>
      <c r="Z369" s="3" t="str">
        <f>IFERROR(MID(VLOOKUP($B369,Seqs!$A:$B,2,0),AA369,1),"")</f>
        <v/>
      </c>
      <c r="AA369" s="3" t="s">
        <v>23</v>
      </c>
      <c r="AB369" s="3" t="str">
        <f>IFERROR(MID(VLOOKUP($B369,Seqs!$A:$B,2,0),AC369,1),"")</f>
        <v>F</v>
      </c>
      <c r="AC369" s="9">
        <v>360</v>
      </c>
      <c r="AD369" s="3" t="str">
        <f>IFERROR(MID(VLOOKUP($B369,Seqs!$A:$B,2,0),AE369,1),"")</f>
        <v>V</v>
      </c>
      <c r="AE369" s="3">
        <v>378</v>
      </c>
      <c r="AF369" s="3" t="str">
        <f>IFERROR(MID(VLOOKUP($B369,Seqs!$A:$B,2,0),AG369,1),"")</f>
        <v>C</v>
      </c>
      <c r="AG369" s="3">
        <v>390</v>
      </c>
      <c r="AH369" s="3" t="str">
        <f>IFERROR(MID(VLOOKUP($B369,Seqs!$A:$B,2,0),AI369,1),"")</f>
        <v>V</v>
      </c>
      <c r="AI369" s="3">
        <v>392</v>
      </c>
      <c r="AJ369" s="3" t="str">
        <f>IFERROR(MID(VLOOKUP($B369,Seqs!$A:$B,2,0),AK369,1),"")</f>
        <v>N</v>
      </c>
      <c r="AK369" s="105">
        <v>396</v>
      </c>
      <c r="AL369" s="3" t="str">
        <f>IFERROR(MID(VLOOKUP($B369,Seqs!$A:$B,2,0),AM369,1),"")</f>
        <v>H</v>
      </c>
      <c r="AM369" s="3">
        <v>433</v>
      </c>
      <c r="AN369" s="3" t="str">
        <f>IFERROR(MID(VLOOKUP($B369,Seqs!$A:$B,2,0),AO369,1),"")</f>
        <v>E</v>
      </c>
      <c r="AO369" s="3">
        <v>447</v>
      </c>
      <c r="AP369" s="3" t="str">
        <f>IFERROR(MID(VLOOKUP($B369,Seqs!$A:$B,2,0),AQ369,1),"")</f>
        <v>N</v>
      </c>
      <c r="AQ369" s="3">
        <v>493</v>
      </c>
      <c r="AR369" s="3" t="str">
        <f>IFERROR(MID(VLOOKUP($B369,Seqs!$A:$B,2,0),AS369,1),"")</f>
        <v>S</v>
      </c>
      <c r="AS369" s="105">
        <v>514</v>
      </c>
      <c r="AT369" s="3" t="str">
        <f>IFERROR(MID(VLOOKUP($B369,Seqs!$A:$B,2,0),AU369,1),"")</f>
        <v>W</v>
      </c>
      <c r="AU369" s="3">
        <v>537</v>
      </c>
      <c r="AV369" s="3" t="str">
        <f>IFERROR(MID(VLOOKUP($B369,Seqs!$A:$B,2,0),AW369,1),"")</f>
        <v>T</v>
      </c>
      <c r="AW369" s="3">
        <v>538</v>
      </c>
      <c r="AX369" s="3" t="str">
        <f>IFERROR(MID(VLOOKUP($B369,Seqs!$A:$B,2,0),AY369,1),"")</f>
        <v>W</v>
      </c>
      <c r="AY369" s="3">
        <v>549</v>
      </c>
      <c r="AZ369" s="78" t="str">
        <f>VLOOKUP(B369,Classification!A:D,2,0)</f>
        <v>F</v>
      </c>
      <c r="BA369" s="94" t="str">
        <f>VLOOKUP(B369,Classification!A:D,4,0)</f>
        <v>Frizzled</v>
      </c>
      <c r="BB369" s="92" t="b">
        <f t="shared" si="2122"/>
        <v>1</v>
      </c>
      <c r="BC369" s="23">
        <f t="shared" si="2095"/>
        <v>240</v>
      </c>
      <c r="BD369" s="74" t="s">
        <v>23</v>
      </c>
      <c r="BE369" s="3" t="s">
        <v>1374</v>
      </c>
      <c r="BF369" s="119">
        <v>3.2</v>
      </c>
      <c r="BG369" s="49" t="s">
        <v>1377</v>
      </c>
      <c r="BH369" s="49" t="s">
        <v>1377</v>
      </c>
      <c r="BJ369" s="75" t="s">
        <v>1287</v>
      </c>
      <c r="BK369" s="57" t="s">
        <v>1287</v>
      </c>
      <c r="BL369" s="57" t="s">
        <v>1287</v>
      </c>
      <c r="BM369" s="57" t="s">
        <v>1287</v>
      </c>
      <c r="BN369" s="57" t="s">
        <v>1287</v>
      </c>
      <c r="BO369" s="57" t="s">
        <v>1287</v>
      </c>
      <c r="BP369" s="57" t="s">
        <v>1287</v>
      </c>
      <c r="BQ369" s="57" t="s">
        <v>1287</v>
      </c>
      <c r="BR369" s="57" t="s">
        <v>1287</v>
      </c>
      <c r="BS369" s="57" t="s">
        <v>1287</v>
      </c>
      <c r="BT369" s="57" t="s">
        <v>1287</v>
      </c>
      <c r="BU369" s="57" t="s">
        <v>1287</v>
      </c>
      <c r="BV369" s="75">
        <f t="shared" si="2096"/>
        <v>223</v>
      </c>
      <c r="BW369" s="71">
        <f t="shared" si="2097"/>
        <v>256</v>
      </c>
      <c r="BX369" s="72">
        <f t="shared" si="2098"/>
        <v>261</v>
      </c>
      <c r="BY369" s="71" t="str">
        <f t="shared" si="2099"/>
        <v>-</v>
      </c>
      <c r="BZ369" s="72">
        <f t="shared" si="2100"/>
        <v>312</v>
      </c>
      <c r="CA369" s="71" t="str">
        <f t="shared" si="2101"/>
        <v>-</v>
      </c>
      <c r="CB369" s="72">
        <f t="shared" si="2102"/>
        <v>360</v>
      </c>
      <c r="CC369" s="71">
        <f t="shared" si="2103"/>
        <v>390</v>
      </c>
      <c r="CD369" s="72">
        <f t="shared" si="2104"/>
        <v>396</v>
      </c>
      <c r="CE369" s="71">
        <f t="shared" si="2105"/>
        <v>447</v>
      </c>
      <c r="CF369" s="72">
        <f t="shared" si="2106"/>
        <v>514</v>
      </c>
      <c r="CG369" s="71">
        <f t="shared" si="2107"/>
        <v>538</v>
      </c>
      <c r="CH369" s="75">
        <f t="shared" si="2108"/>
        <v>255</v>
      </c>
      <c r="CI369" s="71">
        <f t="shared" si="2109"/>
        <v>260</v>
      </c>
      <c r="CJ369" s="72">
        <f t="shared" si="2110"/>
        <v>285</v>
      </c>
      <c r="CK369" s="72" t="str">
        <f t="shared" si="2111"/>
        <v>-</v>
      </c>
      <c r="CL369" s="72">
        <f t="shared" si="2112"/>
        <v>343</v>
      </c>
      <c r="CM369" s="72" t="str">
        <f t="shared" si="2113"/>
        <v>-</v>
      </c>
      <c r="CN369" s="72">
        <f t="shared" si="2114"/>
        <v>378</v>
      </c>
      <c r="CO369" s="72">
        <f t="shared" si="2115"/>
        <v>392</v>
      </c>
      <c r="CP369" s="72">
        <f t="shared" si="2116"/>
        <v>433</v>
      </c>
      <c r="CQ369" s="72">
        <f t="shared" si="2117"/>
        <v>493</v>
      </c>
      <c r="CR369" s="72">
        <f t="shared" si="2118"/>
        <v>537</v>
      </c>
      <c r="CS369" s="72">
        <f t="shared" si="2119"/>
        <v>549</v>
      </c>
      <c r="CT369" s="23">
        <f t="shared" si="2120"/>
        <v>1</v>
      </c>
    </row>
    <row r="370" spans="1:1030" s="6" customFormat="1" x14ac:dyDescent="0.2">
      <c r="A370" s="3" t="str">
        <f t="shared" si="2121"/>
        <v>smo_human_4QIM</v>
      </c>
      <c r="B370" s="3" t="s">
        <v>33</v>
      </c>
      <c r="C370" s="3" t="s">
        <v>1051</v>
      </c>
      <c r="D370" s="3" t="str">
        <f>IFERROR(MID(VLOOKUP($B370,Seqs!$A:$B,2,0),E370,1),"")</f>
        <v>T</v>
      </c>
      <c r="E370" s="105">
        <v>223</v>
      </c>
      <c r="F370" s="3" t="str">
        <f>IFERROR(MID(VLOOKUP($B370,Seqs!$A:$B,2,0),G370,1),"")</f>
        <v>D</v>
      </c>
      <c r="G370" s="3">
        <v>255</v>
      </c>
      <c r="H370" s="3" t="str">
        <f>IFERROR(MID(VLOOKUP($B370,Seqs!$A:$B,2,0),I370,1),"")</f>
        <v>W</v>
      </c>
      <c r="I370" s="23">
        <v>256</v>
      </c>
      <c r="J370" s="3" t="str">
        <f>IFERROR(MID(VLOOKUP($B370,Seqs!$A:$B,2,0),K370,1),"")</f>
        <v>N</v>
      </c>
      <c r="K370" s="23">
        <v>260</v>
      </c>
      <c r="L370" s="3" t="str">
        <f>IFERROR(MID(VLOOKUP($B370,Seqs!$A:$B,2,0),M370,1),"")</f>
        <v>R</v>
      </c>
      <c r="M370" s="3">
        <v>261</v>
      </c>
      <c r="N370" s="3" t="str">
        <f>IFERROR(MID(VLOOKUP($B370,Seqs!$A:$B,2,0),O370,1),"")</f>
        <v>F</v>
      </c>
      <c r="O370" s="3">
        <v>285</v>
      </c>
      <c r="P370" s="3" t="str">
        <f>IFERROR(MID(VLOOKUP($B370,Seqs!$A:$B,2,0),Q370,1),"")</f>
        <v/>
      </c>
      <c r="Q370" s="3" t="s">
        <v>23</v>
      </c>
      <c r="R370" s="3" t="str">
        <f>IFERROR(MID(VLOOKUP($B370,Seqs!$A:$B,2,0),S370,1),"")</f>
        <v/>
      </c>
      <c r="S370" s="3" t="s">
        <v>23</v>
      </c>
      <c r="T370" s="3" t="str">
        <f>IFERROR(MID(VLOOKUP($B370,Seqs!$A:$B,2,0),U370,1),"")</f>
        <v>L</v>
      </c>
      <c r="U370" s="3">
        <v>312</v>
      </c>
      <c r="V370" s="3" t="str">
        <f>IFERROR(MID(VLOOKUP($B370,Seqs!$A:$B,2,0),W370,1),"")</f>
        <v>A</v>
      </c>
      <c r="W370" s="3">
        <v>345</v>
      </c>
      <c r="X370" s="3" t="str">
        <f>IFERROR(MID(VLOOKUP($B370,Seqs!$A:$B,2,0),Y370,1),"")</f>
        <v/>
      </c>
      <c r="Y370" s="3" t="s">
        <v>23</v>
      </c>
      <c r="Z370" s="3" t="str">
        <f>IFERROR(MID(VLOOKUP($B370,Seqs!$A:$B,2,0),AA370,1),"")</f>
        <v/>
      </c>
      <c r="AA370" s="3" t="s">
        <v>23</v>
      </c>
      <c r="AB370" s="3" t="str">
        <f>IFERROR(MID(VLOOKUP($B370,Seqs!$A:$B,2,0),AC370,1),"")</f>
        <v>K</v>
      </c>
      <c r="AC370" s="9">
        <v>356</v>
      </c>
      <c r="AD370" s="3" t="str">
        <f>IFERROR(MID(VLOOKUP($B370,Seqs!$A:$B,2,0),AE370,1),"")</f>
        <v>V</v>
      </c>
      <c r="AE370" s="3">
        <v>378</v>
      </c>
      <c r="AF370" s="3" t="str">
        <f>IFERROR(MID(VLOOKUP($B370,Seqs!$A:$B,2,0),AG370,1),"")</f>
        <v>C</v>
      </c>
      <c r="AG370" s="3">
        <v>390</v>
      </c>
      <c r="AH370" s="3" t="str">
        <f>IFERROR(MID(VLOOKUP($B370,Seqs!$A:$B,2,0),AI370,1),"")</f>
        <v>V</v>
      </c>
      <c r="AI370" s="3">
        <v>392</v>
      </c>
      <c r="AJ370" s="3" t="str">
        <f>IFERROR(MID(VLOOKUP($B370,Seqs!$A:$B,2,0),AK370,1),"")</f>
        <v>N</v>
      </c>
      <c r="AK370" s="105">
        <v>396</v>
      </c>
      <c r="AL370" s="3" t="str">
        <f>IFERROR(MID(VLOOKUP($B370,Seqs!$A:$B,2,0),AM370,1),"")</f>
        <v>H</v>
      </c>
      <c r="AM370" s="3">
        <v>433</v>
      </c>
      <c r="AN370" s="3" t="str">
        <f>IFERROR(MID(VLOOKUP($B370,Seqs!$A:$B,2,0),AO370,1),"")</f>
        <v>E</v>
      </c>
      <c r="AO370" s="3">
        <v>447</v>
      </c>
      <c r="AP370" s="3" t="str">
        <f>IFERROR(MID(VLOOKUP($B370,Seqs!$A:$B,2,0),AQ370,1),"")</f>
        <v>N</v>
      </c>
      <c r="AQ370" s="3">
        <v>493</v>
      </c>
      <c r="AR370" s="3" t="str">
        <f>IFERROR(MID(VLOOKUP($B370,Seqs!$A:$B,2,0),AS370,1),"")</f>
        <v>S</v>
      </c>
      <c r="AS370" s="105">
        <v>514</v>
      </c>
      <c r="AT370" s="3" t="str">
        <f>IFERROR(MID(VLOOKUP($B370,Seqs!$A:$B,2,0),AU370,1),"")</f>
        <v>W</v>
      </c>
      <c r="AU370" s="3">
        <v>537</v>
      </c>
      <c r="AV370" s="3" t="str">
        <f>IFERROR(MID(VLOOKUP($B370,Seqs!$A:$B,2,0),AW370,1),"")</f>
        <v>T</v>
      </c>
      <c r="AW370" s="3">
        <v>538</v>
      </c>
      <c r="AX370" s="3" t="str">
        <f>IFERROR(MID(VLOOKUP($B370,Seqs!$A:$B,2,0),AY370,1),"")</f>
        <v>T</v>
      </c>
      <c r="AY370" s="3">
        <v>553</v>
      </c>
      <c r="AZ370" s="78" t="str">
        <f>VLOOKUP(B370,Classification!A:D,2,0)</f>
        <v>F</v>
      </c>
      <c r="BA370" s="94" t="str">
        <f>VLOOKUP(B370,Classification!A:D,4,0)</f>
        <v>Frizzled</v>
      </c>
      <c r="BB370" s="92" t="b">
        <f t="shared" si="2122"/>
        <v>1</v>
      </c>
      <c r="BC370" s="23">
        <f t="shared" si="2095"/>
        <v>250</v>
      </c>
      <c r="BD370" s="74" t="s">
        <v>23</v>
      </c>
      <c r="BE370" s="3" t="s">
        <v>1374</v>
      </c>
      <c r="BF370" s="119">
        <v>2.61</v>
      </c>
      <c r="BG370" s="49" t="s">
        <v>1377</v>
      </c>
      <c r="BH370" s="49" t="s">
        <v>1377</v>
      </c>
      <c r="BI370" s="3"/>
      <c r="BJ370" s="75" t="s">
        <v>1287</v>
      </c>
      <c r="BK370" s="57" t="s">
        <v>1287</v>
      </c>
      <c r="BL370" s="57" t="s">
        <v>1287</v>
      </c>
      <c r="BM370" s="57" t="s">
        <v>1287</v>
      </c>
      <c r="BN370" s="57" t="s">
        <v>1287</v>
      </c>
      <c r="BO370" s="57" t="s">
        <v>1287</v>
      </c>
      <c r="BP370" s="57" t="s">
        <v>1287</v>
      </c>
      <c r="BQ370" s="57" t="s">
        <v>1287</v>
      </c>
      <c r="BR370" s="57" t="s">
        <v>1287</v>
      </c>
      <c r="BS370" s="57" t="s">
        <v>1287</v>
      </c>
      <c r="BT370" s="57" t="s">
        <v>1287</v>
      </c>
      <c r="BU370" s="57" t="s">
        <v>1287</v>
      </c>
      <c r="BV370" s="75">
        <f t="shared" si="2096"/>
        <v>223</v>
      </c>
      <c r="BW370" s="71">
        <f t="shared" si="2097"/>
        <v>256</v>
      </c>
      <c r="BX370" s="72">
        <f t="shared" si="2098"/>
        <v>261</v>
      </c>
      <c r="BY370" s="71" t="str">
        <f t="shared" si="2099"/>
        <v>-</v>
      </c>
      <c r="BZ370" s="72">
        <f t="shared" si="2100"/>
        <v>312</v>
      </c>
      <c r="CA370" s="71" t="str">
        <f t="shared" si="2101"/>
        <v>-</v>
      </c>
      <c r="CB370" s="72">
        <f t="shared" si="2102"/>
        <v>356</v>
      </c>
      <c r="CC370" s="71">
        <f t="shared" si="2103"/>
        <v>390</v>
      </c>
      <c r="CD370" s="72">
        <f t="shared" si="2104"/>
        <v>396</v>
      </c>
      <c r="CE370" s="71">
        <f t="shared" si="2105"/>
        <v>447</v>
      </c>
      <c r="CF370" s="72">
        <f t="shared" si="2106"/>
        <v>514</v>
      </c>
      <c r="CG370" s="71">
        <f t="shared" si="2107"/>
        <v>538</v>
      </c>
      <c r="CH370" s="75">
        <f t="shared" si="2108"/>
        <v>255</v>
      </c>
      <c r="CI370" s="71">
        <f t="shared" si="2109"/>
        <v>260</v>
      </c>
      <c r="CJ370" s="72">
        <f t="shared" si="2110"/>
        <v>285</v>
      </c>
      <c r="CK370" s="72" t="str">
        <f t="shared" si="2111"/>
        <v>-</v>
      </c>
      <c r="CL370" s="72">
        <f t="shared" si="2112"/>
        <v>345</v>
      </c>
      <c r="CM370" s="72" t="str">
        <f t="shared" si="2113"/>
        <v>-</v>
      </c>
      <c r="CN370" s="72">
        <f t="shared" si="2114"/>
        <v>378</v>
      </c>
      <c r="CO370" s="72">
        <f t="shared" si="2115"/>
        <v>392</v>
      </c>
      <c r="CP370" s="72">
        <f t="shared" si="2116"/>
        <v>433</v>
      </c>
      <c r="CQ370" s="72">
        <f t="shared" si="2117"/>
        <v>493</v>
      </c>
      <c r="CR370" s="72">
        <f t="shared" si="2118"/>
        <v>537</v>
      </c>
      <c r="CS370" s="72">
        <f t="shared" si="2119"/>
        <v>553</v>
      </c>
      <c r="CT370" s="23">
        <f t="shared" si="2120"/>
        <v>1</v>
      </c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/>
      <c r="MX370" s="3"/>
      <c r="MY370" s="3"/>
      <c r="MZ370" s="3"/>
      <c r="NA370" s="3"/>
      <c r="NB370" s="3"/>
      <c r="NC370" s="3"/>
      <c r="ND370" s="3"/>
      <c r="NE370" s="3"/>
      <c r="NF370" s="3"/>
      <c r="NG370" s="3"/>
      <c r="NH370" s="3"/>
      <c r="NI370" s="3"/>
      <c r="NJ370" s="3"/>
      <c r="NK370" s="3"/>
      <c r="NL370" s="3"/>
      <c r="NM370" s="3"/>
      <c r="NN370" s="3"/>
      <c r="NO370" s="3"/>
      <c r="NP370" s="3"/>
      <c r="NQ370" s="3"/>
      <c r="NR370" s="3"/>
      <c r="NS370" s="3"/>
      <c r="NT370" s="3"/>
      <c r="NU370" s="3"/>
      <c r="NV370" s="3"/>
      <c r="NW370" s="3"/>
      <c r="NX370" s="3"/>
      <c r="NY370" s="3"/>
      <c r="NZ370" s="3"/>
      <c r="OA370" s="3"/>
      <c r="OB370" s="3"/>
      <c r="OC370" s="3"/>
      <c r="OD370" s="3"/>
      <c r="OE370" s="3"/>
      <c r="OF370" s="3"/>
      <c r="OG370" s="3"/>
      <c r="OH370" s="3"/>
      <c r="OI370" s="3"/>
      <c r="OJ370" s="3"/>
      <c r="OK370" s="3"/>
      <c r="OL370" s="3"/>
      <c r="OM370" s="3"/>
      <c r="ON370" s="3"/>
      <c r="OO370" s="3"/>
      <c r="OP370" s="3"/>
      <c r="OQ370" s="3"/>
      <c r="OR370" s="3"/>
      <c r="OS370" s="3"/>
      <c r="OT370" s="3"/>
      <c r="OU370" s="3"/>
      <c r="OV370" s="3"/>
      <c r="OW370" s="3"/>
      <c r="OX370" s="3"/>
      <c r="OY370" s="3"/>
      <c r="OZ370" s="3"/>
      <c r="PA370" s="3"/>
      <c r="PB370" s="3"/>
      <c r="PC370" s="3"/>
      <c r="PD370" s="3"/>
      <c r="PE370" s="3"/>
      <c r="PF370" s="3"/>
      <c r="PG370" s="3"/>
      <c r="PH370" s="3"/>
      <c r="PI370" s="3"/>
      <c r="PJ370" s="3"/>
      <c r="PK370" s="3"/>
      <c r="PL370" s="3"/>
      <c r="PM370" s="3"/>
      <c r="PN370" s="3"/>
      <c r="PO370" s="3"/>
      <c r="PP370" s="3"/>
      <c r="PQ370" s="3"/>
      <c r="PR370" s="3"/>
      <c r="PS370" s="3"/>
      <c r="PT370" s="3"/>
      <c r="PU370" s="3"/>
      <c r="PV370" s="3"/>
      <c r="PW370" s="3"/>
      <c r="PX370" s="3"/>
      <c r="PY370" s="3"/>
      <c r="PZ370" s="3"/>
      <c r="QA370" s="3"/>
      <c r="QB370" s="3"/>
      <c r="QC370" s="3"/>
      <c r="QD370" s="3"/>
      <c r="QE370" s="3"/>
      <c r="QF370" s="3"/>
      <c r="QG370" s="3"/>
      <c r="QH370" s="3"/>
      <c r="QI370" s="3"/>
      <c r="QJ370" s="3"/>
      <c r="QK370" s="3"/>
      <c r="QL370" s="3"/>
      <c r="QM370" s="3"/>
      <c r="QN370" s="3"/>
      <c r="QO370" s="3"/>
      <c r="QP370" s="3"/>
      <c r="QQ370" s="3"/>
      <c r="QR370" s="3"/>
      <c r="QS370" s="3"/>
      <c r="QT370" s="3"/>
      <c r="QU370" s="3"/>
      <c r="QV370" s="3"/>
      <c r="QW370" s="3"/>
      <c r="QX370" s="3"/>
      <c r="QY370" s="3"/>
      <c r="QZ370" s="3"/>
      <c r="RA370" s="3"/>
      <c r="RB370" s="3"/>
      <c r="RC370" s="3"/>
      <c r="RD370" s="3"/>
      <c r="RE370" s="3"/>
      <c r="RF370" s="3"/>
      <c r="RG370" s="3"/>
      <c r="RH370" s="3"/>
      <c r="RI370" s="3"/>
      <c r="RJ370" s="3"/>
      <c r="RK370" s="3"/>
      <c r="RL370" s="3"/>
      <c r="RM370" s="3"/>
      <c r="RN370" s="3"/>
      <c r="RO370" s="3"/>
      <c r="RP370" s="3"/>
      <c r="RQ370" s="3"/>
      <c r="RR370" s="3"/>
      <c r="RS370" s="3"/>
      <c r="RT370" s="3"/>
      <c r="RU370" s="3"/>
      <c r="RV370" s="3"/>
      <c r="RW370" s="3"/>
      <c r="RX370" s="3"/>
      <c r="RY370" s="3"/>
      <c r="RZ370" s="3"/>
      <c r="SA370" s="3"/>
      <c r="SB370" s="3"/>
      <c r="SC370" s="3"/>
      <c r="SD370" s="3"/>
      <c r="SE370" s="3"/>
      <c r="SF370" s="3"/>
      <c r="SG370" s="3"/>
      <c r="SH370" s="3"/>
      <c r="SI370" s="3"/>
      <c r="SJ370" s="3"/>
      <c r="SK370" s="3"/>
      <c r="SL370" s="3"/>
      <c r="SM370" s="3"/>
      <c r="SN370" s="3"/>
      <c r="SO370" s="3"/>
      <c r="SP370" s="3"/>
      <c r="SQ370" s="3"/>
      <c r="SR370" s="3"/>
      <c r="SS370" s="3"/>
      <c r="ST370" s="3"/>
      <c r="SU370" s="3"/>
      <c r="SV370" s="3"/>
      <c r="SW370" s="3"/>
      <c r="SX370" s="3"/>
      <c r="SY370" s="3"/>
      <c r="SZ370" s="3"/>
      <c r="TA370" s="3"/>
      <c r="TB370" s="3"/>
      <c r="TC370" s="3"/>
      <c r="TD370" s="3"/>
      <c r="TE370" s="3"/>
      <c r="TF370" s="3"/>
      <c r="TG370" s="3"/>
      <c r="TH370" s="3"/>
      <c r="TI370" s="3"/>
      <c r="TJ370" s="3"/>
      <c r="TK370" s="3"/>
      <c r="TL370" s="3"/>
      <c r="TM370" s="3"/>
      <c r="TN370" s="3"/>
      <c r="TO370" s="3"/>
      <c r="TP370" s="3"/>
      <c r="TQ370" s="3"/>
      <c r="TR370" s="3"/>
      <c r="TS370" s="3"/>
      <c r="TT370" s="3"/>
      <c r="TU370" s="3"/>
      <c r="TV370" s="3"/>
      <c r="TW370" s="3"/>
      <c r="TX370" s="3"/>
      <c r="TY370" s="3"/>
      <c r="TZ370" s="3"/>
      <c r="UA370" s="3"/>
      <c r="UB370" s="3"/>
      <c r="UC370" s="3"/>
      <c r="UD370" s="3"/>
      <c r="UE370" s="3"/>
      <c r="UF370" s="3"/>
      <c r="UG370" s="3"/>
      <c r="UH370" s="3"/>
      <c r="UI370" s="3"/>
      <c r="UJ370" s="3"/>
      <c r="UK370" s="3"/>
      <c r="UL370" s="3"/>
      <c r="UM370" s="3"/>
      <c r="UN370" s="3"/>
      <c r="UO370" s="3"/>
      <c r="UP370" s="3"/>
      <c r="UQ370" s="3"/>
      <c r="UR370" s="3"/>
      <c r="US370" s="3"/>
      <c r="UT370" s="3"/>
      <c r="UU370" s="3"/>
      <c r="UV370" s="3"/>
      <c r="UW370" s="3"/>
      <c r="UX370" s="3"/>
      <c r="UY370" s="3"/>
      <c r="UZ370" s="3"/>
      <c r="VA370" s="3"/>
      <c r="VB370" s="3"/>
      <c r="VC370" s="3"/>
      <c r="VD370" s="3"/>
      <c r="VE370" s="3"/>
      <c r="VF370" s="3"/>
      <c r="VG370" s="3"/>
      <c r="VH370" s="3"/>
      <c r="VI370" s="3"/>
      <c r="VJ370" s="3"/>
      <c r="VK370" s="3"/>
      <c r="VL370" s="3"/>
      <c r="VM370" s="3"/>
      <c r="VN370" s="3"/>
      <c r="VO370" s="3"/>
      <c r="VP370" s="3"/>
      <c r="VQ370" s="3"/>
      <c r="VR370" s="3"/>
      <c r="VS370" s="3"/>
      <c r="VT370" s="3"/>
      <c r="VU370" s="3"/>
      <c r="VV370" s="3"/>
      <c r="VW370" s="3"/>
      <c r="VX370" s="3"/>
      <c r="VY370" s="3"/>
      <c r="VZ370" s="3"/>
      <c r="WA370" s="3"/>
      <c r="WB370" s="3"/>
      <c r="WC370" s="3"/>
      <c r="WD370" s="3"/>
      <c r="WE370" s="3"/>
      <c r="WF370" s="3"/>
      <c r="WG370" s="3"/>
      <c r="WH370" s="3"/>
      <c r="WI370" s="3"/>
      <c r="WJ370" s="3"/>
      <c r="WK370" s="3"/>
      <c r="WL370" s="3"/>
      <c r="WM370" s="3"/>
      <c r="WN370" s="3"/>
      <c r="WO370" s="3"/>
      <c r="WP370" s="3"/>
      <c r="WQ370" s="3"/>
      <c r="WR370" s="3"/>
      <c r="WS370" s="3"/>
      <c r="WT370" s="3"/>
      <c r="WU370" s="3"/>
      <c r="WV370" s="3"/>
      <c r="WW370" s="3"/>
      <c r="WX370" s="3"/>
      <c r="WY370" s="3"/>
      <c r="WZ370" s="3"/>
      <c r="XA370" s="3"/>
      <c r="XB370" s="3"/>
      <c r="XC370" s="3"/>
      <c r="XD370" s="3"/>
      <c r="XE370" s="3"/>
      <c r="XF370" s="3"/>
      <c r="XG370" s="3"/>
      <c r="XH370" s="3"/>
      <c r="XI370" s="3"/>
      <c r="XJ370" s="3"/>
      <c r="XK370" s="3"/>
      <c r="XL370" s="3"/>
      <c r="XM370" s="3"/>
      <c r="XN370" s="3"/>
      <c r="XO370" s="3"/>
      <c r="XP370" s="3"/>
      <c r="XQ370" s="3"/>
      <c r="XR370" s="3"/>
      <c r="XS370" s="3"/>
      <c r="XT370" s="3"/>
      <c r="XU370" s="3"/>
      <c r="XV370" s="3"/>
      <c r="XW370" s="3"/>
      <c r="XX370" s="3"/>
      <c r="XY370" s="3"/>
      <c r="XZ370" s="3"/>
      <c r="YA370" s="3"/>
      <c r="YB370" s="3"/>
      <c r="YC370" s="3"/>
      <c r="YD370" s="3"/>
      <c r="YE370" s="3"/>
      <c r="YF370" s="3"/>
      <c r="YG370" s="3"/>
      <c r="YH370" s="3"/>
      <c r="YI370" s="3"/>
      <c r="YJ370" s="3"/>
      <c r="YK370" s="3"/>
      <c r="YL370" s="3"/>
      <c r="YM370" s="3"/>
      <c r="YN370" s="3"/>
      <c r="YO370" s="3"/>
      <c r="YP370" s="3"/>
      <c r="YQ370" s="3"/>
      <c r="YR370" s="3"/>
      <c r="YS370" s="3"/>
      <c r="YT370" s="3"/>
      <c r="YU370" s="3"/>
      <c r="YV370" s="3"/>
      <c r="YW370" s="3"/>
      <c r="YX370" s="3"/>
      <c r="YY370" s="3"/>
      <c r="YZ370" s="3"/>
      <c r="ZA370" s="3"/>
      <c r="ZB370" s="3"/>
      <c r="ZC370" s="3"/>
      <c r="ZD370" s="3"/>
      <c r="ZE370" s="3"/>
      <c r="ZF370" s="3"/>
      <c r="ZG370" s="3"/>
      <c r="ZH370" s="3"/>
      <c r="ZI370" s="3"/>
      <c r="ZJ370" s="3"/>
      <c r="ZK370" s="3"/>
      <c r="ZL370" s="3"/>
      <c r="ZM370" s="3"/>
      <c r="ZN370" s="3"/>
      <c r="ZO370" s="3"/>
      <c r="ZP370" s="3"/>
      <c r="ZQ370" s="3"/>
      <c r="ZR370" s="3"/>
      <c r="ZS370" s="3"/>
      <c r="ZT370" s="3"/>
      <c r="ZU370" s="3"/>
      <c r="ZV370" s="3"/>
      <c r="ZW370" s="3"/>
      <c r="ZX370" s="3"/>
      <c r="ZY370" s="3"/>
      <c r="ZZ370" s="3"/>
      <c r="AAA370" s="3"/>
      <c r="AAB370" s="3"/>
      <c r="AAC370" s="3"/>
      <c r="AAD370" s="3"/>
      <c r="AAE370" s="3"/>
      <c r="AAF370" s="3"/>
      <c r="AAG370" s="3"/>
      <c r="AAH370" s="3"/>
      <c r="AAI370" s="3"/>
      <c r="AAJ370" s="3"/>
      <c r="AAK370" s="3"/>
      <c r="AAL370" s="3"/>
      <c r="AAM370" s="3"/>
      <c r="AAN370" s="3"/>
      <c r="AAO370" s="3"/>
      <c r="AAP370" s="3"/>
      <c r="AAQ370" s="3"/>
      <c r="AAR370" s="3"/>
      <c r="AAS370" s="3"/>
      <c r="AAT370" s="3"/>
      <c r="AAU370" s="3"/>
      <c r="AAV370" s="3"/>
      <c r="AAW370" s="3"/>
      <c r="AAX370" s="3"/>
      <c r="AAY370" s="3"/>
      <c r="AAZ370" s="3"/>
      <c r="ABA370" s="3"/>
      <c r="ABB370" s="3"/>
      <c r="ABC370" s="3"/>
      <c r="ABD370" s="3"/>
      <c r="ABE370" s="3"/>
      <c r="ABF370" s="3"/>
      <c r="ABG370" s="3"/>
      <c r="ABH370" s="3"/>
      <c r="ABI370" s="3"/>
      <c r="ABJ370" s="3"/>
      <c r="ABK370" s="3"/>
      <c r="ABL370" s="3"/>
      <c r="ABM370" s="3"/>
      <c r="ABN370" s="3"/>
      <c r="ABO370" s="3"/>
      <c r="ABP370" s="3"/>
      <c r="ABQ370" s="3"/>
      <c r="ABR370" s="3"/>
      <c r="ABS370" s="3"/>
      <c r="ABT370" s="3"/>
      <c r="ABU370" s="3"/>
      <c r="ABV370" s="3"/>
      <c r="ABW370" s="3"/>
      <c r="ABX370" s="3"/>
      <c r="ABY370" s="3"/>
      <c r="ABZ370" s="3"/>
      <c r="ACA370" s="3"/>
      <c r="ACB370" s="3"/>
      <c r="ACC370" s="3"/>
      <c r="ACD370" s="3"/>
      <c r="ACE370" s="3"/>
      <c r="ACF370" s="3"/>
      <c r="ACG370" s="3"/>
      <c r="ACH370" s="3"/>
      <c r="ACI370" s="3"/>
      <c r="ACJ370" s="3"/>
      <c r="ACK370" s="3"/>
      <c r="ACL370" s="3"/>
      <c r="ACM370" s="3"/>
      <c r="ACN370" s="3"/>
      <c r="ACO370" s="3"/>
      <c r="ACP370" s="3"/>
      <c r="ACQ370" s="3"/>
      <c r="ACR370" s="3"/>
      <c r="ACS370" s="3"/>
      <c r="ACT370" s="3"/>
      <c r="ACU370" s="3"/>
      <c r="ACV370" s="3"/>
      <c r="ACW370" s="3"/>
      <c r="ACX370" s="3"/>
      <c r="ACY370" s="3"/>
      <c r="ACZ370" s="3"/>
      <c r="ADA370" s="3"/>
      <c r="ADB370" s="3"/>
      <c r="ADC370" s="3"/>
      <c r="ADD370" s="3"/>
      <c r="ADE370" s="3"/>
      <c r="ADF370" s="3"/>
      <c r="ADG370" s="3"/>
      <c r="ADH370" s="3"/>
      <c r="ADI370" s="3"/>
      <c r="ADJ370" s="3"/>
      <c r="ADK370" s="3"/>
      <c r="ADL370" s="3"/>
      <c r="ADM370" s="3"/>
      <c r="ADN370" s="3"/>
      <c r="ADO370" s="3"/>
      <c r="ADP370" s="3"/>
      <c r="ADQ370" s="3"/>
      <c r="ADR370" s="3"/>
      <c r="ADS370" s="3"/>
      <c r="ADT370" s="3"/>
      <c r="ADU370" s="3"/>
      <c r="ADV370" s="3"/>
      <c r="ADW370" s="3"/>
      <c r="ADX370" s="3"/>
      <c r="ADY370" s="3"/>
      <c r="ADZ370" s="3"/>
      <c r="AEA370" s="3"/>
      <c r="AEB370" s="3"/>
      <c r="AEC370" s="3"/>
      <c r="AED370" s="3"/>
      <c r="AEE370" s="3"/>
      <c r="AEF370" s="3"/>
      <c r="AEG370" s="3"/>
      <c r="AEH370" s="3"/>
      <c r="AEI370" s="3"/>
      <c r="AEJ370" s="3"/>
      <c r="AEK370" s="3"/>
      <c r="AEL370" s="3"/>
      <c r="AEM370" s="3"/>
      <c r="AEN370" s="3"/>
      <c r="AEO370" s="3"/>
      <c r="AEP370" s="3"/>
      <c r="AEQ370" s="3"/>
      <c r="AER370" s="3"/>
      <c r="AES370" s="3"/>
      <c r="AET370" s="3"/>
      <c r="AEU370" s="3"/>
      <c r="AEV370" s="3"/>
      <c r="AEW370" s="3"/>
      <c r="AEX370" s="3"/>
      <c r="AEY370" s="3"/>
      <c r="AEZ370" s="3"/>
      <c r="AFA370" s="3"/>
      <c r="AFB370" s="3"/>
      <c r="AFC370" s="3"/>
      <c r="AFD370" s="3"/>
      <c r="AFE370" s="3"/>
      <c r="AFF370" s="3"/>
      <c r="AFG370" s="3"/>
      <c r="AFH370" s="3"/>
      <c r="AFI370" s="3"/>
      <c r="AFJ370" s="3"/>
      <c r="AFK370" s="3"/>
      <c r="AFL370" s="3"/>
      <c r="AFM370" s="3"/>
      <c r="AFN370" s="3"/>
      <c r="AFO370" s="3"/>
      <c r="AFP370" s="3"/>
      <c r="AFQ370" s="3"/>
      <c r="AFR370" s="3"/>
      <c r="AFS370" s="3"/>
      <c r="AFT370" s="3"/>
      <c r="AFU370" s="3"/>
      <c r="AFV370" s="3"/>
      <c r="AFW370" s="3"/>
      <c r="AFX370" s="3"/>
      <c r="AFY370" s="3"/>
      <c r="AFZ370" s="3"/>
      <c r="AGA370" s="3"/>
      <c r="AGB370" s="3"/>
      <c r="AGC370" s="3"/>
      <c r="AGD370" s="3"/>
      <c r="AGE370" s="3"/>
      <c r="AGF370" s="3"/>
      <c r="AGG370" s="3"/>
      <c r="AGH370" s="3"/>
      <c r="AGI370" s="3"/>
      <c r="AGJ370" s="3"/>
      <c r="AGK370" s="3"/>
      <c r="AGL370" s="3"/>
      <c r="AGM370" s="3"/>
      <c r="AGN370" s="3"/>
      <c r="AGO370" s="3"/>
      <c r="AGP370" s="3"/>
      <c r="AGQ370" s="3"/>
      <c r="AGR370" s="3"/>
      <c r="AGS370" s="3"/>
      <c r="AGT370" s="3"/>
      <c r="AGU370" s="3"/>
      <c r="AGV370" s="3"/>
      <c r="AGW370" s="3"/>
      <c r="AGX370" s="3"/>
      <c r="AGY370" s="3"/>
      <c r="AGZ370" s="3"/>
      <c r="AHA370" s="3"/>
      <c r="AHB370" s="3"/>
      <c r="AHC370" s="3"/>
      <c r="AHD370" s="3"/>
      <c r="AHE370" s="3"/>
      <c r="AHF370" s="3"/>
      <c r="AHG370" s="3"/>
      <c r="AHH370" s="3"/>
      <c r="AHI370" s="3"/>
      <c r="AHJ370" s="3"/>
      <c r="AHK370" s="3"/>
      <c r="AHL370" s="3"/>
      <c r="AHM370" s="3"/>
      <c r="AHN370" s="3"/>
      <c r="AHO370" s="3"/>
      <c r="AHP370" s="3"/>
      <c r="AHQ370" s="3"/>
      <c r="AHR370" s="3"/>
      <c r="AHS370" s="3"/>
      <c r="AHT370" s="3"/>
      <c r="AHU370" s="3"/>
      <c r="AHV370" s="3"/>
      <c r="AHW370" s="3"/>
      <c r="AHX370" s="3"/>
      <c r="AHY370" s="3"/>
      <c r="AHZ370" s="3"/>
      <c r="AIA370" s="3"/>
      <c r="AIB370" s="3"/>
      <c r="AIC370" s="3"/>
      <c r="AID370" s="3"/>
      <c r="AIE370" s="3"/>
      <c r="AIF370" s="3"/>
      <c r="AIG370" s="3"/>
      <c r="AIH370" s="3"/>
      <c r="AII370" s="3"/>
      <c r="AIJ370" s="3"/>
      <c r="AIK370" s="3"/>
      <c r="AIL370" s="3"/>
      <c r="AIM370" s="3"/>
      <c r="AIN370" s="3"/>
      <c r="AIO370" s="3"/>
      <c r="AIP370" s="3"/>
      <c r="AIQ370" s="3"/>
      <c r="AIR370" s="3"/>
      <c r="AIS370" s="3"/>
      <c r="AIT370" s="3"/>
      <c r="AIU370" s="3"/>
      <c r="AIV370" s="3"/>
      <c r="AIW370" s="3"/>
      <c r="AIX370" s="3"/>
      <c r="AIY370" s="3"/>
      <c r="AIZ370" s="3"/>
      <c r="AJA370" s="3"/>
      <c r="AJB370" s="3"/>
      <c r="AJC370" s="3"/>
      <c r="AJD370" s="3"/>
      <c r="AJE370" s="3"/>
      <c r="AJF370" s="3"/>
      <c r="AJG370" s="3"/>
      <c r="AJH370" s="3"/>
      <c r="AJI370" s="3"/>
      <c r="AJJ370" s="3"/>
      <c r="AJK370" s="3"/>
      <c r="AJL370" s="3"/>
      <c r="AJM370" s="3"/>
      <c r="AJN370" s="3"/>
      <c r="AJO370" s="3"/>
      <c r="AJP370" s="3"/>
      <c r="AJQ370" s="3"/>
      <c r="AJR370" s="3"/>
      <c r="AJS370" s="3"/>
      <c r="AJT370" s="3"/>
      <c r="AJU370" s="3"/>
      <c r="AJV370" s="3"/>
      <c r="AJW370" s="3"/>
      <c r="AJX370" s="3"/>
      <c r="AJY370" s="3"/>
      <c r="AJZ370" s="3"/>
      <c r="AKA370" s="3"/>
      <c r="AKB370" s="3"/>
      <c r="AKC370" s="3"/>
      <c r="AKD370" s="3"/>
      <c r="AKE370" s="3"/>
      <c r="AKF370" s="3"/>
      <c r="AKG370" s="3"/>
      <c r="AKH370" s="3"/>
      <c r="AKI370" s="3"/>
      <c r="AKJ370" s="3"/>
      <c r="AKK370" s="3"/>
      <c r="AKL370" s="3"/>
      <c r="AKM370" s="3"/>
      <c r="AKN370" s="3"/>
      <c r="AKO370" s="3"/>
      <c r="AKP370" s="3"/>
      <c r="AKQ370" s="3"/>
      <c r="AKR370" s="3"/>
      <c r="AKS370" s="3"/>
      <c r="AKT370" s="3"/>
      <c r="AKU370" s="3"/>
      <c r="AKV370" s="3"/>
      <c r="AKW370" s="3"/>
      <c r="AKX370" s="3"/>
      <c r="AKY370" s="3"/>
      <c r="AKZ370" s="3"/>
      <c r="ALA370" s="3"/>
      <c r="ALB370" s="3"/>
      <c r="ALC370" s="3"/>
      <c r="ALD370" s="3"/>
      <c r="ALE370" s="3"/>
      <c r="ALF370" s="3"/>
      <c r="ALG370" s="3"/>
      <c r="ALH370" s="3"/>
      <c r="ALI370" s="3"/>
      <c r="ALJ370" s="3"/>
      <c r="ALK370" s="3"/>
      <c r="ALL370" s="3"/>
      <c r="ALM370" s="3"/>
      <c r="ALN370" s="3"/>
      <c r="ALO370" s="3"/>
      <c r="ALP370" s="3"/>
      <c r="ALQ370" s="3"/>
      <c r="ALR370" s="3"/>
      <c r="ALS370" s="3"/>
      <c r="ALT370" s="3"/>
      <c r="ALU370" s="3"/>
      <c r="ALV370" s="3"/>
      <c r="ALW370" s="3"/>
      <c r="ALX370" s="3"/>
      <c r="ALY370" s="3"/>
      <c r="ALZ370" s="3"/>
      <c r="AMA370" s="3"/>
      <c r="AMB370" s="3"/>
      <c r="AMC370" s="3"/>
      <c r="AMD370" s="3"/>
      <c r="AME370" s="3"/>
      <c r="AMF370" s="3"/>
      <c r="AMG370" s="3"/>
      <c r="AMH370" s="3"/>
      <c r="AMI370" s="3"/>
      <c r="AMJ370" s="3"/>
      <c r="AMK370" s="3"/>
      <c r="AML370" s="3"/>
      <c r="AMM370" s="3"/>
      <c r="AMN370" s="3"/>
      <c r="AMO370" s="3"/>
      <c r="AMP370" s="1"/>
    </row>
    <row r="371" spans="1:1030" s="6" customFormat="1" x14ac:dyDescent="0.2">
      <c r="A371" s="3" t="str">
        <f t="shared" si="2121"/>
        <v>smo_human_4QIN</v>
      </c>
      <c r="B371" s="3" t="s">
        <v>33</v>
      </c>
      <c r="C371" s="3" t="s">
        <v>56</v>
      </c>
      <c r="D371" s="3" t="str">
        <f>IFERROR(MID(VLOOKUP($B371,Seqs!$A:$B,2,0),E371,1),"")</f>
        <v>T</v>
      </c>
      <c r="E371" s="105">
        <v>223</v>
      </c>
      <c r="F371" s="3" t="str">
        <f>IFERROR(MID(VLOOKUP($B371,Seqs!$A:$B,2,0),G371,1),"")</f>
        <v>D</v>
      </c>
      <c r="G371" s="3">
        <v>255</v>
      </c>
      <c r="H371" s="3" t="str">
        <f>IFERROR(MID(VLOOKUP($B371,Seqs!$A:$B,2,0),I371,1),"")</f>
        <v>W</v>
      </c>
      <c r="I371" s="23">
        <v>256</v>
      </c>
      <c r="J371" s="3" t="str">
        <f>IFERROR(MID(VLOOKUP($B371,Seqs!$A:$B,2,0),K371,1),"")</f>
        <v>N</v>
      </c>
      <c r="K371" s="23">
        <v>260</v>
      </c>
      <c r="L371" s="3" t="str">
        <f>IFERROR(MID(VLOOKUP($B371,Seqs!$A:$B,2,0),M371,1),"")</f>
        <v>R</v>
      </c>
      <c r="M371" s="3">
        <v>261</v>
      </c>
      <c r="N371" s="3" t="str">
        <f>IFERROR(MID(VLOOKUP($B371,Seqs!$A:$B,2,0),O371,1),"")</f>
        <v>F</v>
      </c>
      <c r="O371" s="3">
        <v>285</v>
      </c>
      <c r="P371" s="3" t="str">
        <f>IFERROR(MID(VLOOKUP($B371,Seqs!$A:$B,2,0),Q371,1),"")</f>
        <v/>
      </c>
      <c r="Q371" s="3" t="s">
        <v>23</v>
      </c>
      <c r="R371" s="3" t="str">
        <f>IFERROR(MID(VLOOKUP($B371,Seqs!$A:$B,2,0),S371,1),"")</f>
        <v/>
      </c>
      <c r="S371" s="3" t="s">
        <v>23</v>
      </c>
      <c r="T371" s="3" t="str">
        <f>IFERROR(MID(VLOOKUP($B371,Seqs!$A:$B,2,0),U371,1),"")</f>
        <v>L</v>
      </c>
      <c r="U371" s="3">
        <v>312</v>
      </c>
      <c r="V371" s="3" t="str">
        <f>IFERROR(MID(VLOOKUP($B371,Seqs!$A:$B,2,0),W371,1),"")</f>
        <v>A</v>
      </c>
      <c r="W371" s="3">
        <v>345</v>
      </c>
      <c r="X371" s="3" t="str">
        <f>IFERROR(MID(VLOOKUP($B371,Seqs!$A:$B,2,0),Y371,1),"")</f>
        <v/>
      </c>
      <c r="Y371" s="3" t="s">
        <v>23</v>
      </c>
      <c r="Z371" s="3" t="str">
        <f>IFERROR(MID(VLOOKUP($B371,Seqs!$A:$B,2,0),AA371,1),"")</f>
        <v/>
      </c>
      <c r="AA371" s="3" t="s">
        <v>23</v>
      </c>
      <c r="AB371" s="3" t="str">
        <f>IFERROR(MID(VLOOKUP($B371,Seqs!$A:$B,2,0),AC371,1),"")</f>
        <v>K</v>
      </c>
      <c r="AC371" s="9">
        <v>356</v>
      </c>
      <c r="AD371" s="3" t="str">
        <f>IFERROR(MID(VLOOKUP($B371,Seqs!$A:$B,2,0),AE371,1),"")</f>
        <v>V</v>
      </c>
      <c r="AE371" s="3">
        <v>378</v>
      </c>
      <c r="AF371" s="3" t="str">
        <f>IFERROR(MID(VLOOKUP($B371,Seqs!$A:$B,2,0),AG371,1),"")</f>
        <v>C</v>
      </c>
      <c r="AG371" s="3">
        <v>390</v>
      </c>
      <c r="AH371" s="3" t="str">
        <f>IFERROR(MID(VLOOKUP($B371,Seqs!$A:$B,2,0),AI371,1),"")</f>
        <v>V</v>
      </c>
      <c r="AI371" s="3">
        <v>392</v>
      </c>
      <c r="AJ371" s="3" t="str">
        <f>IFERROR(MID(VLOOKUP($B371,Seqs!$A:$B,2,0),AK371,1),"")</f>
        <v>N</v>
      </c>
      <c r="AK371" s="105">
        <v>396</v>
      </c>
      <c r="AL371" s="3" t="str">
        <f>IFERROR(MID(VLOOKUP($B371,Seqs!$A:$B,2,0),AM371,1),"")</f>
        <v>H</v>
      </c>
      <c r="AM371" s="3">
        <v>433</v>
      </c>
      <c r="AN371" s="3" t="str">
        <f>IFERROR(MID(VLOOKUP($B371,Seqs!$A:$B,2,0),AO371,1),"")</f>
        <v>E</v>
      </c>
      <c r="AO371" s="3">
        <v>447</v>
      </c>
      <c r="AP371" s="3" t="str">
        <f>IFERROR(MID(VLOOKUP($B371,Seqs!$A:$B,2,0),AQ371,1),"")</f>
        <v>A</v>
      </c>
      <c r="AQ371" s="3">
        <v>492</v>
      </c>
      <c r="AR371" s="3" t="str">
        <f>IFERROR(MID(VLOOKUP($B371,Seqs!$A:$B,2,0),AS371,1),"")</f>
        <v>S</v>
      </c>
      <c r="AS371" s="105">
        <v>514</v>
      </c>
      <c r="AT371" s="3" t="str">
        <f>IFERROR(MID(VLOOKUP($B371,Seqs!$A:$B,2,0),AU371,1),"")</f>
        <v>W</v>
      </c>
      <c r="AU371" s="3">
        <v>537</v>
      </c>
      <c r="AV371" s="3" t="str">
        <f>IFERROR(MID(VLOOKUP($B371,Seqs!$A:$B,2,0),AW371,1),"")</f>
        <v>T</v>
      </c>
      <c r="AW371" s="3">
        <v>538</v>
      </c>
      <c r="AX371" s="3" t="str">
        <f>IFERROR(MID(VLOOKUP($B371,Seqs!$A:$B,2,0),AY371,1),"")</f>
        <v>R</v>
      </c>
      <c r="AY371" s="3">
        <v>551</v>
      </c>
      <c r="AZ371" s="78" t="str">
        <f>VLOOKUP(B371,Classification!A:D,2,0)</f>
        <v>F</v>
      </c>
      <c r="BA371" s="94" t="str">
        <f>VLOOKUP(B371,Classification!A:D,4,0)</f>
        <v>Frizzled</v>
      </c>
      <c r="BB371" s="92" t="b">
        <f t="shared" si="2122"/>
        <v>1</v>
      </c>
      <c r="BC371" s="23">
        <f t="shared" si="2095"/>
        <v>247</v>
      </c>
      <c r="BD371" s="74" t="s">
        <v>23</v>
      </c>
      <c r="BE371" s="3" t="s">
        <v>1374</v>
      </c>
      <c r="BF371" s="119">
        <v>2.6</v>
      </c>
      <c r="BG371" s="49" t="s">
        <v>1377</v>
      </c>
      <c r="BH371" s="49" t="s">
        <v>1377</v>
      </c>
      <c r="BI371" s="3"/>
      <c r="BJ371" s="75" t="s">
        <v>1287</v>
      </c>
      <c r="BK371" s="57" t="s">
        <v>1287</v>
      </c>
      <c r="BL371" s="57" t="s">
        <v>1287</v>
      </c>
      <c r="BM371" s="57" t="s">
        <v>1287</v>
      </c>
      <c r="BN371" s="57" t="s">
        <v>1287</v>
      </c>
      <c r="BO371" s="57" t="s">
        <v>1287</v>
      </c>
      <c r="BP371" s="57" t="s">
        <v>1287</v>
      </c>
      <c r="BQ371" s="57" t="s">
        <v>1287</v>
      </c>
      <c r="BR371" s="57" t="s">
        <v>1287</v>
      </c>
      <c r="BS371" s="57" t="s">
        <v>1287</v>
      </c>
      <c r="BT371" s="57" t="s">
        <v>1287</v>
      </c>
      <c r="BU371" s="57" t="s">
        <v>1287</v>
      </c>
      <c r="BV371" s="75">
        <f t="shared" si="2096"/>
        <v>223</v>
      </c>
      <c r="BW371" s="71">
        <f t="shared" si="2097"/>
        <v>256</v>
      </c>
      <c r="BX371" s="72">
        <f t="shared" si="2098"/>
        <v>261</v>
      </c>
      <c r="BY371" s="71" t="str">
        <f t="shared" si="2099"/>
        <v>-</v>
      </c>
      <c r="BZ371" s="72">
        <f t="shared" si="2100"/>
        <v>312</v>
      </c>
      <c r="CA371" s="71" t="str">
        <f t="shared" si="2101"/>
        <v>-</v>
      </c>
      <c r="CB371" s="72">
        <f t="shared" si="2102"/>
        <v>356</v>
      </c>
      <c r="CC371" s="71">
        <f t="shared" si="2103"/>
        <v>390</v>
      </c>
      <c r="CD371" s="72">
        <f t="shared" si="2104"/>
        <v>396</v>
      </c>
      <c r="CE371" s="71">
        <f t="shared" si="2105"/>
        <v>447</v>
      </c>
      <c r="CF371" s="72">
        <f t="shared" si="2106"/>
        <v>514</v>
      </c>
      <c r="CG371" s="71">
        <f t="shared" si="2107"/>
        <v>538</v>
      </c>
      <c r="CH371" s="75">
        <f t="shared" si="2108"/>
        <v>255</v>
      </c>
      <c r="CI371" s="71">
        <f t="shared" si="2109"/>
        <v>260</v>
      </c>
      <c r="CJ371" s="72">
        <f t="shared" si="2110"/>
        <v>285</v>
      </c>
      <c r="CK371" s="72" t="str">
        <f t="shared" si="2111"/>
        <v>-</v>
      </c>
      <c r="CL371" s="72">
        <f t="shared" si="2112"/>
        <v>345</v>
      </c>
      <c r="CM371" s="72" t="str">
        <f t="shared" si="2113"/>
        <v>-</v>
      </c>
      <c r="CN371" s="72">
        <f t="shared" si="2114"/>
        <v>378</v>
      </c>
      <c r="CO371" s="72">
        <f t="shared" si="2115"/>
        <v>392</v>
      </c>
      <c r="CP371" s="72">
        <f t="shared" si="2116"/>
        <v>433</v>
      </c>
      <c r="CQ371" s="72">
        <f t="shared" si="2117"/>
        <v>492</v>
      </c>
      <c r="CR371" s="72">
        <f t="shared" si="2118"/>
        <v>537</v>
      </c>
      <c r="CS371" s="72">
        <f t="shared" si="2119"/>
        <v>551</v>
      </c>
      <c r="CT371" s="23">
        <f t="shared" si="2120"/>
        <v>1</v>
      </c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3"/>
      <c r="KU371" s="3"/>
      <c r="KV371" s="3"/>
      <c r="KW371" s="3"/>
      <c r="KX371" s="3"/>
      <c r="KY371" s="3"/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/>
      <c r="MX371" s="3"/>
      <c r="MY371" s="3"/>
      <c r="MZ371" s="3"/>
      <c r="NA371" s="3"/>
      <c r="NB371" s="3"/>
      <c r="NC371" s="3"/>
      <c r="ND371" s="3"/>
      <c r="NE371" s="3"/>
      <c r="NF371" s="3"/>
      <c r="NG371" s="3"/>
      <c r="NH371" s="3"/>
      <c r="NI371" s="3"/>
      <c r="NJ371" s="3"/>
      <c r="NK371" s="3"/>
      <c r="NL371" s="3"/>
      <c r="NM371" s="3"/>
      <c r="NN371" s="3"/>
      <c r="NO371" s="3"/>
      <c r="NP371" s="3"/>
      <c r="NQ371" s="3"/>
      <c r="NR371" s="3"/>
      <c r="NS371" s="3"/>
      <c r="NT371" s="3"/>
      <c r="NU371" s="3"/>
      <c r="NV371" s="3"/>
      <c r="NW371" s="3"/>
      <c r="NX371" s="3"/>
      <c r="NY371" s="3"/>
      <c r="NZ371" s="3"/>
      <c r="OA371" s="3"/>
      <c r="OB371" s="3"/>
      <c r="OC371" s="3"/>
      <c r="OD371" s="3"/>
      <c r="OE371" s="3"/>
      <c r="OF371" s="3"/>
      <c r="OG371" s="3"/>
      <c r="OH371" s="3"/>
      <c r="OI371" s="3"/>
      <c r="OJ371" s="3"/>
      <c r="OK371" s="3"/>
      <c r="OL371" s="3"/>
      <c r="OM371" s="3"/>
      <c r="ON371" s="3"/>
      <c r="OO371" s="3"/>
      <c r="OP371" s="3"/>
      <c r="OQ371" s="3"/>
      <c r="OR371" s="3"/>
      <c r="OS371" s="3"/>
      <c r="OT371" s="3"/>
      <c r="OU371" s="3"/>
      <c r="OV371" s="3"/>
      <c r="OW371" s="3"/>
      <c r="OX371" s="3"/>
      <c r="OY371" s="3"/>
      <c r="OZ371" s="3"/>
      <c r="PA371" s="3"/>
      <c r="PB371" s="3"/>
      <c r="PC371" s="3"/>
      <c r="PD371" s="3"/>
      <c r="PE371" s="3"/>
      <c r="PF371" s="3"/>
      <c r="PG371" s="3"/>
      <c r="PH371" s="3"/>
      <c r="PI371" s="3"/>
      <c r="PJ371" s="3"/>
      <c r="PK371" s="3"/>
      <c r="PL371" s="3"/>
      <c r="PM371" s="3"/>
      <c r="PN371" s="3"/>
      <c r="PO371" s="3"/>
      <c r="PP371" s="3"/>
      <c r="PQ371" s="3"/>
      <c r="PR371" s="3"/>
      <c r="PS371" s="3"/>
      <c r="PT371" s="3"/>
      <c r="PU371" s="3"/>
      <c r="PV371" s="3"/>
      <c r="PW371" s="3"/>
      <c r="PX371" s="3"/>
      <c r="PY371" s="3"/>
      <c r="PZ371" s="3"/>
      <c r="QA371" s="3"/>
      <c r="QB371" s="3"/>
      <c r="QC371" s="3"/>
      <c r="QD371" s="3"/>
      <c r="QE371" s="3"/>
      <c r="QF371" s="3"/>
      <c r="QG371" s="3"/>
      <c r="QH371" s="3"/>
      <c r="QI371" s="3"/>
      <c r="QJ371" s="3"/>
      <c r="QK371" s="3"/>
      <c r="QL371" s="3"/>
      <c r="QM371" s="3"/>
      <c r="QN371" s="3"/>
      <c r="QO371" s="3"/>
      <c r="QP371" s="3"/>
      <c r="QQ371" s="3"/>
      <c r="QR371" s="3"/>
      <c r="QS371" s="3"/>
      <c r="QT371" s="3"/>
      <c r="QU371" s="3"/>
      <c r="QV371" s="3"/>
      <c r="QW371" s="3"/>
      <c r="QX371" s="3"/>
      <c r="QY371" s="3"/>
      <c r="QZ371" s="3"/>
      <c r="RA371" s="3"/>
      <c r="RB371" s="3"/>
      <c r="RC371" s="3"/>
      <c r="RD371" s="3"/>
      <c r="RE371" s="3"/>
      <c r="RF371" s="3"/>
      <c r="RG371" s="3"/>
      <c r="RH371" s="3"/>
      <c r="RI371" s="3"/>
      <c r="RJ371" s="3"/>
      <c r="RK371" s="3"/>
      <c r="RL371" s="3"/>
      <c r="RM371" s="3"/>
      <c r="RN371" s="3"/>
      <c r="RO371" s="3"/>
      <c r="RP371" s="3"/>
      <c r="RQ371" s="3"/>
      <c r="RR371" s="3"/>
      <c r="RS371" s="3"/>
      <c r="RT371" s="3"/>
      <c r="RU371" s="3"/>
      <c r="RV371" s="3"/>
      <c r="RW371" s="3"/>
      <c r="RX371" s="3"/>
      <c r="RY371" s="3"/>
      <c r="RZ371" s="3"/>
      <c r="SA371" s="3"/>
      <c r="SB371" s="3"/>
      <c r="SC371" s="3"/>
      <c r="SD371" s="3"/>
      <c r="SE371" s="3"/>
      <c r="SF371" s="3"/>
      <c r="SG371" s="3"/>
      <c r="SH371" s="3"/>
      <c r="SI371" s="3"/>
      <c r="SJ371" s="3"/>
      <c r="SK371" s="3"/>
      <c r="SL371" s="3"/>
      <c r="SM371" s="3"/>
      <c r="SN371" s="3"/>
      <c r="SO371" s="3"/>
      <c r="SP371" s="3"/>
      <c r="SQ371" s="3"/>
      <c r="SR371" s="3"/>
      <c r="SS371" s="3"/>
      <c r="ST371" s="3"/>
      <c r="SU371" s="3"/>
      <c r="SV371" s="3"/>
      <c r="SW371" s="3"/>
      <c r="SX371" s="3"/>
      <c r="SY371" s="3"/>
      <c r="SZ371" s="3"/>
      <c r="TA371" s="3"/>
      <c r="TB371" s="3"/>
      <c r="TC371" s="3"/>
      <c r="TD371" s="3"/>
      <c r="TE371" s="3"/>
      <c r="TF371" s="3"/>
      <c r="TG371" s="3"/>
      <c r="TH371" s="3"/>
      <c r="TI371" s="3"/>
      <c r="TJ371" s="3"/>
      <c r="TK371" s="3"/>
      <c r="TL371" s="3"/>
      <c r="TM371" s="3"/>
      <c r="TN371" s="3"/>
      <c r="TO371" s="3"/>
      <c r="TP371" s="3"/>
      <c r="TQ371" s="3"/>
      <c r="TR371" s="3"/>
      <c r="TS371" s="3"/>
      <c r="TT371" s="3"/>
      <c r="TU371" s="3"/>
      <c r="TV371" s="3"/>
      <c r="TW371" s="3"/>
      <c r="TX371" s="3"/>
      <c r="TY371" s="3"/>
      <c r="TZ371" s="3"/>
      <c r="UA371" s="3"/>
      <c r="UB371" s="3"/>
      <c r="UC371" s="3"/>
      <c r="UD371" s="3"/>
      <c r="UE371" s="3"/>
      <c r="UF371" s="3"/>
      <c r="UG371" s="3"/>
      <c r="UH371" s="3"/>
      <c r="UI371" s="3"/>
      <c r="UJ371" s="3"/>
      <c r="UK371" s="3"/>
      <c r="UL371" s="3"/>
      <c r="UM371" s="3"/>
      <c r="UN371" s="3"/>
      <c r="UO371" s="3"/>
      <c r="UP371" s="3"/>
      <c r="UQ371" s="3"/>
      <c r="UR371" s="3"/>
      <c r="US371" s="3"/>
      <c r="UT371" s="3"/>
      <c r="UU371" s="3"/>
      <c r="UV371" s="3"/>
      <c r="UW371" s="3"/>
      <c r="UX371" s="3"/>
      <c r="UY371" s="3"/>
      <c r="UZ371" s="3"/>
      <c r="VA371" s="3"/>
      <c r="VB371" s="3"/>
      <c r="VC371" s="3"/>
      <c r="VD371" s="3"/>
      <c r="VE371" s="3"/>
      <c r="VF371" s="3"/>
      <c r="VG371" s="3"/>
      <c r="VH371" s="3"/>
      <c r="VI371" s="3"/>
      <c r="VJ371" s="3"/>
      <c r="VK371" s="3"/>
      <c r="VL371" s="3"/>
      <c r="VM371" s="3"/>
      <c r="VN371" s="3"/>
      <c r="VO371" s="3"/>
      <c r="VP371" s="3"/>
      <c r="VQ371" s="3"/>
      <c r="VR371" s="3"/>
      <c r="VS371" s="3"/>
      <c r="VT371" s="3"/>
      <c r="VU371" s="3"/>
      <c r="VV371" s="3"/>
      <c r="VW371" s="3"/>
      <c r="VX371" s="3"/>
      <c r="VY371" s="3"/>
      <c r="VZ371" s="3"/>
      <c r="WA371" s="3"/>
      <c r="WB371" s="3"/>
      <c r="WC371" s="3"/>
      <c r="WD371" s="3"/>
      <c r="WE371" s="3"/>
      <c r="WF371" s="3"/>
      <c r="WG371" s="3"/>
      <c r="WH371" s="3"/>
      <c r="WI371" s="3"/>
      <c r="WJ371" s="3"/>
      <c r="WK371" s="3"/>
      <c r="WL371" s="3"/>
      <c r="WM371" s="3"/>
      <c r="WN371" s="3"/>
      <c r="WO371" s="3"/>
      <c r="WP371" s="3"/>
      <c r="WQ371" s="3"/>
      <c r="WR371" s="3"/>
      <c r="WS371" s="3"/>
      <c r="WT371" s="3"/>
      <c r="WU371" s="3"/>
      <c r="WV371" s="3"/>
      <c r="WW371" s="3"/>
      <c r="WX371" s="3"/>
      <c r="WY371" s="3"/>
      <c r="WZ371" s="3"/>
      <c r="XA371" s="3"/>
      <c r="XB371" s="3"/>
      <c r="XC371" s="3"/>
      <c r="XD371" s="3"/>
      <c r="XE371" s="3"/>
      <c r="XF371" s="3"/>
      <c r="XG371" s="3"/>
      <c r="XH371" s="3"/>
      <c r="XI371" s="3"/>
      <c r="XJ371" s="3"/>
      <c r="XK371" s="3"/>
      <c r="XL371" s="3"/>
      <c r="XM371" s="3"/>
      <c r="XN371" s="3"/>
      <c r="XO371" s="3"/>
      <c r="XP371" s="3"/>
      <c r="XQ371" s="3"/>
      <c r="XR371" s="3"/>
      <c r="XS371" s="3"/>
      <c r="XT371" s="3"/>
      <c r="XU371" s="3"/>
      <c r="XV371" s="3"/>
      <c r="XW371" s="3"/>
      <c r="XX371" s="3"/>
      <c r="XY371" s="3"/>
      <c r="XZ371" s="3"/>
      <c r="YA371" s="3"/>
      <c r="YB371" s="3"/>
      <c r="YC371" s="3"/>
      <c r="YD371" s="3"/>
      <c r="YE371" s="3"/>
      <c r="YF371" s="3"/>
      <c r="YG371" s="3"/>
      <c r="YH371" s="3"/>
      <c r="YI371" s="3"/>
      <c r="YJ371" s="3"/>
      <c r="YK371" s="3"/>
      <c r="YL371" s="3"/>
      <c r="YM371" s="3"/>
      <c r="YN371" s="3"/>
      <c r="YO371" s="3"/>
      <c r="YP371" s="3"/>
      <c r="YQ371" s="3"/>
      <c r="YR371" s="3"/>
      <c r="YS371" s="3"/>
      <c r="YT371" s="3"/>
      <c r="YU371" s="3"/>
      <c r="YV371" s="3"/>
      <c r="YW371" s="3"/>
      <c r="YX371" s="3"/>
      <c r="YY371" s="3"/>
      <c r="YZ371" s="3"/>
      <c r="ZA371" s="3"/>
      <c r="ZB371" s="3"/>
      <c r="ZC371" s="3"/>
      <c r="ZD371" s="3"/>
      <c r="ZE371" s="3"/>
      <c r="ZF371" s="3"/>
      <c r="ZG371" s="3"/>
      <c r="ZH371" s="3"/>
      <c r="ZI371" s="3"/>
      <c r="ZJ371" s="3"/>
      <c r="ZK371" s="3"/>
      <c r="ZL371" s="3"/>
      <c r="ZM371" s="3"/>
      <c r="ZN371" s="3"/>
      <c r="ZO371" s="3"/>
      <c r="ZP371" s="3"/>
      <c r="ZQ371" s="3"/>
      <c r="ZR371" s="3"/>
      <c r="ZS371" s="3"/>
      <c r="ZT371" s="3"/>
      <c r="ZU371" s="3"/>
      <c r="ZV371" s="3"/>
      <c r="ZW371" s="3"/>
      <c r="ZX371" s="3"/>
      <c r="ZY371" s="3"/>
      <c r="ZZ371" s="3"/>
      <c r="AAA371" s="3"/>
      <c r="AAB371" s="3"/>
      <c r="AAC371" s="3"/>
      <c r="AAD371" s="3"/>
      <c r="AAE371" s="3"/>
      <c r="AAF371" s="3"/>
      <c r="AAG371" s="3"/>
      <c r="AAH371" s="3"/>
      <c r="AAI371" s="3"/>
      <c r="AAJ371" s="3"/>
      <c r="AAK371" s="3"/>
      <c r="AAL371" s="3"/>
      <c r="AAM371" s="3"/>
      <c r="AAN371" s="3"/>
      <c r="AAO371" s="3"/>
      <c r="AAP371" s="3"/>
      <c r="AAQ371" s="3"/>
      <c r="AAR371" s="3"/>
      <c r="AAS371" s="3"/>
      <c r="AAT371" s="3"/>
      <c r="AAU371" s="3"/>
      <c r="AAV371" s="3"/>
      <c r="AAW371" s="3"/>
      <c r="AAX371" s="3"/>
      <c r="AAY371" s="3"/>
      <c r="AAZ371" s="3"/>
      <c r="ABA371" s="3"/>
      <c r="ABB371" s="3"/>
      <c r="ABC371" s="3"/>
      <c r="ABD371" s="3"/>
      <c r="ABE371" s="3"/>
      <c r="ABF371" s="3"/>
      <c r="ABG371" s="3"/>
      <c r="ABH371" s="3"/>
      <c r="ABI371" s="3"/>
      <c r="ABJ371" s="3"/>
      <c r="ABK371" s="3"/>
      <c r="ABL371" s="3"/>
      <c r="ABM371" s="3"/>
      <c r="ABN371" s="3"/>
      <c r="ABO371" s="3"/>
      <c r="ABP371" s="3"/>
      <c r="ABQ371" s="3"/>
      <c r="ABR371" s="3"/>
      <c r="ABS371" s="3"/>
      <c r="ABT371" s="3"/>
      <c r="ABU371" s="3"/>
      <c r="ABV371" s="3"/>
      <c r="ABW371" s="3"/>
      <c r="ABX371" s="3"/>
      <c r="ABY371" s="3"/>
      <c r="ABZ371" s="3"/>
      <c r="ACA371" s="3"/>
      <c r="ACB371" s="3"/>
      <c r="ACC371" s="3"/>
      <c r="ACD371" s="3"/>
      <c r="ACE371" s="3"/>
      <c r="ACF371" s="3"/>
      <c r="ACG371" s="3"/>
      <c r="ACH371" s="3"/>
      <c r="ACI371" s="3"/>
      <c r="ACJ371" s="3"/>
      <c r="ACK371" s="3"/>
      <c r="ACL371" s="3"/>
      <c r="ACM371" s="3"/>
      <c r="ACN371" s="3"/>
      <c r="ACO371" s="3"/>
      <c r="ACP371" s="3"/>
      <c r="ACQ371" s="3"/>
      <c r="ACR371" s="3"/>
      <c r="ACS371" s="3"/>
      <c r="ACT371" s="3"/>
      <c r="ACU371" s="3"/>
      <c r="ACV371" s="3"/>
      <c r="ACW371" s="3"/>
      <c r="ACX371" s="3"/>
      <c r="ACY371" s="3"/>
      <c r="ACZ371" s="3"/>
      <c r="ADA371" s="3"/>
      <c r="ADB371" s="3"/>
      <c r="ADC371" s="3"/>
      <c r="ADD371" s="3"/>
      <c r="ADE371" s="3"/>
      <c r="ADF371" s="3"/>
      <c r="ADG371" s="3"/>
      <c r="ADH371" s="3"/>
      <c r="ADI371" s="3"/>
      <c r="ADJ371" s="3"/>
      <c r="ADK371" s="3"/>
      <c r="ADL371" s="3"/>
      <c r="ADM371" s="3"/>
      <c r="ADN371" s="3"/>
      <c r="ADO371" s="3"/>
      <c r="ADP371" s="3"/>
      <c r="ADQ371" s="3"/>
      <c r="ADR371" s="3"/>
      <c r="ADS371" s="3"/>
      <c r="ADT371" s="3"/>
      <c r="ADU371" s="3"/>
      <c r="ADV371" s="3"/>
      <c r="ADW371" s="3"/>
      <c r="ADX371" s="3"/>
      <c r="ADY371" s="3"/>
      <c r="ADZ371" s="3"/>
      <c r="AEA371" s="3"/>
      <c r="AEB371" s="3"/>
      <c r="AEC371" s="3"/>
      <c r="AED371" s="3"/>
      <c r="AEE371" s="3"/>
      <c r="AEF371" s="3"/>
      <c r="AEG371" s="3"/>
      <c r="AEH371" s="3"/>
      <c r="AEI371" s="3"/>
      <c r="AEJ371" s="3"/>
      <c r="AEK371" s="3"/>
      <c r="AEL371" s="3"/>
      <c r="AEM371" s="3"/>
      <c r="AEN371" s="3"/>
      <c r="AEO371" s="3"/>
      <c r="AEP371" s="3"/>
      <c r="AEQ371" s="3"/>
      <c r="AER371" s="3"/>
      <c r="AES371" s="3"/>
      <c r="AET371" s="3"/>
      <c r="AEU371" s="3"/>
      <c r="AEV371" s="3"/>
      <c r="AEW371" s="3"/>
      <c r="AEX371" s="3"/>
      <c r="AEY371" s="3"/>
      <c r="AEZ371" s="3"/>
      <c r="AFA371" s="3"/>
      <c r="AFB371" s="3"/>
      <c r="AFC371" s="3"/>
      <c r="AFD371" s="3"/>
      <c r="AFE371" s="3"/>
      <c r="AFF371" s="3"/>
      <c r="AFG371" s="3"/>
      <c r="AFH371" s="3"/>
      <c r="AFI371" s="3"/>
      <c r="AFJ371" s="3"/>
      <c r="AFK371" s="3"/>
      <c r="AFL371" s="3"/>
      <c r="AFM371" s="3"/>
      <c r="AFN371" s="3"/>
      <c r="AFO371" s="3"/>
      <c r="AFP371" s="3"/>
      <c r="AFQ371" s="3"/>
      <c r="AFR371" s="3"/>
      <c r="AFS371" s="3"/>
      <c r="AFT371" s="3"/>
      <c r="AFU371" s="3"/>
      <c r="AFV371" s="3"/>
      <c r="AFW371" s="3"/>
      <c r="AFX371" s="3"/>
      <c r="AFY371" s="3"/>
      <c r="AFZ371" s="3"/>
      <c r="AGA371" s="3"/>
      <c r="AGB371" s="3"/>
      <c r="AGC371" s="3"/>
      <c r="AGD371" s="3"/>
      <c r="AGE371" s="3"/>
      <c r="AGF371" s="3"/>
      <c r="AGG371" s="3"/>
      <c r="AGH371" s="3"/>
      <c r="AGI371" s="3"/>
      <c r="AGJ371" s="3"/>
      <c r="AGK371" s="3"/>
      <c r="AGL371" s="3"/>
      <c r="AGM371" s="3"/>
      <c r="AGN371" s="3"/>
      <c r="AGO371" s="3"/>
      <c r="AGP371" s="3"/>
      <c r="AGQ371" s="3"/>
      <c r="AGR371" s="3"/>
      <c r="AGS371" s="3"/>
      <c r="AGT371" s="3"/>
      <c r="AGU371" s="3"/>
      <c r="AGV371" s="3"/>
      <c r="AGW371" s="3"/>
      <c r="AGX371" s="3"/>
      <c r="AGY371" s="3"/>
      <c r="AGZ371" s="3"/>
      <c r="AHA371" s="3"/>
      <c r="AHB371" s="3"/>
      <c r="AHC371" s="3"/>
      <c r="AHD371" s="3"/>
      <c r="AHE371" s="3"/>
      <c r="AHF371" s="3"/>
      <c r="AHG371" s="3"/>
      <c r="AHH371" s="3"/>
      <c r="AHI371" s="3"/>
      <c r="AHJ371" s="3"/>
      <c r="AHK371" s="3"/>
      <c r="AHL371" s="3"/>
      <c r="AHM371" s="3"/>
      <c r="AHN371" s="3"/>
      <c r="AHO371" s="3"/>
      <c r="AHP371" s="3"/>
      <c r="AHQ371" s="3"/>
      <c r="AHR371" s="3"/>
      <c r="AHS371" s="3"/>
      <c r="AHT371" s="3"/>
      <c r="AHU371" s="3"/>
      <c r="AHV371" s="3"/>
      <c r="AHW371" s="3"/>
      <c r="AHX371" s="3"/>
      <c r="AHY371" s="3"/>
      <c r="AHZ371" s="3"/>
      <c r="AIA371" s="3"/>
      <c r="AIB371" s="3"/>
      <c r="AIC371" s="3"/>
      <c r="AID371" s="3"/>
      <c r="AIE371" s="3"/>
      <c r="AIF371" s="3"/>
      <c r="AIG371" s="3"/>
      <c r="AIH371" s="3"/>
      <c r="AII371" s="3"/>
      <c r="AIJ371" s="3"/>
      <c r="AIK371" s="3"/>
      <c r="AIL371" s="3"/>
      <c r="AIM371" s="3"/>
      <c r="AIN371" s="3"/>
      <c r="AIO371" s="3"/>
      <c r="AIP371" s="3"/>
      <c r="AIQ371" s="3"/>
      <c r="AIR371" s="3"/>
      <c r="AIS371" s="3"/>
      <c r="AIT371" s="3"/>
      <c r="AIU371" s="3"/>
      <c r="AIV371" s="3"/>
      <c r="AIW371" s="3"/>
      <c r="AIX371" s="3"/>
      <c r="AIY371" s="3"/>
      <c r="AIZ371" s="3"/>
      <c r="AJA371" s="3"/>
      <c r="AJB371" s="3"/>
      <c r="AJC371" s="3"/>
      <c r="AJD371" s="3"/>
      <c r="AJE371" s="3"/>
      <c r="AJF371" s="3"/>
      <c r="AJG371" s="3"/>
      <c r="AJH371" s="3"/>
      <c r="AJI371" s="3"/>
      <c r="AJJ371" s="3"/>
      <c r="AJK371" s="3"/>
      <c r="AJL371" s="3"/>
      <c r="AJM371" s="3"/>
      <c r="AJN371" s="3"/>
      <c r="AJO371" s="3"/>
      <c r="AJP371" s="3"/>
      <c r="AJQ371" s="3"/>
      <c r="AJR371" s="3"/>
      <c r="AJS371" s="3"/>
      <c r="AJT371" s="3"/>
      <c r="AJU371" s="3"/>
      <c r="AJV371" s="3"/>
      <c r="AJW371" s="3"/>
      <c r="AJX371" s="3"/>
      <c r="AJY371" s="3"/>
      <c r="AJZ371" s="3"/>
      <c r="AKA371" s="3"/>
      <c r="AKB371" s="3"/>
      <c r="AKC371" s="3"/>
      <c r="AKD371" s="3"/>
      <c r="AKE371" s="3"/>
      <c r="AKF371" s="3"/>
      <c r="AKG371" s="3"/>
      <c r="AKH371" s="3"/>
      <c r="AKI371" s="3"/>
      <c r="AKJ371" s="3"/>
      <c r="AKK371" s="3"/>
      <c r="AKL371" s="3"/>
      <c r="AKM371" s="3"/>
      <c r="AKN371" s="3"/>
      <c r="AKO371" s="3"/>
      <c r="AKP371" s="3"/>
      <c r="AKQ371" s="3"/>
      <c r="AKR371" s="3"/>
      <c r="AKS371" s="3"/>
      <c r="AKT371" s="3"/>
      <c r="AKU371" s="3"/>
      <c r="AKV371" s="3"/>
      <c r="AKW371" s="3"/>
      <c r="AKX371" s="3"/>
      <c r="AKY371" s="3"/>
      <c r="AKZ371" s="3"/>
      <c r="ALA371" s="3"/>
      <c r="ALB371" s="3"/>
      <c r="ALC371" s="3"/>
      <c r="ALD371" s="3"/>
      <c r="ALE371" s="3"/>
      <c r="ALF371" s="3"/>
      <c r="ALG371" s="3"/>
      <c r="ALH371" s="3"/>
      <c r="ALI371" s="3"/>
      <c r="ALJ371" s="3"/>
      <c r="ALK371" s="3"/>
      <c r="ALL371" s="3"/>
      <c r="ALM371" s="3"/>
      <c r="ALN371" s="3"/>
      <c r="ALO371" s="3"/>
      <c r="ALP371" s="3"/>
      <c r="ALQ371" s="3"/>
      <c r="ALR371" s="3"/>
      <c r="ALS371" s="3"/>
      <c r="ALT371" s="3"/>
      <c r="ALU371" s="3"/>
      <c r="ALV371" s="3"/>
      <c r="ALW371" s="3"/>
      <c r="ALX371" s="3"/>
      <c r="ALY371" s="3"/>
      <c r="ALZ371" s="3"/>
      <c r="AMA371" s="3"/>
      <c r="AMB371" s="3"/>
      <c r="AMC371" s="3"/>
      <c r="AMD371" s="3"/>
      <c r="AME371" s="3"/>
      <c r="AMF371" s="3"/>
      <c r="AMG371" s="3"/>
      <c r="AMH371" s="3"/>
      <c r="AMI371" s="3"/>
      <c r="AMJ371" s="3"/>
      <c r="AMK371" s="3"/>
      <c r="AML371" s="3"/>
      <c r="AMM371" s="3"/>
      <c r="AMN371" s="3"/>
      <c r="AMO371" s="3"/>
      <c r="AMP371" s="1"/>
    </row>
    <row r="372" spans="1:1030" s="6" customFormat="1" x14ac:dyDescent="0.2">
      <c r="A372" s="3" t="str">
        <f t="shared" si="2121"/>
        <v>smo_human_5L7D</v>
      </c>
      <c r="B372" s="3" t="s">
        <v>33</v>
      </c>
      <c r="C372" s="3" t="s">
        <v>1352</v>
      </c>
      <c r="D372" s="3" t="str">
        <f>IFERROR(MID(VLOOKUP($B372,Seqs!$A:$B,2,0),E372,1),"")</f>
        <v>T</v>
      </c>
      <c r="E372" s="105">
        <v>223</v>
      </c>
      <c r="F372" s="3" t="str">
        <f>IFERROR(MID(VLOOKUP($B372,Seqs!$A:$B,2,0),G372,1),"")</f>
        <v>D</v>
      </c>
      <c r="G372" s="3">
        <v>255</v>
      </c>
      <c r="H372" s="3" t="str">
        <f>IFERROR(MID(VLOOKUP($B372,Seqs!$A:$B,2,0),I372,1),"")</f>
        <v>W</v>
      </c>
      <c r="I372" s="23">
        <v>256</v>
      </c>
      <c r="J372" s="3" t="str">
        <f>IFERROR(MID(VLOOKUP($B372,Seqs!$A:$B,2,0),K372,1),"")</f>
        <v>N</v>
      </c>
      <c r="K372" s="23">
        <v>260</v>
      </c>
      <c r="L372" s="3" t="str">
        <f>IFERROR(MID(VLOOKUP($B372,Seqs!$A:$B,2,0),M372,1),"")</f>
        <v>R</v>
      </c>
      <c r="M372" s="3">
        <v>261</v>
      </c>
      <c r="N372" s="3" t="str">
        <f>IFERROR(MID(VLOOKUP($B372,Seqs!$A:$B,2,0),O372,1),"")</f>
        <v>F</v>
      </c>
      <c r="O372" s="3">
        <v>285</v>
      </c>
      <c r="P372" s="3" t="str">
        <f>IFERROR(MID(VLOOKUP($B372,Seqs!$A:$B,2,0),Q372,1),"")</f>
        <v/>
      </c>
      <c r="Q372" s="3" t="s">
        <v>23</v>
      </c>
      <c r="R372" s="3" t="str">
        <f>IFERROR(MID(VLOOKUP($B372,Seqs!$A:$B,2,0),S372,1),"")</f>
        <v/>
      </c>
      <c r="S372" s="3" t="s">
        <v>23</v>
      </c>
      <c r="T372" s="3" t="str">
        <f>IFERROR(MID(VLOOKUP($B372,Seqs!$A:$B,2,0),U372,1),"")</f>
        <v>L</v>
      </c>
      <c r="U372" s="3">
        <v>312</v>
      </c>
      <c r="V372" s="3" t="str">
        <f>IFERROR(MID(VLOOKUP($B372,Seqs!$A:$B,2,0),W372,1),"")</f>
        <v>L</v>
      </c>
      <c r="W372" s="3">
        <v>346</v>
      </c>
      <c r="X372" s="3" t="str">
        <f>IFERROR(MID(VLOOKUP($B372,Seqs!$A:$B,2,0),Y372,1),"")</f>
        <v/>
      </c>
      <c r="Y372" s="3" t="s">
        <v>23</v>
      </c>
      <c r="Z372" s="3" t="str">
        <f>IFERROR(MID(VLOOKUP($B372,Seqs!$A:$B,2,0),AA372,1),"")</f>
        <v/>
      </c>
      <c r="AA372" s="3" t="s">
        <v>23</v>
      </c>
      <c r="AB372" s="3" t="str">
        <f>IFERROR(MID(VLOOKUP($B372,Seqs!$A:$B,2,0),AC372,1),"")</f>
        <v>K</v>
      </c>
      <c r="AC372" s="9">
        <v>356</v>
      </c>
      <c r="AD372" s="3" t="str">
        <f>IFERROR(MID(VLOOKUP($B372,Seqs!$A:$B,2,0),AE372,1),"")</f>
        <v>V</v>
      </c>
      <c r="AE372" s="3">
        <v>378</v>
      </c>
      <c r="AF372" s="3" t="str">
        <f>IFERROR(MID(VLOOKUP($B372,Seqs!$A:$B,2,0),AG372,1),"")</f>
        <v>C</v>
      </c>
      <c r="AG372" s="3">
        <v>390</v>
      </c>
      <c r="AH372" s="3" t="str">
        <f>IFERROR(MID(VLOOKUP($B372,Seqs!$A:$B,2,0),AI372,1),"")</f>
        <v>V</v>
      </c>
      <c r="AI372" s="3">
        <v>392</v>
      </c>
      <c r="AJ372" s="3" t="str">
        <f>IFERROR(MID(VLOOKUP($B372,Seqs!$A:$B,2,0),AK372,1),"")</f>
        <v>N</v>
      </c>
      <c r="AK372" s="105">
        <v>396</v>
      </c>
      <c r="AL372" s="3" t="str">
        <f>IFERROR(MID(VLOOKUP($B372,Seqs!$A:$B,2,0),AM372,1),"")</f>
        <v>S</v>
      </c>
      <c r="AM372" s="3">
        <v>428</v>
      </c>
      <c r="AN372" s="3" t="str">
        <f>IFERROR(MID(VLOOKUP($B372,Seqs!$A:$B,2,0),AO372,1),"")</f>
        <v>E</v>
      </c>
      <c r="AO372" s="3">
        <v>447</v>
      </c>
      <c r="AP372" s="3" t="str">
        <f>IFERROR(MID(VLOOKUP($B372,Seqs!$A:$B,2,0),AQ372,1),"")</f>
        <v>I</v>
      </c>
      <c r="AQ372" s="3">
        <v>496</v>
      </c>
      <c r="AR372" s="3" t="str">
        <f>IFERROR(MID(VLOOKUP($B372,Seqs!$A:$B,2,0),AS372,1),"")</f>
        <v>S</v>
      </c>
      <c r="AS372" s="105">
        <v>514</v>
      </c>
      <c r="AT372" s="3" t="str">
        <f>IFERROR(MID(VLOOKUP($B372,Seqs!$A:$B,2,0),AU372,1),"")</f>
        <v>W</v>
      </c>
      <c r="AU372" s="3">
        <v>537</v>
      </c>
      <c r="AV372" s="3" t="str">
        <f>IFERROR(MID(VLOOKUP($B372,Seqs!$A:$B,2,0),AW372,1),"")</f>
        <v>T</v>
      </c>
      <c r="AW372" s="3">
        <v>538</v>
      </c>
      <c r="AX372" s="3" t="str">
        <f>IFERROR(MID(VLOOKUP($B372,Seqs!$A:$B,2,0),AY372,1),"")</f>
        <v>T</v>
      </c>
      <c r="AY372" s="3">
        <v>553</v>
      </c>
      <c r="AZ372" s="78" t="str">
        <f>VLOOKUP(B372,Classification!A:D,2,0)</f>
        <v>F</v>
      </c>
      <c r="BA372" s="94" t="str">
        <f>VLOOKUP(B372,Classification!A:D,4,0)</f>
        <v>Frizzled</v>
      </c>
      <c r="BB372" s="92" t="b">
        <f t="shared" si="2122"/>
        <v>1</v>
      </c>
      <c r="BC372" s="23">
        <f t="shared" si="2095"/>
        <v>249</v>
      </c>
      <c r="BD372" s="74" t="s">
        <v>1376</v>
      </c>
      <c r="BE372" s="3" t="s">
        <v>1374</v>
      </c>
      <c r="BF372" s="119">
        <v>3.2</v>
      </c>
      <c r="BG372" s="49" t="s">
        <v>1281</v>
      </c>
      <c r="BH372" s="49" t="s">
        <v>1377</v>
      </c>
      <c r="BI372" s="3"/>
      <c r="BJ372" s="75" t="s">
        <v>1287</v>
      </c>
      <c r="BK372" s="57" t="s">
        <v>1287</v>
      </c>
      <c r="BL372" s="57" t="s">
        <v>1287</v>
      </c>
      <c r="BM372" s="57" t="s">
        <v>1287</v>
      </c>
      <c r="BN372" s="57" t="s">
        <v>1287</v>
      </c>
      <c r="BO372" s="57" t="s">
        <v>1287</v>
      </c>
      <c r="BP372" s="57" t="s">
        <v>1287</v>
      </c>
      <c r="BQ372" s="57" t="s">
        <v>1287</v>
      </c>
      <c r="BR372" s="57" t="s">
        <v>1287</v>
      </c>
      <c r="BS372" s="57" t="s">
        <v>1287</v>
      </c>
      <c r="BT372" s="57" t="s">
        <v>1287</v>
      </c>
      <c r="BU372" s="57" t="s">
        <v>1287</v>
      </c>
      <c r="BV372" s="75">
        <f t="shared" si="2096"/>
        <v>223</v>
      </c>
      <c r="BW372" s="71">
        <f t="shared" si="2097"/>
        <v>256</v>
      </c>
      <c r="BX372" s="72">
        <f t="shared" si="2098"/>
        <v>261</v>
      </c>
      <c r="BY372" s="71" t="str">
        <f t="shared" si="2099"/>
        <v>-</v>
      </c>
      <c r="BZ372" s="72">
        <f t="shared" si="2100"/>
        <v>312</v>
      </c>
      <c r="CA372" s="71" t="str">
        <f t="shared" si="2101"/>
        <v>-</v>
      </c>
      <c r="CB372" s="72">
        <f t="shared" si="2102"/>
        <v>356</v>
      </c>
      <c r="CC372" s="71">
        <f t="shared" si="2103"/>
        <v>390</v>
      </c>
      <c r="CD372" s="72">
        <f t="shared" si="2104"/>
        <v>396</v>
      </c>
      <c r="CE372" s="71">
        <f t="shared" si="2105"/>
        <v>447</v>
      </c>
      <c r="CF372" s="72">
        <f t="shared" si="2106"/>
        <v>514</v>
      </c>
      <c r="CG372" s="71">
        <f t="shared" si="2107"/>
        <v>538</v>
      </c>
      <c r="CH372" s="75">
        <f t="shared" si="2108"/>
        <v>255</v>
      </c>
      <c r="CI372" s="71">
        <f t="shared" si="2109"/>
        <v>260</v>
      </c>
      <c r="CJ372" s="72">
        <f t="shared" si="2110"/>
        <v>285</v>
      </c>
      <c r="CK372" s="72" t="str">
        <f t="shared" si="2111"/>
        <v>-</v>
      </c>
      <c r="CL372" s="72">
        <f t="shared" si="2112"/>
        <v>346</v>
      </c>
      <c r="CM372" s="72" t="str">
        <f t="shared" si="2113"/>
        <v>-</v>
      </c>
      <c r="CN372" s="72">
        <f t="shared" si="2114"/>
        <v>378</v>
      </c>
      <c r="CO372" s="72">
        <f t="shared" si="2115"/>
        <v>392</v>
      </c>
      <c r="CP372" s="72">
        <f t="shared" si="2116"/>
        <v>428</v>
      </c>
      <c r="CQ372" s="72">
        <f t="shared" si="2117"/>
        <v>496</v>
      </c>
      <c r="CR372" s="72">
        <f t="shared" si="2118"/>
        <v>537</v>
      </c>
      <c r="CS372" s="72">
        <f t="shared" si="2119"/>
        <v>553</v>
      </c>
      <c r="CT372" s="23">
        <f t="shared" si="2120"/>
        <v>1</v>
      </c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/>
      <c r="MX372" s="3"/>
      <c r="MY372" s="3"/>
      <c r="MZ372" s="3"/>
      <c r="NA372" s="3"/>
      <c r="NB372" s="3"/>
      <c r="NC372" s="3"/>
      <c r="ND372" s="3"/>
      <c r="NE372" s="3"/>
      <c r="NF372" s="3"/>
      <c r="NG372" s="3"/>
      <c r="NH372" s="3"/>
      <c r="NI372" s="3"/>
      <c r="NJ372" s="3"/>
      <c r="NK372" s="3"/>
      <c r="NL372" s="3"/>
      <c r="NM372" s="3"/>
      <c r="NN372" s="3"/>
      <c r="NO372" s="3"/>
      <c r="NP372" s="3"/>
      <c r="NQ372" s="3"/>
      <c r="NR372" s="3"/>
      <c r="NS372" s="3"/>
      <c r="NT372" s="3"/>
      <c r="NU372" s="3"/>
      <c r="NV372" s="3"/>
      <c r="NW372" s="3"/>
      <c r="NX372" s="3"/>
      <c r="NY372" s="3"/>
      <c r="NZ372" s="3"/>
      <c r="OA372" s="3"/>
      <c r="OB372" s="3"/>
      <c r="OC372" s="3"/>
      <c r="OD372" s="3"/>
      <c r="OE372" s="3"/>
      <c r="OF372" s="3"/>
      <c r="OG372" s="3"/>
      <c r="OH372" s="3"/>
      <c r="OI372" s="3"/>
      <c r="OJ372" s="3"/>
      <c r="OK372" s="3"/>
      <c r="OL372" s="3"/>
      <c r="OM372" s="3"/>
      <c r="ON372" s="3"/>
      <c r="OO372" s="3"/>
      <c r="OP372" s="3"/>
      <c r="OQ372" s="3"/>
      <c r="OR372" s="3"/>
      <c r="OS372" s="3"/>
      <c r="OT372" s="3"/>
      <c r="OU372" s="3"/>
      <c r="OV372" s="3"/>
      <c r="OW372" s="3"/>
      <c r="OX372" s="3"/>
      <c r="OY372" s="3"/>
      <c r="OZ372" s="3"/>
      <c r="PA372" s="3"/>
      <c r="PB372" s="3"/>
      <c r="PC372" s="3"/>
      <c r="PD372" s="3"/>
      <c r="PE372" s="3"/>
      <c r="PF372" s="3"/>
      <c r="PG372" s="3"/>
      <c r="PH372" s="3"/>
      <c r="PI372" s="3"/>
      <c r="PJ372" s="3"/>
      <c r="PK372" s="3"/>
      <c r="PL372" s="3"/>
      <c r="PM372" s="3"/>
      <c r="PN372" s="3"/>
      <c r="PO372" s="3"/>
      <c r="PP372" s="3"/>
      <c r="PQ372" s="3"/>
      <c r="PR372" s="3"/>
      <c r="PS372" s="3"/>
      <c r="PT372" s="3"/>
      <c r="PU372" s="3"/>
      <c r="PV372" s="3"/>
      <c r="PW372" s="3"/>
      <c r="PX372" s="3"/>
      <c r="PY372" s="3"/>
      <c r="PZ372" s="3"/>
      <c r="QA372" s="3"/>
      <c r="QB372" s="3"/>
      <c r="QC372" s="3"/>
      <c r="QD372" s="3"/>
      <c r="QE372" s="3"/>
      <c r="QF372" s="3"/>
      <c r="QG372" s="3"/>
      <c r="QH372" s="3"/>
      <c r="QI372" s="3"/>
      <c r="QJ372" s="3"/>
      <c r="QK372" s="3"/>
      <c r="QL372" s="3"/>
      <c r="QM372" s="3"/>
      <c r="QN372" s="3"/>
      <c r="QO372" s="3"/>
      <c r="QP372" s="3"/>
      <c r="QQ372" s="3"/>
      <c r="QR372" s="3"/>
      <c r="QS372" s="3"/>
      <c r="QT372" s="3"/>
      <c r="QU372" s="3"/>
      <c r="QV372" s="3"/>
      <c r="QW372" s="3"/>
      <c r="QX372" s="3"/>
      <c r="QY372" s="3"/>
      <c r="QZ372" s="3"/>
      <c r="RA372" s="3"/>
      <c r="RB372" s="3"/>
      <c r="RC372" s="3"/>
      <c r="RD372" s="3"/>
      <c r="RE372" s="3"/>
      <c r="RF372" s="3"/>
      <c r="RG372" s="3"/>
      <c r="RH372" s="3"/>
      <c r="RI372" s="3"/>
      <c r="RJ372" s="3"/>
      <c r="RK372" s="3"/>
      <c r="RL372" s="3"/>
      <c r="RM372" s="3"/>
      <c r="RN372" s="3"/>
      <c r="RO372" s="3"/>
      <c r="RP372" s="3"/>
      <c r="RQ372" s="3"/>
      <c r="RR372" s="3"/>
      <c r="RS372" s="3"/>
      <c r="RT372" s="3"/>
      <c r="RU372" s="3"/>
      <c r="RV372" s="3"/>
      <c r="RW372" s="3"/>
      <c r="RX372" s="3"/>
      <c r="RY372" s="3"/>
      <c r="RZ372" s="3"/>
      <c r="SA372" s="3"/>
      <c r="SB372" s="3"/>
      <c r="SC372" s="3"/>
      <c r="SD372" s="3"/>
      <c r="SE372" s="3"/>
      <c r="SF372" s="3"/>
      <c r="SG372" s="3"/>
      <c r="SH372" s="3"/>
      <c r="SI372" s="3"/>
      <c r="SJ372" s="3"/>
      <c r="SK372" s="3"/>
      <c r="SL372" s="3"/>
      <c r="SM372" s="3"/>
      <c r="SN372" s="3"/>
      <c r="SO372" s="3"/>
      <c r="SP372" s="3"/>
      <c r="SQ372" s="3"/>
      <c r="SR372" s="3"/>
      <c r="SS372" s="3"/>
      <c r="ST372" s="3"/>
      <c r="SU372" s="3"/>
      <c r="SV372" s="3"/>
      <c r="SW372" s="3"/>
      <c r="SX372" s="3"/>
      <c r="SY372" s="3"/>
      <c r="SZ372" s="3"/>
      <c r="TA372" s="3"/>
      <c r="TB372" s="3"/>
      <c r="TC372" s="3"/>
      <c r="TD372" s="3"/>
      <c r="TE372" s="3"/>
      <c r="TF372" s="3"/>
      <c r="TG372" s="3"/>
      <c r="TH372" s="3"/>
      <c r="TI372" s="3"/>
      <c r="TJ372" s="3"/>
      <c r="TK372" s="3"/>
      <c r="TL372" s="3"/>
      <c r="TM372" s="3"/>
      <c r="TN372" s="3"/>
      <c r="TO372" s="3"/>
      <c r="TP372" s="3"/>
      <c r="TQ372" s="3"/>
      <c r="TR372" s="3"/>
      <c r="TS372" s="3"/>
      <c r="TT372" s="3"/>
      <c r="TU372" s="3"/>
      <c r="TV372" s="3"/>
      <c r="TW372" s="3"/>
      <c r="TX372" s="3"/>
      <c r="TY372" s="3"/>
      <c r="TZ372" s="3"/>
      <c r="UA372" s="3"/>
      <c r="UB372" s="3"/>
      <c r="UC372" s="3"/>
      <c r="UD372" s="3"/>
      <c r="UE372" s="3"/>
      <c r="UF372" s="3"/>
      <c r="UG372" s="3"/>
      <c r="UH372" s="3"/>
      <c r="UI372" s="3"/>
      <c r="UJ372" s="3"/>
      <c r="UK372" s="3"/>
      <c r="UL372" s="3"/>
      <c r="UM372" s="3"/>
      <c r="UN372" s="3"/>
      <c r="UO372" s="3"/>
      <c r="UP372" s="3"/>
      <c r="UQ372" s="3"/>
      <c r="UR372" s="3"/>
      <c r="US372" s="3"/>
      <c r="UT372" s="3"/>
      <c r="UU372" s="3"/>
      <c r="UV372" s="3"/>
      <c r="UW372" s="3"/>
      <c r="UX372" s="3"/>
      <c r="UY372" s="3"/>
      <c r="UZ372" s="3"/>
      <c r="VA372" s="3"/>
      <c r="VB372" s="3"/>
      <c r="VC372" s="3"/>
      <c r="VD372" s="3"/>
      <c r="VE372" s="3"/>
      <c r="VF372" s="3"/>
      <c r="VG372" s="3"/>
      <c r="VH372" s="3"/>
      <c r="VI372" s="3"/>
      <c r="VJ372" s="3"/>
      <c r="VK372" s="3"/>
      <c r="VL372" s="3"/>
      <c r="VM372" s="3"/>
      <c r="VN372" s="3"/>
      <c r="VO372" s="3"/>
      <c r="VP372" s="3"/>
      <c r="VQ372" s="3"/>
      <c r="VR372" s="3"/>
      <c r="VS372" s="3"/>
      <c r="VT372" s="3"/>
      <c r="VU372" s="3"/>
      <c r="VV372" s="3"/>
      <c r="VW372" s="3"/>
      <c r="VX372" s="3"/>
      <c r="VY372" s="3"/>
      <c r="VZ372" s="3"/>
      <c r="WA372" s="3"/>
      <c r="WB372" s="3"/>
      <c r="WC372" s="3"/>
      <c r="WD372" s="3"/>
      <c r="WE372" s="3"/>
      <c r="WF372" s="3"/>
      <c r="WG372" s="3"/>
      <c r="WH372" s="3"/>
      <c r="WI372" s="3"/>
      <c r="WJ372" s="3"/>
      <c r="WK372" s="3"/>
      <c r="WL372" s="3"/>
      <c r="WM372" s="3"/>
      <c r="WN372" s="3"/>
      <c r="WO372" s="3"/>
      <c r="WP372" s="3"/>
      <c r="WQ372" s="3"/>
      <c r="WR372" s="3"/>
      <c r="WS372" s="3"/>
      <c r="WT372" s="3"/>
      <c r="WU372" s="3"/>
      <c r="WV372" s="3"/>
      <c r="WW372" s="3"/>
      <c r="WX372" s="3"/>
      <c r="WY372" s="3"/>
      <c r="WZ372" s="3"/>
      <c r="XA372" s="3"/>
      <c r="XB372" s="3"/>
      <c r="XC372" s="3"/>
      <c r="XD372" s="3"/>
      <c r="XE372" s="3"/>
      <c r="XF372" s="3"/>
      <c r="XG372" s="3"/>
      <c r="XH372" s="3"/>
      <c r="XI372" s="3"/>
      <c r="XJ372" s="3"/>
      <c r="XK372" s="3"/>
      <c r="XL372" s="3"/>
      <c r="XM372" s="3"/>
      <c r="XN372" s="3"/>
      <c r="XO372" s="3"/>
      <c r="XP372" s="3"/>
      <c r="XQ372" s="3"/>
      <c r="XR372" s="3"/>
      <c r="XS372" s="3"/>
      <c r="XT372" s="3"/>
      <c r="XU372" s="3"/>
      <c r="XV372" s="3"/>
      <c r="XW372" s="3"/>
      <c r="XX372" s="3"/>
      <c r="XY372" s="3"/>
      <c r="XZ372" s="3"/>
      <c r="YA372" s="3"/>
      <c r="YB372" s="3"/>
      <c r="YC372" s="3"/>
      <c r="YD372" s="3"/>
      <c r="YE372" s="3"/>
      <c r="YF372" s="3"/>
      <c r="YG372" s="3"/>
      <c r="YH372" s="3"/>
      <c r="YI372" s="3"/>
      <c r="YJ372" s="3"/>
      <c r="YK372" s="3"/>
      <c r="YL372" s="3"/>
      <c r="YM372" s="3"/>
      <c r="YN372" s="3"/>
      <c r="YO372" s="3"/>
      <c r="YP372" s="3"/>
      <c r="YQ372" s="3"/>
      <c r="YR372" s="3"/>
      <c r="YS372" s="3"/>
      <c r="YT372" s="3"/>
      <c r="YU372" s="3"/>
      <c r="YV372" s="3"/>
      <c r="YW372" s="3"/>
      <c r="YX372" s="3"/>
      <c r="YY372" s="3"/>
      <c r="YZ372" s="3"/>
      <c r="ZA372" s="3"/>
      <c r="ZB372" s="3"/>
      <c r="ZC372" s="3"/>
      <c r="ZD372" s="3"/>
      <c r="ZE372" s="3"/>
      <c r="ZF372" s="3"/>
      <c r="ZG372" s="3"/>
      <c r="ZH372" s="3"/>
      <c r="ZI372" s="3"/>
      <c r="ZJ372" s="3"/>
      <c r="ZK372" s="3"/>
      <c r="ZL372" s="3"/>
      <c r="ZM372" s="3"/>
      <c r="ZN372" s="3"/>
      <c r="ZO372" s="3"/>
      <c r="ZP372" s="3"/>
      <c r="ZQ372" s="3"/>
      <c r="ZR372" s="3"/>
      <c r="ZS372" s="3"/>
      <c r="ZT372" s="3"/>
      <c r="ZU372" s="3"/>
      <c r="ZV372" s="3"/>
      <c r="ZW372" s="3"/>
      <c r="ZX372" s="3"/>
      <c r="ZY372" s="3"/>
      <c r="ZZ372" s="3"/>
      <c r="AAA372" s="3"/>
      <c r="AAB372" s="3"/>
      <c r="AAC372" s="3"/>
      <c r="AAD372" s="3"/>
      <c r="AAE372" s="3"/>
      <c r="AAF372" s="3"/>
      <c r="AAG372" s="3"/>
      <c r="AAH372" s="3"/>
      <c r="AAI372" s="3"/>
      <c r="AAJ372" s="3"/>
      <c r="AAK372" s="3"/>
      <c r="AAL372" s="3"/>
      <c r="AAM372" s="3"/>
      <c r="AAN372" s="3"/>
      <c r="AAO372" s="3"/>
      <c r="AAP372" s="3"/>
      <c r="AAQ372" s="3"/>
      <c r="AAR372" s="3"/>
      <c r="AAS372" s="3"/>
      <c r="AAT372" s="3"/>
      <c r="AAU372" s="3"/>
      <c r="AAV372" s="3"/>
      <c r="AAW372" s="3"/>
      <c r="AAX372" s="3"/>
      <c r="AAY372" s="3"/>
      <c r="AAZ372" s="3"/>
      <c r="ABA372" s="3"/>
      <c r="ABB372" s="3"/>
      <c r="ABC372" s="3"/>
      <c r="ABD372" s="3"/>
      <c r="ABE372" s="3"/>
      <c r="ABF372" s="3"/>
      <c r="ABG372" s="3"/>
      <c r="ABH372" s="3"/>
      <c r="ABI372" s="3"/>
      <c r="ABJ372" s="3"/>
      <c r="ABK372" s="3"/>
      <c r="ABL372" s="3"/>
      <c r="ABM372" s="3"/>
      <c r="ABN372" s="3"/>
      <c r="ABO372" s="3"/>
      <c r="ABP372" s="3"/>
      <c r="ABQ372" s="3"/>
      <c r="ABR372" s="3"/>
      <c r="ABS372" s="3"/>
      <c r="ABT372" s="3"/>
      <c r="ABU372" s="3"/>
      <c r="ABV372" s="3"/>
      <c r="ABW372" s="3"/>
      <c r="ABX372" s="3"/>
      <c r="ABY372" s="3"/>
      <c r="ABZ372" s="3"/>
      <c r="ACA372" s="3"/>
      <c r="ACB372" s="3"/>
      <c r="ACC372" s="3"/>
      <c r="ACD372" s="3"/>
      <c r="ACE372" s="3"/>
      <c r="ACF372" s="3"/>
      <c r="ACG372" s="3"/>
      <c r="ACH372" s="3"/>
      <c r="ACI372" s="3"/>
      <c r="ACJ372" s="3"/>
      <c r="ACK372" s="3"/>
      <c r="ACL372" s="3"/>
      <c r="ACM372" s="3"/>
      <c r="ACN372" s="3"/>
      <c r="ACO372" s="3"/>
      <c r="ACP372" s="3"/>
      <c r="ACQ372" s="3"/>
      <c r="ACR372" s="3"/>
      <c r="ACS372" s="3"/>
      <c r="ACT372" s="3"/>
      <c r="ACU372" s="3"/>
      <c r="ACV372" s="3"/>
      <c r="ACW372" s="3"/>
      <c r="ACX372" s="3"/>
      <c r="ACY372" s="3"/>
      <c r="ACZ372" s="3"/>
      <c r="ADA372" s="3"/>
      <c r="ADB372" s="3"/>
      <c r="ADC372" s="3"/>
      <c r="ADD372" s="3"/>
      <c r="ADE372" s="3"/>
      <c r="ADF372" s="3"/>
      <c r="ADG372" s="3"/>
      <c r="ADH372" s="3"/>
      <c r="ADI372" s="3"/>
      <c r="ADJ372" s="3"/>
      <c r="ADK372" s="3"/>
      <c r="ADL372" s="3"/>
      <c r="ADM372" s="3"/>
      <c r="ADN372" s="3"/>
      <c r="ADO372" s="3"/>
      <c r="ADP372" s="3"/>
      <c r="ADQ372" s="3"/>
      <c r="ADR372" s="3"/>
      <c r="ADS372" s="3"/>
      <c r="ADT372" s="3"/>
      <c r="ADU372" s="3"/>
      <c r="ADV372" s="3"/>
      <c r="ADW372" s="3"/>
      <c r="ADX372" s="3"/>
      <c r="ADY372" s="3"/>
      <c r="ADZ372" s="3"/>
      <c r="AEA372" s="3"/>
      <c r="AEB372" s="3"/>
      <c r="AEC372" s="3"/>
      <c r="AED372" s="3"/>
      <c r="AEE372" s="3"/>
      <c r="AEF372" s="3"/>
      <c r="AEG372" s="3"/>
      <c r="AEH372" s="3"/>
      <c r="AEI372" s="3"/>
      <c r="AEJ372" s="3"/>
      <c r="AEK372" s="3"/>
      <c r="AEL372" s="3"/>
      <c r="AEM372" s="3"/>
      <c r="AEN372" s="3"/>
      <c r="AEO372" s="3"/>
      <c r="AEP372" s="3"/>
      <c r="AEQ372" s="3"/>
      <c r="AER372" s="3"/>
      <c r="AES372" s="3"/>
      <c r="AET372" s="3"/>
      <c r="AEU372" s="3"/>
      <c r="AEV372" s="3"/>
      <c r="AEW372" s="3"/>
      <c r="AEX372" s="3"/>
      <c r="AEY372" s="3"/>
      <c r="AEZ372" s="3"/>
      <c r="AFA372" s="3"/>
      <c r="AFB372" s="3"/>
      <c r="AFC372" s="3"/>
      <c r="AFD372" s="3"/>
      <c r="AFE372" s="3"/>
      <c r="AFF372" s="3"/>
      <c r="AFG372" s="3"/>
      <c r="AFH372" s="3"/>
      <c r="AFI372" s="3"/>
      <c r="AFJ372" s="3"/>
      <c r="AFK372" s="3"/>
      <c r="AFL372" s="3"/>
      <c r="AFM372" s="3"/>
      <c r="AFN372" s="3"/>
      <c r="AFO372" s="3"/>
      <c r="AFP372" s="3"/>
      <c r="AFQ372" s="3"/>
      <c r="AFR372" s="3"/>
      <c r="AFS372" s="3"/>
      <c r="AFT372" s="3"/>
      <c r="AFU372" s="3"/>
      <c r="AFV372" s="3"/>
      <c r="AFW372" s="3"/>
      <c r="AFX372" s="3"/>
      <c r="AFY372" s="3"/>
      <c r="AFZ372" s="3"/>
      <c r="AGA372" s="3"/>
      <c r="AGB372" s="3"/>
      <c r="AGC372" s="3"/>
      <c r="AGD372" s="3"/>
      <c r="AGE372" s="3"/>
      <c r="AGF372" s="3"/>
      <c r="AGG372" s="3"/>
      <c r="AGH372" s="3"/>
      <c r="AGI372" s="3"/>
      <c r="AGJ372" s="3"/>
      <c r="AGK372" s="3"/>
      <c r="AGL372" s="3"/>
      <c r="AGM372" s="3"/>
      <c r="AGN372" s="3"/>
      <c r="AGO372" s="3"/>
      <c r="AGP372" s="3"/>
      <c r="AGQ372" s="3"/>
      <c r="AGR372" s="3"/>
      <c r="AGS372" s="3"/>
      <c r="AGT372" s="3"/>
      <c r="AGU372" s="3"/>
      <c r="AGV372" s="3"/>
      <c r="AGW372" s="3"/>
      <c r="AGX372" s="3"/>
      <c r="AGY372" s="3"/>
      <c r="AGZ372" s="3"/>
      <c r="AHA372" s="3"/>
      <c r="AHB372" s="3"/>
      <c r="AHC372" s="3"/>
      <c r="AHD372" s="3"/>
      <c r="AHE372" s="3"/>
      <c r="AHF372" s="3"/>
      <c r="AHG372" s="3"/>
      <c r="AHH372" s="3"/>
      <c r="AHI372" s="3"/>
      <c r="AHJ372" s="3"/>
      <c r="AHK372" s="3"/>
      <c r="AHL372" s="3"/>
      <c r="AHM372" s="3"/>
      <c r="AHN372" s="3"/>
      <c r="AHO372" s="3"/>
      <c r="AHP372" s="3"/>
      <c r="AHQ372" s="3"/>
      <c r="AHR372" s="3"/>
      <c r="AHS372" s="3"/>
      <c r="AHT372" s="3"/>
      <c r="AHU372" s="3"/>
      <c r="AHV372" s="3"/>
      <c r="AHW372" s="3"/>
      <c r="AHX372" s="3"/>
      <c r="AHY372" s="3"/>
      <c r="AHZ372" s="3"/>
      <c r="AIA372" s="3"/>
      <c r="AIB372" s="3"/>
      <c r="AIC372" s="3"/>
      <c r="AID372" s="3"/>
      <c r="AIE372" s="3"/>
      <c r="AIF372" s="3"/>
      <c r="AIG372" s="3"/>
      <c r="AIH372" s="3"/>
      <c r="AII372" s="3"/>
      <c r="AIJ372" s="3"/>
      <c r="AIK372" s="3"/>
      <c r="AIL372" s="3"/>
      <c r="AIM372" s="3"/>
      <c r="AIN372" s="3"/>
      <c r="AIO372" s="3"/>
      <c r="AIP372" s="3"/>
      <c r="AIQ372" s="3"/>
      <c r="AIR372" s="3"/>
      <c r="AIS372" s="3"/>
      <c r="AIT372" s="3"/>
      <c r="AIU372" s="3"/>
      <c r="AIV372" s="3"/>
      <c r="AIW372" s="3"/>
      <c r="AIX372" s="3"/>
      <c r="AIY372" s="3"/>
      <c r="AIZ372" s="3"/>
      <c r="AJA372" s="3"/>
      <c r="AJB372" s="3"/>
      <c r="AJC372" s="3"/>
      <c r="AJD372" s="3"/>
      <c r="AJE372" s="3"/>
      <c r="AJF372" s="3"/>
      <c r="AJG372" s="3"/>
      <c r="AJH372" s="3"/>
      <c r="AJI372" s="3"/>
      <c r="AJJ372" s="3"/>
      <c r="AJK372" s="3"/>
      <c r="AJL372" s="3"/>
      <c r="AJM372" s="3"/>
      <c r="AJN372" s="3"/>
      <c r="AJO372" s="3"/>
      <c r="AJP372" s="3"/>
      <c r="AJQ372" s="3"/>
      <c r="AJR372" s="3"/>
      <c r="AJS372" s="3"/>
      <c r="AJT372" s="3"/>
      <c r="AJU372" s="3"/>
      <c r="AJV372" s="3"/>
      <c r="AJW372" s="3"/>
      <c r="AJX372" s="3"/>
      <c r="AJY372" s="3"/>
      <c r="AJZ372" s="3"/>
      <c r="AKA372" s="3"/>
      <c r="AKB372" s="3"/>
      <c r="AKC372" s="3"/>
      <c r="AKD372" s="3"/>
      <c r="AKE372" s="3"/>
      <c r="AKF372" s="3"/>
      <c r="AKG372" s="3"/>
      <c r="AKH372" s="3"/>
      <c r="AKI372" s="3"/>
      <c r="AKJ372" s="3"/>
      <c r="AKK372" s="3"/>
      <c r="AKL372" s="3"/>
      <c r="AKM372" s="3"/>
      <c r="AKN372" s="3"/>
      <c r="AKO372" s="3"/>
      <c r="AKP372" s="3"/>
      <c r="AKQ372" s="3"/>
      <c r="AKR372" s="3"/>
      <c r="AKS372" s="3"/>
      <c r="AKT372" s="3"/>
      <c r="AKU372" s="3"/>
      <c r="AKV372" s="3"/>
      <c r="AKW372" s="3"/>
      <c r="AKX372" s="3"/>
      <c r="AKY372" s="3"/>
      <c r="AKZ372" s="3"/>
      <c r="ALA372" s="3"/>
      <c r="ALB372" s="3"/>
      <c r="ALC372" s="3"/>
      <c r="ALD372" s="3"/>
      <c r="ALE372" s="3"/>
      <c r="ALF372" s="3"/>
      <c r="ALG372" s="3"/>
      <c r="ALH372" s="3"/>
      <c r="ALI372" s="3"/>
      <c r="ALJ372" s="3"/>
      <c r="ALK372" s="3"/>
      <c r="ALL372" s="3"/>
      <c r="ALM372" s="3"/>
      <c r="ALN372" s="3"/>
      <c r="ALO372" s="3"/>
      <c r="ALP372" s="3"/>
      <c r="ALQ372" s="3"/>
      <c r="ALR372" s="3"/>
      <c r="ALS372" s="3"/>
      <c r="ALT372" s="3"/>
      <c r="ALU372" s="3"/>
      <c r="ALV372" s="3"/>
      <c r="ALW372" s="3"/>
      <c r="ALX372" s="3"/>
      <c r="ALY372" s="3"/>
      <c r="ALZ372" s="3"/>
      <c r="AMA372" s="3"/>
      <c r="AMB372" s="3"/>
      <c r="AMC372" s="3"/>
      <c r="AMD372" s="3"/>
      <c r="AME372" s="3"/>
      <c r="AMF372" s="3"/>
      <c r="AMG372" s="3"/>
      <c r="AMH372" s="3"/>
      <c r="AMI372" s="3"/>
      <c r="AMJ372" s="3"/>
      <c r="AMK372" s="3"/>
      <c r="AML372" s="3"/>
      <c r="AMM372" s="3"/>
      <c r="AMN372" s="3"/>
      <c r="AMO372" s="3"/>
      <c r="AMP372" s="1"/>
    </row>
    <row r="373" spans="1:1030" s="6" customFormat="1" x14ac:dyDescent="0.2">
      <c r="A373" s="3" t="str">
        <f t="shared" si="2121"/>
        <v>smo_human_5L7I</v>
      </c>
      <c r="B373" s="3" t="s">
        <v>33</v>
      </c>
      <c r="C373" s="3" t="s">
        <v>1353</v>
      </c>
      <c r="D373" s="3" t="str">
        <f>IFERROR(MID(VLOOKUP($B373,Seqs!$A:$B,2,0),E373,1),"")</f>
        <v>T</v>
      </c>
      <c r="E373" s="105">
        <v>223</v>
      </c>
      <c r="F373" s="3" t="str">
        <f>IFERROR(MID(VLOOKUP($B373,Seqs!$A:$B,2,0),G373,1),"")</f>
        <v>D</v>
      </c>
      <c r="G373" s="3">
        <v>255</v>
      </c>
      <c r="H373" s="3" t="str">
        <f>IFERROR(MID(VLOOKUP($B373,Seqs!$A:$B,2,0),I373,1),"")</f>
        <v>W</v>
      </c>
      <c r="I373" s="23">
        <v>256</v>
      </c>
      <c r="J373" s="3" t="str">
        <f>IFERROR(MID(VLOOKUP($B373,Seqs!$A:$B,2,0),K373,1),"")</f>
        <v>N</v>
      </c>
      <c r="K373" s="23">
        <v>260</v>
      </c>
      <c r="L373" s="3" t="str">
        <f>IFERROR(MID(VLOOKUP($B373,Seqs!$A:$B,2,0),M373,1),"")</f>
        <v>R</v>
      </c>
      <c r="M373" s="3">
        <v>261</v>
      </c>
      <c r="N373" s="3" t="str">
        <f>IFERROR(MID(VLOOKUP($B373,Seqs!$A:$B,2,0),O373,1),"")</f>
        <v>F</v>
      </c>
      <c r="O373" s="3">
        <v>285</v>
      </c>
      <c r="P373" s="3" t="str">
        <f>IFERROR(MID(VLOOKUP($B373,Seqs!$A:$B,2,0),Q373,1),"")</f>
        <v/>
      </c>
      <c r="Q373" s="3" t="s">
        <v>23</v>
      </c>
      <c r="R373" s="3" t="str">
        <f>IFERROR(MID(VLOOKUP($B373,Seqs!$A:$B,2,0),S373,1),"")</f>
        <v/>
      </c>
      <c r="S373" s="3" t="s">
        <v>23</v>
      </c>
      <c r="T373" s="3" t="str">
        <f>IFERROR(MID(VLOOKUP($B373,Seqs!$A:$B,2,0),U373,1),"")</f>
        <v>L</v>
      </c>
      <c r="U373" s="3">
        <v>312</v>
      </c>
      <c r="V373" s="3" t="str">
        <f>IFERROR(MID(VLOOKUP($B373,Seqs!$A:$B,2,0),W373,1),"")</f>
        <v>L</v>
      </c>
      <c r="W373" s="3">
        <v>346</v>
      </c>
      <c r="X373" s="3" t="str">
        <f>IFERROR(MID(VLOOKUP($B373,Seqs!$A:$B,2,0),Y373,1),"")</f>
        <v/>
      </c>
      <c r="Y373" s="3" t="s">
        <v>23</v>
      </c>
      <c r="Z373" s="3" t="str">
        <f>IFERROR(MID(VLOOKUP($B373,Seqs!$A:$B,2,0),AA373,1),"")</f>
        <v/>
      </c>
      <c r="AA373" s="3" t="s">
        <v>23</v>
      </c>
      <c r="AB373" s="3" t="str">
        <f>IFERROR(MID(VLOOKUP($B373,Seqs!$A:$B,2,0),AC373,1),"")</f>
        <v>K</v>
      </c>
      <c r="AC373" s="9">
        <v>356</v>
      </c>
      <c r="AD373" s="3" t="str">
        <f>IFERROR(MID(VLOOKUP($B373,Seqs!$A:$B,2,0),AE373,1),"")</f>
        <v>V</v>
      </c>
      <c r="AE373" s="3">
        <v>378</v>
      </c>
      <c r="AF373" s="3" t="str">
        <f>IFERROR(MID(VLOOKUP($B373,Seqs!$A:$B,2,0),AG373,1),"")</f>
        <v>C</v>
      </c>
      <c r="AG373" s="3">
        <v>390</v>
      </c>
      <c r="AH373" s="3" t="str">
        <f>IFERROR(MID(VLOOKUP($B373,Seqs!$A:$B,2,0),AI373,1),"")</f>
        <v>V</v>
      </c>
      <c r="AI373" s="3">
        <v>392</v>
      </c>
      <c r="AJ373" s="3" t="str">
        <f>IFERROR(MID(VLOOKUP($B373,Seqs!$A:$B,2,0),AK373,1),"")</f>
        <v>N</v>
      </c>
      <c r="AK373" s="105">
        <v>396</v>
      </c>
      <c r="AL373" s="3" t="str">
        <f>IFERROR(MID(VLOOKUP($B373,Seqs!$A:$B,2,0),AM373,1),"")</f>
        <v>S</v>
      </c>
      <c r="AM373" s="3">
        <v>428</v>
      </c>
      <c r="AN373" s="3" t="str">
        <f>IFERROR(MID(VLOOKUP($B373,Seqs!$A:$B,2,0),AO373,1),"")</f>
        <v>E</v>
      </c>
      <c r="AO373" s="3">
        <v>447</v>
      </c>
      <c r="AP373" s="3" t="str">
        <f>IFERROR(MID(VLOOKUP($B373,Seqs!$A:$B,2,0),AQ373,1),"")</f>
        <v>N</v>
      </c>
      <c r="AQ373" s="3">
        <v>493</v>
      </c>
      <c r="AR373" s="3" t="str">
        <f>IFERROR(MID(VLOOKUP($B373,Seqs!$A:$B,2,0),AS373,1),"")</f>
        <v>S</v>
      </c>
      <c r="AS373" s="105">
        <v>514</v>
      </c>
      <c r="AT373" s="3" t="str">
        <f>IFERROR(MID(VLOOKUP($B373,Seqs!$A:$B,2,0),AU373,1),"")</f>
        <v>W</v>
      </c>
      <c r="AU373" s="3">
        <v>537</v>
      </c>
      <c r="AV373" s="3" t="str">
        <f>IFERROR(MID(VLOOKUP($B373,Seqs!$A:$B,2,0),AW373,1),"")</f>
        <v>T</v>
      </c>
      <c r="AW373" s="3">
        <v>538</v>
      </c>
      <c r="AX373" s="3" t="str">
        <f>IFERROR(MID(VLOOKUP($B373,Seqs!$A:$B,2,0),AY373,1),"")</f>
        <v>R</v>
      </c>
      <c r="AY373" s="3">
        <v>551</v>
      </c>
      <c r="AZ373" s="78" t="str">
        <f>VLOOKUP(B373,Classification!A:D,2,0)</f>
        <v>F</v>
      </c>
      <c r="BA373" s="94" t="str">
        <f>VLOOKUP(B373,Classification!A:D,4,0)</f>
        <v>Frizzled</v>
      </c>
      <c r="BB373" s="92" t="b">
        <f t="shared" si="2122"/>
        <v>1</v>
      </c>
      <c r="BC373" s="23">
        <f t="shared" si="2095"/>
        <v>244</v>
      </c>
      <c r="BD373" s="74" t="s">
        <v>23</v>
      </c>
      <c r="BE373" s="3" t="s">
        <v>1374</v>
      </c>
      <c r="BF373" s="119">
        <v>3.3</v>
      </c>
      <c r="BG373" s="49" t="s">
        <v>1281</v>
      </c>
      <c r="BH373" s="49" t="s">
        <v>1377</v>
      </c>
      <c r="BI373" s="3" t="s">
        <v>1361</v>
      </c>
      <c r="BJ373" s="75" t="s">
        <v>1287</v>
      </c>
      <c r="BK373" s="57" t="s">
        <v>1287</v>
      </c>
      <c r="BL373" s="57" t="s">
        <v>1287</v>
      </c>
      <c r="BM373" s="57" t="s">
        <v>1287</v>
      </c>
      <c r="BN373" s="57" t="s">
        <v>1287</v>
      </c>
      <c r="BO373" s="57" t="s">
        <v>1287</v>
      </c>
      <c r="BP373" s="57" t="s">
        <v>1287</v>
      </c>
      <c r="BQ373" s="57" t="s">
        <v>1287</v>
      </c>
      <c r="BR373" s="57" t="s">
        <v>1287</v>
      </c>
      <c r="BS373" s="57" t="s">
        <v>1287</v>
      </c>
      <c r="BT373" s="57" t="s">
        <v>1287</v>
      </c>
      <c r="BU373" s="57" t="s">
        <v>1287</v>
      </c>
      <c r="BV373" s="75">
        <f t="shared" si="2096"/>
        <v>223</v>
      </c>
      <c r="BW373" s="71">
        <f t="shared" si="2097"/>
        <v>256</v>
      </c>
      <c r="BX373" s="72">
        <f t="shared" si="2098"/>
        <v>261</v>
      </c>
      <c r="BY373" s="71" t="str">
        <f t="shared" si="2099"/>
        <v>-</v>
      </c>
      <c r="BZ373" s="72">
        <f t="shared" si="2100"/>
        <v>312</v>
      </c>
      <c r="CA373" s="71" t="str">
        <f t="shared" si="2101"/>
        <v>-</v>
      </c>
      <c r="CB373" s="72">
        <f t="shared" si="2102"/>
        <v>356</v>
      </c>
      <c r="CC373" s="71">
        <f t="shared" si="2103"/>
        <v>390</v>
      </c>
      <c r="CD373" s="72">
        <f t="shared" si="2104"/>
        <v>396</v>
      </c>
      <c r="CE373" s="71">
        <f t="shared" si="2105"/>
        <v>447</v>
      </c>
      <c r="CF373" s="72">
        <f t="shared" si="2106"/>
        <v>514</v>
      </c>
      <c r="CG373" s="71">
        <f t="shared" si="2107"/>
        <v>538</v>
      </c>
      <c r="CH373" s="75">
        <f t="shared" si="2108"/>
        <v>255</v>
      </c>
      <c r="CI373" s="71">
        <f t="shared" si="2109"/>
        <v>260</v>
      </c>
      <c r="CJ373" s="72">
        <f t="shared" si="2110"/>
        <v>285</v>
      </c>
      <c r="CK373" s="72" t="str">
        <f t="shared" si="2111"/>
        <v>-</v>
      </c>
      <c r="CL373" s="72">
        <f t="shared" si="2112"/>
        <v>346</v>
      </c>
      <c r="CM373" s="72" t="str">
        <f t="shared" si="2113"/>
        <v>-</v>
      </c>
      <c r="CN373" s="72">
        <f t="shared" si="2114"/>
        <v>378</v>
      </c>
      <c r="CO373" s="72">
        <f t="shared" si="2115"/>
        <v>392</v>
      </c>
      <c r="CP373" s="72">
        <f t="shared" si="2116"/>
        <v>428</v>
      </c>
      <c r="CQ373" s="72">
        <f t="shared" si="2117"/>
        <v>493</v>
      </c>
      <c r="CR373" s="72">
        <f t="shared" si="2118"/>
        <v>537</v>
      </c>
      <c r="CS373" s="72">
        <f t="shared" si="2119"/>
        <v>551</v>
      </c>
      <c r="CT373" s="23">
        <f t="shared" si="2120"/>
        <v>1</v>
      </c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/>
      <c r="MX373" s="3"/>
      <c r="MY373" s="3"/>
      <c r="MZ373" s="3"/>
      <c r="NA373" s="3"/>
      <c r="NB373" s="3"/>
      <c r="NC373" s="3"/>
      <c r="ND373" s="3"/>
      <c r="NE373" s="3"/>
      <c r="NF373" s="3"/>
      <c r="NG373" s="3"/>
      <c r="NH373" s="3"/>
      <c r="NI373" s="3"/>
      <c r="NJ373" s="3"/>
      <c r="NK373" s="3"/>
      <c r="NL373" s="3"/>
      <c r="NM373" s="3"/>
      <c r="NN373" s="3"/>
      <c r="NO373" s="3"/>
      <c r="NP373" s="3"/>
      <c r="NQ373" s="3"/>
      <c r="NR373" s="3"/>
      <c r="NS373" s="3"/>
      <c r="NT373" s="3"/>
      <c r="NU373" s="3"/>
      <c r="NV373" s="3"/>
      <c r="NW373" s="3"/>
      <c r="NX373" s="3"/>
      <c r="NY373" s="3"/>
      <c r="NZ373" s="3"/>
      <c r="OA373" s="3"/>
      <c r="OB373" s="3"/>
      <c r="OC373" s="3"/>
      <c r="OD373" s="3"/>
      <c r="OE373" s="3"/>
      <c r="OF373" s="3"/>
      <c r="OG373" s="3"/>
      <c r="OH373" s="3"/>
      <c r="OI373" s="3"/>
      <c r="OJ373" s="3"/>
      <c r="OK373" s="3"/>
      <c r="OL373" s="3"/>
      <c r="OM373" s="3"/>
      <c r="ON373" s="3"/>
      <c r="OO373" s="3"/>
      <c r="OP373" s="3"/>
      <c r="OQ373" s="3"/>
      <c r="OR373" s="3"/>
      <c r="OS373" s="3"/>
      <c r="OT373" s="3"/>
      <c r="OU373" s="3"/>
      <c r="OV373" s="3"/>
      <c r="OW373" s="3"/>
      <c r="OX373" s="3"/>
      <c r="OY373" s="3"/>
      <c r="OZ373" s="3"/>
      <c r="PA373" s="3"/>
      <c r="PB373" s="3"/>
      <c r="PC373" s="3"/>
      <c r="PD373" s="3"/>
      <c r="PE373" s="3"/>
      <c r="PF373" s="3"/>
      <c r="PG373" s="3"/>
      <c r="PH373" s="3"/>
      <c r="PI373" s="3"/>
      <c r="PJ373" s="3"/>
      <c r="PK373" s="3"/>
      <c r="PL373" s="3"/>
      <c r="PM373" s="3"/>
      <c r="PN373" s="3"/>
      <c r="PO373" s="3"/>
      <c r="PP373" s="3"/>
      <c r="PQ373" s="3"/>
      <c r="PR373" s="3"/>
      <c r="PS373" s="3"/>
      <c r="PT373" s="3"/>
      <c r="PU373" s="3"/>
      <c r="PV373" s="3"/>
      <c r="PW373" s="3"/>
      <c r="PX373" s="3"/>
      <c r="PY373" s="3"/>
      <c r="PZ373" s="3"/>
      <c r="QA373" s="3"/>
      <c r="QB373" s="3"/>
      <c r="QC373" s="3"/>
      <c r="QD373" s="3"/>
      <c r="QE373" s="3"/>
      <c r="QF373" s="3"/>
      <c r="QG373" s="3"/>
      <c r="QH373" s="3"/>
      <c r="QI373" s="3"/>
      <c r="QJ373" s="3"/>
      <c r="QK373" s="3"/>
      <c r="QL373" s="3"/>
      <c r="QM373" s="3"/>
      <c r="QN373" s="3"/>
      <c r="QO373" s="3"/>
      <c r="QP373" s="3"/>
      <c r="QQ373" s="3"/>
      <c r="QR373" s="3"/>
      <c r="QS373" s="3"/>
      <c r="QT373" s="3"/>
      <c r="QU373" s="3"/>
      <c r="QV373" s="3"/>
      <c r="QW373" s="3"/>
      <c r="QX373" s="3"/>
      <c r="QY373" s="3"/>
      <c r="QZ373" s="3"/>
      <c r="RA373" s="3"/>
      <c r="RB373" s="3"/>
      <c r="RC373" s="3"/>
      <c r="RD373" s="3"/>
      <c r="RE373" s="3"/>
      <c r="RF373" s="3"/>
      <c r="RG373" s="3"/>
      <c r="RH373" s="3"/>
      <c r="RI373" s="3"/>
      <c r="RJ373" s="3"/>
      <c r="RK373" s="3"/>
      <c r="RL373" s="3"/>
      <c r="RM373" s="3"/>
      <c r="RN373" s="3"/>
      <c r="RO373" s="3"/>
      <c r="RP373" s="3"/>
      <c r="RQ373" s="3"/>
      <c r="RR373" s="3"/>
      <c r="RS373" s="3"/>
      <c r="RT373" s="3"/>
      <c r="RU373" s="3"/>
      <c r="RV373" s="3"/>
      <c r="RW373" s="3"/>
      <c r="RX373" s="3"/>
      <c r="RY373" s="3"/>
      <c r="RZ373" s="3"/>
      <c r="SA373" s="3"/>
      <c r="SB373" s="3"/>
      <c r="SC373" s="3"/>
      <c r="SD373" s="3"/>
      <c r="SE373" s="3"/>
      <c r="SF373" s="3"/>
      <c r="SG373" s="3"/>
      <c r="SH373" s="3"/>
      <c r="SI373" s="3"/>
      <c r="SJ373" s="3"/>
      <c r="SK373" s="3"/>
      <c r="SL373" s="3"/>
      <c r="SM373" s="3"/>
      <c r="SN373" s="3"/>
      <c r="SO373" s="3"/>
      <c r="SP373" s="3"/>
      <c r="SQ373" s="3"/>
      <c r="SR373" s="3"/>
      <c r="SS373" s="3"/>
      <c r="ST373" s="3"/>
      <c r="SU373" s="3"/>
      <c r="SV373" s="3"/>
      <c r="SW373" s="3"/>
      <c r="SX373" s="3"/>
      <c r="SY373" s="3"/>
      <c r="SZ373" s="3"/>
      <c r="TA373" s="3"/>
      <c r="TB373" s="3"/>
      <c r="TC373" s="3"/>
      <c r="TD373" s="3"/>
      <c r="TE373" s="3"/>
      <c r="TF373" s="3"/>
      <c r="TG373" s="3"/>
      <c r="TH373" s="3"/>
      <c r="TI373" s="3"/>
      <c r="TJ373" s="3"/>
      <c r="TK373" s="3"/>
      <c r="TL373" s="3"/>
      <c r="TM373" s="3"/>
      <c r="TN373" s="3"/>
      <c r="TO373" s="3"/>
      <c r="TP373" s="3"/>
      <c r="TQ373" s="3"/>
      <c r="TR373" s="3"/>
      <c r="TS373" s="3"/>
      <c r="TT373" s="3"/>
      <c r="TU373" s="3"/>
      <c r="TV373" s="3"/>
      <c r="TW373" s="3"/>
      <c r="TX373" s="3"/>
      <c r="TY373" s="3"/>
      <c r="TZ373" s="3"/>
      <c r="UA373" s="3"/>
      <c r="UB373" s="3"/>
      <c r="UC373" s="3"/>
      <c r="UD373" s="3"/>
      <c r="UE373" s="3"/>
      <c r="UF373" s="3"/>
      <c r="UG373" s="3"/>
      <c r="UH373" s="3"/>
      <c r="UI373" s="3"/>
      <c r="UJ373" s="3"/>
      <c r="UK373" s="3"/>
      <c r="UL373" s="3"/>
      <c r="UM373" s="3"/>
      <c r="UN373" s="3"/>
      <c r="UO373" s="3"/>
      <c r="UP373" s="3"/>
      <c r="UQ373" s="3"/>
      <c r="UR373" s="3"/>
      <c r="US373" s="3"/>
      <c r="UT373" s="3"/>
      <c r="UU373" s="3"/>
      <c r="UV373" s="3"/>
      <c r="UW373" s="3"/>
      <c r="UX373" s="3"/>
      <c r="UY373" s="3"/>
      <c r="UZ373" s="3"/>
      <c r="VA373" s="3"/>
      <c r="VB373" s="3"/>
      <c r="VC373" s="3"/>
      <c r="VD373" s="3"/>
      <c r="VE373" s="3"/>
      <c r="VF373" s="3"/>
      <c r="VG373" s="3"/>
      <c r="VH373" s="3"/>
      <c r="VI373" s="3"/>
      <c r="VJ373" s="3"/>
      <c r="VK373" s="3"/>
      <c r="VL373" s="3"/>
      <c r="VM373" s="3"/>
      <c r="VN373" s="3"/>
      <c r="VO373" s="3"/>
      <c r="VP373" s="3"/>
      <c r="VQ373" s="3"/>
      <c r="VR373" s="3"/>
      <c r="VS373" s="3"/>
      <c r="VT373" s="3"/>
      <c r="VU373" s="3"/>
      <c r="VV373" s="3"/>
      <c r="VW373" s="3"/>
      <c r="VX373" s="3"/>
      <c r="VY373" s="3"/>
      <c r="VZ373" s="3"/>
      <c r="WA373" s="3"/>
      <c r="WB373" s="3"/>
      <c r="WC373" s="3"/>
      <c r="WD373" s="3"/>
      <c r="WE373" s="3"/>
      <c r="WF373" s="3"/>
      <c r="WG373" s="3"/>
      <c r="WH373" s="3"/>
      <c r="WI373" s="3"/>
      <c r="WJ373" s="3"/>
      <c r="WK373" s="3"/>
      <c r="WL373" s="3"/>
      <c r="WM373" s="3"/>
      <c r="WN373" s="3"/>
      <c r="WO373" s="3"/>
      <c r="WP373" s="3"/>
      <c r="WQ373" s="3"/>
      <c r="WR373" s="3"/>
      <c r="WS373" s="3"/>
      <c r="WT373" s="3"/>
      <c r="WU373" s="3"/>
      <c r="WV373" s="3"/>
      <c r="WW373" s="3"/>
      <c r="WX373" s="3"/>
      <c r="WY373" s="3"/>
      <c r="WZ373" s="3"/>
      <c r="XA373" s="3"/>
      <c r="XB373" s="3"/>
      <c r="XC373" s="3"/>
      <c r="XD373" s="3"/>
      <c r="XE373" s="3"/>
      <c r="XF373" s="3"/>
      <c r="XG373" s="3"/>
      <c r="XH373" s="3"/>
      <c r="XI373" s="3"/>
      <c r="XJ373" s="3"/>
      <c r="XK373" s="3"/>
      <c r="XL373" s="3"/>
      <c r="XM373" s="3"/>
      <c r="XN373" s="3"/>
      <c r="XO373" s="3"/>
      <c r="XP373" s="3"/>
      <c r="XQ373" s="3"/>
      <c r="XR373" s="3"/>
      <c r="XS373" s="3"/>
      <c r="XT373" s="3"/>
      <c r="XU373" s="3"/>
      <c r="XV373" s="3"/>
      <c r="XW373" s="3"/>
      <c r="XX373" s="3"/>
      <c r="XY373" s="3"/>
      <c r="XZ373" s="3"/>
      <c r="YA373" s="3"/>
      <c r="YB373" s="3"/>
      <c r="YC373" s="3"/>
      <c r="YD373" s="3"/>
      <c r="YE373" s="3"/>
      <c r="YF373" s="3"/>
      <c r="YG373" s="3"/>
      <c r="YH373" s="3"/>
      <c r="YI373" s="3"/>
      <c r="YJ373" s="3"/>
      <c r="YK373" s="3"/>
      <c r="YL373" s="3"/>
      <c r="YM373" s="3"/>
      <c r="YN373" s="3"/>
      <c r="YO373" s="3"/>
      <c r="YP373" s="3"/>
      <c r="YQ373" s="3"/>
      <c r="YR373" s="3"/>
      <c r="YS373" s="3"/>
      <c r="YT373" s="3"/>
      <c r="YU373" s="3"/>
      <c r="YV373" s="3"/>
      <c r="YW373" s="3"/>
      <c r="YX373" s="3"/>
      <c r="YY373" s="3"/>
      <c r="YZ373" s="3"/>
      <c r="ZA373" s="3"/>
      <c r="ZB373" s="3"/>
      <c r="ZC373" s="3"/>
      <c r="ZD373" s="3"/>
      <c r="ZE373" s="3"/>
      <c r="ZF373" s="3"/>
      <c r="ZG373" s="3"/>
      <c r="ZH373" s="3"/>
      <c r="ZI373" s="3"/>
      <c r="ZJ373" s="3"/>
      <c r="ZK373" s="3"/>
      <c r="ZL373" s="3"/>
      <c r="ZM373" s="3"/>
      <c r="ZN373" s="3"/>
      <c r="ZO373" s="3"/>
      <c r="ZP373" s="3"/>
      <c r="ZQ373" s="3"/>
      <c r="ZR373" s="3"/>
      <c r="ZS373" s="3"/>
      <c r="ZT373" s="3"/>
      <c r="ZU373" s="3"/>
      <c r="ZV373" s="3"/>
      <c r="ZW373" s="3"/>
      <c r="ZX373" s="3"/>
      <c r="ZY373" s="3"/>
      <c r="ZZ373" s="3"/>
      <c r="AAA373" s="3"/>
      <c r="AAB373" s="3"/>
      <c r="AAC373" s="3"/>
      <c r="AAD373" s="3"/>
      <c r="AAE373" s="3"/>
      <c r="AAF373" s="3"/>
      <c r="AAG373" s="3"/>
      <c r="AAH373" s="3"/>
      <c r="AAI373" s="3"/>
      <c r="AAJ373" s="3"/>
      <c r="AAK373" s="3"/>
      <c r="AAL373" s="3"/>
      <c r="AAM373" s="3"/>
      <c r="AAN373" s="3"/>
      <c r="AAO373" s="3"/>
      <c r="AAP373" s="3"/>
      <c r="AAQ373" s="3"/>
      <c r="AAR373" s="3"/>
      <c r="AAS373" s="3"/>
      <c r="AAT373" s="3"/>
      <c r="AAU373" s="3"/>
      <c r="AAV373" s="3"/>
      <c r="AAW373" s="3"/>
      <c r="AAX373" s="3"/>
      <c r="AAY373" s="3"/>
      <c r="AAZ373" s="3"/>
      <c r="ABA373" s="3"/>
      <c r="ABB373" s="3"/>
      <c r="ABC373" s="3"/>
      <c r="ABD373" s="3"/>
      <c r="ABE373" s="3"/>
      <c r="ABF373" s="3"/>
      <c r="ABG373" s="3"/>
      <c r="ABH373" s="3"/>
      <c r="ABI373" s="3"/>
      <c r="ABJ373" s="3"/>
      <c r="ABK373" s="3"/>
      <c r="ABL373" s="3"/>
      <c r="ABM373" s="3"/>
      <c r="ABN373" s="3"/>
      <c r="ABO373" s="3"/>
      <c r="ABP373" s="3"/>
      <c r="ABQ373" s="3"/>
      <c r="ABR373" s="3"/>
      <c r="ABS373" s="3"/>
      <c r="ABT373" s="3"/>
      <c r="ABU373" s="3"/>
      <c r="ABV373" s="3"/>
      <c r="ABW373" s="3"/>
      <c r="ABX373" s="3"/>
      <c r="ABY373" s="3"/>
      <c r="ABZ373" s="3"/>
      <c r="ACA373" s="3"/>
      <c r="ACB373" s="3"/>
      <c r="ACC373" s="3"/>
      <c r="ACD373" s="3"/>
      <c r="ACE373" s="3"/>
      <c r="ACF373" s="3"/>
      <c r="ACG373" s="3"/>
      <c r="ACH373" s="3"/>
      <c r="ACI373" s="3"/>
      <c r="ACJ373" s="3"/>
      <c r="ACK373" s="3"/>
      <c r="ACL373" s="3"/>
      <c r="ACM373" s="3"/>
      <c r="ACN373" s="3"/>
      <c r="ACO373" s="3"/>
      <c r="ACP373" s="3"/>
      <c r="ACQ373" s="3"/>
      <c r="ACR373" s="3"/>
      <c r="ACS373" s="3"/>
      <c r="ACT373" s="3"/>
      <c r="ACU373" s="3"/>
      <c r="ACV373" s="3"/>
      <c r="ACW373" s="3"/>
      <c r="ACX373" s="3"/>
      <c r="ACY373" s="3"/>
      <c r="ACZ373" s="3"/>
      <c r="ADA373" s="3"/>
      <c r="ADB373" s="3"/>
      <c r="ADC373" s="3"/>
      <c r="ADD373" s="3"/>
      <c r="ADE373" s="3"/>
      <c r="ADF373" s="3"/>
      <c r="ADG373" s="3"/>
      <c r="ADH373" s="3"/>
      <c r="ADI373" s="3"/>
      <c r="ADJ373" s="3"/>
      <c r="ADK373" s="3"/>
      <c r="ADL373" s="3"/>
      <c r="ADM373" s="3"/>
      <c r="ADN373" s="3"/>
      <c r="ADO373" s="3"/>
      <c r="ADP373" s="3"/>
      <c r="ADQ373" s="3"/>
      <c r="ADR373" s="3"/>
      <c r="ADS373" s="3"/>
      <c r="ADT373" s="3"/>
      <c r="ADU373" s="3"/>
      <c r="ADV373" s="3"/>
      <c r="ADW373" s="3"/>
      <c r="ADX373" s="3"/>
      <c r="ADY373" s="3"/>
      <c r="ADZ373" s="3"/>
      <c r="AEA373" s="3"/>
      <c r="AEB373" s="3"/>
      <c r="AEC373" s="3"/>
      <c r="AED373" s="3"/>
      <c r="AEE373" s="3"/>
      <c r="AEF373" s="3"/>
      <c r="AEG373" s="3"/>
      <c r="AEH373" s="3"/>
      <c r="AEI373" s="3"/>
      <c r="AEJ373" s="3"/>
      <c r="AEK373" s="3"/>
      <c r="AEL373" s="3"/>
      <c r="AEM373" s="3"/>
      <c r="AEN373" s="3"/>
      <c r="AEO373" s="3"/>
      <c r="AEP373" s="3"/>
      <c r="AEQ373" s="3"/>
      <c r="AER373" s="3"/>
      <c r="AES373" s="3"/>
      <c r="AET373" s="3"/>
      <c r="AEU373" s="3"/>
      <c r="AEV373" s="3"/>
      <c r="AEW373" s="3"/>
      <c r="AEX373" s="3"/>
      <c r="AEY373" s="3"/>
      <c r="AEZ373" s="3"/>
      <c r="AFA373" s="3"/>
      <c r="AFB373" s="3"/>
      <c r="AFC373" s="3"/>
      <c r="AFD373" s="3"/>
      <c r="AFE373" s="3"/>
      <c r="AFF373" s="3"/>
      <c r="AFG373" s="3"/>
      <c r="AFH373" s="3"/>
      <c r="AFI373" s="3"/>
      <c r="AFJ373" s="3"/>
      <c r="AFK373" s="3"/>
      <c r="AFL373" s="3"/>
      <c r="AFM373" s="3"/>
      <c r="AFN373" s="3"/>
      <c r="AFO373" s="3"/>
      <c r="AFP373" s="3"/>
      <c r="AFQ373" s="3"/>
      <c r="AFR373" s="3"/>
      <c r="AFS373" s="3"/>
      <c r="AFT373" s="3"/>
      <c r="AFU373" s="3"/>
      <c r="AFV373" s="3"/>
      <c r="AFW373" s="3"/>
      <c r="AFX373" s="3"/>
      <c r="AFY373" s="3"/>
      <c r="AFZ373" s="3"/>
      <c r="AGA373" s="3"/>
      <c r="AGB373" s="3"/>
      <c r="AGC373" s="3"/>
      <c r="AGD373" s="3"/>
      <c r="AGE373" s="3"/>
      <c r="AGF373" s="3"/>
      <c r="AGG373" s="3"/>
      <c r="AGH373" s="3"/>
      <c r="AGI373" s="3"/>
      <c r="AGJ373" s="3"/>
      <c r="AGK373" s="3"/>
      <c r="AGL373" s="3"/>
      <c r="AGM373" s="3"/>
      <c r="AGN373" s="3"/>
      <c r="AGO373" s="3"/>
      <c r="AGP373" s="3"/>
      <c r="AGQ373" s="3"/>
      <c r="AGR373" s="3"/>
      <c r="AGS373" s="3"/>
      <c r="AGT373" s="3"/>
      <c r="AGU373" s="3"/>
      <c r="AGV373" s="3"/>
      <c r="AGW373" s="3"/>
      <c r="AGX373" s="3"/>
      <c r="AGY373" s="3"/>
      <c r="AGZ373" s="3"/>
      <c r="AHA373" s="3"/>
      <c r="AHB373" s="3"/>
      <c r="AHC373" s="3"/>
      <c r="AHD373" s="3"/>
      <c r="AHE373" s="3"/>
      <c r="AHF373" s="3"/>
      <c r="AHG373" s="3"/>
      <c r="AHH373" s="3"/>
      <c r="AHI373" s="3"/>
      <c r="AHJ373" s="3"/>
      <c r="AHK373" s="3"/>
      <c r="AHL373" s="3"/>
      <c r="AHM373" s="3"/>
      <c r="AHN373" s="3"/>
      <c r="AHO373" s="3"/>
      <c r="AHP373" s="3"/>
      <c r="AHQ373" s="3"/>
      <c r="AHR373" s="3"/>
      <c r="AHS373" s="3"/>
      <c r="AHT373" s="3"/>
      <c r="AHU373" s="3"/>
      <c r="AHV373" s="3"/>
      <c r="AHW373" s="3"/>
      <c r="AHX373" s="3"/>
      <c r="AHY373" s="3"/>
      <c r="AHZ373" s="3"/>
      <c r="AIA373" s="3"/>
      <c r="AIB373" s="3"/>
      <c r="AIC373" s="3"/>
      <c r="AID373" s="3"/>
      <c r="AIE373" s="3"/>
      <c r="AIF373" s="3"/>
      <c r="AIG373" s="3"/>
      <c r="AIH373" s="3"/>
      <c r="AII373" s="3"/>
      <c r="AIJ373" s="3"/>
      <c r="AIK373" s="3"/>
      <c r="AIL373" s="3"/>
      <c r="AIM373" s="3"/>
      <c r="AIN373" s="3"/>
      <c r="AIO373" s="3"/>
      <c r="AIP373" s="3"/>
      <c r="AIQ373" s="3"/>
      <c r="AIR373" s="3"/>
      <c r="AIS373" s="3"/>
      <c r="AIT373" s="3"/>
      <c r="AIU373" s="3"/>
      <c r="AIV373" s="3"/>
      <c r="AIW373" s="3"/>
      <c r="AIX373" s="3"/>
      <c r="AIY373" s="3"/>
      <c r="AIZ373" s="3"/>
      <c r="AJA373" s="3"/>
      <c r="AJB373" s="3"/>
      <c r="AJC373" s="3"/>
      <c r="AJD373" s="3"/>
      <c r="AJE373" s="3"/>
      <c r="AJF373" s="3"/>
      <c r="AJG373" s="3"/>
      <c r="AJH373" s="3"/>
      <c r="AJI373" s="3"/>
      <c r="AJJ373" s="3"/>
      <c r="AJK373" s="3"/>
      <c r="AJL373" s="3"/>
      <c r="AJM373" s="3"/>
      <c r="AJN373" s="3"/>
      <c r="AJO373" s="3"/>
      <c r="AJP373" s="3"/>
      <c r="AJQ373" s="3"/>
      <c r="AJR373" s="3"/>
      <c r="AJS373" s="3"/>
      <c r="AJT373" s="3"/>
      <c r="AJU373" s="3"/>
      <c r="AJV373" s="3"/>
      <c r="AJW373" s="3"/>
      <c r="AJX373" s="3"/>
      <c r="AJY373" s="3"/>
      <c r="AJZ373" s="3"/>
      <c r="AKA373" s="3"/>
      <c r="AKB373" s="3"/>
      <c r="AKC373" s="3"/>
      <c r="AKD373" s="3"/>
      <c r="AKE373" s="3"/>
      <c r="AKF373" s="3"/>
      <c r="AKG373" s="3"/>
      <c r="AKH373" s="3"/>
      <c r="AKI373" s="3"/>
      <c r="AKJ373" s="3"/>
      <c r="AKK373" s="3"/>
      <c r="AKL373" s="3"/>
      <c r="AKM373" s="3"/>
      <c r="AKN373" s="3"/>
      <c r="AKO373" s="3"/>
      <c r="AKP373" s="3"/>
      <c r="AKQ373" s="3"/>
      <c r="AKR373" s="3"/>
      <c r="AKS373" s="3"/>
      <c r="AKT373" s="3"/>
      <c r="AKU373" s="3"/>
      <c r="AKV373" s="3"/>
      <c r="AKW373" s="3"/>
      <c r="AKX373" s="3"/>
      <c r="AKY373" s="3"/>
      <c r="AKZ373" s="3"/>
      <c r="ALA373" s="3"/>
      <c r="ALB373" s="3"/>
      <c r="ALC373" s="3"/>
      <c r="ALD373" s="3"/>
      <c r="ALE373" s="3"/>
      <c r="ALF373" s="3"/>
      <c r="ALG373" s="3"/>
      <c r="ALH373" s="3"/>
      <c r="ALI373" s="3"/>
      <c r="ALJ373" s="3"/>
      <c r="ALK373" s="3"/>
      <c r="ALL373" s="3"/>
      <c r="ALM373" s="3"/>
      <c r="ALN373" s="3"/>
      <c r="ALO373" s="3"/>
      <c r="ALP373" s="3"/>
      <c r="ALQ373" s="3"/>
      <c r="ALR373" s="3"/>
      <c r="ALS373" s="3"/>
      <c r="ALT373" s="3"/>
      <c r="ALU373" s="3"/>
      <c r="ALV373" s="3"/>
      <c r="ALW373" s="3"/>
      <c r="ALX373" s="3"/>
      <c r="ALY373" s="3"/>
      <c r="ALZ373" s="3"/>
      <c r="AMA373" s="3"/>
      <c r="AMB373" s="3"/>
      <c r="AMC373" s="3"/>
      <c r="AMD373" s="3"/>
      <c r="AME373" s="3"/>
      <c r="AMF373" s="3"/>
      <c r="AMG373" s="3"/>
      <c r="AMH373" s="3"/>
      <c r="AMI373" s="3"/>
      <c r="AMJ373" s="3"/>
      <c r="AMK373" s="3"/>
      <c r="AML373" s="3"/>
      <c r="AMM373" s="3"/>
      <c r="AMN373" s="3"/>
      <c r="AMO373" s="3"/>
      <c r="AMP373" s="1"/>
    </row>
    <row r="374" spans="1:1030" x14ac:dyDescent="0.2">
      <c r="A374" s="3" t="str">
        <f t="shared" ref="A374:A379" si="2319">CONCATENATE(B374,"_",C374)</f>
        <v>smo_human_5V56</v>
      </c>
      <c r="B374" s="3" t="s">
        <v>33</v>
      </c>
      <c r="C374" s="3" t="s">
        <v>1477</v>
      </c>
      <c r="D374" s="3" t="str">
        <f>IFERROR(MID(VLOOKUP($B374,Seqs!$A:$B,2,0),E374,1),"")</f>
        <v>T</v>
      </c>
      <c r="E374" s="3">
        <v>223</v>
      </c>
      <c r="F374" s="3" t="str">
        <f>IFERROR(MID(VLOOKUP($B374,Seqs!$A:$B,2,0),G374,1),"")</f>
        <v>D</v>
      </c>
      <c r="G374" s="3">
        <v>255</v>
      </c>
      <c r="H374" s="3" t="str">
        <f>IFERROR(MID(VLOOKUP($B374,Seqs!$A:$B,2,0),I374,1),"")</f>
        <v>W</v>
      </c>
      <c r="I374" s="23">
        <v>256</v>
      </c>
      <c r="J374" s="3" t="str">
        <f>IFERROR(MID(VLOOKUP($B374,Seqs!$A:$B,2,0),K374,1),"")</f>
        <v>N</v>
      </c>
      <c r="K374" s="23">
        <v>260</v>
      </c>
      <c r="L374" s="3" t="str">
        <f>IFERROR(MID(VLOOKUP($B374,Seqs!$A:$B,2,0),M374,1),"")</f>
        <v>R</v>
      </c>
      <c r="M374" s="3">
        <v>261</v>
      </c>
      <c r="N374" s="3" t="str">
        <f>IFERROR(MID(VLOOKUP($B374,Seqs!$A:$B,2,0),O374,1),"")</f>
        <v>F</v>
      </c>
      <c r="O374" s="3">
        <v>285</v>
      </c>
      <c r="P374" s="3" t="str">
        <f>IFERROR(MID(VLOOKUP($B374,Seqs!$A:$B,2,0),Q374,1),"")</f>
        <v/>
      </c>
      <c r="Q374" s="3" t="s">
        <v>23</v>
      </c>
      <c r="R374" s="3" t="str">
        <f>IFERROR(MID(VLOOKUP($B374,Seqs!$A:$B,2,0),S374,1),"")</f>
        <v/>
      </c>
      <c r="S374" s="3" t="s">
        <v>23</v>
      </c>
      <c r="T374" s="3" t="str">
        <f>IFERROR(MID(VLOOKUP($B374,Seqs!$A:$B,2,0),U374,1),"")</f>
        <v>L</v>
      </c>
      <c r="U374" s="3">
        <v>312</v>
      </c>
      <c r="V374" s="3" t="str">
        <f>IFERROR(MID(VLOOKUP($B374,Seqs!$A:$B,2,0),W374,1),"")</f>
        <v>S</v>
      </c>
      <c r="W374" s="3">
        <v>342</v>
      </c>
      <c r="X374" s="3" t="str">
        <f>IFERROR(MID(VLOOKUP($B374,Seqs!$A:$B,2,0),Y374,1),"")</f>
        <v/>
      </c>
      <c r="Y374" s="3" t="s">
        <v>23</v>
      </c>
      <c r="Z374" s="3" t="str">
        <f>IFERROR(MID(VLOOKUP($B374,Seqs!$A:$B,2,0),AA374,1),"")</f>
        <v/>
      </c>
      <c r="AA374" s="3" t="s">
        <v>23</v>
      </c>
      <c r="AB374" s="3" t="str">
        <f>IFERROR(MID(VLOOKUP($B374,Seqs!$A:$B,2,0),AC374,1),"")</f>
        <v>K</v>
      </c>
      <c r="AC374" s="3">
        <v>356</v>
      </c>
      <c r="AD374" s="3" t="str">
        <f>IFERROR(MID(VLOOKUP($B374,Seqs!$A:$B,2,0),AE374,1),"")</f>
        <v>V</v>
      </c>
      <c r="AE374" s="3">
        <v>378</v>
      </c>
      <c r="AF374" s="3" t="str">
        <f>IFERROR(MID(VLOOKUP($B374,Seqs!$A:$B,2,0),AG374,1),"")</f>
        <v>C</v>
      </c>
      <c r="AG374" s="3">
        <v>390</v>
      </c>
      <c r="AH374" s="3" t="str">
        <f>IFERROR(MID(VLOOKUP($B374,Seqs!$A:$B,2,0),AI374,1),"")</f>
        <v>V</v>
      </c>
      <c r="AI374" s="3">
        <v>392</v>
      </c>
      <c r="AJ374" s="3" t="str">
        <f>IFERROR(MID(VLOOKUP($B374,Seqs!$A:$B,2,0),AK374,1),"")</f>
        <v>N</v>
      </c>
      <c r="AK374" s="3">
        <v>396</v>
      </c>
      <c r="AL374" s="3" t="str">
        <f>IFERROR(MID(VLOOKUP($B374,Seqs!$A:$B,2,0),AM374,1),"")</f>
        <v>I</v>
      </c>
      <c r="AM374" s="3">
        <v>429</v>
      </c>
      <c r="AN374" s="3" t="str">
        <f>IFERROR(MID(VLOOKUP($B374,Seqs!$A:$B,2,0),AO374,1),"")</f>
        <v>N</v>
      </c>
      <c r="AO374" s="3">
        <v>446</v>
      </c>
      <c r="AP374" s="3" t="str">
        <f>IFERROR(MID(VLOOKUP($B374,Seqs!$A:$B,2,0),AQ374,1),"")</f>
        <v>N</v>
      </c>
      <c r="AQ374" s="3">
        <v>493</v>
      </c>
      <c r="AR374" s="3" t="str">
        <f>IFERROR(MID(VLOOKUP($B374,Seqs!$A:$B,2,0),AS374,1),"")</f>
        <v>S</v>
      </c>
      <c r="AS374" s="3">
        <v>514</v>
      </c>
      <c r="AT374" s="3" t="str">
        <f>IFERROR(MID(VLOOKUP($B374,Seqs!$A:$B,2,0),AU374,1),"")</f>
        <v>W</v>
      </c>
      <c r="AU374" s="3">
        <v>537</v>
      </c>
      <c r="AV374" s="3" t="str">
        <f>IFERROR(MID(VLOOKUP($B374,Seqs!$A:$B,2,0),AW374,1),"")</f>
        <v>T</v>
      </c>
      <c r="AW374" s="3">
        <v>538</v>
      </c>
      <c r="AX374" s="3" t="str">
        <f>IFERROR(MID(VLOOKUP($B374,Seqs!$A:$B,2,0),AY374,1),"")</f>
        <v>T</v>
      </c>
      <c r="AY374" s="3">
        <v>553</v>
      </c>
      <c r="AZ374" s="78" t="str">
        <f>VLOOKUP(B374,Classification!A:D,2,0)</f>
        <v>F</v>
      </c>
      <c r="BA374" s="94" t="str">
        <f>VLOOKUP(B374,Classification!A:D,4,0)</f>
        <v>Frizzled</v>
      </c>
      <c r="BB374" s="92" t="b">
        <f t="shared" ref="BB374:BB379" si="2320">AND(E374&lt;G374,OR(G374&lt;I374,I374="-"),OR(I374&lt;K374,I374="-"),OR(K374&lt;M374,K374="-"),M374&lt;O374,OR(O374&lt;Q374,Q374="-"),OR(Q374&lt;S374,Q374="-"),OR(S374&lt;U374,S374="-"),U374&lt;W374,OR(W374&lt;Y374,Y374="-"),OR(Y374&lt;AA374,Y374="-"),OR(AA374&lt;AC374,AA374="-"),AC374&lt;AE374,OR(AE374&lt;AG374,AG374="-"),OR(AG374&lt;AI374,AG374="-"),OR(AI374&lt;AK374,AI374="-"),AK374&lt;AM374,AM374&lt;AO374,AO374&lt;AQ374,AQ374&lt;AS374,AS374&lt;AU374,OR(AU374&lt;AW374,AW374="-"),OR(AW374&lt;AY374,AW374="-"))</f>
        <v>1</v>
      </c>
      <c r="BC374" s="23">
        <f t="shared" ref="BC374:BC379" si="2321">_xlfn.AGGREGATE(9,6,CH374:CS374)-_xlfn.AGGREGATE(9,6,BV374:CG374)+12</f>
        <v>244</v>
      </c>
      <c r="BD374" s="74" t="s">
        <v>23</v>
      </c>
      <c r="BE374" s="3" t="s">
        <v>1374</v>
      </c>
      <c r="BF374" s="119">
        <v>2.9</v>
      </c>
      <c r="BG374" s="49" t="s">
        <v>1281</v>
      </c>
      <c r="BH374" s="49" t="s">
        <v>1281</v>
      </c>
      <c r="BJ374" s="75" t="s">
        <v>1287</v>
      </c>
      <c r="BK374" s="57" t="s">
        <v>1287</v>
      </c>
      <c r="BL374" s="57" t="s">
        <v>1287</v>
      </c>
      <c r="BM374" s="57" t="s">
        <v>1287</v>
      </c>
      <c r="BN374" s="57" t="s">
        <v>1287</v>
      </c>
      <c r="BO374" s="57" t="s">
        <v>1287</v>
      </c>
      <c r="BP374" s="57" t="s">
        <v>1287</v>
      </c>
      <c r="BQ374" s="57" t="s">
        <v>1287</v>
      </c>
      <c r="BR374" s="57" t="s">
        <v>1287</v>
      </c>
      <c r="BS374" s="57" t="s">
        <v>1287</v>
      </c>
      <c r="BT374" s="57" t="s">
        <v>1287</v>
      </c>
      <c r="BU374" s="57" t="s">
        <v>1287</v>
      </c>
      <c r="BV374" s="75">
        <f t="shared" ref="BV374:BV379" si="2322">E374</f>
        <v>223</v>
      </c>
      <c r="BW374" s="71">
        <f t="shared" ref="BW374:BW379" si="2323">I374</f>
        <v>256</v>
      </c>
      <c r="BX374" s="72">
        <f t="shared" ref="BX374:BX379" si="2324">M374</f>
        <v>261</v>
      </c>
      <c r="BY374" s="71" t="str">
        <f t="shared" ref="BY374:BY379" si="2325">Q374</f>
        <v>-</v>
      </c>
      <c r="BZ374" s="72">
        <f t="shared" ref="BZ374:BZ379" si="2326">U374</f>
        <v>312</v>
      </c>
      <c r="CA374" s="71" t="str">
        <f t="shared" ref="CA374:CA379" si="2327">Y374</f>
        <v>-</v>
      </c>
      <c r="CB374" s="72">
        <f t="shared" ref="CB374:CB379" si="2328">AC374</f>
        <v>356</v>
      </c>
      <c r="CC374" s="71">
        <f t="shared" ref="CC374:CC379" si="2329">AG374</f>
        <v>390</v>
      </c>
      <c r="CD374" s="72">
        <f t="shared" ref="CD374:CD379" si="2330">AK374</f>
        <v>396</v>
      </c>
      <c r="CE374" s="71">
        <f t="shared" ref="CE374:CE379" si="2331">AO374</f>
        <v>446</v>
      </c>
      <c r="CF374" s="72">
        <f t="shared" ref="CF374:CF379" si="2332">AS374</f>
        <v>514</v>
      </c>
      <c r="CG374" s="71">
        <f t="shared" ref="CG374:CG379" si="2333">AW374</f>
        <v>538</v>
      </c>
      <c r="CH374" s="75">
        <f t="shared" ref="CH374:CH379" si="2334">G374</f>
        <v>255</v>
      </c>
      <c r="CI374" s="71">
        <f t="shared" ref="CI374:CI379" si="2335">K374</f>
        <v>260</v>
      </c>
      <c r="CJ374" s="72">
        <f t="shared" ref="CJ374:CJ379" si="2336">O374</f>
        <v>285</v>
      </c>
      <c r="CK374" s="72" t="str">
        <f t="shared" ref="CK374:CK379" si="2337">S374</f>
        <v>-</v>
      </c>
      <c r="CL374" s="72">
        <f t="shared" ref="CL374:CL379" si="2338">W374</f>
        <v>342</v>
      </c>
      <c r="CM374" s="72" t="str">
        <f t="shared" ref="CM374:CM379" si="2339">AA374</f>
        <v>-</v>
      </c>
      <c r="CN374" s="72">
        <f t="shared" ref="CN374:CN379" si="2340">AE374</f>
        <v>378</v>
      </c>
      <c r="CO374" s="72">
        <f t="shared" ref="CO374:CO379" si="2341">AI374</f>
        <v>392</v>
      </c>
      <c r="CP374" s="72">
        <f t="shared" ref="CP374:CP379" si="2342">AM374</f>
        <v>429</v>
      </c>
      <c r="CQ374" s="72">
        <f t="shared" ref="CQ374:CQ379" si="2343">AQ374</f>
        <v>493</v>
      </c>
      <c r="CR374" s="72">
        <f t="shared" ref="CR374:CR379" si="2344">AU374</f>
        <v>537</v>
      </c>
      <c r="CS374" s="72">
        <f t="shared" ref="CS374:CS379" si="2345">AY374</f>
        <v>553</v>
      </c>
      <c r="CT374" s="23">
        <f t="shared" ref="CT374:CT379" si="2346">M374-K374</f>
        <v>1</v>
      </c>
    </row>
    <row r="375" spans="1:1030" x14ac:dyDescent="0.2">
      <c r="A375" s="3" t="str">
        <f t="shared" si="2319"/>
        <v>smo_human_5V57</v>
      </c>
      <c r="B375" s="3" t="s">
        <v>33</v>
      </c>
      <c r="C375" s="3" t="s">
        <v>1478</v>
      </c>
      <c r="D375" s="3" t="str">
        <f>IFERROR(MID(VLOOKUP($B375,Seqs!$A:$B,2,0),E375,1),"")</f>
        <v>T</v>
      </c>
      <c r="E375" s="3">
        <v>223</v>
      </c>
      <c r="F375" s="3" t="str">
        <f>IFERROR(MID(VLOOKUP($B375,Seqs!$A:$B,2,0),G375,1),"")</f>
        <v>D</v>
      </c>
      <c r="G375" s="3">
        <v>255</v>
      </c>
      <c r="H375" s="3" t="str">
        <f>IFERROR(MID(VLOOKUP($B375,Seqs!$A:$B,2,0),I375,1),"")</f>
        <v>W</v>
      </c>
      <c r="I375" s="23">
        <v>256</v>
      </c>
      <c r="J375" s="3" t="str">
        <f>IFERROR(MID(VLOOKUP($B375,Seqs!$A:$B,2,0),K375,1),"")</f>
        <v>N</v>
      </c>
      <c r="K375" s="23">
        <v>260</v>
      </c>
      <c r="L375" s="3" t="str">
        <f>IFERROR(MID(VLOOKUP($B375,Seqs!$A:$B,2,0),M375,1),"")</f>
        <v>R</v>
      </c>
      <c r="M375" s="3">
        <v>261</v>
      </c>
      <c r="N375" s="3" t="str">
        <f>IFERROR(MID(VLOOKUP($B375,Seqs!$A:$B,2,0),O375,1),"")</f>
        <v>F</v>
      </c>
      <c r="O375" s="3">
        <v>285</v>
      </c>
      <c r="P375" s="3" t="str">
        <f>IFERROR(MID(VLOOKUP($B375,Seqs!$A:$B,2,0),Q375,1),"")</f>
        <v/>
      </c>
      <c r="Q375" s="3" t="s">
        <v>23</v>
      </c>
      <c r="R375" s="3" t="str">
        <f>IFERROR(MID(VLOOKUP($B375,Seqs!$A:$B,2,0),S375,1),"")</f>
        <v/>
      </c>
      <c r="S375" s="3" t="s">
        <v>23</v>
      </c>
      <c r="T375" s="3" t="str">
        <f>IFERROR(MID(VLOOKUP($B375,Seqs!$A:$B,2,0),U375,1),"")</f>
        <v>L</v>
      </c>
      <c r="U375" s="3">
        <v>312</v>
      </c>
      <c r="V375" s="3" t="str">
        <f>IFERROR(MID(VLOOKUP($B375,Seqs!$A:$B,2,0),W375,1),"")</f>
        <v>S</v>
      </c>
      <c r="W375" s="3">
        <v>342</v>
      </c>
      <c r="X375" s="3" t="str">
        <f>IFERROR(MID(VLOOKUP($B375,Seqs!$A:$B,2,0),Y375,1),"")</f>
        <v/>
      </c>
      <c r="Y375" s="3" t="s">
        <v>23</v>
      </c>
      <c r="Z375" s="3" t="str">
        <f>IFERROR(MID(VLOOKUP($B375,Seqs!$A:$B,2,0),AA375,1),"")</f>
        <v/>
      </c>
      <c r="AA375" s="3" t="s">
        <v>23</v>
      </c>
      <c r="AB375" s="3" t="str">
        <f>IFERROR(MID(VLOOKUP($B375,Seqs!$A:$B,2,0),AC375,1),"")</f>
        <v>T</v>
      </c>
      <c r="AC375" s="3">
        <v>357</v>
      </c>
      <c r="AD375" s="3" t="str">
        <f>IFERROR(MID(VLOOKUP($B375,Seqs!$A:$B,2,0),AE375,1),"")</f>
        <v>V</v>
      </c>
      <c r="AE375" s="3">
        <v>378</v>
      </c>
      <c r="AF375" s="3" t="str">
        <f>IFERROR(MID(VLOOKUP($B375,Seqs!$A:$B,2,0),AG375,1),"")</f>
        <v>C</v>
      </c>
      <c r="AG375" s="3">
        <v>390</v>
      </c>
      <c r="AH375" s="3" t="str">
        <f>IFERROR(MID(VLOOKUP($B375,Seqs!$A:$B,2,0),AI375,1),"")</f>
        <v>V</v>
      </c>
      <c r="AI375" s="3">
        <v>392</v>
      </c>
      <c r="AJ375" s="3" t="str">
        <f>IFERROR(MID(VLOOKUP($B375,Seqs!$A:$B,2,0),AK375,1),"")</f>
        <v>N</v>
      </c>
      <c r="AK375" s="3">
        <v>396</v>
      </c>
      <c r="AL375" s="3" t="str">
        <f>IFERROR(MID(VLOOKUP($B375,Seqs!$A:$B,2,0),AM375,1),"")</f>
        <v>N</v>
      </c>
      <c r="AM375" s="3">
        <v>432</v>
      </c>
      <c r="AN375" s="3" t="str">
        <f>IFERROR(MID(VLOOKUP($B375,Seqs!$A:$B,2,0),AO375,1),"")</f>
        <v>E</v>
      </c>
      <c r="AO375" s="3">
        <v>447</v>
      </c>
      <c r="AP375" s="3" t="str">
        <f>IFERROR(MID(VLOOKUP($B375,Seqs!$A:$B,2,0),AQ375,1),"")</f>
        <v>N</v>
      </c>
      <c r="AQ375" s="3">
        <v>493</v>
      </c>
      <c r="AR375" s="3" t="str">
        <f>IFERROR(MID(VLOOKUP($B375,Seqs!$A:$B,2,0),AS375,1),"")</f>
        <v>S</v>
      </c>
      <c r="AS375" s="3">
        <v>514</v>
      </c>
      <c r="AT375" s="3" t="str">
        <f>IFERROR(MID(VLOOKUP($B375,Seqs!$A:$B,2,0),AU375,1),"")</f>
        <v>W</v>
      </c>
      <c r="AU375" s="3">
        <v>537</v>
      </c>
      <c r="AV375" s="3" t="str">
        <f>IFERROR(MID(VLOOKUP($B375,Seqs!$A:$B,2,0),AW375,1),"")</f>
        <v>T</v>
      </c>
      <c r="AW375" s="3">
        <v>538</v>
      </c>
      <c r="AX375" s="3" t="str">
        <f>IFERROR(MID(VLOOKUP($B375,Seqs!$A:$B,2,0),AY375,1),"")</f>
        <v>G</v>
      </c>
      <c r="AY375" s="3">
        <v>554</v>
      </c>
      <c r="AZ375" s="78" t="str">
        <f>VLOOKUP(B375,Classification!A:D,2,0)</f>
        <v>F</v>
      </c>
      <c r="BA375" s="94" t="str">
        <f>VLOOKUP(B375,Classification!A:D,4,0)</f>
        <v>Frizzled</v>
      </c>
      <c r="BB375" s="92" t="b">
        <f t="shared" si="2320"/>
        <v>1</v>
      </c>
      <c r="BC375" s="23">
        <f t="shared" si="2321"/>
        <v>246</v>
      </c>
      <c r="BD375" s="74" t="s">
        <v>23</v>
      </c>
      <c r="BE375" s="3" t="s">
        <v>1374</v>
      </c>
      <c r="BF375" s="119">
        <v>3</v>
      </c>
      <c r="BG375" s="49" t="s">
        <v>1</v>
      </c>
      <c r="BH375" s="49" t="s">
        <v>1</v>
      </c>
      <c r="BJ375" s="75" t="s">
        <v>1287</v>
      </c>
      <c r="BK375" s="57" t="s">
        <v>1287</v>
      </c>
      <c r="BL375" s="57" t="s">
        <v>1287</v>
      </c>
      <c r="BM375" s="57" t="s">
        <v>1287</v>
      </c>
      <c r="BN375" s="57" t="s">
        <v>1287</v>
      </c>
      <c r="BO375" s="57" t="s">
        <v>1287</v>
      </c>
      <c r="BP375" s="57" t="s">
        <v>1287</v>
      </c>
      <c r="BQ375" s="57" t="s">
        <v>1287</v>
      </c>
      <c r="BR375" s="57" t="s">
        <v>1287</v>
      </c>
      <c r="BS375" s="57" t="s">
        <v>1287</v>
      </c>
      <c r="BT375" s="57" t="s">
        <v>1287</v>
      </c>
      <c r="BU375" s="57" t="s">
        <v>1287</v>
      </c>
      <c r="BV375" s="75">
        <f t="shared" si="2322"/>
        <v>223</v>
      </c>
      <c r="BW375" s="71">
        <f t="shared" si="2323"/>
        <v>256</v>
      </c>
      <c r="BX375" s="72">
        <f t="shared" si="2324"/>
        <v>261</v>
      </c>
      <c r="BY375" s="71" t="str">
        <f t="shared" si="2325"/>
        <v>-</v>
      </c>
      <c r="BZ375" s="72">
        <f t="shared" si="2326"/>
        <v>312</v>
      </c>
      <c r="CA375" s="71" t="str">
        <f t="shared" si="2327"/>
        <v>-</v>
      </c>
      <c r="CB375" s="72">
        <f t="shared" si="2328"/>
        <v>357</v>
      </c>
      <c r="CC375" s="71">
        <f t="shared" si="2329"/>
        <v>390</v>
      </c>
      <c r="CD375" s="72">
        <f t="shared" si="2330"/>
        <v>396</v>
      </c>
      <c r="CE375" s="71">
        <f t="shared" si="2331"/>
        <v>447</v>
      </c>
      <c r="CF375" s="72">
        <f t="shared" si="2332"/>
        <v>514</v>
      </c>
      <c r="CG375" s="71">
        <f t="shared" si="2333"/>
        <v>538</v>
      </c>
      <c r="CH375" s="75">
        <f t="shared" si="2334"/>
        <v>255</v>
      </c>
      <c r="CI375" s="71">
        <f t="shared" si="2335"/>
        <v>260</v>
      </c>
      <c r="CJ375" s="72">
        <f t="shared" si="2336"/>
        <v>285</v>
      </c>
      <c r="CK375" s="72" t="str">
        <f t="shared" si="2337"/>
        <v>-</v>
      </c>
      <c r="CL375" s="72">
        <f t="shared" si="2338"/>
        <v>342</v>
      </c>
      <c r="CM375" s="72" t="str">
        <f t="shared" si="2339"/>
        <v>-</v>
      </c>
      <c r="CN375" s="72">
        <f t="shared" si="2340"/>
        <v>378</v>
      </c>
      <c r="CO375" s="72">
        <f t="shared" si="2341"/>
        <v>392</v>
      </c>
      <c r="CP375" s="72">
        <f t="shared" si="2342"/>
        <v>432</v>
      </c>
      <c r="CQ375" s="72">
        <f t="shared" si="2343"/>
        <v>493</v>
      </c>
      <c r="CR375" s="72">
        <f t="shared" si="2344"/>
        <v>537</v>
      </c>
      <c r="CS375" s="72">
        <f t="shared" si="2345"/>
        <v>554</v>
      </c>
      <c r="CT375" s="23">
        <f t="shared" si="2346"/>
        <v>1</v>
      </c>
    </row>
    <row r="376" spans="1:1030" s="12" customFormat="1" x14ac:dyDescent="0.2">
      <c r="A376" s="9" t="str">
        <f t="shared" si="2319"/>
        <v>smo_human_6OT0</v>
      </c>
      <c r="B376" s="9" t="s">
        <v>33</v>
      </c>
      <c r="C376" s="9" t="s">
        <v>1580</v>
      </c>
      <c r="D376" s="9" t="str">
        <f>IFERROR(MID(VLOOKUP($B376,Seqs!$A:$B,2,0),E376,1),"")</f>
        <v>T</v>
      </c>
      <c r="E376" s="9">
        <v>223</v>
      </c>
      <c r="F376" s="9" t="str">
        <f>IFERROR(MID(VLOOKUP($B376,Seqs!$A:$B,2,0),G376,1),"")</f>
        <v>D</v>
      </c>
      <c r="G376" s="9">
        <v>255</v>
      </c>
      <c r="H376" s="9" t="str">
        <f>IFERROR(MID(VLOOKUP($B376,Seqs!$A:$B,2,0),I376,1),"")</f>
        <v>W</v>
      </c>
      <c r="I376" s="109">
        <v>256</v>
      </c>
      <c r="J376" s="9" t="str">
        <f>IFERROR(MID(VLOOKUP($B376,Seqs!$A:$B,2,0),K376,1),"")</f>
        <v>N</v>
      </c>
      <c r="K376" s="109">
        <v>260</v>
      </c>
      <c r="L376" s="9" t="str">
        <f>IFERROR(MID(VLOOKUP($B376,Seqs!$A:$B,2,0),M376,1),"")</f>
        <v>P</v>
      </c>
      <c r="M376" s="9">
        <v>263</v>
      </c>
      <c r="N376" s="9" t="str">
        <f>IFERROR(MID(VLOOKUP($B376,Seqs!$A:$B,2,0),O376,1),"")</f>
        <v>A</v>
      </c>
      <c r="O376" s="9">
        <v>283</v>
      </c>
      <c r="P376" s="9" t="str">
        <f>IFERROR(MID(VLOOKUP($B376,Seqs!$A:$B,2,0),Q376,1),"")</f>
        <v/>
      </c>
      <c r="Q376" s="9" t="s">
        <v>23</v>
      </c>
      <c r="R376" s="9" t="str">
        <f>IFERROR(MID(VLOOKUP($B376,Seqs!$A:$B,2,0),S376,1),"")</f>
        <v/>
      </c>
      <c r="S376" s="9" t="s">
        <v>23</v>
      </c>
      <c r="T376" s="9" t="str">
        <f>IFERROR(MID(VLOOKUP($B376,Seqs!$A:$B,2,0),U376,1),"")</f>
        <v>C</v>
      </c>
      <c r="U376" s="9">
        <v>314</v>
      </c>
      <c r="V376" s="9" t="str">
        <f>IFERROR(MID(VLOOKUP($B376,Seqs!$A:$B,2,0),W376,1),"")</f>
        <v>A</v>
      </c>
      <c r="W376" s="9">
        <v>345</v>
      </c>
      <c r="X376" s="9" t="str">
        <f>IFERROR(MID(VLOOKUP($B376,Seqs!$A:$B,2,0),Y376,1),"")</f>
        <v/>
      </c>
      <c r="Y376" s="9" t="s">
        <v>23</v>
      </c>
      <c r="Z376" s="9" t="str">
        <f>IFERROR(MID(VLOOKUP($B376,Seqs!$A:$B,2,0),AA376,1),"")</f>
        <v/>
      </c>
      <c r="AA376" s="9" t="s">
        <v>23</v>
      </c>
      <c r="AB376" s="9" t="str">
        <f>IFERROR(MID(VLOOKUP($B376,Seqs!$A:$B,2,0),AC376,1),"")</f>
        <v>K</v>
      </c>
      <c r="AC376" s="9">
        <v>356</v>
      </c>
      <c r="AD376" s="9" t="str">
        <f>IFERROR(MID(VLOOKUP($B376,Seqs!$A:$B,2,0),AE376,1),"")</f>
        <v>L</v>
      </c>
      <c r="AE376" s="9">
        <v>376</v>
      </c>
      <c r="AF376" s="9" t="str">
        <f>IFERROR(MID(VLOOKUP($B376,Seqs!$A:$B,2,0),AG376,1),"")</f>
        <v>C</v>
      </c>
      <c r="AG376" s="9">
        <v>390</v>
      </c>
      <c r="AH376" s="9" t="str">
        <f>IFERROR(MID(VLOOKUP($B376,Seqs!$A:$B,2,0),AI376,1),"")</f>
        <v>V</v>
      </c>
      <c r="AI376" s="9">
        <v>392</v>
      </c>
      <c r="AJ376" s="9" t="str">
        <f>IFERROR(MID(VLOOKUP($B376,Seqs!$A:$B,2,0),AK376,1),"")</f>
        <v>A</v>
      </c>
      <c r="AK376" s="9">
        <v>406</v>
      </c>
      <c r="AL376" s="9" t="str">
        <f>IFERROR(MID(VLOOKUP($B376,Seqs!$A:$B,2,0),AM376,1),"")</f>
        <v>S</v>
      </c>
      <c r="AM376" s="9">
        <v>428</v>
      </c>
      <c r="AN376" s="9" t="str">
        <f>IFERROR(MID(VLOOKUP($B376,Seqs!$A:$B,2,0),AO376,1),"")</f>
        <v>S</v>
      </c>
      <c r="AO376" s="9">
        <v>438</v>
      </c>
      <c r="AP376" s="9" t="str">
        <f>IFERROR(MID(VLOOKUP($B376,Seqs!$A:$B,2,0),AQ376,1),"")</f>
        <v>V</v>
      </c>
      <c r="AQ376" s="9">
        <v>494</v>
      </c>
      <c r="AR376" s="9" t="str">
        <f>IFERROR(MID(VLOOKUP($B376,Seqs!$A:$B,2,0),AS376,1),"")</f>
        <v>L</v>
      </c>
      <c r="AS376" s="9">
        <v>516</v>
      </c>
      <c r="AT376" s="9" t="str">
        <f>IFERROR(MID(VLOOKUP($B376,Seqs!$A:$B,2,0),AU376,1),"")</f>
        <v>W</v>
      </c>
      <c r="AU376" s="9">
        <v>537</v>
      </c>
      <c r="AV376" s="9" t="str">
        <f>IFERROR(MID(VLOOKUP($B376,Seqs!$A:$B,2,0),AW376,1),"")</f>
        <v>A</v>
      </c>
      <c r="AW376" s="9">
        <v>540</v>
      </c>
      <c r="AX376" s="9" t="str">
        <f>IFERROR(MID(VLOOKUP($B376,Seqs!$A:$B,2,0),AY376,1),"")</f>
        <v>L</v>
      </c>
      <c r="AY376" s="9">
        <v>552</v>
      </c>
      <c r="AZ376" s="135" t="str">
        <f>VLOOKUP(B376,Classification!A:D,2,0)</f>
        <v>F</v>
      </c>
      <c r="BA376" s="98" t="str">
        <f>VLOOKUP(B376,Classification!A:D,4,0)</f>
        <v>Frizzled</v>
      </c>
      <c r="BB376" s="136" t="b">
        <f t="shared" si="2320"/>
        <v>1</v>
      </c>
      <c r="BC376" s="109">
        <f t="shared" si="2321"/>
        <v>232</v>
      </c>
      <c r="BD376" s="124" t="s">
        <v>1375</v>
      </c>
      <c r="BE376" s="9" t="s">
        <v>1291</v>
      </c>
      <c r="BF376" s="120">
        <v>3.84</v>
      </c>
      <c r="BG376" s="51" t="s">
        <v>1422</v>
      </c>
      <c r="BH376" s="51" t="s">
        <v>1422</v>
      </c>
      <c r="BI376" s="9"/>
      <c r="BJ376" s="137" t="s">
        <v>1287</v>
      </c>
      <c r="BK376" s="112" t="s">
        <v>1287</v>
      </c>
      <c r="BL376" s="112" t="s">
        <v>1287</v>
      </c>
      <c r="BM376" s="112" t="s">
        <v>1287</v>
      </c>
      <c r="BN376" s="112" t="s">
        <v>1287</v>
      </c>
      <c r="BO376" s="112" t="s">
        <v>1287</v>
      </c>
      <c r="BP376" s="112" t="s">
        <v>1287</v>
      </c>
      <c r="BQ376" s="112" t="s">
        <v>1287</v>
      </c>
      <c r="BR376" s="112" t="s">
        <v>1287</v>
      </c>
      <c r="BS376" s="112" t="s">
        <v>1287</v>
      </c>
      <c r="BT376" s="112" t="s">
        <v>1287</v>
      </c>
      <c r="BU376" s="112" t="s">
        <v>1287</v>
      </c>
      <c r="BV376" s="137">
        <f t="shared" si="2322"/>
        <v>223</v>
      </c>
      <c r="BW376" s="113">
        <f t="shared" si="2323"/>
        <v>256</v>
      </c>
      <c r="BX376" s="114">
        <f t="shared" si="2324"/>
        <v>263</v>
      </c>
      <c r="BY376" s="113" t="str">
        <f t="shared" si="2325"/>
        <v>-</v>
      </c>
      <c r="BZ376" s="114">
        <f t="shared" si="2326"/>
        <v>314</v>
      </c>
      <c r="CA376" s="113" t="str">
        <f t="shared" si="2327"/>
        <v>-</v>
      </c>
      <c r="CB376" s="114">
        <f t="shared" si="2328"/>
        <v>356</v>
      </c>
      <c r="CC376" s="113">
        <f t="shared" si="2329"/>
        <v>390</v>
      </c>
      <c r="CD376" s="114">
        <f t="shared" si="2330"/>
        <v>406</v>
      </c>
      <c r="CE376" s="113">
        <f t="shared" si="2331"/>
        <v>438</v>
      </c>
      <c r="CF376" s="114">
        <f t="shared" si="2332"/>
        <v>516</v>
      </c>
      <c r="CG376" s="113">
        <f t="shared" si="2333"/>
        <v>540</v>
      </c>
      <c r="CH376" s="137">
        <f t="shared" si="2334"/>
        <v>255</v>
      </c>
      <c r="CI376" s="113">
        <f t="shared" si="2335"/>
        <v>260</v>
      </c>
      <c r="CJ376" s="114">
        <f t="shared" si="2336"/>
        <v>283</v>
      </c>
      <c r="CK376" s="114" t="str">
        <f t="shared" si="2337"/>
        <v>-</v>
      </c>
      <c r="CL376" s="114">
        <f t="shared" si="2338"/>
        <v>345</v>
      </c>
      <c r="CM376" s="114" t="str">
        <f t="shared" si="2339"/>
        <v>-</v>
      </c>
      <c r="CN376" s="114">
        <f t="shared" si="2340"/>
        <v>376</v>
      </c>
      <c r="CO376" s="114">
        <f t="shared" si="2341"/>
        <v>392</v>
      </c>
      <c r="CP376" s="114">
        <f t="shared" si="2342"/>
        <v>428</v>
      </c>
      <c r="CQ376" s="114">
        <f t="shared" si="2343"/>
        <v>494</v>
      </c>
      <c r="CR376" s="114">
        <f t="shared" si="2344"/>
        <v>537</v>
      </c>
      <c r="CS376" s="114">
        <f t="shared" si="2345"/>
        <v>552</v>
      </c>
      <c r="CT376" s="109">
        <f t="shared" si="2346"/>
        <v>3</v>
      </c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  <c r="AMO376" s="9"/>
    </row>
    <row r="377" spans="1:1030" x14ac:dyDescent="0.2">
      <c r="A377" s="3" t="str">
        <f t="shared" si="2319"/>
        <v>q98sw5_xenla__wt</v>
      </c>
      <c r="B377" s="3" t="s">
        <v>1495</v>
      </c>
      <c r="C377" s="3" t="s">
        <v>100</v>
      </c>
      <c r="D377" s="3" t="str">
        <f>IFERROR(MID(VLOOKUP($B377,Seqs!$A:$B,2,0),E377,1),"")</f>
        <v>T</v>
      </c>
      <c r="E377" s="3">
        <v>196</v>
      </c>
      <c r="F377" s="3" t="str">
        <f>IFERROR(MID(VLOOKUP($B377,Seqs!$A:$B,2,0),G377,1),"")</f>
        <v>D</v>
      </c>
      <c r="G377" s="3">
        <v>228</v>
      </c>
      <c r="H377" s="3" t="str">
        <f>IFERROR(MID(VLOOKUP($B377,Seqs!$A:$B,2,0),I377,1),"")</f>
        <v>W</v>
      </c>
      <c r="I377" s="23">
        <v>229</v>
      </c>
      <c r="J377" s="3" t="str">
        <f>IFERROR(MID(VLOOKUP($B377,Seqs!$A:$B,2,0),K377,1),"")</f>
        <v>N</v>
      </c>
      <c r="K377" s="23">
        <v>233</v>
      </c>
      <c r="L377" s="3" t="str">
        <f>IFERROR(MID(VLOOKUP($B377,Seqs!$A:$B,2,0),M377,1),"")</f>
        <v>R</v>
      </c>
      <c r="M377" s="3">
        <v>234</v>
      </c>
      <c r="N377" s="3" t="str">
        <f>IFERROR(MID(VLOOKUP($B377,Seqs!$A:$B,2,0),O377,1),"")</f>
        <v>A</v>
      </c>
      <c r="O377" s="3">
        <v>256</v>
      </c>
      <c r="P377" s="3" t="str">
        <f>IFERROR(MID(VLOOKUP($B377,Seqs!$A:$B,2,0),Q377,1),"")</f>
        <v/>
      </c>
      <c r="Q377" s="3" t="s">
        <v>23</v>
      </c>
      <c r="R377" s="3" t="str">
        <f>IFERROR(MID(VLOOKUP($B377,Seqs!$A:$B,2,0),S377,1),"")</f>
        <v/>
      </c>
      <c r="S377" s="3" t="s">
        <v>23</v>
      </c>
      <c r="T377" s="3" t="str">
        <f>IFERROR(MID(VLOOKUP($B377,Seqs!$A:$B,2,0),U377,1),"")</f>
        <v>L</v>
      </c>
      <c r="U377" s="3">
        <v>285</v>
      </c>
      <c r="V377" s="3" t="str">
        <f>IFERROR(MID(VLOOKUP($B377,Seqs!$A:$B,2,0),W377,1),"")</f>
        <v>T</v>
      </c>
      <c r="W377" s="3">
        <v>321</v>
      </c>
      <c r="X377" s="3" t="str">
        <f>IFERROR(MID(VLOOKUP($B377,Seqs!$A:$B,2,0),Y377,1),"")</f>
        <v/>
      </c>
      <c r="Y377" s="3" t="s">
        <v>23</v>
      </c>
      <c r="Z377" s="3" t="str">
        <f>IFERROR(MID(VLOOKUP($B377,Seqs!$A:$B,2,0),AA377,1),"")</f>
        <v/>
      </c>
      <c r="AA377" s="3" t="s">
        <v>23</v>
      </c>
      <c r="AB377" s="3" t="str">
        <f>IFERROR(MID(VLOOKUP($B377,Seqs!$A:$B,2,0),AC377,1),"")</f>
        <v>L</v>
      </c>
      <c r="AC377" s="3">
        <v>326</v>
      </c>
      <c r="AD377" s="3" t="str">
        <f>IFERROR(MID(VLOOKUP($B377,Seqs!$A:$B,2,0),AE377,1),"")</f>
        <v>V</v>
      </c>
      <c r="AE377" s="3">
        <v>351</v>
      </c>
      <c r="AF377" s="3" t="str">
        <f>IFERROR(MID(VLOOKUP($B377,Seqs!$A:$B,2,0),AG377,1),"")</f>
        <v>C</v>
      </c>
      <c r="AG377" s="3">
        <v>363</v>
      </c>
      <c r="AH377" s="3" t="str">
        <f>IFERROR(MID(VLOOKUP($B377,Seqs!$A:$B,2,0),AI377,1),"")</f>
        <v>V</v>
      </c>
      <c r="AI377" s="3">
        <v>365</v>
      </c>
      <c r="AJ377" s="3" t="str">
        <f>IFERROR(MID(VLOOKUP($B377,Seqs!$A:$B,2,0),AK377,1),"")</f>
        <v>N</v>
      </c>
      <c r="AK377" s="3">
        <v>369</v>
      </c>
      <c r="AL377" s="3" t="str">
        <f>IFERROR(MID(VLOOKUP($B377,Seqs!$A:$B,2,0),AM377,1),"")</f>
        <v>H</v>
      </c>
      <c r="AM377" s="3">
        <v>406</v>
      </c>
      <c r="AN377" s="3" t="str">
        <f>IFERROR(MID(VLOOKUP($B377,Seqs!$A:$B,2,0),AO377,1),"")</f>
        <v>A</v>
      </c>
      <c r="AO377" s="3">
        <v>415</v>
      </c>
      <c r="AP377" s="3" t="str">
        <f>IFERROR(MID(VLOOKUP($B377,Seqs!$A:$B,2,0),AQ377,1),"")</f>
        <v>Q</v>
      </c>
      <c r="AQ377" s="3">
        <v>472</v>
      </c>
      <c r="AR377" s="3" t="str">
        <f>IFERROR(MID(VLOOKUP($B377,Seqs!$A:$B,2,0),AS377,1),"")</f>
        <v>S</v>
      </c>
      <c r="AS377" s="3">
        <v>487</v>
      </c>
      <c r="AT377" s="3" t="str">
        <f>IFERROR(MID(VLOOKUP($B377,Seqs!$A:$B,2,0),AU377,1),"")</f>
        <v>W</v>
      </c>
      <c r="AU377" s="3">
        <v>510</v>
      </c>
      <c r="AV377" s="3" t="str">
        <f>IFERROR(MID(VLOOKUP($B377,Seqs!$A:$B,2,0),AW377,1),"")</f>
        <v>T</v>
      </c>
      <c r="AW377" s="3">
        <v>511</v>
      </c>
      <c r="AX377" s="3" t="str">
        <f>IFERROR(MID(VLOOKUP($B377,Seqs!$A:$B,2,0),AY377,1),"")</f>
        <v>L</v>
      </c>
      <c r="AY377" s="3">
        <v>526</v>
      </c>
      <c r="AZ377" s="78" t="str">
        <f>VLOOKUP(B377,Classification!A:D,2,0)</f>
        <v>F</v>
      </c>
      <c r="BA377" s="94" t="str">
        <f>VLOOKUP(B377,Classification!A:D,4,0)</f>
        <v>Frizzled</v>
      </c>
      <c r="BB377" s="92" t="b">
        <f t="shared" si="2320"/>
        <v>1</v>
      </c>
      <c r="BC377" s="23">
        <f t="shared" si="2321"/>
        <v>265</v>
      </c>
      <c r="BD377" s="74" t="s">
        <v>23</v>
      </c>
      <c r="BE377" s="3" t="s">
        <v>1374</v>
      </c>
      <c r="BF377" s="119" t="s">
        <v>23</v>
      </c>
      <c r="BG377" s="49" t="s">
        <v>1</v>
      </c>
      <c r="BH377" s="49" t="s">
        <v>1</v>
      </c>
      <c r="BJ377" s="75" t="s">
        <v>1287</v>
      </c>
      <c r="BK377" s="57" t="s">
        <v>1287</v>
      </c>
      <c r="BL377" s="57" t="s">
        <v>1287</v>
      </c>
      <c r="BM377" s="57" t="s">
        <v>1287</v>
      </c>
      <c r="BN377" s="57" t="s">
        <v>1287</v>
      </c>
      <c r="BO377" s="57" t="s">
        <v>1287</v>
      </c>
      <c r="BP377" s="57" t="s">
        <v>1287</v>
      </c>
      <c r="BQ377" s="57" t="s">
        <v>1287</v>
      </c>
      <c r="BR377" s="57" t="s">
        <v>1287</v>
      </c>
      <c r="BS377" s="57" t="s">
        <v>1287</v>
      </c>
      <c r="BT377" s="57" t="s">
        <v>1287</v>
      </c>
      <c r="BU377" s="57" t="s">
        <v>1287</v>
      </c>
      <c r="BV377" s="75">
        <f t="shared" si="2322"/>
        <v>196</v>
      </c>
      <c r="BW377" s="71">
        <f t="shared" si="2323"/>
        <v>229</v>
      </c>
      <c r="BX377" s="72">
        <f t="shared" si="2324"/>
        <v>234</v>
      </c>
      <c r="BY377" s="71" t="str">
        <f t="shared" si="2325"/>
        <v>-</v>
      </c>
      <c r="BZ377" s="72">
        <f t="shared" si="2326"/>
        <v>285</v>
      </c>
      <c r="CA377" s="71" t="str">
        <f t="shared" si="2327"/>
        <v>-</v>
      </c>
      <c r="CB377" s="72">
        <f t="shared" si="2328"/>
        <v>326</v>
      </c>
      <c r="CC377" s="71">
        <f t="shared" si="2329"/>
        <v>363</v>
      </c>
      <c r="CD377" s="72">
        <f t="shared" si="2330"/>
        <v>369</v>
      </c>
      <c r="CE377" s="71">
        <f t="shared" si="2331"/>
        <v>415</v>
      </c>
      <c r="CF377" s="72">
        <f t="shared" si="2332"/>
        <v>487</v>
      </c>
      <c r="CG377" s="71">
        <f t="shared" si="2333"/>
        <v>511</v>
      </c>
      <c r="CH377" s="75">
        <f t="shared" si="2334"/>
        <v>228</v>
      </c>
      <c r="CI377" s="71">
        <f t="shared" si="2335"/>
        <v>233</v>
      </c>
      <c r="CJ377" s="72">
        <f t="shared" si="2336"/>
        <v>256</v>
      </c>
      <c r="CK377" s="72" t="str">
        <f t="shared" si="2337"/>
        <v>-</v>
      </c>
      <c r="CL377" s="72">
        <f t="shared" si="2338"/>
        <v>321</v>
      </c>
      <c r="CM377" s="72" t="str">
        <f t="shared" si="2339"/>
        <v>-</v>
      </c>
      <c r="CN377" s="72">
        <f t="shared" si="2340"/>
        <v>351</v>
      </c>
      <c r="CO377" s="72">
        <f t="shared" si="2341"/>
        <v>365</v>
      </c>
      <c r="CP377" s="72">
        <f t="shared" si="2342"/>
        <v>406</v>
      </c>
      <c r="CQ377" s="72">
        <f t="shared" si="2343"/>
        <v>472</v>
      </c>
      <c r="CR377" s="72">
        <f t="shared" si="2344"/>
        <v>510</v>
      </c>
      <c r="CS377" s="72">
        <f t="shared" si="2345"/>
        <v>526</v>
      </c>
      <c r="CT377" s="23">
        <f t="shared" si="2346"/>
        <v>1</v>
      </c>
    </row>
    <row r="378" spans="1:1030" x14ac:dyDescent="0.2">
      <c r="A378" s="3" t="str">
        <f t="shared" si="2319"/>
        <v>q98sw5_xenla_6D32</v>
      </c>
      <c r="B378" s="3" t="s">
        <v>1495</v>
      </c>
      <c r="C378" s="3" t="s">
        <v>1494</v>
      </c>
      <c r="D378" s="3" t="str">
        <f>IFERROR(MID(VLOOKUP($B378,Seqs!$A:$B,2,0),E378,1),"")</f>
        <v>T</v>
      </c>
      <c r="E378" s="3">
        <v>196</v>
      </c>
      <c r="F378" s="3" t="str">
        <f>IFERROR(MID(VLOOKUP($B378,Seqs!$A:$B,2,0),G378,1),"")</f>
        <v>D</v>
      </c>
      <c r="G378" s="3">
        <v>228</v>
      </c>
      <c r="H378" s="3" t="str">
        <f>IFERROR(MID(VLOOKUP($B378,Seqs!$A:$B,2,0),I378,1),"")</f>
        <v>W</v>
      </c>
      <c r="I378" s="23">
        <v>229</v>
      </c>
      <c r="J378" s="3" t="str">
        <f>IFERROR(MID(VLOOKUP($B378,Seqs!$A:$B,2,0),K378,1),"")</f>
        <v>N</v>
      </c>
      <c r="K378" s="23">
        <v>233</v>
      </c>
      <c r="L378" s="3" t="str">
        <f>IFERROR(MID(VLOOKUP($B378,Seqs!$A:$B,2,0),M378,1),"")</f>
        <v>R</v>
      </c>
      <c r="M378" s="3">
        <v>234</v>
      </c>
      <c r="N378" s="3" t="str">
        <f>IFERROR(MID(VLOOKUP($B378,Seqs!$A:$B,2,0),O378,1),"")</f>
        <v>A</v>
      </c>
      <c r="O378" s="3">
        <v>256</v>
      </c>
      <c r="P378" s="3" t="str">
        <f>IFERROR(MID(VLOOKUP($B378,Seqs!$A:$B,2,0),Q378,1),"")</f>
        <v/>
      </c>
      <c r="Q378" s="3" t="s">
        <v>23</v>
      </c>
      <c r="R378" s="3" t="str">
        <f>IFERROR(MID(VLOOKUP($B378,Seqs!$A:$B,2,0),S378,1),"")</f>
        <v/>
      </c>
      <c r="S378" s="3" t="s">
        <v>23</v>
      </c>
      <c r="T378" s="3" t="str">
        <f>IFERROR(MID(VLOOKUP($B378,Seqs!$A:$B,2,0),U378,1),"")</f>
        <v>L</v>
      </c>
      <c r="U378" s="3">
        <v>285</v>
      </c>
      <c r="V378" s="3" t="str">
        <f>IFERROR(MID(VLOOKUP($B378,Seqs!$A:$B,2,0),W378,1),"")</f>
        <v>K</v>
      </c>
      <c r="W378" s="3">
        <v>317</v>
      </c>
      <c r="X378" s="3" t="str">
        <f>IFERROR(MID(VLOOKUP($B378,Seqs!$A:$B,2,0),Y378,1),"")</f>
        <v/>
      </c>
      <c r="Y378" s="3" t="s">
        <v>23</v>
      </c>
      <c r="Z378" s="3" t="str">
        <f>IFERROR(MID(VLOOKUP($B378,Seqs!$A:$B,2,0),AA378,1),"")</f>
        <v/>
      </c>
      <c r="AA378" s="3" t="s">
        <v>23</v>
      </c>
      <c r="AB378" s="3" t="str">
        <f>IFERROR(MID(VLOOKUP($B378,Seqs!$A:$B,2,0),AC378,1),"")</f>
        <v>K</v>
      </c>
      <c r="AC378" s="3">
        <v>329</v>
      </c>
      <c r="AD378" s="3" t="str">
        <f>IFERROR(MID(VLOOKUP($B378,Seqs!$A:$B,2,0),AE378,1),"")</f>
        <v>V</v>
      </c>
      <c r="AE378" s="3">
        <v>351</v>
      </c>
      <c r="AF378" s="3" t="str">
        <f>IFERROR(MID(VLOOKUP($B378,Seqs!$A:$B,2,0),AG378,1),"")</f>
        <v>C</v>
      </c>
      <c r="AG378" s="3">
        <v>363</v>
      </c>
      <c r="AH378" s="3" t="str">
        <f>IFERROR(MID(VLOOKUP($B378,Seqs!$A:$B,2,0),AI378,1),"")</f>
        <v>V</v>
      </c>
      <c r="AI378" s="3">
        <v>365</v>
      </c>
      <c r="AJ378" s="3" t="str">
        <f>IFERROR(MID(VLOOKUP($B378,Seqs!$A:$B,2,0),AK378,1),"")</f>
        <v>N</v>
      </c>
      <c r="AK378" s="3">
        <v>369</v>
      </c>
      <c r="AL378" s="3" t="str">
        <f>IFERROR(MID(VLOOKUP($B378,Seqs!$A:$B,2,0),AM378,1),"")</f>
        <v>S</v>
      </c>
      <c r="AM378" s="3">
        <v>401</v>
      </c>
      <c r="AN378" s="3" t="str">
        <f>IFERROR(MID(VLOOKUP($B378,Seqs!$A:$B,2,0),AO378,1),"")</f>
        <v>S</v>
      </c>
      <c r="AO378" s="3">
        <v>416</v>
      </c>
      <c r="AP378" s="3" t="str">
        <f>IFERROR(MID(VLOOKUP($B378,Seqs!$A:$B,2,0),AQ378,1),"")</f>
        <v>Q</v>
      </c>
      <c r="AQ378" s="3">
        <v>472</v>
      </c>
      <c r="AR378" s="3" t="str">
        <f>IFERROR(MID(VLOOKUP($B378,Seqs!$A:$B,2,0),AS378,1),"")</f>
        <v>S</v>
      </c>
      <c r="AS378" s="3">
        <v>487</v>
      </c>
      <c r="AT378" s="3" t="str">
        <f>IFERROR(MID(VLOOKUP($B378,Seqs!$A:$B,2,0),AU378,1),"")</f>
        <v>W</v>
      </c>
      <c r="AU378" s="3">
        <v>510</v>
      </c>
      <c r="AV378" s="3" t="str">
        <f>IFERROR(MID(VLOOKUP($B378,Seqs!$A:$B,2,0),AW378,1),"")</f>
        <v>T</v>
      </c>
      <c r="AW378" s="3">
        <v>511</v>
      </c>
      <c r="AX378" s="3" t="str">
        <f>IFERROR(MID(VLOOKUP($B378,Seqs!$A:$B,2,0),AY378,1),"")</f>
        <v>R</v>
      </c>
      <c r="AY378" s="3">
        <v>520</v>
      </c>
      <c r="AZ378" s="78" t="str">
        <f>VLOOKUP(B378,Classification!A:D,2,0)</f>
        <v>F</v>
      </c>
      <c r="BA378" s="94" t="str">
        <f>VLOOKUP(B378,Classification!A:D,4,0)</f>
        <v>Frizzled</v>
      </c>
      <c r="BB378" s="92" t="b">
        <f t="shared" si="2320"/>
        <v>1</v>
      </c>
      <c r="BC378" s="23">
        <f t="shared" si="2321"/>
        <v>246</v>
      </c>
      <c r="BD378" s="74" t="s">
        <v>1376</v>
      </c>
      <c r="BE378" s="3" t="s">
        <v>1374</v>
      </c>
      <c r="BF378" s="119">
        <v>3.7509999999999999</v>
      </c>
      <c r="BG378" s="49" t="s">
        <v>1</v>
      </c>
      <c r="BH378" s="49" t="s">
        <v>1</v>
      </c>
      <c r="BJ378" s="75" t="s">
        <v>1287</v>
      </c>
      <c r="BK378" s="57" t="s">
        <v>1287</v>
      </c>
      <c r="BL378" s="57" t="s">
        <v>1287</v>
      </c>
      <c r="BM378" s="57" t="s">
        <v>1287</v>
      </c>
      <c r="BN378" s="57" t="s">
        <v>1287</v>
      </c>
      <c r="BO378" s="57" t="s">
        <v>1287</v>
      </c>
      <c r="BP378" s="57" t="s">
        <v>1287</v>
      </c>
      <c r="BQ378" s="57" t="s">
        <v>1287</v>
      </c>
      <c r="BR378" s="57" t="s">
        <v>1287</v>
      </c>
      <c r="BS378" s="57" t="s">
        <v>1287</v>
      </c>
      <c r="BT378" s="57" t="s">
        <v>1287</v>
      </c>
      <c r="BU378" s="57" t="s">
        <v>1287</v>
      </c>
      <c r="BV378" s="75">
        <f t="shared" si="2322"/>
        <v>196</v>
      </c>
      <c r="BW378" s="71">
        <f t="shared" si="2323"/>
        <v>229</v>
      </c>
      <c r="BX378" s="72">
        <f t="shared" si="2324"/>
        <v>234</v>
      </c>
      <c r="BY378" s="71" t="str">
        <f t="shared" si="2325"/>
        <v>-</v>
      </c>
      <c r="BZ378" s="72">
        <f t="shared" si="2326"/>
        <v>285</v>
      </c>
      <c r="CA378" s="71" t="str">
        <f t="shared" si="2327"/>
        <v>-</v>
      </c>
      <c r="CB378" s="72">
        <f t="shared" si="2328"/>
        <v>329</v>
      </c>
      <c r="CC378" s="71">
        <f t="shared" si="2329"/>
        <v>363</v>
      </c>
      <c r="CD378" s="72">
        <f t="shared" si="2330"/>
        <v>369</v>
      </c>
      <c r="CE378" s="71">
        <f t="shared" si="2331"/>
        <v>416</v>
      </c>
      <c r="CF378" s="72">
        <f t="shared" si="2332"/>
        <v>487</v>
      </c>
      <c r="CG378" s="71">
        <f t="shared" si="2333"/>
        <v>511</v>
      </c>
      <c r="CH378" s="75">
        <f t="shared" si="2334"/>
        <v>228</v>
      </c>
      <c r="CI378" s="71">
        <f t="shared" si="2335"/>
        <v>233</v>
      </c>
      <c r="CJ378" s="72">
        <f t="shared" si="2336"/>
        <v>256</v>
      </c>
      <c r="CK378" s="72" t="str">
        <f t="shared" si="2337"/>
        <v>-</v>
      </c>
      <c r="CL378" s="72">
        <f t="shared" si="2338"/>
        <v>317</v>
      </c>
      <c r="CM378" s="72" t="str">
        <f t="shared" si="2339"/>
        <v>-</v>
      </c>
      <c r="CN378" s="72">
        <f t="shared" si="2340"/>
        <v>351</v>
      </c>
      <c r="CO378" s="72">
        <f t="shared" si="2341"/>
        <v>365</v>
      </c>
      <c r="CP378" s="72">
        <f t="shared" si="2342"/>
        <v>401</v>
      </c>
      <c r="CQ378" s="72">
        <f t="shared" si="2343"/>
        <v>472</v>
      </c>
      <c r="CR378" s="72">
        <f t="shared" si="2344"/>
        <v>510</v>
      </c>
      <c r="CS378" s="72">
        <f t="shared" si="2345"/>
        <v>520</v>
      </c>
      <c r="CT378" s="23">
        <f t="shared" si="2346"/>
        <v>1</v>
      </c>
    </row>
    <row r="379" spans="1:1030" x14ac:dyDescent="0.2">
      <c r="A379" s="3" t="str">
        <f t="shared" si="2319"/>
        <v>q98sw5_xenla_6D35</v>
      </c>
      <c r="B379" s="3" t="s">
        <v>1495</v>
      </c>
      <c r="C379" s="3" t="s">
        <v>1497</v>
      </c>
      <c r="D379" s="3" t="str">
        <f>IFERROR(MID(VLOOKUP($B379,Seqs!$A:$B,2,0),E379,1),"")</f>
        <v>T</v>
      </c>
      <c r="E379" s="3">
        <v>196</v>
      </c>
      <c r="F379" s="3" t="str">
        <f>IFERROR(MID(VLOOKUP($B379,Seqs!$A:$B,2,0),G379,1),"")</f>
        <v>D</v>
      </c>
      <c r="G379" s="3">
        <v>228</v>
      </c>
      <c r="H379" s="3" t="str">
        <f>IFERROR(MID(VLOOKUP($B379,Seqs!$A:$B,2,0),I379,1),"")</f>
        <v>W</v>
      </c>
      <c r="I379" s="23">
        <v>229</v>
      </c>
      <c r="J379" s="3" t="str">
        <f>IFERROR(MID(VLOOKUP($B379,Seqs!$A:$B,2,0),K379,1),"")</f>
        <v>N</v>
      </c>
      <c r="K379" s="23">
        <v>233</v>
      </c>
      <c r="L379" s="3" t="str">
        <f>IFERROR(MID(VLOOKUP($B379,Seqs!$A:$B,2,0),M379,1),"")</f>
        <v>R</v>
      </c>
      <c r="M379" s="3">
        <v>234</v>
      </c>
      <c r="N379" s="3" t="str">
        <f>IFERROR(MID(VLOOKUP($B379,Seqs!$A:$B,2,0),O379,1),"")</f>
        <v>A</v>
      </c>
      <c r="O379" s="3">
        <v>256</v>
      </c>
      <c r="P379" s="3" t="str">
        <f>IFERROR(MID(VLOOKUP($B379,Seqs!$A:$B,2,0),Q379,1),"")</f>
        <v/>
      </c>
      <c r="Q379" s="3" t="s">
        <v>23</v>
      </c>
      <c r="R379" s="3" t="str">
        <f>IFERROR(MID(VLOOKUP($B379,Seqs!$A:$B,2,0),S379,1),"")</f>
        <v/>
      </c>
      <c r="S379" s="3" t="s">
        <v>23</v>
      </c>
      <c r="T379" s="3" t="str">
        <f>IFERROR(MID(VLOOKUP($B379,Seqs!$A:$B,2,0),U379,1),"")</f>
        <v>L</v>
      </c>
      <c r="U379" s="3">
        <v>285</v>
      </c>
      <c r="V379" s="3" t="str">
        <f>IFERROR(MID(VLOOKUP($B379,Seqs!$A:$B,2,0),W379,1),"")</f>
        <v>K</v>
      </c>
      <c r="W379" s="3">
        <v>317</v>
      </c>
      <c r="X379" s="3" t="str">
        <f>IFERROR(MID(VLOOKUP($B379,Seqs!$A:$B,2,0),Y379,1),"")</f>
        <v/>
      </c>
      <c r="Y379" s="3" t="s">
        <v>23</v>
      </c>
      <c r="Z379" s="3" t="str">
        <f>IFERROR(MID(VLOOKUP($B379,Seqs!$A:$B,2,0),AA379,1),"")</f>
        <v/>
      </c>
      <c r="AA379" s="3" t="s">
        <v>23</v>
      </c>
      <c r="AB379" s="3" t="str">
        <f>IFERROR(MID(VLOOKUP($B379,Seqs!$A:$B,2,0),AC379,1),"")</f>
        <v>K</v>
      </c>
      <c r="AC379" s="3">
        <v>329</v>
      </c>
      <c r="AD379" s="3" t="str">
        <f>IFERROR(MID(VLOOKUP($B379,Seqs!$A:$B,2,0),AE379,1),"")</f>
        <v>V</v>
      </c>
      <c r="AE379" s="3">
        <v>351</v>
      </c>
      <c r="AF379" s="3" t="str">
        <f>IFERROR(MID(VLOOKUP($B379,Seqs!$A:$B,2,0),AG379,1),"")</f>
        <v>C</v>
      </c>
      <c r="AG379" s="3">
        <v>363</v>
      </c>
      <c r="AH379" s="3" t="str">
        <f>IFERROR(MID(VLOOKUP($B379,Seqs!$A:$B,2,0),AI379,1),"")</f>
        <v>V</v>
      </c>
      <c r="AI379" s="3">
        <v>365</v>
      </c>
      <c r="AJ379" s="3" t="str">
        <f>IFERROR(MID(VLOOKUP($B379,Seqs!$A:$B,2,0),AK379,1),"")</f>
        <v>N</v>
      </c>
      <c r="AK379" s="3">
        <v>369</v>
      </c>
      <c r="AL379" s="3" t="str">
        <f>IFERROR(MID(VLOOKUP($B379,Seqs!$A:$B,2,0),AM379,1),"")</f>
        <v>S</v>
      </c>
      <c r="AM379" s="3">
        <v>401</v>
      </c>
      <c r="AN379" s="3" t="str">
        <f>IFERROR(MID(VLOOKUP($B379,Seqs!$A:$B,2,0),AO379,1),"")</f>
        <v>S</v>
      </c>
      <c r="AO379" s="3">
        <v>416</v>
      </c>
      <c r="AP379" s="3" t="str">
        <f>IFERROR(MID(VLOOKUP($B379,Seqs!$A:$B,2,0),AQ379,1),"")</f>
        <v>Q</v>
      </c>
      <c r="AQ379" s="3">
        <v>472</v>
      </c>
      <c r="AR379" s="3" t="str">
        <f>IFERROR(MID(VLOOKUP($B379,Seqs!$A:$B,2,0),AS379,1),"")</f>
        <v>S</v>
      </c>
      <c r="AS379" s="3">
        <v>487</v>
      </c>
      <c r="AT379" s="3" t="str">
        <f>IFERROR(MID(VLOOKUP($B379,Seqs!$A:$B,2,0),AU379,1),"")</f>
        <v>W</v>
      </c>
      <c r="AU379" s="3">
        <v>510</v>
      </c>
      <c r="AV379" s="3" t="str">
        <f>IFERROR(MID(VLOOKUP($B379,Seqs!$A:$B,2,0),AW379,1),"")</f>
        <v>T</v>
      </c>
      <c r="AW379" s="3">
        <v>511</v>
      </c>
      <c r="AX379" s="3" t="str">
        <f>IFERROR(MID(VLOOKUP($B379,Seqs!$A:$B,2,0),AY379,1),"")</f>
        <v>R</v>
      </c>
      <c r="AY379" s="3">
        <v>520</v>
      </c>
      <c r="AZ379" s="78" t="str">
        <f>VLOOKUP(B379,Classification!A:D,2,0)</f>
        <v>F</v>
      </c>
      <c r="BA379" s="94" t="str">
        <f>VLOOKUP(B379,Classification!A:D,4,0)</f>
        <v>Frizzled</v>
      </c>
      <c r="BB379" s="92" t="b">
        <f t="shared" si="2320"/>
        <v>1</v>
      </c>
      <c r="BC379" s="23">
        <f t="shared" si="2321"/>
        <v>246</v>
      </c>
      <c r="BD379" s="74" t="s">
        <v>23</v>
      </c>
      <c r="BE379" s="3" t="s">
        <v>1374</v>
      </c>
      <c r="BF379" s="119">
        <v>3.9</v>
      </c>
      <c r="BG379" s="49" t="s">
        <v>1</v>
      </c>
      <c r="BH379" s="49" t="s">
        <v>1</v>
      </c>
      <c r="BJ379" s="75" t="s">
        <v>1287</v>
      </c>
      <c r="BK379" s="57" t="s">
        <v>1287</v>
      </c>
      <c r="BL379" s="57" t="s">
        <v>1287</v>
      </c>
      <c r="BM379" s="57" t="s">
        <v>1287</v>
      </c>
      <c r="BN379" s="57" t="s">
        <v>1287</v>
      </c>
      <c r="BO379" s="57" t="s">
        <v>1287</v>
      </c>
      <c r="BP379" s="57" t="s">
        <v>1287</v>
      </c>
      <c r="BQ379" s="57" t="s">
        <v>1287</v>
      </c>
      <c r="BR379" s="57" t="s">
        <v>1287</v>
      </c>
      <c r="BS379" s="57" t="s">
        <v>1287</v>
      </c>
      <c r="BT379" s="57" t="s">
        <v>1287</v>
      </c>
      <c r="BU379" s="57" t="s">
        <v>1287</v>
      </c>
      <c r="BV379" s="75">
        <f t="shared" si="2322"/>
        <v>196</v>
      </c>
      <c r="BW379" s="71">
        <f t="shared" si="2323"/>
        <v>229</v>
      </c>
      <c r="BX379" s="72">
        <f t="shared" si="2324"/>
        <v>234</v>
      </c>
      <c r="BY379" s="71" t="str">
        <f t="shared" si="2325"/>
        <v>-</v>
      </c>
      <c r="BZ379" s="72">
        <f t="shared" si="2326"/>
        <v>285</v>
      </c>
      <c r="CA379" s="71" t="str">
        <f t="shared" si="2327"/>
        <v>-</v>
      </c>
      <c r="CB379" s="72">
        <f t="shared" si="2328"/>
        <v>329</v>
      </c>
      <c r="CC379" s="71">
        <f t="shared" si="2329"/>
        <v>363</v>
      </c>
      <c r="CD379" s="72">
        <f t="shared" si="2330"/>
        <v>369</v>
      </c>
      <c r="CE379" s="71">
        <f t="shared" si="2331"/>
        <v>416</v>
      </c>
      <c r="CF379" s="72">
        <f t="shared" si="2332"/>
        <v>487</v>
      </c>
      <c r="CG379" s="71">
        <f t="shared" si="2333"/>
        <v>511</v>
      </c>
      <c r="CH379" s="75">
        <f t="shared" si="2334"/>
        <v>228</v>
      </c>
      <c r="CI379" s="71">
        <f t="shared" si="2335"/>
        <v>233</v>
      </c>
      <c r="CJ379" s="72">
        <f t="shared" si="2336"/>
        <v>256</v>
      </c>
      <c r="CK379" s="72" t="str">
        <f t="shared" si="2337"/>
        <v>-</v>
      </c>
      <c r="CL379" s="72">
        <f t="shared" si="2338"/>
        <v>317</v>
      </c>
      <c r="CM379" s="72" t="str">
        <f t="shared" si="2339"/>
        <v>-</v>
      </c>
      <c r="CN379" s="72">
        <f t="shared" si="2340"/>
        <v>351</v>
      </c>
      <c r="CO379" s="72">
        <f t="shared" si="2341"/>
        <v>365</v>
      </c>
      <c r="CP379" s="72">
        <f t="shared" si="2342"/>
        <v>401</v>
      </c>
      <c r="CQ379" s="72">
        <f t="shared" si="2343"/>
        <v>472</v>
      </c>
      <c r="CR379" s="72">
        <f t="shared" si="2344"/>
        <v>510</v>
      </c>
      <c r="CS379" s="72">
        <f t="shared" si="2345"/>
        <v>520</v>
      </c>
      <c r="CT379" s="23">
        <f t="shared" si="2346"/>
        <v>1</v>
      </c>
    </row>
    <row r="453" spans="52:86" x14ac:dyDescent="0.2">
      <c r="AZ453" s="77"/>
      <c r="BA453" s="28"/>
      <c r="BB453" s="16"/>
      <c r="BD453" s="2"/>
      <c r="BJ453" s="70"/>
      <c r="BV453" s="70"/>
      <c r="CH453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32 BB72 BB29:BB33 BB36:BB40">
    <cfRule type="cellIs" dxfId="76" priority="10" operator="equal">
      <formula>0</formula>
    </cfRule>
  </conditionalFormatting>
  <conditionalFormatting sqref="BB289:BB290">
    <cfRule type="cellIs" dxfId="75" priority="11" operator="equal">
      <formula>0</formula>
    </cfRule>
  </conditionalFormatting>
  <conditionalFormatting sqref="BB12">
    <cfRule type="cellIs" dxfId="74" priority="12" operator="equal">
      <formula>0</formula>
    </cfRule>
  </conditionalFormatting>
  <conditionalFormatting sqref="BB314">
    <cfRule type="cellIs" dxfId="73" priority="13" operator="equal">
      <formula>0</formula>
    </cfRule>
  </conditionalFormatting>
  <conditionalFormatting sqref="E314 AW314 AU314 AS314 AQ314 AO314 AM314 AK314 AI314 AG314 AE314 AC314 AA314 Y314 W314 U314 S314 Q314 O314 M314 K314 I314 G314">
    <cfRule type="cellIs" dxfId="72" priority="14" operator="equal">
      <formula>"G"</formula>
    </cfRule>
    <cfRule type="cellIs" dxfId="71" priority="15" operator="equal">
      <formula>"P"</formula>
    </cfRule>
  </conditionalFormatting>
  <conditionalFormatting sqref="BB28">
    <cfRule type="cellIs" dxfId="70" priority="16" operator="equal">
      <formula>0</formula>
    </cfRule>
  </conditionalFormatting>
  <conditionalFormatting sqref="BB11">
    <cfRule type="cellIs" dxfId="69" priority="20" operator="equal">
      <formula>0</formula>
    </cfRule>
  </conditionalFormatting>
  <conditionalFormatting sqref="E11 AW11 AU11 AS11 AQ11 AO11 AM11 AK11 AI11 AG11 AE11 AC11 AA11 Y11 W11 U11 S11 Q11 O11 M11 K11 I11 G11">
    <cfRule type="cellIs" dxfId="68" priority="22" operator="equal">
      <formula>"G"</formula>
    </cfRule>
    <cfRule type="cellIs" dxfId="67" priority="23" operator="equal">
      <formula>"P"</formula>
    </cfRule>
  </conditionalFormatting>
  <conditionalFormatting sqref="BB1:BB33 BB36:BB1048576">
    <cfRule type="cellIs" dxfId="66" priority="8" operator="equal">
      <formula>FALSE</formula>
    </cfRule>
  </conditionalFormatting>
  <conditionalFormatting sqref="BG36:BG47 BG27:BG33 BH27:BH47 BG1:BH26 BG48:BH1048576">
    <cfRule type="cellIs" dxfId="65" priority="7" operator="equal">
      <formula>"?"</formula>
    </cfRule>
  </conditionalFormatting>
  <conditionalFormatting sqref="BB34:BB35">
    <cfRule type="cellIs" dxfId="64" priority="6" operator="equal">
      <formula>FALSE</formula>
    </cfRule>
  </conditionalFormatting>
  <conditionalFormatting sqref="BG34:BG35">
    <cfRule type="cellIs" dxfId="63" priority="5" operator="equal">
      <formula>"?"</formula>
    </cfRule>
  </conditionalFormatting>
  <conditionalFormatting sqref="BE2:BE1048576">
    <cfRule type="notContainsText" dxfId="62" priority="2" operator="notContains" text="In">
      <formula>ISERROR(SEARCH("In",BE2))</formula>
    </cfRule>
    <cfRule type="containsText" dxfId="61" priority="3" operator="containsText" text="Inter">
      <formula>NOT(ISERROR(SEARCH("Inter",BE2)))</formula>
    </cfRule>
    <cfRule type="containsText" dxfId="60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11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BE2:BE453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3"/>
  <sheetViews>
    <sheetView workbookViewId="0">
      <pane ySplit="1" topLeftCell="A36" activePane="bottomLeft" state="frozenSplit"/>
      <selection pane="bottomLeft" activeCell="C72" sqref="C72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1076</v>
      </c>
      <c r="B1" s="30" t="s">
        <v>31</v>
      </c>
      <c r="C1" s="30" t="s">
        <v>1060</v>
      </c>
      <c r="D1" s="30" t="s">
        <v>1061</v>
      </c>
      <c r="E1" s="30" t="s">
        <v>1077</v>
      </c>
      <c r="F1" s="30" t="s">
        <v>1078</v>
      </c>
      <c r="G1" s="30" t="s">
        <v>1062</v>
      </c>
      <c r="H1" s="30" t="s">
        <v>1063</v>
      </c>
      <c r="I1" s="30" t="s">
        <v>1079</v>
      </c>
      <c r="J1" s="30" t="s">
        <v>1080</v>
      </c>
      <c r="K1" s="30" t="s">
        <v>1064</v>
      </c>
      <c r="L1" s="30" t="s">
        <v>1065</v>
      </c>
      <c r="M1" s="30" t="s">
        <v>1092</v>
      </c>
      <c r="N1" s="30" t="s">
        <v>1093</v>
      </c>
      <c r="O1" s="30" t="s">
        <v>1066</v>
      </c>
      <c r="P1" s="30" t="s">
        <v>1067</v>
      </c>
      <c r="Q1" s="30" t="s">
        <v>1095</v>
      </c>
      <c r="R1" s="30" t="s">
        <v>1096</v>
      </c>
      <c r="S1" s="30" t="s">
        <v>1068</v>
      </c>
      <c r="T1" s="30" t="s">
        <v>1069</v>
      </c>
      <c r="U1" s="30" t="s">
        <v>1070</v>
      </c>
      <c r="V1" s="30" t="s">
        <v>1071</v>
      </c>
      <c r="W1" s="30" t="s">
        <v>1072</v>
      </c>
      <c r="X1" s="30" t="s">
        <v>1073</v>
      </c>
      <c r="Y1" s="30" t="s">
        <v>1074</v>
      </c>
      <c r="Z1" s="30" t="s">
        <v>1075</v>
      </c>
      <c r="AA1" s="30" t="s">
        <v>99</v>
      </c>
      <c r="AB1" s="95" t="s">
        <v>1380</v>
      </c>
      <c r="AC1" s="30" t="s">
        <v>1289</v>
      </c>
      <c r="AD1" s="30" t="s">
        <v>1288</v>
      </c>
      <c r="AE1" s="30" t="s">
        <v>1282</v>
      </c>
      <c r="AF1" s="30" t="s">
        <v>1230</v>
      </c>
      <c r="AG1" s="30" t="s">
        <v>1283</v>
      </c>
      <c r="AH1" s="30" t="s">
        <v>1241</v>
      </c>
      <c r="AI1" s="30" t="s">
        <v>1285</v>
      </c>
      <c r="AJ1" s="30" t="s">
        <v>1275</v>
      </c>
      <c r="AK1" s="30" t="s">
        <v>1284</v>
      </c>
      <c r="AL1" s="30" t="s">
        <v>1290</v>
      </c>
      <c r="AM1" s="30" t="s">
        <v>1239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1367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1379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1464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1255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1445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1243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1244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1468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1249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1246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1248</v>
      </c>
      <c r="B12" s="2" t="s">
        <v>909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1247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1390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1245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1277</v>
      </c>
    </row>
    <row r="16" spans="1:64" s="2" customFormat="1" x14ac:dyDescent="0.2">
      <c r="A16" s="2" t="s">
        <v>1251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1250</v>
      </c>
      <c r="B17" s="2" t="s">
        <v>911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1252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1393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1415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1362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1254</v>
      </c>
      <c r="B22" s="2" t="s">
        <v>1171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1274</v>
      </c>
      <c r="B23" s="2" t="s">
        <v>923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1253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1329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1256</v>
      </c>
      <c r="B26" s="2" t="s">
        <v>1172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1257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1258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1273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1259</v>
      </c>
      <c r="B30" s="2" t="s">
        <v>913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1261</v>
      </c>
      <c r="B31" s="2" t="s">
        <v>915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1262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1264</v>
      </c>
      <c r="B33" s="2" t="s">
        <v>1173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1263</v>
      </c>
      <c r="B34" s="2" t="s">
        <v>917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1260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1265</v>
      </c>
      <c r="B36" s="2" t="s">
        <v>919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1278</v>
      </c>
      <c r="AP36" s="2" t="s">
        <v>1280</v>
      </c>
    </row>
    <row r="37" spans="1:64" s="2" customFormat="1" x14ac:dyDescent="0.2">
      <c r="A37" s="2" t="s">
        <v>1267</v>
      </c>
      <c r="B37" s="2" t="s">
        <v>921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1266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1269</v>
      </c>
      <c r="B39" s="2" t="s">
        <v>1175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1268</v>
      </c>
      <c r="B40" s="2" t="s">
        <v>1174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1270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1271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1272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1420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2" t="str">
        <f t="shared" si="0"/>
        <v>q98sw5_xenla__wt</v>
      </c>
      <c r="B53" s="123" t="s">
        <v>1495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tr">
        <f t="shared" si="0"/>
        <v>q08bg4_danre__wt</v>
      </c>
      <c r="B54" s="2" t="s">
        <v>1440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1451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1507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409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314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tr">
        <f t="shared" si="0"/>
        <v>pe2r4_human__wt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2" t="str">
        <f t="shared" si="0"/>
        <v>ta2r_human__wt</v>
      </c>
      <c r="B66" s="2" t="s">
        <v>473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64" x14ac:dyDescent="0.2">
      <c r="A67" s="2" t="str">
        <f t="shared" si="0"/>
        <v>fzd4_human__wt</v>
      </c>
      <c r="B67" s="2" t="s">
        <v>450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64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21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64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64" x14ac:dyDescent="0.2">
      <c r="A70" s="2" t="str">
        <f>CONCATENATE(B70,"__wt",)</f>
        <v>mtr1a_human__wt</v>
      </c>
      <c r="B70" s="2" t="s">
        <v>311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64" x14ac:dyDescent="0.2">
      <c r="A71" s="2" t="str">
        <f>CONCATENATE(B71,"__wt",)</f>
        <v>mtr1b_human__wt</v>
      </c>
      <c r="B71" s="2" t="s">
        <v>312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64" x14ac:dyDescent="0.2">
      <c r="A72" s="2" t="str">
        <f>CONCATENATE(B72,"__wt",)</f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64" x14ac:dyDescent="0.2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49"/>
      <c r="AB73" s="96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2"/>
      <c r="AN73" s="38"/>
      <c r="AO73" s="30" t="s">
        <v>1060</v>
      </c>
      <c r="AP73" s="30" t="s">
        <v>1061</v>
      </c>
      <c r="AQ73" s="30" t="s">
        <v>1077</v>
      </c>
      <c r="AR73" s="30" t="s">
        <v>1078</v>
      </c>
      <c r="AS73" s="30" t="s">
        <v>1062</v>
      </c>
      <c r="AT73" s="30" t="s">
        <v>1063</v>
      </c>
      <c r="AU73" s="30" t="s">
        <v>1079</v>
      </c>
      <c r="AV73" s="30" t="s">
        <v>1080</v>
      </c>
      <c r="AW73" s="30" t="s">
        <v>1064</v>
      </c>
      <c r="AX73" s="30" t="s">
        <v>1065</v>
      </c>
      <c r="AY73" s="30" t="s">
        <v>1092</v>
      </c>
      <c r="AZ73" s="30" t="s">
        <v>1093</v>
      </c>
      <c r="BA73" s="30" t="s">
        <v>1066</v>
      </c>
      <c r="BB73" s="30" t="s">
        <v>1067</v>
      </c>
      <c r="BC73" s="30" t="s">
        <v>1095</v>
      </c>
      <c r="BD73" s="30" t="s">
        <v>1096</v>
      </c>
      <c r="BE73" s="30" t="s">
        <v>1068</v>
      </c>
      <c r="BF73" s="30" t="s">
        <v>1069</v>
      </c>
      <c r="BG73" s="30" t="s">
        <v>1070</v>
      </c>
      <c r="BH73" s="30" t="s">
        <v>1071</v>
      </c>
      <c r="BI73" s="30" t="s">
        <v>1072</v>
      </c>
      <c r="BJ73" s="30" t="s">
        <v>1073</v>
      </c>
      <c r="BK73" s="30" t="s">
        <v>1074</v>
      </c>
      <c r="BL73" s="30" t="s">
        <v>1075</v>
      </c>
    </row>
    <row r="74" spans="1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N74" s="38" t="s">
        <v>1</v>
      </c>
      <c r="AO74" s="4">
        <f t="shared" ref="AO74:BL74" si="1">MAX(C2:C42)</f>
        <v>34</v>
      </c>
      <c r="AP74" s="4">
        <f t="shared" si="1"/>
        <v>64</v>
      </c>
      <c r="AQ74" s="4">
        <f t="shared" si="1"/>
        <v>48</v>
      </c>
      <c r="AR74" s="4">
        <f t="shared" si="1"/>
        <v>52</v>
      </c>
      <c r="AS74" s="4">
        <f t="shared" si="1"/>
        <v>38</v>
      </c>
      <c r="AT74" s="4">
        <f t="shared" si="1"/>
        <v>69</v>
      </c>
      <c r="AU74" s="4">
        <f t="shared" si="1"/>
        <v>50</v>
      </c>
      <c r="AV74" s="4">
        <f t="shared" si="1"/>
        <v>53</v>
      </c>
      <c r="AW74" s="4">
        <f t="shared" si="1"/>
        <v>21</v>
      </c>
      <c r="AX74" s="4">
        <f t="shared" si="1"/>
        <v>56</v>
      </c>
      <c r="AY74" s="4">
        <f t="shared" si="1"/>
        <v>50</v>
      </c>
      <c r="AZ74" s="4">
        <f t="shared" si="1"/>
        <v>58</v>
      </c>
      <c r="BA74" s="4">
        <f t="shared" si="1"/>
        <v>38</v>
      </c>
      <c r="BB74" s="4">
        <f t="shared" si="1"/>
        <v>69</v>
      </c>
      <c r="BC74" s="4">
        <f t="shared" si="1"/>
        <v>50</v>
      </c>
      <c r="BD74" s="4">
        <f t="shared" si="1"/>
        <v>52</v>
      </c>
      <c r="BE74" s="4">
        <f t="shared" si="1"/>
        <v>36</v>
      </c>
      <c r="BF74" s="4">
        <f t="shared" si="1"/>
        <v>77</v>
      </c>
      <c r="BG74" s="4">
        <f t="shared" si="1"/>
        <v>30</v>
      </c>
      <c r="BH74" s="4">
        <f t="shared" si="1"/>
        <v>65</v>
      </c>
      <c r="BI74" s="4">
        <f t="shared" si="1"/>
        <v>32</v>
      </c>
      <c r="BJ74" s="4">
        <f t="shared" si="1"/>
        <v>56</v>
      </c>
      <c r="BK74" s="4">
        <f t="shared" si="1"/>
        <v>47</v>
      </c>
      <c r="BL74" s="4">
        <f t="shared" si="1"/>
        <v>69</v>
      </c>
    </row>
    <row r="75" spans="1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O75" s="4">
        <f t="shared" ref="AO75:BL75" si="2">MIN(C2:C42)</f>
        <v>22</v>
      </c>
      <c r="AP75" s="4">
        <f t="shared" si="2"/>
        <v>60</v>
      </c>
      <c r="AQ75" s="4">
        <f t="shared" si="2"/>
        <v>48</v>
      </c>
      <c r="AR75" s="4">
        <f t="shared" si="2"/>
        <v>51</v>
      </c>
      <c r="AS75" s="4">
        <f t="shared" si="2"/>
        <v>34</v>
      </c>
      <c r="AT75" s="4">
        <f t="shared" si="2"/>
        <v>63</v>
      </c>
      <c r="AU75" s="4">
        <f t="shared" si="2"/>
        <v>47</v>
      </c>
      <c r="AV75" s="4">
        <f t="shared" si="2"/>
        <v>52</v>
      </c>
      <c r="AW75" s="4">
        <f t="shared" si="2"/>
        <v>18</v>
      </c>
      <c r="AX75" s="4">
        <f t="shared" si="2"/>
        <v>55</v>
      </c>
      <c r="AY75" s="4">
        <f t="shared" si="2"/>
        <v>50</v>
      </c>
      <c r="AZ75" s="4">
        <f t="shared" si="2"/>
        <v>53</v>
      </c>
      <c r="BA75" s="4">
        <f t="shared" si="2"/>
        <v>35</v>
      </c>
      <c r="BB75" s="4">
        <f t="shared" si="2"/>
        <v>62</v>
      </c>
      <c r="BC75" s="4">
        <f t="shared" si="2"/>
        <v>50</v>
      </c>
      <c r="BD75" s="4">
        <f t="shared" si="2"/>
        <v>52</v>
      </c>
      <c r="BE75" s="4">
        <f t="shared" si="2"/>
        <v>28</v>
      </c>
      <c r="BF75" s="4">
        <f t="shared" si="2"/>
        <v>67</v>
      </c>
      <c r="BG75" s="4">
        <f t="shared" si="2"/>
        <v>18</v>
      </c>
      <c r="BH75" s="4">
        <f t="shared" si="2"/>
        <v>60</v>
      </c>
      <c r="BI75" s="4">
        <f t="shared" si="2"/>
        <v>24</v>
      </c>
      <c r="BJ75" s="4">
        <f t="shared" si="2"/>
        <v>55</v>
      </c>
      <c r="BK75" s="4">
        <f t="shared" si="2"/>
        <v>47</v>
      </c>
      <c r="BL75" s="4">
        <f t="shared" si="2"/>
        <v>57</v>
      </c>
    </row>
    <row r="76" spans="1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O76" s="4">
        <f t="shared" ref="AO76:BL76" si="3">AO74-AO75</f>
        <v>12</v>
      </c>
      <c r="AP76" s="4">
        <f t="shared" si="3"/>
        <v>4</v>
      </c>
      <c r="AQ76" s="4">
        <f t="shared" si="3"/>
        <v>0</v>
      </c>
      <c r="AR76" s="4">
        <f t="shared" si="3"/>
        <v>1</v>
      </c>
      <c r="AS76" s="4">
        <f t="shared" si="3"/>
        <v>4</v>
      </c>
      <c r="AT76" s="4">
        <f t="shared" si="3"/>
        <v>6</v>
      </c>
      <c r="AU76" s="4">
        <f t="shared" si="3"/>
        <v>3</v>
      </c>
      <c r="AV76" s="4">
        <f t="shared" si="3"/>
        <v>1</v>
      </c>
      <c r="AW76" s="4">
        <f t="shared" si="3"/>
        <v>3</v>
      </c>
      <c r="AX76" s="4">
        <f t="shared" si="3"/>
        <v>1</v>
      </c>
      <c r="AY76" s="4">
        <f t="shared" si="3"/>
        <v>0</v>
      </c>
      <c r="AZ76" s="4">
        <f t="shared" si="3"/>
        <v>5</v>
      </c>
      <c r="BA76" s="4">
        <f t="shared" si="3"/>
        <v>3</v>
      </c>
      <c r="BB76" s="4">
        <f t="shared" si="3"/>
        <v>7</v>
      </c>
      <c r="BC76" s="4">
        <f t="shared" si="3"/>
        <v>0</v>
      </c>
      <c r="BD76" s="4">
        <f t="shared" si="3"/>
        <v>0</v>
      </c>
      <c r="BE76" s="4">
        <f t="shared" si="3"/>
        <v>8</v>
      </c>
      <c r="BF76" s="4">
        <f t="shared" si="3"/>
        <v>10</v>
      </c>
      <c r="BG76" s="4">
        <f t="shared" si="3"/>
        <v>12</v>
      </c>
      <c r="BH76" s="4">
        <f t="shared" si="3"/>
        <v>5</v>
      </c>
      <c r="BI76" s="4">
        <f t="shared" si="3"/>
        <v>8</v>
      </c>
      <c r="BJ76" s="4">
        <f t="shared" si="3"/>
        <v>1</v>
      </c>
      <c r="BK76" s="4">
        <f t="shared" si="3"/>
        <v>0</v>
      </c>
      <c r="BL76" s="4">
        <f t="shared" si="3"/>
        <v>12</v>
      </c>
    </row>
    <row r="77" spans="1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N77" s="38" t="s">
        <v>1281</v>
      </c>
      <c r="AO77" s="4">
        <f t="shared" ref="AO77:BL77" si="4">MAX(C43:C46)</f>
        <v>29</v>
      </c>
      <c r="AP77" s="4">
        <f t="shared" si="4"/>
        <v>60</v>
      </c>
      <c r="AQ77" s="4">
        <f t="shared" si="4"/>
        <v>48</v>
      </c>
      <c r="AR77" s="4">
        <f t="shared" si="4"/>
        <v>51</v>
      </c>
      <c r="AS77" s="4">
        <f t="shared" si="4"/>
        <v>37</v>
      </c>
      <c r="AT77" s="4">
        <f t="shared" si="4"/>
        <v>66</v>
      </c>
      <c r="AU77" s="4">
        <f t="shared" si="4"/>
        <v>49</v>
      </c>
      <c r="AV77" s="4">
        <f t="shared" si="4"/>
        <v>52</v>
      </c>
      <c r="AW77" s="4">
        <f t="shared" si="4"/>
        <v>23</v>
      </c>
      <c r="AX77" s="4">
        <f t="shared" si="4"/>
        <v>56</v>
      </c>
      <c r="AY77" s="4">
        <f t="shared" si="4"/>
        <v>50</v>
      </c>
      <c r="AZ77" s="4">
        <f t="shared" si="4"/>
        <v>57</v>
      </c>
      <c r="BA77" s="4">
        <f t="shared" si="4"/>
        <v>41</v>
      </c>
      <c r="BB77" s="4">
        <f t="shared" si="4"/>
        <v>68</v>
      </c>
      <c r="BC77" s="4">
        <f t="shared" si="4"/>
        <v>50</v>
      </c>
      <c r="BD77" s="4">
        <f t="shared" si="4"/>
        <v>52</v>
      </c>
      <c r="BE77" s="4">
        <f t="shared" si="4"/>
        <v>40</v>
      </c>
      <c r="BF77" s="4">
        <f t="shared" si="4"/>
        <v>70</v>
      </c>
      <c r="BG77" s="4">
        <f t="shared" si="4"/>
        <v>30</v>
      </c>
      <c r="BH77" s="4">
        <f t="shared" si="4"/>
        <v>65</v>
      </c>
      <c r="BI77" s="4">
        <f t="shared" si="4"/>
        <v>31</v>
      </c>
      <c r="BJ77" s="4">
        <f t="shared" si="4"/>
        <v>56</v>
      </c>
      <c r="BK77" s="4">
        <f t="shared" si="4"/>
        <v>47</v>
      </c>
      <c r="BL77" s="4">
        <f t="shared" si="4"/>
        <v>72</v>
      </c>
    </row>
    <row r="78" spans="1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O78" s="4">
        <f t="shared" ref="AO78:BL78" si="5">MIN(C43:C46)</f>
        <v>19</v>
      </c>
      <c r="AP78" s="4">
        <f t="shared" si="5"/>
        <v>60</v>
      </c>
      <c r="AQ78" s="4">
        <f t="shared" si="5"/>
        <v>48</v>
      </c>
      <c r="AR78" s="4">
        <f t="shared" si="5"/>
        <v>51</v>
      </c>
      <c r="AS78" s="4">
        <f t="shared" si="5"/>
        <v>37</v>
      </c>
      <c r="AT78" s="4">
        <f t="shared" si="5"/>
        <v>63</v>
      </c>
      <c r="AU78" s="4">
        <f t="shared" si="5"/>
        <v>47</v>
      </c>
      <c r="AV78" s="4">
        <f t="shared" si="5"/>
        <v>52</v>
      </c>
      <c r="AW78" s="4">
        <f t="shared" si="5"/>
        <v>21</v>
      </c>
      <c r="AX78" s="4">
        <f t="shared" si="5"/>
        <v>56</v>
      </c>
      <c r="AY78" s="4">
        <f t="shared" si="5"/>
        <v>50</v>
      </c>
      <c r="AZ78" s="4">
        <f t="shared" si="5"/>
        <v>56</v>
      </c>
      <c r="BA78" s="4">
        <f t="shared" si="5"/>
        <v>38</v>
      </c>
      <c r="BB78" s="4">
        <f t="shared" si="5"/>
        <v>62</v>
      </c>
      <c r="BC78" s="4">
        <f t="shared" si="5"/>
        <v>50</v>
      </c>
      <c r="BD78" s="4">
        <f t="shared" si="5"/>
        <v>52</v>
      </c>
      <c r="BE78" s="4">
        <f t="shared" si="5"/>
        <v>31</v>
      </c>
      <c r="BF78" s="4">
        <f t="shared" si="5"/>
        <v>67</v>
      </c>
      <c r="BG78" s="4">
        <f t="shared" si="5"/>
        <v>25</v>
      </c>
      <c r="BH78" s="4">
        <f t="shared" si="5"/>
        <v>53</v>
      </c>
      <c r="BI78" s="4">
        <f t="shared" si="5"/>
        <v>28</v>
      </c>
      <c r="BJ78" s="4">
        <f t="shared" si="5"/>
        <v>56</v>
      </c>
      <c r="BK78" s="4">
        <f t="shared" si="5"/>
        <v>47</v>
      </c>
      <c r="BL78" s="4">
        <f t="shared" si="5"/>
        <v>61</v>
      </c>
    </row>
    <row r="79" spans="1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O79" s="4">
        <f t="shared" ref="AO79:BL79" si="6">AO77-AO78</f>
        <v>10</v>
      </c>
      <c r="AP79" s="4">
        <f t="shared" si="6"/>
        <v>0</v>
      </c>
      <c r="AQ79" s="4">
        <f t="shared" si="6"/>
        <v>0</v>
      </c>
      <c r="AR79" s="4">
        <f t="shared" si="6"/>
        <v>0</v>
      </c>
      <c r="AS79" s="4">
        <f t="shared" si="6"/>
        <v>0</v>
      </c>
      <c r="AT79" s="4">
        <f t="shared" si="6"/>
        <v>3</v>
      </c>
      <c r="AU79" s="4">
        <f t="shared" si="6"/>
        <v>2</v>
      </c>
      <c r="AV79" s="4">
        <f t="shared" si="6"/>
        <v>0</v>
      </c>
      <c r="AW79" s="4">
        <f t="shared" si="6"/>
        <v>2</v>
      </c>
      <c r="AX79" s="4">
        <f t="shared" si="6"/>
        <v>0</v>
      </c>
      <c r="AY79" s="4">
        <f t="shared" si="6"/>
        <v>0</v>
      </c>
      <c r="AZ79" s="4">
        <f t="shared" si="6"/>
        <v>1</v>
      </c>
      <c r="BA79" s="4">
        <f t="shared" si="6"/>
        <v>3</v>
      </c>
      <c r="BB79" s="4">
        <f t="shared" si="6"/>
        <v>6</v>
      </c>
      <c r="BC79" s="4">
        <f t="shared" si="6"/>
        <v>0</v>
      </c>
      <c r="BD79" s="4">
        <f t="shared" si="6"/>
        <v>0</v>
      </c>
      <c r="BE79" s="4">
        <f t="shared" si="6"/>
        <v>9</v>
      </c>
      <c r="BF79" s="4">
        <f t="shared" si="6"/>
        <v>3</v>
      </c>
      <c r="BG79" s="4">
        <f t="shared" si="6"/>
        <v>5</v>
      </c>
      <c r="BH79" s="4">
        <f t="shared" si="6"/>
        <v>12</v>
      </c>
      <c r="BI79" s="4">
        <f t="shared" si="6"/>
        <v>3</v>
      </c>
      <c r="BJ79" s="4">
        <f t="shared" si="6"/>
        <v>0</v>
      </c>
      <c r="BK79" s="4">
        <f t="shared" si="6"/>
        <v>0</v>
      </c>
      <c r="BL79" s="4">
        <f t="shared" si="6"/>
        <v>11</v>
      </c>
    </row>
    <row r="80" spans="1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N80" s="38" t="s">
        <v>27</v>
      </c>
      <c r="AO80" s="4">
        <f t="shared" ref="AO80:BL80" si="7">MAX(C47:C50)</f>
        <v>34</v>
      </c>
      <c r="AP80" s="4">
        <f t="shared" si="7"/>
        <v>60</v>
      </c>
      <c r="AQ80" s="4">
        <f t="shared" si="7"/>
        <v>48</v>
      </c>
      <c r="AR80" s="4">
        <f t="shared" si="7"/>
        <v>53</v>
      </c>
      <c r="AS80" s="4">
        <f t="shared" si="7"/>
        <v>39</v>
      </c>
      <c r="AT80" s="4">
        <f t="shared" si="7"/>
        <v>74</v>
      </c>
      <c r="AU80" s="4">
        <f t="shared" si="7"/>
        <v>0</v>
      </c>
      <c r="AV80" s="4">
        <f t="shared" si="7"/>
        <v>0</v>
      </c>
      <c r="AW80" s="4">
        <f t="shared" si="7"/>
        <v>23</v>
      </c>
      <c r="AX80" s="4">
        <f t="shared" si="7"/>
        <v>56</v>
      </c>
      <c r="AY80" s="4">
        <f t="shared" si="7"/>
        <v>0</v>
      </c>
      <c r="AZ80" s="4">
        <f t="shared" si="7"/>
        <v>0</v>
      </c>
      <c r="BA80" s="4">
        <f t="shared" si="7"/>
        <v>40</v>
      </c>
      <c r="BB80" s="4">
        <f t="shared" si="7"/>
        <v>68</v>
      </c>
      <c r="BC80" s="4">
        <f t="shared" si="7"/>
        <v>50</v>
      </c>
      <c r="BD80" s="4">
        <f t="shared" si="7"/>
        <v>52</v>
      </c>
      <c r="BE80" s="4">
        <f t="shared" si="7"/>
        <v>39</v>
      </c>
      <c r="BF80" s="4">
        <f t="shared" si="7"/>
        <v>71</v>
      </c>
      <c r="BG80" s="4">
        <f t="shared" si="7"/>
        <v>33</v>
      </c>
      <c r="BH80" s="4">
        <f t="shared" si="7"/>
        <v>57</v>
      </c>
      <c r="BI80" s="4">
        <f t="shared" si="7"/>
        <v>33</v>
      </c>
      <c r="BJ80" s="4">
        <f t="shared" si="7"/>
        <v>64</v>
      </c>
      <c r="BK80" s="4">
        <f t="shared" si="7"/>
        <v>47</v>
      </c>
      <c r="BL80" s="4">
        <f t="shared" si="7"/>
        <v>72</v>
      </c>
    </row>
    <row r="81" spans="3:64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O81" s="4">
        <f t="shared" ref="AO81:BL81" si="8">MIN(C47:C50)</f>
        <v>25</v>
      </c>
      <c r="AP81" s="4">
        <f t="shared" si="8"/>
        <v>60</v>
      </c>
      <c r="AQ81" s="4">
        <f t="shared" si="8"/>
        <v>47</v>
      </c>
      <c r="AR81" s="4">
        <f t="shared" si="8"/>
        <v>51</v>
      </c>
      <c r="AS81" s="4">
        <f t="shared" si="8"/>
        <v>37</v>
      </c>
      <c r="AT81" s="4">
        <f t="shared" si="8"/>
        <v>61</v>
      </c>
      <c r="AU81" s="4">
        <f t="shared" si="8"/>
        <v>0</v>
      </c>
      <c r="AV81" s="4">
        <f t="shared" si="8"/>
        <v>0</v>
      </c>
      <c r="AW81" s="4">
        <f t="shared" si="8"/>
        <v>21</v>
      </c>
      <c r="AX81" s="4">
        <f t="shared" si="8"/>
        <v>54</v>
      </c>
      <c r="AY81" s="4">
        <f t="shared" si="8"/>
        <v>0</v>
      </c>
      <c r="AZ81" s="4">
        <f t="shared" si="8"/>
        <v>0</v>
      </c>
      <c r="BA81" s="4">
        <f t="shared" si="8"/>
        <v>37</v>
      </c>
      <c r="BB81" s="4">
        <f t="shared" si="8"/>
        <v>64</v>
      </c>
      <c r="BC81" s="4">
        <f t="shared" si="8"/>
        <v>50</v>
      </c>
      <c r="BD81" s="4">
        <f t="shared" si="8"/>
        <v>52</v>
      </c>
      <c r="BE81" s="4">
        <f t="shared" si="8"/>
        <v>36</v>
      </c>
      <c r="BF81" s="4">
        <f t="shared" si="8"/>
        <v>61</v>
      </c>
      <c r="BG81" s="4">
        <f t="shared" si="8"/>
        <v>28</v>
      </c>
      <c r="BH81" s="4">
        <f t="shared" si="8"/>
        <v>53</v>
      </c>
      <c r="BI81" s="4">
        <f t="shared" si="8"/>
        <v>27</v>
      </c>
      <c r="BJ81" s="4">
        <f t="shared" si="8"/>
        <v>56</v>
      </c>
      <c r="BK81" s="4">
        <f t="shared" si="8"/>
        <v>46</v>
      </c>
      <c r="BL81" s="4">
        <f t="shared" si="8"/>
        <v>57</v>
      </c>
    </row>
    <row r="82" spans="3:64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O82" s="4">
        <f t="shared" ref="AO82:BL82" si="9">AO80-AO81</f>
        <v>9</v>
      </c>
      <c r="AP82" s="4">
        <f t="shared" si="9"/>
        <v>0</v>
      </c>
      <c r="AQ82" s="4">
        <f t="shared" si="9"/>
        <v>1</v>
      </c>
      <c r="AR82" s="4">
        <f t="shared" si="9"/>
        <v>2</v>
      </c>
      <c r="AS82" s="4">
        <f t="shared" si="9"/>
        <v>2</v>
      </c>
      <c r="AT82" s="4">
        <f t="shared" si="9"/>
        <v>13</v>
      </c>
      <c r="AU82" s="4">
        <f t="shared" si="9"/>
        <v>0</v>
      </c>
      <c r="AV82" s="4">
        <f t="shared" si="9"/>
        <v>0</v>
      </c>
      <c r="AW82" s="4">
        <f t="shared" si="9"/>
        <v>2</v>
      </c>
      <c r="AX82" s="4">
        <f t="shared" si="9"/>
        <v>2</v>
      </c>
      <c r="AY82" s="4">
        <f t="shared" si="9"/>
        <v>0</v>
      </c>
      <c r="AZ82" s="4">
        <f t="shared" si="9"/>
        <v>0</v>
      </c>
      <c r="BA82" s="4">
        <f t="shared" si="9"/>
        <v>3</v>
      </c>
      <c r="BB82" s="4">
        <f t="shared" si="9"/>
        <v>4</v>
      </c>
      <c r="BC82" s="4">
        <f t="shared" si="9"/>
        <v>0</v>
      </c>
      <c r="BD82" s="4">
        <f t="shared" si="9"/>
        <v>0</v>
      </c>
      <c r="BE82" s="4">
        <f t="shared" si="9"/>
        <v>3</v>
      </c>
      <c r="BF82" s="4">
        <f t="shared" si="9"/>
        <v>10</v>
      </c>
      <c r="BG82" s="4">
        <f t="shared" si="9"/>
        <v>5</v>
      </c>
      <c r="BH82" s="4">
        <f t="shared" si="9"/>
        <v>4</v>
      </c>
      <c r="BI82" s="4">
        <f t="shared" si="9"/>
        <v>6</v>
      </c>
      <c r="BJ82" s="4">
        <f t="shared" si="9"/>
        <v>8</v>
      </c>
      <c r="BK82" s="4">
        <f t="shared" si="9"/>
        <v>1</v>
      </c>
      <c r="BL82" s="4">
        <f t="shared" si="9"/>
        <v>15</v>
      </c>
    </row>
    <row r="83" spans="3:64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N83" s="38" t="s">
        <v>28</v>
      </c>
      <c r="AO83" s="4">
        <f t="shared" ref="AO83:BL83" si="10">MAX(C51)</f>
        <v>34</v>
      </c>
      <c r="AP83" s="4">
        <f t="shared" si="10"/>
        <v>60</v>
      </c>
      <c r="AQ83" s="4">
        <f t="shared" si="10"/>
        <v>47</v>
      </c>
      <c r="AR83" s="4">
        <f t="shared" si="10"/>
        <v>53</v>
      </c>
      <c r="AS83" s="4">
        <f t="shared" si="10"/>
        <v>39</v>
      </c>
      <c r="AT83" s="4">
        <f t="shared" si="10"/>
        <v>61</v>
      </c>
      <c r="AU83" s="4">
        <f t="shared" si="10"/>
        <v>0</v>
      </c>
      <c r="AV83" s="4">
        <f t="shared" si="10"/>
        <v>0</v>
      </c>
      <c r="AW83" s="4">
        <f t="shared" si="10"/>
        <v>22</v>
      </c>
      <c r="AX83" s="4">
        <f t="shared" si="10"/>
        <v>54</v>
      </c>
      <c r="AY83" s="4">
        <f t="shared" si="10"/>
        <v>0</v>
      </c>
      <c r="AZ83" s="4">
        <f t="shared" si="10"/>
        <v>0</v>
      </c>
      <c r="BA83" s="4">
        <f t="shared" si="10"/>
        <v>38</v>
      </c>
      <c r="BB83" s="4">
        <f t="shared" si="10"/>
        <v>64</v>
      </c>
      <c r="BC83" s="4">
        <f t="shared" si="10"/>
        <v>50</v>
      </c>
      <c r="BD83" s="4">
        <f t="shared" si="10"/>
        <v>52</v>
      </c>
      <c r="BE83" s="4">
        <f t="shared" si="10"/>
        <v>36</v>
      </c>
      <c r="BF83" s="4">
        <f t="shared" si="10"/>
        <v>61</v>
      </c>
      <c r="BG83" s="4">
        <f t="shared" si="10"/>
        <v>33</v>
      </c>
      <c r="BH83" s="4">
        <f t="shared" si="10"/>
        <v>57</v>
      </c>
      <c r="BI83" s="4">
        <f t="shared" si="10"/>
        <v>33</v>
      </c>
      <c r="BJ83" s="4">
        <f t="shared" si="10"/>
        <v>64</v>
      </c>
      <c r="BK83" s="4">
        <f t="shared" si="10"/>
        <v>46</v>
      </c>
      <c r="BL83" s="4">
        <f t="shared" si="10"/>
        <v>57</v>
      </c>
    </row>
    <row r="84" spans="3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O84" s="4">
        <f t="shared" ref="AO84:BL84" si="11">MIN(C51)</f>
        <v>34</v>
      </c>
      <c r="AP84" s="4">
        <f t="shared" si="11"/>
        <v>60</v>
      </c>
      <c r="AQ84" s="4">
        <f t="shared" si="11"/>
        <v>47</v>
      </c>
      <c r="AR84" s="4">
        <f t="shared" si="11"/>
        <v>53</v>
      </c>
      <c r="AS84" s="4">
        <f t="shared" si="11"/>
        <v>39</v>
      </c>
      <c r="AT84" s="4">
        <f t="shared" si="11"/>
        <v>61</v>
      </c>
      <c r="AU84" s="4">
        <f t="shared" si="11"/>
        <v>0</v>
      </c>
      <c r="AV84" s="4">
        <f t="shared" si="11"/>
        <v>0</v>
      </c>
      <c r="AW84" s="4">
        <f t="shared" si="11"/>
        <v>22</v>
      </c>
      <c r="AX84" s="4">
        <f t="shared" si="11"/>
        <v>54</v>
      </c>
      <c r="AY84" s="4">
        <f t="shared" si="11"/>
        <v>0</v>
      </c>
      <c r="AZ84" s="4">
        <f t="shared" si="11"/>
        <v>0</v>
      </c>
      <c r="BA84" s="4">
        <f t="shared" si="11"/>
        <v>38</v>
      </c>
      <c r="BB84" s="4">
        <f t="shared" si="11"/>
        <v>64</v>
      </c>
      <c r="BC84" s="4">
        <f t="shared" si="11"/>
        <v>50</v>
      </c>
      <c r="BD84" s="4">
        <f t="shared" si="11"/>
        <v>52</v>
      </c>
      <c r="BE84" s="4">
        <f t="shared" si="11"/>
        <v>36</v>
      </c>
      <c r="BF84" s="4">
        <f t="shared" si="11"/>
        <v>61</v>
      </c>
      <c r="BG84" s="4">
        <f t="shared" si="11"/>
        <v>33</v>
      </c>
      <c r="BH84" s="4">
        <f t="shared" si="11"/>
        <v>57</v>
      </c>
      <c r="BI84" s="4">
        <f t="shared" si="11"/>
        <v>33</v>
      </c>
      <c r="BJ84" s="4">
        <f t="shared" si="11"/>
        <v>64</v>
      </c>
      <c r="BK84" s="4">
        <f t="shared" si="11"/>
        <v>46</v>
      </c>
      <c r="BL84" s="4">
        <f t="shared" si="11"/>
        <v>57</v>
      </c>
    </row>
    <row r="85" spans="3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O85" s="4">
        <f t="shared" ref="AO85:BL85" si="12">AO83-AO84</f>
        <v>0</v>
      </c>
      <c r="AP85" s="4">
        <f t="shared" si="12"/>
        <v>0</v>
      </c>
      <c r="AQ85" s="4">
        <f t="shared" si="12"/>
        <v>0</v>
      </c>
      <c r="AR85" s="4">
        <f t="shared" si="12"/>
        <v>0</v>
      </c>
      <c r="AS85" s="4">
        <f t="shared" si="12"/>
        <v>0</v>
      </c>
      <c r="AT85" s="4">
        <f t="shared" si="12"/>
        <v>0</v>
      </c>
      <c r="AU85" s="4">
        <f t="shared" si="12"/>
        <v>0</v>
      </c>
      <c r="AV85" s="4">
        <f t="shared" si="12"/>
        <v>0</v>
      </c>
      <c r="AW85" s="4">
        <f t="shared" si="12"/>
        <v>0</v>
      </c>
      <c r="AX85" s="4">
        <f t="shared" si="12"/>
        <v>0</v>
      </c>
      <c r="AY85" s="4">
        <f t="shared" si="12"/>
        <v>0</v>
      </c>
      <c r="AZ85" s="4">
        <f t="shared" si="12"/>
        <v>0</v>
      </c>
      <c r="BA85" s="4">
        <f t="shared" si="12"/>
        <v>0</v>
      </c>
      <c r="BB85" s="4">
        <f t="shared" si="12"/>
        <v>0</v>
      </c>
      <c r="BC85" s="4">
        <f t="shared" si="12"/>
        <v>0</v>
      </c>
      <c r="BD85" s="4">
        <f t="shared" si="12"/>
        <v>0</v>
      </c>
      <c r="BE85" s="4">
        <f t="shared" si="12"/>
        <v>0</v>
      </c>
      <c r="BF85" s="4">
        <f t="shared" si="12"/>
        <v>0</v>
      </c>
      <c r="BG85" s="4">
        <f t="shared" si="12"/>
        <v>0</v>
      </c>
      <c r="BH85" s="4">
        <f t="shared" si="12"/>
        <v>0</v>
      </c>
      <c r="BI85" s="4">
        <f t="shared" si="12"/>
        <v>0</v>
      </c>
      <c r="BJ85" s="4">
        <f t="shared" si="12"/>
        <v>0</v>
      </c>
      <c r="BK85" s="4">
        <f t="shared" si="12"/>
        <v>0</v>
      </c>
      <c r="BL85" s="4">
        <f t="shared" si="12"/>
        <v>0</v>
      </c>
    </row>
    <row r="86" spans="3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O86" s="4">
        <f t="shared" ref="AO86:BL86" si="13">AO76+AO79+AO82+AO85</f>
        <v>31</v>
      </c>
      <c r="AP86" s="4">
        <f t="shared" si="13"/>
        <v>4</v>
      </c>
      <c r="AQ86" s="4">
        <f t="shared" si="13"/>
        <v>1</v>
      </c>
      <c r="AR86" s="4">
        <f t="shared" si="13"/>
        <v>3</v>
      </c>
      <c r="AS86" s="4">
        <f t="shared" si="13"/>
        <v>6</v>
      </c>
      <c r="AT86" s="4">
        <f t="shared" si="13"/>
        <v>22</v>
      </c>
      <c r="AU86" s="4">
        <f t="shared" si="13"/>
        <v>5</v>
      </c>
      <c r="AV86" s="4">
        <f t="shared" si="13"/>
        <v>1</v>
      </c>
      <c r="AW86" s="4">
        <f t="shared" si="13"/>
        <v>7</v>
      </c>
      <c r="AX86" s="4">
        <f t="shared" si="13"/>
        <v>3</v>
      </c>
      <c r="AY86" s="4">
        <f t="shared" si="13"/>
        <v>0</v>
      </c>
      <c r="AZ86" s="4">
        <f t="shared" si="13"/>
        <v>6</v>
      </c>
      <c r="BA86" s="4">
        <f t="shared" si="13"/>
        <v>9</v>
      </c>
      <c r="BB86" s="4">
        <f t="shared" si="13"/>
        <v>17</v>
      </c>
      <c r="BC86" s="4">
        <f t="shared" si="13"/>
        <v>0</v>
      </c>
      <c r="BD86" s="4">
        <f t="shared" si="13"/>
        <v>0</v>
      </c>
      <c r="BE86" s="4">
        <f t="shared" si="13"/>
        <v>20</v>
      </c>
      <c r="BF86" s="4">
        <f t="shared" si="13"/>
        <v>23</v>
      </c>
      <c r="BG86" s="4">
        <f t="shared" si="13"/>
        <v>22</v>
      </c>
      <c r="BH86" s="4">
        <f t="shared" si="13"/>
        <v>21</v>
      </c>
      <c r="BI86" s="4">
        <f t="shared" si="13"/>
        <v>17</v>
      </c>
      <c r="BJ86" s="4">
        <f t="shared" si="13"/>
        <v>9</v>
      </c>
      <c r="BK86" s="4">
        <f t="shared" si="13"/>
        <v>1</v>
      </c>
      <c r="BL86" s="4">
        <f t="shared" si="13"/>
        <v>38</v>
      </c>
    </row>
    <row r="87" spans="3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3" activePane="bottomLeft" state="frozenSplit"/>
      <selection pane="bottomLeft" activeCell="A22" sqref="A22:XFD2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8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1171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923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1291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1172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1302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915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917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1291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1173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919</v>
      </c>
      <c r="E22" s="3">
        <f>VLOOKUP($D22,'SegEnds_NonXtal_Prot#'!$A:$AZ,30,FALSE)-VLOOKUP($D22,'SegEnds_NonXtal_Prot#'!$A:$AZ,29,FALSE)</f>
        <v>3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23</v>
      </c>
      <c r="I22" s="3"/>
      <c r="J22" s="3"/>
      <c r="K22" s="1" t="s">
        <v>1291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3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1329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1298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1299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1291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913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1295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1291</v>
      </c>
      <c r="L29" s="1"/>
      <c r="N29" t="s">
        <v>1301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1291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909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921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1331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1175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1294</v>
      </c>
      <c r="N39" s="1" t="s">
        <v>1300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1174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1294</v>
      </c>
      <c r="N40" s="1" t="s">
        <v>1300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911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1291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8" priority="10" operator="equal">
      <formula>"Opsins"</formula>
    </cfRule>
    <cfRule type="cellIs" dxfId="57" priority="11" operator="equal">
      <formula>"Opioid"</formula>
    </cfRule>
    <cfRule type="cellIs" dxfId="56" priority="12" operator="equal">
      <formula>"P2Y"</formula>
    </cfRule>
    <cfRule type="cellIs" dxfId="55" priority="13" operator="equal">
      <formula>"Chemokine"</formula>
    </cfRule>
  </conditionalFormatting>
  <conditionalFormatting sqref="B6:B41">
    <cfRule type="cellIs" dxfId="54" priority="5" operator="equal">
      <formula>"Aminergic"</formula>
    </cfRule>
    <cfRule type="cellIs" dxfId="53" priority="6" operator="equal">
      <formula>"Opsins"</formula>
    </cfRule>
    <cfRule type="cellIs" dxfId="52" priority="7" operator="equal">
      <formula>"Opioid"</formula>
    </cfRule>
    <cfRule type="cellIs" dxfId="51" priority="8" operator="equal">
      <formula>"P2Y"</formula>
    </cfRule>
    <cfRule type="cellIs" dxfId="50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5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1408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1420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9" priority="8" operator="equal">
      <formula>"Opsins"</formula>
    </cfRule>
    <cfRule type="cellIs" dxfId="48" priority="9" operator="equal">
      <formula>"Opioid"</formula>
    </cfRule>
    <cfRule type="cellIs" dxfId="47" priority="10" operator="equal">
      <formula>"P2Y"</formula>
    </cfRule>
    <cfRule type="cellIs" dxfId="46" priority="11" operator="equal">
      <formula>"Chemokine"</formula>
    </cfRule>
  </conditionalFormatting>
  <conditionalFormatting sqref="B6:B8">
    <cfRule type="cellIs" dxfId="45" priority="3" operator="equal">
      <formula>"Aminergic"</formula>
    </cfRule>
    <cfRule type="cellIs" dxfId="44" priority="4" operator="equal">
      <formula>"Opsins"</formula>
    </cfRule>
    <cfRule type="cellIs" dxfId="43" priority="5" operator="equal">
      <formula>"Opioid"</formula>
    </cfRule>
    <cfRule type="cellIs" dxfId="42" priority="6" operator="equal">
      <formula>"P2Y"</formula>
    </cfRule>
    <cfRule type="cellIs" dxfId="41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4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40" priority="8" operator="equal">
      <formula>"Opsins"</formula>
    </cfRule>
    <cfRule type="cellIs" dxfId="39" priority="9" operator="equal">
      <formula>"Opioid"</formula>
    </cfRule>
    <cfRule type="cellIs" dxfId="38" priority="10" operator="equal">
      <formula>"P2Y"</formula>
    </cfRule>
    <cfRule type="cellIs" dxfId="37" priority="11" operator="equal">
      <formula>"Chemokine"</formula>
    </cfRule>
  </conditionalFormatting>
  <conditionalFormatting sqref="B6">
    <cfRule type="cellIs" dxfId="36" priority="3" operator="equal">
      <formula>"Aminergic"</formula>
    </cfRule>
    <cfRule type="cellIs" dxfId="35" priority="4" operator="equal">
      <formula>"Opsins"</formula>
    </cfRule>
    <cfRule type="cellIs" dxfId="34" priority="5" operator="equal">
      <formula>"Opioid"</formula>
    </cfRule>
    <cfRule type="cellIs" dxfId="33" priority="6" operator="equal">
      <formula>"P2Y"</formula>
    </cfRule>
    <cfRule type="cellIs" dxfId="32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zoomScale="135" zoomScaleNormal="135" zoomScalePageLayoutView="135" workbookViewId="0">
      <pane ySplit="1" topLeftCell="A292" activePane="bottomLeft" state="frozenSplit"/>
      <selection pane="bottomLeft" activeCell="A309" sqref="A309:XFD309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1206</v>
      </c>
      <c r="C1" s="26" t="s">
        <v>1060</v>
      </c>
      <c r="D1" s="8" t="s">
        <v>1061</v>
      </c>
      <c r="E1" s="8" t="s">
        <v>1077</v>
      </c>
      <c r="F1" s="8" t="s">
        <v>1078</v>
      </c>
      <c r="G1" s="8" t="s">
        <v>1062</v>
      </c>
      <c r="H1" s="99" t="s">
        <v>1063</v>
      </c>
      <c r="I1" s="8" t="s">
        <v>1079</v>
      </c>
      <c r="J1" s="8" t="s">
        <v>1080</v>
      </c>
      <c r="K1" s="99" t="s">
        <v>1064</v>
      </c>
      <c r="L1" s="8" t="s">
        <v>1065</v>
      </c>
      <c r="M1" s="8" t="s">
        <v>1092</v>
      </c>
      <c r="N1" s="99" t="s">
        <v>1093</v>
      </c>
      <c r="O1" s="86" t="s">
        <v>1066</v>
      </c>
      <c r="P1" s="8" t="s">
        <v>1067</v>
      </c>
      <c r="Q1" s="8" t="s">
        <v>1095</v>
      </c>
      <c r="R1" s="8" t="s">
        <v>1096</v>
      </c>
      <c r="S1" s="8" t="s">
        <v>1068</v>
      </c>
      <c r="T1" s="8" t="s">
        <v>1069</v>
      </c>
      <c r="U1" s="8" t="s">
        <v>1070</v>
      </c>
      <c r="V1" s="8" t="s">
        <v>1071</v>
      </c>
      <c r="W1" s="8" t="s">
        <v>1072</v>
      </c>
      <c r="X1" s="8" t="s">
        <v>1073</v>
      </c>
      <c r="Y1" s="8" t="s">
        <v>1074</v>
      </c>
      <c r="Z1" s="8" t="s">
        <v>1075</v>
      </c>
      <c r="AA1" s="26" t="s">
        <v>99</v>
      </c>
      <c r="AB1" s="30" t="s">
        <v>1240</v>
      </c>
      <c r="AC1" s="30" t="s">
        <v>1286</v>
      </c>
      <c r="AD1" s="30" t="s">
        <v>1282</v>
      </c>
      <c r="AE1" s="30" t="s">
        <v>1241</v>
      </c>
      <c r="AF1" s="30" t="s">
        <v>1275</v>
      </c>
      <c r="AG1" s="26" t="s">
        <v>1279</v>
      </c>
      <c r="AH1" s="30" t="s">
        <v>1391</v>
      </c>
      <c r="AI1" s="30" t="s">
        <v>1242</v>
      </c>
      <c r="AJ1" s="30" t="s">
        <v>1239</v>
      </c>
      <c r="AK1" s="30" t="s">
        <v>1480</v>
      </c>
      <c r="AL1" s="30" t="s">
        <v>1226</v>
      </c>
    </row>
    <row r="2" spans="1:38" x14ac:dyDescent="0.2">
      <c r="A2" s="1" t="s">
        <v>166</v>
      </c>
      <c r="B2" s="1" t="str">
        <f>VLOOKUP(A2,Xtal_Templ!A:B,2,FALSE)</f>
        <v>c5ar1_human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 t="str">
        <f>VLOOKUP($B2&amp;"__wt",'SegEnds_Xtal_BW#'!$A:$Z,5,FALSE)</f>
        <v>-</v>
      </c>
      <c r="F2" s="1" t="str">
        <f>VLOOKUP($B2&amp;"__wt",'SegEnds_Xtal_BW#'!$A:$Z,6,FALSE)</f>
        <v>-</v>
      </c>
      <c r="G2" s="1">
        <v>37</v>
      </c>
      <c r="H2" s="12">
        <f>VLOOKUP($B2&amp;"__wt",'SegEnds_Xtal_BW#'!$A:$Z,8,FALSE)</f>
        <v>67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18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31</v>
      </c>
      <c r="T2" s="1">
        <f t="array" ref="T2">INDEX(ICL3_classA!$G$2:$G$37,MATCH(MIN(ABS(AI2-ICL3_classA!$F$2:$F$37)),ABS(AI2-ICL3_classA!$F$2:$F$37),0))</f>
        <v>64</v>
      </c>
      <c r="U2" s="108">
        <v>31</v>
      </c>
      <c r="V2" s="1">
        <v>61</v>
      </c>
      <c r="W2" s="108">
        <v>25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56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27</v>
      </c>
      <c r="AC2" s="1" t="e">
        <f>VLOOKUP(A2,'SegEnds_NonXtal_Prot#'!A:AL,10,FALSE)-VLOOKUP(A2,'SegEnds_NonXtal_Prot#'!A:AL,7,FALSE)</f>
        <v>#VALUE!</v>
      </c>
      <c r="AD2" s="1">
        <f>VLOOKUP(A2,'SegEnds_NonXtal_Prot#'!A:AL,13,FALSE)-VLOOKUP(A2,'SegEnds_NonXtal_Prot#'!A:AL,10,FALSE)</f>
        <v>20</v>
      </c>
      <c r="AE2" s="1">
        <f>VLOOKUP(A2,'SegEnds_NonXtal_Prot#'!A:AL,16,FALSE)-VLOOKUP(A2,'SegEnds_NonXtal_Prot#'!A:AL,10,FALSE)</f>
        <v>52</v>
      </c>
      <c r="AF2" s="1">
        <f>VLOOKUP(A2,'SegEnds_NonXtal_Prot#'!A:AL,22,FALSE)-VLOOKUP(A2,'SegEnds_NonXtal_Prot#'!A:AL,19,FALSE)</f>
        <v>20</v>
      </c>
      <c r="AG2" s="1">
        <f>VLOOKUP(A2,'SegEnds_NonXtal_Prot#'!A:AL,28,FALSE)-VLOOKUP(A2,'SegEnds_NonXtal_Prot#'!A:AL,25,FALSE)</f>
        <v>26</v>
      </c>
      <c r="AH2" s="1">
        <f>VLOOKUP(A2,'SegEnds_NonXtal_Prot#'!A:AL,28,FALSE)-VLOOKUP(A2,'SegEnds_NonXtal_Prot#'!A:AL,22,FALSE)</f>
        <v>53</v>
      </c>
      <c r="AI2" s="1">
        <f>VLOOKUP(A2,'SegEnds_NonXtal_Prot#'!A:AL,31,FALSE)-VLOOKUP(A2,'SegEnds_NonXtal_Prot#'!A:AL,28,FALSE)</f>
        <v>36</v>
      </c>
      <c r="AJ2" s="1">
        <f>VLOOKUP(A2,'SegEnds_NonXtal_Prot#'!A:AL,34,FALSE)-VLOOKUP(A2,'SegEnds_NonXtal_Prot#'!A:AL,31,FALSE)</f>
        <v>40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142</v>
      </c>
      <c r="B3" s="1" t="str">
        <f>VLOOKUP(A3,Xtal_Templ!A:B,2,FALSE)</f>
        <v>c5ar1_human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 t="str">
        <f>VLOOKUP($B3&amp;"__wt",'SegEnds_Xtal_BW#'!$A:$Z,5,FALSE)</f>
        <v>-</v>
      </c>
      <c r="F3" s="1" t="str">
        <f>VLOOKUP($B3&amp;"__wt",'SegEnds_Xtal_BW#'!$A:$Z,6,FALSE)</f>
        <v>-</v>
      </c>
      <c r="G3" s="1">
        <v>37</v>
      </c>
      <c r="H3" s="12">
        <v>66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57</v>
      </c>
      <c r="O3" s="87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31</v>
      </c>
      <c r="T3" s="1">
        <f t="array" ref="T3">INDEX(ICL3_classA!$G$2:$G$37,MATCH(MIN(ABS(AI3-ICL3_classA!$F$2:$F$37)),ABS(AI3-ICL3_classA!$F$2:$F$37),0))</f>
        <v>64</v>
      </c>
      <c r="U3" s="1">
        <f t="array" ref="U3">INDEX(ICL3_classA!$H$2:$H$37,MATCH(MIN(ABS(AI3-ICL3_classA!$F$2:$F$37)),ABS(AI3-ICL3_classA!$F$2:$F$37),0))</f>
        <v>34</v>
      </c>
      <c r="V3" s="1">
        <v>64</v>
      </c>
      <c r="W3" s="1">
        <v>24</v>
      </c>
      <c r="X3" s="108">
        <v>56</v>
      </c>
      <c r="Y3" s="1">
        <f>VLOOKUP($B3&amp;"__wt",'SegEnds_Xtal_BW#'!$A:$Z,25,FALSE)</f>
        <v>47</v>
      </c>
      <c r="Z3" s="1">
        <f>VLOOKUP($B3&amp;"__wt",'SegEnds_Xtal_BW#'!$A:$Z,26,FALSE)</f>
        <v>56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30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48</v>
      </c>
      <c r="AF3" s="1" t="e">
        <f>VLOOKUP(A3,'SegEnds_NonXtal_Prot#'!A:AL,22,FALSE)-VLOOKUP(A3,'SegEnds_NonXtal_Prot#'!A:AL,19,FALSE)</f>
        <v>#VALUE!</v>
      </c>
      <c r="AG3" s="1">
        <f>VLOOKUP(A3,'SegEnds_NonXtal_Prot#'!A:AL,28,FALSE)-VLOOKUP(A3,'SegEnds_NonXtal_Prot#'!A:AL,25,FALSE)</f>
        <v>23</v>
      </c>
      <c r="AH3" s="1">
        <f>VLOOKUP(A3,'SegEnds_NonXtal_Prot#'!A:AL,28,FALSE)-VLOOKUP(A3,'SegEnds_NonXtal_Prot#'!A:AL,22,FALSE)</f>
        <v>44</v>
      </c>
      <c r="AI3" s="1">
        <f>VLOOKUP(A3,'SegEnds_NonXtal_Prot#'!A:AL,31,FALSE)-VLOOKUP(A3,'SegEnds_NonXtal_Prot#'!A:AL,28,FALSE)</f>
        <v>37</v>
      </c>
      <c r="AJ3" s="1">
        <f>VLOOKUP(A3,'SegEnds_NonXtal_Prot#'!A:AL,34,FALSE)-VLOOKUP(A3,'SegEnds_NonXtal_Prot#'!A:AL,31,FALSE)</f>
        <v>46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151</v>
      </c>
      <c r="B4" s="1" t="str">
        <f>VLOOKUP(A4,Xtal_Templ!A:B,2,FALSE)</f>
        <v>s1pr1_human</v>
      </c>
      <c r="C4" s="5">
        <f>VLOOKUP($B4&amp;"__wt",'SegEnds_Xtal_BW#'!$A:$Z,3,FALSE)</f>
        <v>29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v>67</v>
      </c>
      <c r="I4" s="1" t="s">
        <v>23</v>
      </c>
      <c r="J4" s="1" t="s">
        <v>23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87">
        <f>VLOOKUP($B4&amp;"__wt",'SegEnds_Xtal_BW#'!$A:$Z,15,FALSE)</f>
        <v>38</v>
      </c>
      <c r="P4" s="1">
        <f>VLOOKUP($B4&amp;"__wt",'SegEnds_Xtal_BW#'!$A:$Z,16,FALSE)</f>
        <v>63</v>
      </c>
      <c r="Q4" s="1" t="str">
        <f>VLOOKUP($B4&amp;"__wt",'SegEnds_Xtal_BW#'!$A:$Z,17,FALSE)</f>
        <v>-</v>
      </c>
      <c r="R4" s="1" t="str">
        <f>VLOOKUP($B4&amp;"__wt",'SegEnds_Xtal_BW#'!$A:$Z,18,FALSE)</f>
        <v>-</v>
      </c>
      <c r="S4" s="108">
        <v>33</v>
      </c>
      <c r="T4" s="1">
        <f t="array" ref="T4">INDEX(ICL3_classA!$G$2:$G$37,MATCH(MIN(ABS(AI4-ICL3_classA!$F$2:$F$37)),ABS(AI4-ICL3_classA!$F$2:$F$37),0))</f>
        <v>66</v>
      </c>
      <c r="U4" s="1">
        <f t="array" ref="U4">INDEX(ICL3_classA!$H$2:$H$37,MATCH(MIN(ABS(AI4-ICL3_classA!$F$2:$F$37)),ABS(AI4-ICL3_classA!$F$2:$F$37),0))</f>
        <v>30</v>
      </c>
      <c r="V4" s="1">
        <v>61</v>
      </c>
      <c r="W4" s="132">
        <f>VLOOKUP($B4&amp;"__wt",'SegEnds_Xtal_BW#'!$A:$Z,23,FALSE)</f>
        <v>30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1">
        <f>VLOOKUP(A4,'SegEnds_NonXtal_Prot#'!A:AL,10,FALSE)-VLOOKUP(A4,'SegEnds_NonXtal_Prot#'!A:AL,7,FALSE)</f>
        <v>15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58</v>
      </c>
      <c r="AF4" s="1">
        <f>VLOOKUP(A4,'SegEnds_NonXtal_Prot#'!A:AL,22,FALSE)-VLOOKUP(A4,'SegEnds_NonXtal_Prot#'!A:AL,19,FALSE)</f>
        <v>20</v>
      </c>
      <c r="AG4" s="1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40</v>
      </c>
      <c r="AI4" s="1">
        <f>VLOOKUP(A4,'SegEnds_NonXtal_Prot#'!A:AL,31,FALSE)-VLOOKUP(A4,'SegEnds_NonXtal_Prot#'!A:AL,28,FALSE)</f>
        <v>39</v>
      </c>
      <c r="AJ4" s="1">
        <f>VLOOKUP(A4,'SegEnds_NonXtal_Prot#'!A:AL,34,FALSE)-VLOOKUP(A4,'SegEnds_NonXtal_Prot#'!A:AL,31,FALSE)</f>
        <v>39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178</v>
      </c>
      <c r="B5" s="1" t="str">
        <f>VLOOKUP(A5,Xtal_Templ!A:B,2,FALSE)</f>
        <v>ccr5_human</v>
      </c>
      <c r="C5" s="5">
        <f>VLOOKUP($B5&amp;"__wt",'SegEnds_Xtal_BW#'!$A:$Z,3,FALSE)</f>
        <v>24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63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08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58</v>
      </c>
      <c r="O5" s="87">
        <v>38</v>
      </c>
      <c r="P5" s="1">
        <f>VLOOKUP($B5&amp;"__wt",'SegEnds_Xtal_BW#'!$A:$Z,16,FALSE)</f>
        <v>64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f>VLOOKUP($B5&amp;"__wt",'SegEnds_Xtal_BW#'!$A:$Z,19,FALSE)</f>
        <v>30</v>
      </c>
      <c r="T5" s="1">
        <f t="array" ref="T5">INDEX(ICL3_classA!$G$2:$G$37,MATCH(MIN(ABS(AI5-ICL3_classA!$F$2:$F$37)),ABS(AI5-ICL3_classA!$F$2:$F$37),0))</f>
        <v>67</v>
      </c>
      <c r="U5" s="1">
        <f t="array" ref="U5">INDEX(ICL3_classA!$H$2:$H$37,MATCH(MIN(ABS(AI5-ICL3_classA!$F$2:$F$37)),ABS(AI5-ICL3_classA!$F$2:$F$37),0))</f>
        <v>30</v>
      </c>
      <c r="V5" s="1">
        <v>64</v>
      </c>
      <c r="W5" s="1">
        <v>24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 t="e">
        <f>VLOOKUP(A5,'SegEnds_NonXtal_Prot#'!A:AL,13,FALSE)-VLOOKUP(A5,'SegEnds_NonXtal_Prot#'!A:AL,10,FALSE)</f>
        <v>#VALUE!</v>
      </c>
      <c r="AE5" s="1">
        <f>VLOOKUP(A5,'SegEnds_NonXtal_Prot#'!A:AL,16,FALSE)-VLOOKUP(A5,'SegEnds_NonXtal_Prot#'!A:AL,10,FALSE)</f>
        <v>44</v>
      </c>
      <c r="AF5" s="1">
        <f>VLOOKUP(A5,'SegEnds_NonXtal_Prot#'!A:AL,22,FALSE)-VLOOKUP(A5,'SegEnds_NonXtal_Prot#'!A:AL,19,FALSE)</f>
        <v>21</v>
      </c>
      <c r="AG5" s="1">
        <f>VLOOKUP(A5,'SegEnds_NonXtal_Prot#'!A:AL,28,FALSE)-VLOOKUP(A5,'SegEnds_NonXtal_Prot#'!A:AL,25,FALSE)</f>
        <v>31</v>
      </c>
      <c r="AH5" s="1">
        <f>VLOOKUP(A5,'SegEnds_NonXtal_Prot#'!A:AL,28,FALSE)-VLOOKUP(A5,'SegEnds_NonXtal_Prot#'!A:AL,22,FALSE)</f>
        <v>56</v>
      </c>
      <c r="AI5" s="1">
        <f>VLOOKUP(A5,'SegEnds_NonXtal_Prot#'!A:AL,31,FALSE)-VLOOKUP(A5,'SegEnds_NonXtal_Prot#'!A:AL,28,FALSE)</f>
        <v>41</v>
      </c>
      <c r="AJ5" s="1">
        <f>VLOOKUP(A5,'SegEnds_NonXtal_Prot#'!A:AL,34,FALSE)-VLOOKUP(A5,'SegEnds_NonXtal_Prot#'!A:AL,31,FALSE)</f>
        <v>44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304</v>
      </c>
      <c r="B6" s="1" t="str">
        <f>VLOOKUP(A6,Xtal_Templ!A:B,2,FALSE)</f>
        <v>pd2r2_human</v>
      </c>
      <c r="C6" s="5">
        <f>VLOOKUP($B6&amp;"__wt",'SegEnds_Xtal_BW#'!$A:$Z,3,FALSE)</f>
        <v>32</v>
      </c>
      <c r="D6" s="1">
        <f>VLOOKUP($B6&amp;"__wt",'SegEnds_Xtal_BW#'!$A:$Z,4,FALSE)</f>
        <v>60</v>
      </c>
      <c r="E6" s="1" t="str">
        <f>VLOOKUP($B6&amp;"__wt",'SegEnds_Xtal_BW#'!$A:$Z,5,FALSE)</f>
        <v>-</v>
      </c>
      <c r="F6" s="1" t="str">
        <f>VLOOKUP($B6&amp;"__wt",'SegEnds_Xtal_BW#'!$A:$Z,6,FALSE)</f>
        <v>-</v>
      </c>
      <c r="G6" s="1">
        <v>37</v>
      </c>
      <c r="H6" s="12">
        <v>63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08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64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f>VLOOKUP($B6&amp;"__wt",'SegEnds_Xtal_BW#'!$A:$Z,19,FALSE)</f>
        <v>26</v>
      </c>
      <c r="T6" s="1">
        <f t="array" ref="T6">INDEX(ICL3_classA!$G$2:$G$37,MATCH(MIN(ABS(AI6-ICL3_classA!$F$2:$F$37)),ABS(AI6-ICL3_classA!$F$2:$F$37),0))</f>
        <v>67</v>
      </c>
      <c r="U6" s="1">
        <f t="array" ref="U6">INDEX(ICL3_classA!$H$2:$H$37,MATCH(MIN(ABS(AI6-ICL3_classA!$F$2:$F$37)),ABS(AI6-ICL3_classA!$F$2:$F$37),0))</f>
        <v>30</v>
      </c>
      <c r="V6" s="1">
        <v>61</v>
      </c>
      <c r="W6" s="1">
        <v>32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64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27</v>
      </c>
      <c r="AC6" s="1" t="e">
        <f>VLOOKUP(A6,'SegEnds_NonXtal_Prot#'!A:AL,10,FALSE)-VLOOKUP(A6,'SegEnds_NonXtal_Prot#'!A:AL,7,FALSE)</f>
        <v>#VALUE!</v>
      </c>
      <c r="AD6" s="1" t="e">
        <f>VLOOKUP(A6,'SegEnds_NonXtal_Prot#'!A:AL,13,FALSE)-VLOOKUP(A6,'SegEnds_NonXtal_Prot#'!A:AL,10,FALSE)</f>
        <v>#VALUE!</v>
      </c>
      <c r="AE6" s="1">
        <f>VLOOKUP(A6,'SegEnds_NonXtal_Prot#'!A:AL,16,FALSE)-VLOOKUP(A6,'SegEnds_NonXtal_Prot#'!A:AL,10,FALSE)</f>
        <v>46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42</v>
      </c>
      <c r="AI6" s="1">
        <f>VLOOKUP(A6,'SegEnds_NonXtal_Prot#'!A:AL,31,FALSE)-VLOOKUP(A6,'SegEnds_NonXtal_Prot#'!A:AL,28,FALSE)</f>
        <v>41</v>
      </c>
      <c r="AJ6" s="1">
        <f>VLOOKUP(A6,'SegEnds_NonXtal_Prot#'!A:AL,34,FALSE)-VLOOKUP(A6,'SegEnds_NonXtal_Prot#'!A:AL,31,FALSE)</f>
        <v>34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294</v>
      </c>
      <c r="B7" s="1" t="str">
        <f>VLOOKUP(A7,Xtal_Templ!A:B,2,FALSE)</f>
        <v>agtr1_human</v>
      </c>
      <c r="C7" s="5">
        <f>VLOOKUP($B7&amp;"__wt",'SegEnds_Xtal_BW#'!$A:$Z,3,FALSE)</f>
        <v>28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67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f>VLOOKUP($B7&amp;"__wt",'SegEnds_Xtal_BW#'!$A:$Z,15,FALSE)</f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34</v>
      </c>
      <c r="T7" s="1">
        <f t="array" ref="T7">INDEX(ICL3_classA!$G$2:$G$37,MATCH(MIN(ABS(AI7-ICL3_classA!$F$2:$F$37)),ABS(AI7-ICL3_classA!$F$2:$F$37),0))</f>
        <v>68</v>
      </c>
      <c r="U7" s="1">
        <f t="array" ref="U7">INDEX(ICL3_classA!$H$2:$H$37,MATCH(MIN(ABS(AI7-ICL3_classA!$F$2:$F$37)),ABS(AI7-ICL3_classA!$F$2:$F$37),0))</f>
        <v>30</v>
      </c>
      <c r="V7" s="1">
        <v>61</v>
      </c>
      <c r="W7" s="1">
        <v>32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61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27</v>
      </c>
      <c r="AC7" s="1" t="e">
        <f>VLOOKUP(A7,'SegEnds_NonXtal_Prot#'!A:AL,10,FALSE)-VLOOKUP(A7,'SegEnds_NonXtal_Prot#'!A:AL,7,FALSE)</f>
        <v>#VALUE!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53</v>
      </c>
      <c r="AF7" s="1">
        <f>VLOOKUP(A7,'SegEnds_NonXtal_Prot#'!A:AL,22,FALSE)-VLOOKUP(A7,'SegEnds_NonXtal_Prot#'!A:AL,19,FALSE)</f>
        <v>20</v>
      </c>
      <c r="AG7" s="1" t="e">
        <f>VLOOKUP(A7,'SegEnds_NonXtal_Prot#'!A:AL,28,FALSE)-VLOOKUP(A7,'SegEnds_NonXtal_Prot#'!A:AL,25,FALSE)</f>
        <v>#VALUE!</v>
      </c>
      <c r="AH7" s="1">
        <f>VLOOKUP(A7,'SegEnds_NonXtal_Prot#'!A:AL,28,FALSE)-VLOOKUP(A7,'SegEnds_NonXtal_Prot#'!A:AL,22,FALSE)</f>
        <v>44</v>
      </c>
      <c r="AI7" s="1">
        <f>VLOOKUP(A7,'SegEnds_NonXtal_Prot#'!A:AL,31,FALSE)-VLOOKUP(A7,'SegEnds_NonXtal_Prot#'!A:AL,28,FALSE)</f>
        <v>42</v>
      </c>
      <c r="AJ7" s="1">
        <f>VLOOKUP(A7,'SegEnds_NonXtal_Prot#'!A:AL,34,FALSE)-VLOOKUP(A7,'SegEnds_NonXtal_Prot#'!A:AL,31,FALSE)</f>
        <v>34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295</v>
      </c>
      <c r="B8" s="1" t="str">
        <f>VLOOKUP(A8,Xtal_Templ!A:B,2,FALSE)</f>
        <v>ccr9_human</v>
      </c>
      <c r="C8" s="5">
        <f>VLOOKUP($B8&amp;"__wt",'SegEnds_Xtal_BW#'!$A:$Z,3,FALSE)</f>
        <v>27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49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64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33</v>
      </c>
      <c r="T8" s="1">
        <f t="array" ref="T8">INDEX(ICL3_classA!$G$2:$G$37,MATCH(MIN(ABS(AI8-ICL3_classA!$F$2:$F$37)),ABS(AI8-ICL3_classA!$F$2:$F$37),0))</f>
        <v>68</v>
      </c>
      <c r="U8" s="1">
        <f t="array" ref="U8">INDEX(ICL3_classA!$H$2:$H$37,MATCH(MIN(ABS(AI8-ICL3_classA!$F$2:$F$37)),ABS(AI8-ICL3_classA!$F$2:$F$37),0))</f>
        <v>30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67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26</v>
      </c>
      <c r="AC8" s="1" t="e">
        <f>VLOOKUP(A8,'SegEnds_NonXtal_Prot#'!A:AL,10,FALSE)-VLOOKUP(A8,'SegEnds_NonXtal_Prot#'!A:AL,7,FALSE)</f>
        <v>#VALUE!</v>
      </c>
      <c r="AD8" s="1" t="e">
        <f>VLOOKUP(A8,'SegEnds_NonXtal_Prot#'!A:AL,13,FALSE)-VLOOKUP(A8,'SegEnds_NonXtal_Prot#'!A:AL,10,FALSE)</f>
        <v>#VALUE!</v>
      </c>
      <c r="AE8" s="1">
        <f>VLOOKUP(A8,'SegEnds_NonXtal_Prot#'!A:AL,16,FALSE)-VLOOKUP(A8,'SegEnds_NonXtal_Prot#'!A:AL,10,FALSE)</f>
        <v>52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39</v>
      </c>
      <c r="AI8" s="1">
        <f>VLOOKUP(A8,'SegEnds_NonXtal_Prot#'!A:AL,31,FALSE)-VLOOKUP(A8,'SegEnds_NonXtal_Prot#'!A:AL,28,FALSE)</f>
        <v>42</v>
      </c>
      <c r="AJ8" s="1">
        <f>VLOOKUP(A8,'SegEnds_NonXtal_Prot#'!A:AL,34,FALSE)-VLOOKUP(A8,'SegEnds_NonXtal_Prot#'!A:AL,31,FALSE)</f>
        <v>32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302</v>
      </c>
      <c r="B9" s="1" t="str">
        <f>VLOOKUP(A9,Xtal_Templ!A:B,2,FALSE)</f>
        <v>cxcr4_human</v>
      </c>
      <c r="C9" s="5">
        <f>VLOOKUP($B9&amp;"__wt",'SegEnds_Xtal_BW#'!$A:$Z,3,FALSE)</f>
        <v>24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21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INDEX(ICL3_classA!$G$2:$G$37,MATCH(MIN(ABS(AI9-ICL3_classA!$F$2:$F$37)),ABS(AI9-ICL3_classA!$F$2:$F$37),0))</f>
        <v>68</v>
      </c>
      <c r="U9" s="1">
        <f t="array" ref="U9">INDEX(ICL3_classA!$H$2:$H$37,MATCH(MIN(ABS(AI9-ICL3_classA!$F$2:$F$37)),ABS(AI9-ICL3_classA!$F$2:$F$37),0))</f>
        <v>30</v>
      </c>
      <c r="V9" s="1">
        <v>61</v>
      </c>
      <c r="W9" s="1">
        <v>32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59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27</v>
      </c>
      <c r="AC9" s="1" t="e">
        <f>VLOOKUP(A9,'SegEnds_NonXtal_Prot#'!A:AL,10,FALSE)-VLOOKUP(A9,'SegEnds_NonXtal_Prot#'!A:AL,7,FALSE)</f>
        <v>#VALUE!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52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42</v>
      </c>
      <c r="AI9" s="1">
        <f>VLOOKUP(A9,'SegEnds_NonXtal_Prot#'!A:AL,31,FALSE)-VLOOKUP(A9,'SegEnds_NonXtal_Prot#'!A:AL,28,FALSE)</f>
        <v>42</v>
      </c>
      <c r="AJ9" s="1">
        <f>VLOOKUP(A9,'SegEnds_NonXtal_Prot#'!A:AL,34,FALSE)-VLOOKUP(A9,'SegEnds_NonXtal_Prot#'!A:AL,31,FALSE)</f>
        <v>34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305</v>
      </c>
      <c r="B10" s="1" t="str">
        <f>VLOOKUP(A10,Xtal_Templ!A:B,2,FALSE)</f>
        <v>agtr1_human</v>
      </c>
      <c r="C10" s="5">
        <f>VLOOKUP($B10&amp;"__wt",'SegEnds_Xtal_BW#'!$A:$Z,3,FALSE)</f>
        <v>28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34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30</v>
      </c>
      <c r="V10" s="1">
        <v>61</v>
      </c>
      <c r="W10" s="108">
        <v>25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27</v>
      </c>
      <c r="AC10" s="1" t="e">
        <f>VLOOKUP(A10,'SegEnds_NonXtal_Prot#'!A:AL,10,FALSE)-VLOOKUP(A10,'SegEnds_NonXtal_Prot#'!A:AL,7,FALSE)</f>
        <v>#VALUE!</v>
      </c>
      <c r="AD10" s="1" t="e">
        <f>VLOOKUP(A10,'SegEnds_NonXtal_Prot#'!A:AL,13,FALSE)-VLOOKUP(A10,'SegEnds_NonXtal_Prot#'!A:AL,10,FALSE)</f>
        <v>#VALUE!</v>
      </c>
      <c r="AE10" s="1">
        <f>VLOOKUP(A10,'SegEnds_NonXtal_Prot#'!A:AL,16,FALSE)-VLOOKUP(A10,'SegEnds_NonXtal_Prot#'!A:AL,10,FALSE)</f>
        <v>48</v>
      </c>
      <c r="AF10" s="1">
        <f>VLOOKUP(A10,'SegEnds_NonXtal_Prot#'!A:AL,22,FALSE)-VLOOKUP(A10,'SegEnds_NonXtal_Prot#'!A:AL,19,FALSE)</f>
        <v>20</v>
      </c>
      <c r="AG10" s="1" t="e">
        <f>VLOOKUP(A10,'SegEnds_NonXtal_Prot#'!A:AL,28,FALSE)-VLOOKUP(A10,'SegEnds_NonXtal_Prot#'!A:AL,25,FALSE)</f>
        <v>#VALUE!</v>
      </c>
      <c r="AH10" s="1">
        <f>VLOOKUP(A10,'SegEnds_NonXtal_Prot#'!A:AL,28,FALSE)-VLOOKUP(A10,'SegEnds_NonXtal_Prot#'!A:AL,22,FALSE)</f>
        <v>42</v>
      </c>
      <c r="AI10" s="1">
        <f>VLOOKUP(A10,'SegEnds_NonXtal_Prot#'!A:AL,31,FALSE)-VLOOKUP(A10,'SegEnds_NonXtal_Prot#'!A:AL,28,FALSE)</f>
        <v>42</v>
      </c>
      <c r="AJ10" s="1">
        <f>VLOOKUP(A10,'SegEnds_NonXtal_Prot#'!A:AL,34,FALSE)-VLOOKUP(A10,'SegEnds_NonXtal_Prot#'!A:AL,31,FALSE)</f>
        <v>38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306</v>
      </c>
      <c r="B11" s="1" t="str">
        <f>VLOOKUP(A11,Xtal_Templ!A:B,2,FALSE)</f>
        <v>c5ar1_human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f>VLOOKUP($B11&amp;"__wt",'SegEnds_Xtal_BW#'!$A:$Z,15,FALSE)</f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INDEX(ICL3_classA!$G$2:$G$37,MATCH(MIN(ABS(AI11-ICL3_classA!$F$2:$F$37)),ABS(AI11-ICL3_classA!$F$2:$F$37),0))</f>
        <v>68</v>
      </c>
      <c r="U11" s="1">
        <f t="array" ref="U11">INDEX(ICL3_classA!$H$2:$H$37,MATCH(MIN(ABS(AI11-ICL3_classA!$F$2:$F$37)),ABS(AI11-ICL3_classA!$F$2:$F$37),0))</f>
        <v>30</v>
      </c>
      <c r="V11" s="1">
        <v>61</v>
      </c>
      <c r="W11" s="132">
        <f>VLOOKUP($B11&amp;"__wt",'SegEnds_Xtal_BW#'!$A:$Z,23,FALSE)</f>
        <v>25</v>
      </c>
      <c r="X11" s="108">
        <v>56</v>
      </c>
      <c r="Y11" s="1">
        <f>VLOOKUP($B11&amp;"__wt",'SegEnds_Xtal_BW#'!$A:$Z,25,FALSE)</f>
        <v>47</v>
      </c>
      <c r="Z11" s="1">
        <f>VLOOKUP($B11&amp;"__wt",'SegEnds_Xtal_BW#'!$A:$Z,26,FALSE)</f>
        <v>56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27</v>
      </c>
      <c r="AC11" s="1" t="e">
        <f>VLOOKUP(A11,'SegEnds_NonXtal_Prot#'!A:AL,10,FALSE)-VLOOKUP(A11,'SegEnds_NonXtal_Prot#'!A:AL,7,FALSE)</f>
        <v>#VALUE!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 t="e">
        <f>VLOOKUP(A11,'SegEnds_NonXtal_Prot#'!A:AL,28,FALSE)-VLOOKUP(A11,'SegEnds_NonXtal_Prot#'!A:AL,25,FALSE)</f>
        <v>#VALUE!</v>
      </c>
      <c r="AH11" s="1">
        <f>VLOOKUP(A11,'SegEnds_NonXtal_Prot#'!A:AL,28,FALSE)-VLOOKUP(A11,'SegEnds_NonXtal_Prot#'!A:AL,22,FALSE)</f>
        <v>42</v>
      </c>
      <c r="AI11" s="1">
        <f>VLOOKUP(A11,'SegEnds_NonXtal_Prot#'!A:AL,31,FALSE)-VLOOKUP(A11,'SegEnds_NonXtal_Prot#'!A:AL,28,FALSE)</f>
        <v>42</v>
      </c>
      <c r="AJ11" s="1">
        <f>VLOOKUP(A11,'SegEnds_NonXtal_Prot#'!A:AL,34,FALSE)-VLOOKUP(A11,'SegEnds_NonXtal_Prot#'!A:AL,31,FALSE)</f>
        <v>38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307</v>
      </c>
      <c r="B12" s="1" t="str">
        <f>VLOOKUP(A12,Xtal_Templ!A:B,2,FALSE)</f>
        <v>pd2r2_human</v>
      </c>
      <c r="C12" s="5">
        <f>VLOOKUP($B12&amp;"__wt",'SegEnds_Xtal_BW#'!$A:$Z,3,FALSE)</f>
        <v>32</v>
      </c>
      <c r="D12" s="1">
        <f>VLOOKUP($B12&amp;"__wt",'SegEnds_Xtal_BW#'!$A:$Z,4,FALSE)</f>
        <v>60</v>
      </c>
      <c r="E12" s="1" t="str">
        <f>VLOOKUP($B12&amp;"__wt",'SegEnds_Xtal_BW#'!$A:$Z,5,FALSE)</f>
        <v>-</v>
      </c>
      <c r="F12" s="1" t="str">
        <f>VLOOKUP($B12&amp;"__wt",'SegEnds_Xtal_BW#'!$A:$Z,6,FALSE)</f>
        <v>-</v>
      </c>
      <c r="G12" s="1">
        <v>37</v>
      </c>
      <c r="H12" s="12">
        <v>66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26</v>
      </c>
      <c r="T12" s="1">
        <f t="array" ref="T12">INDEX(ICL3_classA!$G$2:$G$37,MATCH(MIN(ABS(AI12-ICL3_classA!$F$2:$F$37)),ABS(AI12-ICL3_classA!$F$2:$F$37),0))</f>
        <v>68</v>
      </c>
      <c r="U12" s="1">
        <f t="array" ref="U12">INDEX(ICL3_classA!$H$2:$H$37,MATCH(MIN(ABS(AI12-ICL3_classA!$F$2:$F$37)),ABS(AI12-ICL3_classA!$F$2:$F$37),0))</f>
        <v>30</v>
      </c>
      <c r="V12" s="1">
        <v>61</v>
      </c>
      <c r="W12" s="132">
        <f>VLOOKUP($B12&amp;"__wt",'SegEnds_Xtal_BW#'!$A:$Z,23,FALSE)</f>
        <v>27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64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27</v>
      </c>
      <c r="AC12" s="1" t="e">
        <f>VLOOKUP(A12,'SegEnds_NonXtal_Prot#'!A:AL,10,FALSE)-VLOOKUP(A12,'SegEnds_NonXtal_Prot#'!A:AL,7,FALSE)</f>
        <v>#VALUE!</v>
      </c>
      <c r="AD12" s="1" t="e">
        <f>VLOOKUP(A12,'SegEnds_NonXtal_Prot#'!A:AL,13,FALSE)-VLOOKUP(A12,'SegEnds_NonXtal_Prot#'!A:AL,10,FALSE)</f>
        <v>#VALUE!</v>
      </c>
      <c r="AE12" s="1">
        <f>VLOOKUP(A12,'SegEnds_NonXtal_Prot#'!A:AL,16,FALSE)-VLOOKUP(A12,'SegEnds_NonXtal_Prot#'!A:AL,10,FALSE)</f>
        <v>48</v>
      </c>
      <c r="AF12" s="1">
        <f>VLOOKUP(A12,'SegEnds_NonXtal_Prot#'!A:AL,22,FALSE)-VLOOKUP(A12,'SegEnds_NonXtal_Prot#'!A:AL,19,FALSE)</f>
        <v>20</v>
      </c>
      <c r="AG12" s="1" t="e">
        <f>VLOOKUP(A12,'SegEnds_NonXtal_Prot#'!A:AL,28,FALSE)-VLOOKUP(A12,'SegEnds_NonXtal_Prot#'!A:AL,25,FALSE)</f>
        <v>#VALUE!</v>
      </c>
      <c r="AH12" s="1">
        <f>VLOOKUP(A12,'SegEnds_NonXtal_Prot#'!A:AL,28,FALSE)-VLOOKUP(A12,'SegEnds_NonXtal_Prot#'!A:AL,22,FALSE)</f>
        <v>42</v>
      </c>
      <c r="AI12" s="1">
        <f>VLOOKUP(A12,'SegEnds_NonXtal_Prot#'!A:AL,31,FALSE)-VLOOKUP(A12,'SegEnds_NonXtal_Prot#'!A:AL,28,FALSE)</f>
        <v>42</v>
      </c>
      <c r="AJ12" s="1">
        <f>VLOOKUP(A12,'SegEnds_NonXtal_Prot#'!A:AL,34,FALSE)-VLOOKUP(A12,'SegEnds_NonXtal_Prot#'!A:AL,31,FALSE)</f>
        <v>38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308</v>
      </c>
      <c r="B13" s="1" t="str">
        <f>VLOOKUP(A13,Xtal_Templ!A:B,2,FALSE)</f>
        <v>c5ar1_human</v>
      </c>
      <c r="C13" s="5">
        <f>VLOOKUP($B13&amp;"__wt",'SegEnds_Xtal_BW#'!$A:$Z,3,FALSE)</f>
        <v>29</v>
      </c>
      <c r="D13" s="1">
        <f>VLOOKUP($B13&amp;"__wt",'SegEnds_Xtal_BW#'!$A:$Z,4,FALSE)</f>
        <v>60</v>
      </c>
      <c r="E13" s="1" t="str">
        <f>VLOOKUP($B13&amp;"__wt",'SegEnds_Xtal_BW#'!$A:$Z,5,FALSE)</f>
        <v>-</v>
      </c>
      <c r="F13" s="1" t="str">
        <f>VLOOKUP($B13&amp;"__wt",'SegEnds_Xtal_BW#'!$A:$Z,6,FALSE)</f>
        <v>-</v>
      </c>
      <c r="G13" s="1">
        <v>37</v>
      </c>
      <c r="H13" s="12">
        <v>66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24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f>VLOOKUP($B13&amp;"__wt",'SegEnds_Xtal_BW#'!$A:$Z,19,FALSE)</f>
        <v>31</v>
      </c>
      <c r="T13" s="1">
        <f t="array" ref="T13">INDEX(ICL3_classA!$G$2:$G$37,MATCH(MIN(ABS(AI13-ICL3_classA!$F$2:$F$37)),ABS(AI13-ICL3_classA!$F$2:$F$37),0))</f>
        <v>68</v>
      </c>
      <c r="U13" s="1">
        <f t="array" ref="U13">INDEX(ICL3_classA!$H$2:$H$37,MATCH(MIN(ABS(AI13-ICL3_classA!$F$2:$F$37)),ABS(AI13-ICL3_classA!$F$2:$F$37),0))</f>
        <v>30</v>
      </c>
      <c r="V13" s="1">
        <v>61</v>
      </c>
      <c r="W13" s="132">
        <f>VLOOKUP($B13&amp;"__wt",'SegEnds_Xtal_BW#'!$A:$Z,23,FALSE)</f>
        <v>25</v>
      </c>
      <c r="X13" s="108">
        <v>56</v>
      </c>
      <c r="Y13" s="1">
        <f>VLOOKUP($B13&amp;"__wt",'SegEnds_Xtal_BW#'!$A:$Z,25,FALSE)</f>
        <v>47</v>
      </c>
      <c r="Z13" s="1">
        <f>VLOOKUP($B13&amp;"__wt",'SegEnds_Xtal_BW#'!$A:$Z,26,FALSE)</f>
        <v>56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27</v>
      </c>
      <c r="AC13" s="1" t="e">
        <f>VLOOKUP(A13,'SegEnds_NonXtal_Prot#'!A:AL,10,FALSE)-VLOOKUP(A13,'SegEnds_NonXtal_Prot#'!A:AL,7,FALSE)</f>
        <v>#VALUE!</v>
      </c>
      <c r="AD13" s="1" t="e">
        <f>VLOOKUP(A13,'SegEnds_NonXtal_Prot#'!A:AL,13,FALSE)-VLOOKUP(A13,'SegEnds_NonXtal_Prot#'!A:AL,10,FALSE)</f>
        <v>#VALUE!</v>
      </c>
      <c r="AE13" s="1">
        <f>VLOOKUP(A13,'SegEnds_NonXtal_Prot#'!A:AL,16,FALSE)-VLOOKUP(A13,'SegEnds_NonXtal_Prot#'!A:AL,10,FALSE)</f>
        <v>48</v>
      </c>
      <c r="AF13" s="1">
        <f>VLOOKUP(A13,'SegEnds_NonXtal_Prot#'!A:AL,22,FALSE)-VLOOKUP(A13,'SegEnds_NonXtal_Prot#'!A:AL,19,FALSE)</f>
        <v>20</v>
      </c>
      <c r="AG13" s="1" t="e">
        <f>VLOOKUP(A13,'SegEnds_NonXtal_Prot#'!A:AL,28,FALSE)-VLOOKUP(A13,'SegEnds_NonXtal_Prot#'!A:AL,25,FALSE)</f>
        <v>#VALUE!</v>
      </c>
      <c r="AH13" s="1">
        <f>VLOOKUP(A13,'SegEnds_NonXtal_Prot#'!A:AL,28,FALSE)-VLOOKUP(A13,'SegEnds_NonXtal_Prot#'!A:AL,22,FALSE)</f>
        <v>42</v>
      </c>
      <c r="AI13" s="1">
        <f>VLOOKUP(A13,'SegEnds_NonXtal_Prot#'!A:AL,31,FALSE)-VLOOKUP(A13,'SegEnds_NonXtal_Prot#'!A:AL,28,FALSE)</f>
        <v>42</v>
      </c>
      <c r="AJ13" s="1">
        <f>VLOOKUP(A13,'SegEnds_NonXtal_Prot#'!A:AL,34,FALSE)-VLOOKUP(A13,'SegEnds_NonXtal_Prot#'!A:AL,31,FALSE)</f>
        <v>38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357</v>
      </c>
      <c r="B14" s="1" t="str">
        <f>VLOOKUP(A14,Xtal_Templ!A:B,2,FALSE)</f>
        <v>par2_human</v>
      </c>
      <c r="C14" s="5">
        <f>VLOOKUP($B14&amp;"__wt",'SegEnds_Xtal_BW#'!$A:$Z,3,FALSE)</f>
        <v>28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f>VLOOKUP($B14&amp;"__wt",'SegEnds_Xtal_BW#'!$A:$Z,8,FALSE)</f>
        <v>66</v>
      </c>
      <c r="I14" s="1">
        <f>VLOOKUP($B14&amp;"__wt",'SegEnds_Xtal_BW#'!$A:$Z,9,FALSE)</f>
        <v>47</v>
      </c>
      <c r="J14" s="1">
        <f>VLOOKUP($B14&amp;"__wt",'SegEnds_Xtal_BW#'!$A:$Z,10,FALSE)</f>
        <v>52</v>
      </c>
      <c r="K14" s="12">
        <v>18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f>VLOOKUP($B14&amp;"__wt",'SegEnds_Xtal_BW#'!$A:$Z,15,FALSE)</f>
        <v>38</v>
      </c>
      <c r="P14" s="1">
        <f>VLOOKUP($B14&amp;"__wt",'SegEnds_Xtal_BW#'!$A:$Z,16,FALSE)</f>
        <v>62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v>35</v>
      </c>
      <c r="T14" s="1">
        <f t="array" ref="T14">INDEX(ICL3_classA!$G$2:$G$37,MATCH(MIN(ABS(AI14-ICL3_classA!$F$2:$F$37)),ABS(AI14-ICL3_classA!$F$2:$F$37),0))</f>
        <v>68</v>
      </c>
      <c r="U14" s="1">
        <f t="array" ref="U14">INDEX(ICL3_classA!$H$2:$H$37,MATCH(MIN(ABS(AI14-ICL3_classA!$F$2:$F$37)),ABS(AI14-ICL3_classA!$F$2:$F$37),0))</f>
        <v>30</v>
      </c>
      <c r="V14" s="1">
        <v>62</v>
      </c>
      <c r="W14" s="132">
        <f>VLOOKUP($B14&amp;"__wt",'SegEnds_Xtal_BW#'!$A:$Z,23,FALSE)</f>
        <v>31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27</v>
      </c>
      <c r="AC14" s="1" t="e">
        <f>VLOOKUP(A14,'SegEnds_NonXtal_Prot#'!A:AL,10,FALSE)-VLOOKUP(A14,'SegEnds_NonXtal_Prot#'!A:AL,7,FALSE)</f>
        <v>#VALUE!</v>
      </c>
      <c r="AD14" s="1">
        <f>VLOOKUP(A14,'SegEnds_NonXtal_Prot#'!A:AL,13,FALSE)-VLOOKUP(A14,'SegEnds_NonXtal_Prot#'!A:AL,10,FALSE)</f>
        <v>20</v>
      </c>
      <c r="AE14" s="1">
        <f>VLOOKUP(A14,'SegEnds_NonXtal_Prot#'!A:AL,16,FALSE)-VLOOKUP(A14,'SegEnds_NonXtal_Prot#'!A:AL,10,FALSE)</f>
        <v>52</v>
      </c>
      <c r="AF14" s="1">
        <f>VLOOKUP(A14,'SegEnds_NonXtal_Prot#'!A:AL,22,FALSE)-VLOOKUP(A14,'SegEnds_NonXtal_Prot#'!A:AL,19,FALSE)</f>
        <v>20</v>
      </c>
      <c r="AG14" s="1">
        <f>VLOOKUP(A14,'SegEnds_NonXtal_Prot#'!A:AL,28,FALSE)-VLOOKUP(A14,'SegEnds_NonXtal_Prot#'!A:AL,25,FALSE)</f>
        <v>22</v>
      </c>
      <c r="AH14" s="1">
        <f>VLOOKUP(A14,'SegEnds_NonXtal_Prot#'!A:AL,28,FALSE)-VLOOKUP(A14,'SegEnds_NonXtal_Prot#'!A:AL,22,FALSE)</f>
        <v>56</v>
      </c>
      <c r="AI14" s="1">
        <f>VLOOKUP(A14,'SegEnds_NonXtal_Prot#'!A:AL,31,FALSE)-VLOOKUP(A14,'SegEnds_NonXtal_Prot#'!A:AL,28,FALSE)</f>
        <v>42</v>
      </c>
      <c r="AJ14" s="1">
        <f>VLOOKUP(A14,'SegEnds_NonXtal_Prot#'!A:AL,34,FALSE)-VLOOKUP(A14,'SegEnds_NonXtal_Prot#'!A:AL,31,FALSE)</f>
        <v>39</v>
      </c>
      <c r="AK14" s="1" t="e">
        <f>VLOOKUP(A14,'SegEnds_NonXtal_Prot#'!A:AL,37,FALSE)-VLOOKUP(A14,'SegEnds_NonXtal_Prot#'!A:AL,34,FALSE)</f>
        <v>#VALUE!</v>
      </c>
      <c r="AL14" s="1" t="str">
        <f>IF(ISERROR(MATCH(A14,'SegEnds_Xtal_Prot#'!B:B, 0)), "NoXtal", "Xtal")</f>
        <v>NoXtal</v>
      </c>
    </row>
    <row r="15" spans="1:38" x14ac:dyDescent="0.2">
      <c r="A15" s="1" t="s">
        <v>358</v>
      </c>
      <c r="B15" s="1" t="str">
        <f>VLOOKUP(A15,Xtal_Templ!A:B,2,FALSE)</f>
        <v>par2_human</v>
      </c>
      <c r="C15" s="5">
        <f>VLOOKUP($B15&amp;"__wt",'SegEnds_Xtal_BW#'!$A:$Z,3,FALSE)</f>
        <v>28</v>
      </c>
      <c r="D15" s="1">
        <f>VLOOKUP($B15&amp;"__wt",'SegEnds_Xtal_BW#'!$A:$Z,4,FALSE)</f>
        <v>60</v>
      </c>
      <c r="E15" s="1" t="str">
        <f>VLOOKUP($B15&amp;"__wt",'SegEnds_Xtal_BW#'!$A:$Z,5,FALSE)</f>
        <v>-</v>
      </c>
      <c r="F15" s="1" t="str">
        <f>VLOOKUP($B15&amp;"__wt",'SegEnds_Xtal_BW#'!$A:$Z,6,FALSE)</f>
        <v>-</v>
      </c>
      <c r="G15" s="1">
        <v>37</v>
      </c>
      <c r="H15" s="12">
        <f>VLOOKUP($B15&amp;"__wt",'SegEnds_Xtal_BW#'!$A:$Z,8,FALSE)</f>
        <v>66</v>
      </c>
      <c r="I15" s="1">
        <f>VLOOKUP($B15&amp;"__wt",'SegEnds_Xtal_BW#'!$A:$Z,9,FALSE)</f>
        <v>47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f>VLOOKUP($B15&amp;"__wt",'SegEnds_Xtal_BW#'!$A:$Z,15,FALSE)</f>
        <v>38</v>
      </c>
      <c r="P15" s="1">
        <f>VLOOKUP($B15&amp;"__wt",'SegEnds_Xtal_BW#'!$A:$Z,16,FALSE)</f>
        <v>62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31</v>
      </c>
      <c r="T15" s="1">
        <f t="array" ref="T15">INDEX(ICL3_classA!$G$2:$G$37,MATCH(MIN(ABS(AI15-ICL3_classA!$F$2:$F$37)),ABS(AI15-ICL3_classA!$F$2:$F$37),0))</f>
        <v>68</v>
      </c>
      <c r="U15" s="1">
        <f t="array" ref="U15">INDEX(ICL3_classA!$H$2:$H$37,MATCH(MIN(ABS(AI15-ICL3_classA!$F$2:$F$37)),ABS(AI15-ICL3_classA!$F$2:$F$37),0))</f>
        <v>30</v>
      </c>
      <c r="V15" s="1">
        <v>62</v>
      </c>
      <c r="W15" s="132">
        <f>VLOOKUP($B15&amp;"__wt",'SegEnds_Xtal_BW#'!$A:$Z,23,FALSE)</f>
        <v>31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61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27</v>
      </c>
      <c r="AC15" s="1" t="e">
        <f>VLOOKUP(A15,'SegEnds_NonXtal_Prot#'!A:AL,10,FALSE)-VLOOKUP(A15,'SegEnds_NonXtal_Prot#'!A:AL,7,FALSE)</f>
        <v>#VALUE!</v>
      </c>
      <c r="AD15" s="1">
        <f>VLOOKUP(A15,'SegEnds_NonXtal_Prot#'!A:AL,13,FALSE)-VLOOKUP(A15,'SegEnds_NonXtal_Prot#'!A:AL,10,FALSE)</f>
        <v>20</v>
      </c>
      <c r="AE15" s="1">
        <f>VLOOKUP(A15,'SegEnds_NonXtal_Prot#'!A:AL,16,FALSE)-VLOOKUP(A15,'SegEnds_NonXtal_Prot#'!A:AL,10,FALSE)</f>
        <v>52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28</v>
      </c>
      <c r="AH15" s="1">
        <f>VLOOKUP(A15,'SegEnds_NonXtal_Prot#'!A:AL,28,FALSE)-VLOOKUP(A15,'SegEnds_NonXtal_Prot#'!A:AL,22,FALSE)</f>
        <v>55</v>
      </c>
      <c r="AI15" s="1">
        <f>VLOOKUP(A15,'SegEnds_NonXtal_Prot#'!A:AL,31,FALSE)-VLOOKUP(A15,'SegEnds_NonXtal_Prot#'!A:AL,28,FALSE)</f>
        <v>42</v>
      </c>
      <c r="AJ15" s="1">
        <f>VLOOKUP(A15,'SegEnds_NonXtal_Prot#'!A:AL,34,FALSE)-VLOOKUP(A15,'SegEnds_NonXtal_Prot#'!A:AL,31,FALSE)</f>
        <v>39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143</v>
      </c>
      <c r="B16" s="1" t="str">
        <f>VLOOKUP(A16,Xtal_Templ!A:B,2,FALSE)</f>
        <v>ccr5_human</v>
      </c>
      <c r="C16" s="5">
        <f>VLOOKUP($B16&amp;"__wt",'SegEnds_Xtal_BW#'!$A:$Z,3,FALSE)</f>
        <v>24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08">
        <v>21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7">
        <f>VLOOKUP($B16&amp;"__wt",'SegEnds_Xtal_BW#'!$A:$Z,15,FALSE)</f>
        <v>38</v>
      </c>
      <c r="P16" s="1">
        <f>VLOOKUP($B16&amp;"__wt",'SegEnds_Xtal_BW#'!$A:$Z,16,FALSE)</f>
        <v>64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30</v>
      </c>
      <c r="T16" s="1">
        <f t="array" ref="T16">INDEX(ICL3_classA!$G$2:$G$37,MATCH(MIN(ABS(AI16-ICL3_classA!$F$2:$F$37)),ABS(AI16-ICL3_classA!$F$2:$F$37),0))</f>
        <v>68</v>
      </c>
      <c r="U16" s="1">
        <f t="array" ref="U16">INDEX(ICL3_classA!$H$2:$H$37,MATCH(MIN(ABS(AI16-ICL3_classA!$F$2:$F$37)),ABS(AI16-ICL3_classA!$F$2:$F$37),0))</f>
        <v>30</v>
      </c>
      <c r="V16" s="1">
        <v>64</v>
      </c>
      <c r="W16" s="1">
        <v>24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59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18</v>
      </c>
      <c r="AE16" s="1">
        <f>VLOOKUP(A16,'SegEnds_NonXtal_Prot#'!A:AL,16,FALSE)-VLOOKUP(A16,'SegEnds_NonXtal_Prot#'!A:AL,10,FALSE)</f>
        <v>50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27</v>
      </c>
      <c r="AH16" s="1">
        <f>VLOOKUP(A16,'SegEnds_NonXtal_Prot#'!A:AL,28,FALSE)-VLOOKUP(A16,'SegEnds_NonXtal_Prot#'!A:AL,22,FALSE)</f>
        <v>53</v>
      </c>
      <c r="AI16" s="1">
        <f>VLOOKUP(A16,'SegEnds_NonXtal_Prot#'!A:AL,31,FALSE)-VLOOKUP(A16,'SegEnds_NonXtal_Prot#'!A:AL,28,FALSE)</f>
        <v>43</v>
      </c>
      <c r="AJ16" s="1">
        <f>VLOOKUP(A16,'SegEnds_NonXtal_Prot#'!A:AL,34,FALSE)-VLOOKUP(A16,'SegEnds_NonXtal_Prot#'!A:AL,31,FALSE)</f>
        <v>44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NoXtal</v>
      </c>
    </row>
    <row r="17" spans="1:38" x14ac:dyDescent="0.2">
      <c r="A17" s="1" t="s">
        <v>144</v>
      </c>
      <c r="B17" s="1" t="str">
        <f>VLOOKUP(A17,Xtal_Templ!A:B,2,FALSE)</f>
        <v>agtr1_human</v>
      </c>
      <c r="C17" s="5">
        <f>VLOOKUP($B17&amp;"__wt",'SegEnds_Xtal_BW#'!$A:$Z,3,FALSE)</f>
        <v>28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f>VLOOKUP($B17&amp;"__wt",'SegEnds_Xtal_BW#'!$A:$Z,8,FALSE)</f>
        <v>66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21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7">
        <f>VLOOKUP($B17&amp;"__wt",'SegEnds_Xtal_BW#'!$A:$Z,15,FALSE)</f>
        <v>38</v>
      </c>
      <c r="P17" s="1">
        <f>VLOOKUP($B17&amp;"__wt",'SegEnds_Xtal_BW#'!$A:$Z,16,FALSE)</f>
        <v>64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INDEX(ICL3_classA!$G$2:$G$37,MATCH(MIN(ABS(AI17-ICL3_classA!$F$2:$F$37)),ABS(AI17-ICL3_classA!$F$2:$F$37),0))</f>
        <v>68</v>
      </c>
      <c r="U17" s="1">
        <f t="array" ref="U17">INDEX(ICL3_classA!$H$2:$H$37,MATCH(MIN(ABS(AI17-ICL3_classA!$F$2:$F$37)),ABS(AI17-ICL3_classA!$F$2:$F$37),0))</f>
        <v>30</v>
      </c>
      <c r="V17" s="1">
        <v>64</v>
      </c>
      <c r="W17" s="1">
        <v>24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61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20</v>
      </c>
      <c r="AE17" s="1">
        <f>VLOOKUP(A17,'SegEnds_NonXtal_Prot#'!A:AL,16,FALSE)-VLOOKUP(A17,'SegEnds_NonXtal_Prot#'!A:AL,10,FALSE)</f>
        <v>52</v>
      </c>
      <c r="AF17" s="1" t="e">
        <f>VLOOKUP(A17,'SegEnds_NonXtal_Prot#'!A:AL,22,FALSE)-VLOOKUP(A17,'SegEnds_NonXtal_Prot#'!A:AL,19,FALSE)</f>
        <v>#VALUE!</v>
      </c>
      <c r="AG17" s="1">
        <f>VLOOKUP(A17,'SegEnds_NonXtal_Prot#'!A:AL,28,FALSE)-VLOOKUP(A17,'SegEnds_NonXtal_Prot#'!A:AL,25,FALSE)</f>
        <v>28</v>
      </c>
      <c r="AH17" s="1">
        <f>VLOOKUP(A17,'SegEnds_NonXtal_Prot#'!A:AL,28,FALSE)-VLOOKUP(A17,'SegEnds_NonXtal_Prot#'!A:AL,22,FALSE)</f>
        <v>55</v>
      </c>
      <c r="AI17" s="1">
        <f>VLOOKUP(A17,'SegEnds_NonXtal_Prot#'!A:AL,31,FALSE)-VLOOKUP(A17,'SegEnds_NonXtal_Prot#'!A:AL,28,FALSE)</f>
        <v>43</v>
      </c>
      <c r="AJ17" s="1">
        <f>VLOOKUP(A17,'SegEnds_NonXtal_Prot#'!A:AL,34,FALSE)-VLOOKUP(A17,'SegEnds_NonXtal_Prot#'!A:AL,31,FALSE)</f>
        <v>45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145</v>
      </c>
      <c r="B18" s="1" t="str">
        <f>VLOOKUP(A18,Xtal_Templ!A:B,2,FALSE)</f>
        <v>ccr9_human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08">
        <v>21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f>VLOOKUP($B18&amp;"__wt",'SegEnds_Xtal_BW#'!$A:$Z,14,FALSE)</f>
        <v>56</v>
      </c>
      <c r="O18" s="87"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33</v>
      </c>
      <c r="T18" s="1">
        <f t="array" ref="T18">INDEX(ICL3_classA!$G$2:$G$37,MATCH(MIN(ABS(AI18-ICL3_classA!$F$2:$F$37)),ABS(AI18-ICL3_classA!$F$2:$F$37),0))</f>
        <v>68</v>
      </c>
      <c r="U18" s="1">
        <f t="array" ref="U18">INDEX(ICL3_classA!$H$2:$H$37,MATCH(MIN(ABS(AI18-ICL3_classA!$F$2:$F$37)),ABS(AI18-ICL3_classA!$F$2:$F$37),0))</f>
        <v>30</v>
      </c>
      <c r="V18" s="1">
        <v>64</v>
      </c>
      <c r="W18" s="1">
        <v>24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67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18</v>
      </c>
      <c r="AE18" s="1">
        <f>VLOOKUP(A18,'SegEnds_NonXtal_Prot#'!A:AL,16,FALSE)-VLOOKUP(A18,'SegEnds_NonXtal_Prot#'!A:AL,10,FALSE)</f>
        <v>50</v>
      </c>
      <c r="AF18" s="1" t="e">
        <f>VLOOKUP(A18,'SegEnds_NonXtal_Prot#'!A:AL,22,FALSE)-VLOOKUP(A18,'SegEnds_NonXtal_Prot#'!A:AL,19,FALSE)</f>
        <v>#VALUE!</v>
      </c>
      <c r="AG18" s="1">
        <f>VLOOKUP(A18,'SegEnds_NonXtal_Prot#'!A:AL,28,FALSE)-VLOOKUP(A18,'SegEnds_NonXtal_Prot#'!A:AL,25,FALSE)</f>
        <v>28</v>
      </c>
      <c r="AH18" s="1">
        <f>VLOOKUP(A18,'SegEnds_NonXtal_Prot#'!A:AL,28,FALSE)-VLOOKUP(A18,'SegEnds_NonXtal_Prot#'!A:AL,22,FALSE)</f>
        <v>50</v>
      </c>
      <c r="AI18" s="1">
        <f>VLOOKUP(A18,'SegEnds_NonXtal_Prot#'!A:AL,31,FALSE)-VLOOKUP(A18,'SegEnds_NonXtal_Prot#'!A:AL,28,FALSE)</f>
        <v>43</v>
      </c>
      <c r="AJ18" s="1">
        <f>VLOOKUP(A18,'SegEnds_NonXtal_Prot#'!A:AL,34,FALSE)-VLOOKUP(A18,'SegEnds_NonXtal_Prot#'!A:AL,31,FALSE)</f>
        <v>45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165</v>
      </c>
      <c r="B19" s="1" t="str">
        <f>VLOOKUP(A19,Xtal_Templ!A:B,2,FALSE)</f>
        <v>c5ar1_human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 t="str">
        <f>VLOOKUP($B19&amp;"__wt",'SegEnds_Xtal_BW#'!$A:$Z,5,FALSE)</f>
        <v>-</v>
      </c>
      <c r="F19" s="1" t="str">
        <f>VLOOKUP($B19&amp;"__wt",'SegEnds_Xtal_BW#'!$A:$Z,6,FALSE)</f>
        <v>-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31</v>
      </c>
      <c r="T19" s="1">
        <f t="array" ref="T19">INDEX(ICL3_classA!$G$2:$G$37,MATCH(MIN(ABS(AI19-ICL3_classA!$F$2:$F$37)),ABS(AI19-ICL3_classA!$F$2:$F$37),0))</f>
        <v>68</v>
      </c>
      <c r="U19" s="108">
        <v>31</v>
      </c>
      <c r="V19" s="1">
        <v>61</v>
      </c>
      <c r="W19" s="108">
        <v>25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56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27</v>
      </c>
      <c r="AC19" s="1" t="e">
        <f>VLOOKUP(A19,'SegEnds_NonXtal_Prot#'!A:AL,10,FALSE)-VLOOKUP(A19,'SegEnds_NonXtal_Prot#'!A:AL,7,FALSE)</f>
        <v>#VALUE!</v>
      </c>
      <c r="AD19" s="1">
        <f>VLOOKUP(A19,'SegEnds_NonXtal_Prot#'!A:AL,13,FALSE)-VLOOKUP(A19,'SegEnds_NonXtal_Prot#'!A:AL,10,FALSE)</f>
        <v>20</v>
      </c>
      <c r="AE19" s="1">
        <f>VLOOKUP(A19,'SegEnds_NonXtal_Prot#'!A:AL,16,FALSE)-VLOOKUP(A19,'SegEnds_NonXtal_Prot#'!A:AL,10,FALSE)</f>
        <v>52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26</v>
      </c>
      <c r="AH19" s="1">
        <f>VLOOKUP(A19,'SegEnds_NonXtal_Prot#'!A:AL,28,FALSE)-VLOOKUP(A19,'SegEnds_NonXtal_Prot#'!A:AL,22,FALSE)</f>
        <v>53</v>
      </c>
      <c r="AI19" s="1">
        <f>VLOOKUP(A19,'SegEnds_NonXtal_Prot#'!A:AL,31,FALSE)-VLOOKUP(A19,'SegEnds_NonXtal_Prot#'!A:AL,28,FALSE)</f>
        <v>43</v>
      </c>
      <c r="AJ19" s="1">
        <f>VLOOKUP(A19,'SegEnds_NonXtal_Prot#'!A:AL,34,FALSE)-VLOOKUP(A19,'SegEnds_NonXtal_Prot#'!A:AL,31,FALSE)</f>
        <v>40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Xtal</v>
      </c>
    </row>
    <row r="20" spans="1:38" x14ac:dyDescent="0.2">
      <c r="A20" s="1" t="s">
        <v>168</v>
      </c>
      <c r="B20" s="1" t="str">
        <f>VLOOKUP(A20,Xtal_Templ!A:B,2,FALSE)</f>
        <v>ccr5_human</v>
      </c>
      <c r="C20" s="5">
        <f>VLOOKUP($B20&amp;"__wt",'SegEnds_Xtal_BW#'!$A:$Z,3,FALSE)</f>
        <v>24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7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30</v>
      </c>
      <c r="T20" s="1">
        <f t="array" ref="T20">INDEX(ICL3_classA!$G$2:$G$37,MATCH(MIN(ABS(AI20-ICL3_classA!$F$2:$F$37)),ABS(AI20-ICL3_classA!$F$2:$F$37),0))</f>
        <v>68</v>
      </c>
      <c r="U20" s="1">
        <f t="array" ref="U20">INDEX(ICL3_classA!$H$2:$H$37,MATCH(MIN(ABS(AI20-ICL3_classA!$F$2:$F$37)),ABS(AI20-ICL3_classA!$F$2:$F$37),0))</f>
        <v>30</v>
      </c>
      <c r="V20" s="1">
        <v>65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19</v>
      </c>
      <c r="AE20" s="1">
        <f>VLOOKUP(A20,'SegEnds_NonXtal_Prot#'!A:AL,16,FALSE)-VLOOKUP(A20,'SegEnds_NonXtal_Prot#'!A:AL,10,FALSE)</f>
        <v>51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28</v>
      </c>
      <c r="AH20" s="1">
        <f>VLOOKUP(A20,'SegEnds_NonXtal_Prot#'!A:AL,28,FALSE)-VLOOKUP(A20,'SegEnds_NonXtal_Prot#'!A:AL,22,FALSE)</f>
        <v>53</v>
      </c>
      <c r="AI20" s="1">
        <f>VLOOKUP(A20,'SegEnds_NonXtal_Prot#'!A:AL,31,FALSE)-VLOOKUP(A20,'SegEnds_NonXtal_Prot#'!A:AL,28,FALSE)</f>
        <v>43</v>
      </c>
      <c r="AJ20" s="1">
        <f>VLOOKUP(A20,'SegEnds_NonXtal_Prot#'!A:AL,34,FALSE)-VLOOKUP(A20,'SegEnds_NonXtal_Prot#'!A:AL,31,FALSE)</f>
        <v>44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169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24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7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INDEX(ICL3_classA!$G$2:$G$37,MATCH(MIN(ABS(AI21-ICL3_classA!$F$2:$F$37)),ABS(AI21-ICL3_classA!$F$2:$F$37),0))</f>
        <v>68</v>
      </c>
      <c r="U21" s="1">
        <f t="array" ref="U21">INDEX(ICL3_classA!$H$2:$H$37,MATCH(MIN(ABS(AI21-ICL3_classA!$F$2:$F$37)),ABS(AI21-ICL3_classA!$F$2:$F$37),0))</f>
        <v>30</v>
      </c>
      <c r="V21" s="1">
        <v>65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29</v>
      </c>
      <c r="AC21" s="1">
        <f>VLOOKUP(A21,'SegEnds_NonXtal_Prot#'!A:AL,10,FALSE)-VLOOKUP(A21,'SegEnds_NonXtal_Prot#'!A:AL,7,FALSE)</f>
        <v>16</v>
      </c>
      <c r="AD21" s="1">
        <f>VLOOKUP(A21,'SegEnds_NonXtal_Prot#'!A:AL,13,FALSE)-VLOOKUP(A21,'SegEnds_NonXtal_Prot#'!A:AL,10,FALSE)</f>
        <v>18</v>
      </c>
      <c r="AE21" s="1">
        <f>VLOOKUP(A21,'SegEnds_NonXtal_Prot#'!A:AL,16,FALSE)-VLOOKUP(A21,'SegEnds_NonXtal_Prot#'!A:AL,10,FALSE)</f>
        <v>50</v>
      </c>
      <c r="AF21" s="1" t="e">
        <f>VLOOKUP(A21,'SegEnds_NonXtal_Prot#'!A:AL,22,FALSE)-VLOOKUP(A21,'SegEnds_NonXtal_Prot#'!A:AL,19,FALSE)</f>
        <v>#VALUE!</v>
      </c>
      <c r="AG21" s="1">
        <f>VLOOKUP(A21,'SegEnds_NonXtal_Prot#'!A:AL,28,FALSE)-VLOOKUP(A21,'SegEnds_NonXtal_Prot#'!A:AL,25,FALSE)</f>
        <v>28</v>
      </c>
      <c r="AH21" s="1">
        <f>VLOOKUP(A21,'SegEnds_NonXtal_Prot#'!A:AL,28,FALSE)-VLOOKUP(A21,'SegEnds_NonXtal_Prot#'!A:AL,22,FALSE)</f>
        <v>53</v>
      </c>
      <c r="AI21" s="1">
        <f>VLOOKUP(A21,'SegEnds_NonXtal_Prot#'!A:AL,31,FALSE)-VLOOKUP(A21,'SegEnds_NonXtal_Prot#'!A:AL,28,FALSE)</f>
        <v>43</v>
      </c>
      <c r="AJ21" s="1">
        <f>VLOOKUP(A21,'SegEnds_NonXtal_Prot#'!A:AL,34,FALSE)-VLOOKUP(A21,'SegEnds_NonXtal_Prot#'!A:AL,31,FALSE)</f>
        <v>45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171</v>
      </c>
      <c r="B22" s="1" t="str">
        <f>VLOOKUP(A22,Xtal_Templ!A:B,2,FALSE)</f>
        <v>ccr5_human</v>
      </c>
      <c r="C22" s="5">
        <f>VLOOKUP($B22&amp;"__wt",'SegEnds_Xtal_BW#'!$A:$Z,3,FALSE)</f>
        <v>24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21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57</v>
      </c>
      <c r="O22" s="87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30</v>
      </c>
      <c r="T22" s="1">
        <f t="array" ref="T22">INDEX(ICL3_classA!$G$2:$G$37,MATCH(MIN(ABS(AI22-ICL3_classA!$F$2:$F$37)),ABS(AI22-ICL3_classA!$F$2:$F$37),0))</f>
        <v>68</v>
      </c>
      <c r="U22" s="1">
        <f t="array" ref="U22">INDEX(ICL3_classA!$H$2:$H$37,MATCH(MIN(ABS(AI22-ICL3_classA!$F$2:$F$37)),ABS(AI22-ICL3_classA!$F$2:$F$37),0))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28</v>
      </c>
      <c r="AC22" s="1">
        <f>VLOOKUP(A22,'SegEnds_NonXtal_Prot#'!A:AL,10,FALSE)-VLOOKUP(A22,'SegEnds_NonXtal_Prot#'!A:AL,7,FALSE)</f>
        <v>15</v>
      </c>
      <c r="AD22" s="1">
        <f>VLOOKUP(A22,'SegEnds_NonXtal_Prot#'!A:AL,13,FALSE)-VLOOKUP(A22,'SegEnds_NonXtal_Prot#'!A:AL,10,FALSE)</f>
        <v>19</v>
      </c>
      <c r="AE22" s="1">
        <f>VLOOKUP(A22,'SegEnds_NonXtal_Prot#'!A:AL,16,FALSE)-VLOOKUP(A22,'SegEnds_NonXtal_Prot#'!A:AL,10,FALSE)</f>
        <v>51</v>
      </c>
      <c r="AF22" s="1">
        <f>VLOOKUP(A22,'SegEnds_NonXtal_Prot#'!A:AL,22,FALSE)-VLOOKUP(A22,'SegEnds_NonXtal_Prot#'!A:AL,19,FALSE)</f>
        <v>20</v>
      </c>
      <c r="AG22" s="1">
        <f>VLOOKUP(A22,'SegEnds_NonXtal_Prot#'!A:AL,28,FALSE)-VLOOKUP(A22,'SegEnds_NonXtal_Prot#'!A:AL,25,FALSE)</f>
        <v>28</v>
      </c>
      <c r="AH22" s="1">
        <f>VLOOKUP(A22,'SegEnds_NonXtal_Prot#'!A:AL,28,FALSE)-VLOOKUP(A22,'SegEnds_NonXtal_Prot#'!A:AL,22,FALSE)</f>
        <v>53</v>
      </c>
      <c r="AI22" s="1">
        <f>VLOOKUP(A22,'SegEnds_NonXtal_Prot#'!A:AL,31,FALSE)-VLOOKUP(A22,'SegEnds_NonXtal_Prot#'!A:AL,28,FALSE)</f>
        <v>43</v>
      </c>
      <c r="AJ22" s="1">
        <f>VLOOKUP(A22,'SegEnds_NonXtal_Prot#'!A:AL,34,FALSE)-VLOOKUP(A22,'SegEnds_NonXtal_Prot#'!A:AL,31,FALSE)</f>
        <v>44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172</v>
      </c>
      <c r="B23" s="1" t="str">
        <f>VLOOKUP(A23,Xtal_Templ!A:B,2,FALSE)</f>
        <v>ccr5_human</v>
      </c>
      <c r="C23" s="5">
        <f>VLOOKUP($B23&amp;"__wt",'SegEnds_Xtal_BW#'!$A:$Z,3,FALSE)</f>
        <v>24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7"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30</v>
      </c>
      <c r="T23" s="1">
        <f t="array" ref="T23">INDEX(ICL3_classA!$G$2:$G$37,MATCH(MIN(ABS(AI23-ICL3_classA!$F$2:$F$37)),ABS(AI23-ICL3_classA!$F$2:$F$37),0))</f>
        <v>68</v>
      </c>
      <c r="U23" s="1">
        <f t="array" ref="U23">INDEX(ICL3_classA!$H$2:$H$37,MATCH(MIN(ABS(AI23-ICL3_classA!$F$2:$F$37)),ABS(AI23-ICL3_classA!$F$2:$F$37),0))</f>
        <v>30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18</v>
      </c>
      <c r="AE23" s="1">
        <f>VLOOKUP(A23,'SegEnds_NonXtal_Prot#'!A:AL,16,FALSE)-VLOOKUP(A23,'SegEnds_NonXtal_Prot#'!A:AL,10,FALSE)</f>
        <v>50</v>
      </c>
      <c r="AF23" s="1">
        <f>VLOOKUP(A23,'SegEnds_NonXtal_Prot#'!A:AL,22,FALSE)-VLOOKUP(A23,'SegEnds_NonXtal_Prot#'!A:AL,19,FALSE)</f>
        <v>20</v>
      </c>
      <c r="AG23" s="1">
        <f>VLOOKUP(A23,'SegEnds_NonXtal_Prot#'!A:AL,28,FALSE)-VLOOKUP(A23,'SegEnds_NonXtal_Prot#'!A:AL,25,FALSE)</f>
        <v>27</v>
      </c>
      <c r="AH23" s="1">
        <f>VLOOKUP(A23,'SegEnds_NonXtal_Prot#'!A:AL,28,FALSE)-VLOOKUP(A23,'SegEnds_NonXtal_Prot#'!A:AL,22,FALSE)</f>
        <v>52</v>
      </c>
      <c r="AI23" s="1">
        <f>VLOOKUP(A23,'SegEnds_NonXtal_Prot#'!A:AL,31,FALSE)-VLOOKUP(A23,'SegEnds_NonXtal_Prot#'!A:AL,28,FALSE)</f>
        <v>43</v>
      </c>
      <c r="AJ23" s="1">
        <f>VLOOKUP(A23,'SegEnds_NonXtal_Prot#'!A:AL,34,FALSE)-VLOOKUP(A23,'SegEnds_NonXtal_Prot#'!A:AL,31,FALSE)</f>
        <v>44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2" t="s">
        <v>174</v>
      </c>
      <c r="B24" s="12" t="str">
        <f>VLOOKUP(A24,Xtal_Templ!A:B,2,FALSE)</f>
        <v>ccr9_human</v>
      </c>
      <c r="C24" s="13">
        <f>VLOOKUP($B24&amp;"__wt",'SegEnds_Xtal_BW#'!$A:$Z,3,FALSE)</f>
        <v>27</v>
      </c>
      <c r="D24" s="12">
        <f>VLOOKUP($B24&amp;"__wt",'SegEnds_Xtal_BW#'!$A:$Z,4,FALSE)</f>
        <v>60</v>
      </c>
      <c r="E24" s="12">
        <f>VLOOKUP($B24&amp;"__wt",'SegEnds_Xtal_BW#'!$A:$Z,5,FALSE)</f>
        <v>48</v>
      </c>
      <c r="F24" s="12">
        <f>VLOOKUP($B24&amp;"__wt",'SegEnds_Xtal_BW#'!$A:$Z,6,FALSE)</f>
        <v>51</v>
      </c>
      <c r="G24" s="12">
        <v>37</v>
      </c>
      <c r="H24" s="12">
        <v>66</v>
      </c>
      <c r="I24" s="12">
        <f>VLOOKUP($B24&amp;"__wt",'SegEnds_Xtal_BW#'!$A:$Z,9,FALSE)</f>
        <v>49</v>
      </c>
      <c r="J24" s="12">
        <f>VLOOKUP($B24&amp;"__wt",'SegEnds_Xtal_BW#'!$A:$Z,10,FALSE)</f>
        <v>52</v>
      </c>
      <c r="K24" s="12">
        <v>21</v>
      </c>
      <c r="L24" s="12">
        <f>VLOOKUP($B24&amp;"__wt",'SegEnds_Xtal_BW#'!$A:$Z,12,FALSE)</f>
        <v>56</v>
      </c>
      <c r="M24" s="12">
        <f>VLOOKUP($B24&amp;"__wt",'SegEnds_Xtal_BW#'!$A:$Z,13,FALSE)</f>
        <v>50</v>
      </c>
      <c r="N24" s="12">
        <v>58</v>
      </c>
      <c r="O24" s="87">
        <v>38</v>
      </c>
      <c r="P24" s="12">
        <f>VLOOKUP($B24&amp;"__wt",'SegEnds_Xtal_BW#'!$A:$Z,16,FALSE)</f>
        <v>64</v>
      </c>
      <c r="Q24" s="12">
        <f>VLOOKUP($B24&amp;"__wt",'SegEnds_Xtal_BW#'!$A:$Z,17,FALSE)</f>
        <v>50</v>
      </c>
      <c r="R24" s="12">
        <f>VLOOKUP($B24&amp;"__wt",'SegEnds_Xtal_BW#'!$A:$Z,18,FALSE)</f>
        <v>52</v>
      </c>
      <c r="S24" s="12">
        <f>VLOOKUP($B24&amp;"__wt",'SegEnds_Xtal_BW#'!$A:$Z,19,FALSE)</f>
        <v>33</v>
      </c>
      <c r="T24" s="12">
        <f t="array" ref="T24">INDEX(ICL3_classA!$G$2:$G$37,MATCH(MIN(ABS(AI24-ICL3_classA!$F$2:$F$37)),ABS(AI24-ICL3_classA!$F$2:$F$37),0))</f>
        <v>68</v>
      </c>
      <c r="U24" s="12">
        <f t="array" ref="U24">INDEX(ICL3_classA!$H$2:$H$37,MATCH(MIN(ABS(AI24-ICL3_classA!$F$2:$F$37)),ABS(AI24-ICL3_classA!$F$2:$F$37),0))</f>
        <v>30</v>
      </c>
      <c r="V24" s="12">
        <v>65</v>
      </c>
      <c r="W24" s="12">
        <v>24</v>
      </c>
      <c r="X24" s="12">
        <f>VLOOKUP($B24&amp;"__wt",'SegEnds_Xtal_BW#'!$A:$Z,24,FALSE)</f>
        <v>56</v>
      </c>
      <c r="Y24" s="12">
        <f>VLOOKUP($B24&amp;"__wt",'SegEnds_Xtal_BW#'!$A:$Z,25,FALSE)</f>
        <v>47</v>
      </c>
      <c r="Z24" s="12">
        <f>VLOOKUP($B24&amp;"__wt",'SegEnds_Xtal_BW#'!$A:$Z,26,FALSE)</f>
        <v>67</v>
      </c>
      <c r="AA24" s="36" t="str">
        <f>VLOOKUP(A24,Classification!A:B,2,FALSE)</f>
        <v>A</v>
      </c>
      <c r="AB24" s="1">
        <f>VLOOKUP(A24,'SegEnds_NonXtal_Prot#'!A:AL,10,FALSE)-VLOOKUP(A24,'SegEnds_NonXtal_Prot#'!A:AL,4,FALSE)</f>
        <v>28</v>
      </c>
      <c r="AC24" s="12">
        <f>VLOOKUP(A24,'SegEnds_NonXtal_Prot#'!A:AL,10,FALSE)-VLOOKUP(A24,'SegEnds_NonXtal_Prot#'!A:AL,7,FALSE)</f>
        <v>15</v>
      </c>
      <c r="AD24" s="12">
        <f>VLOOKUP(A24,'SegEnds_NonXtal_Prot#'!A:AL,13,FALSE)-VLOOKUP(A24,'SegEnds_NonXtal_Prot#'!A:AL,10,FALSE)</f>
        <v>19</v>
      </c>
      <c r="AE24" s="12">
        <f>VLOOKUP(A24,'SegEnds_NonXtal_Prot#'!A:AL,16,FALSE)-VLOOKUP(A24,'SegEnds_NonXtal_Prot#'!A:AL,10,FALSE)</f>
        <v>51</v>
      </c>
      <c r="AF24" s="1">
        <f>VLOOKUP(A24,'SegEnds_NonXtal_Prot#'!A:AL,22,FALSE)-VLOOKUP(A24,'SegEnds_NonXtal_Prot#'!A:AL,19,FALSE)</f>
        <v>22</v>
      </c>
      <c r="AG24" s="12">
        <f>VLOOKUP(A24,'SegEnds_NonXtal_Prot#'!A:AL,28,FALSE)-VLOOKUP(A24,'SegEnds_NonXtal_Prot#'!A:AL,25,FALSE)</f>
        <v>29</v>
      </c>
      <c r="AH24" s="1">
        <f>VLOOKUP(A24,'SegEnds_NonXtal_Prot#'!A:AL,28,FALSE)-VLOOKUP(A24,'SegEnds_NonXtal_Prot#'!A:AL,22,FALSE)</f>
        <v>54</v>
      </c>
      <c r="AI24" s="12">
        <f>VLOOKUP(A24,'SegEnds_NonXtal_Prot#'!A:AL,31,FALSE)-VLOOKUP(A24,'SegEnds_NonXtal_Prot#'!A:AL,28,FALSE)</f>
        <v>43</v>
      </c>
      <c r="AJ24" s="12">
        <f>VLOOKUP(A24,'SegEnds_NonXtal_Prot#'!A:AL,34,FALSE)-VLOOKUP(A24,'SegEnds_NonXtal_Prot#'!A:AL,31,FALSE)</f>
        <v>44</v>
      </c>
      <c r="AK24" s="1">
        <f>VLOOKUP(A24,'SegEnds_NonXtal_Prot#'!A:AL,37,FALSE)-VLOOKUP(A24,'SegEnds_NonXtal_Prot#'!A:AL,34,FALSE)</f>
        <v>10</v>
      </c>
      <c r="AL24" s="12" t="str">
        <f>IF(ISERROR(MATCH(A24,'SegEnds_Xtal_Prot#'!B:B, 0)), "NoXtal", "Xtal")</f>
        <v>NoXtal</v>
      </c>
    </row>
    <row r="25" spans="1:38" x14ac:dyDescent="0.2">
      <c r="A25" s="12" t="s">
        <v>175</v>
      </c>
      <c r="B25" s="12" t="str">
        <f>VLOOKUP(A25,Xtal_Templ!A:B,2,FALSE)</f>
        <v>ccr9_human</v>
      </c>
      <c r="C25" s="13">
        <f>VLOOKUP($B25&amp;"__wt",'SegEnds_Xtal_BW#'!$A:$Z,3,FALSE)</f>
        <v>27</v>
      </c>
      <c r="D25" s="12">
        <f>VLOOKUP($B25&amp;"__wt",'SegEnds_Xtal_BW#'!$A:$Z,4,FALSE)</f>
        <v>60</v>
      </c>
      <c r="E25" s="12">
        <f>VLOOKUP($B25&amp;"__wt",'SegEnds_Xtal_BW#'!$A:$Z,5,FALSE)</f>
        <v>48</v>
      </c>
      <c r="F25" s="12">
        <f>VLOOKUP($B25&amp;"__wt",'SegEnds_Xtal_BW#'!$A:$Z,6,FALSE)</f>
        <v>51</v>
      </c>
      <c r="G25" s="12">
        <v>37</v>
      </c>
      <c r="H25" s="12">
        <v>66</v>
      </c>
      <c r="I25" s="12">
        <f>VLOOKUP($B25&amp;"__wt",'SegEnds_Xtal_BW#'!$A:$Z,9,FALSE)</f>
        <v>49</v>
      </c>
      <c r="J25" s="12">
        <f>VLOOKUP($B25&amp;"__wt",'SegEnds_Xtal_BW#'!$A:$Z,10,FALSE)</f>
        <v>52</v>
      </c>
      <c r="K25" s="12">
        <v>24</v>
      </c>
      <c r="L25" s="12">
        <f>VLOOKUP($B25&amp;"__wt",'SegEnds_Xtal_BW#'!$A:$Z,12,FALSE)</f>
        <v>56</v>
      </c>
      <c r="M25" s="12">
        <f>VLOOKUP($B25&amp;"__wt",'SegEnds_Xtal_BW#'!$A:$Z,13,FALSE)</f>
        <v>50</v>
      </c>
      <c r="N25" s="12">
        <v>58</v>
      </c>
      <c r="O25" s="87">
        <v>38</v>
      </c>
      <c r="P25" s="12">
        <f>VLOOKUP($B25&amp;"__wt",'SegEnds_Xtal_BW#'!$A:$Z,16,FALSE)</f>
        <v>64</v>
      </c>
      <c r="Q25" s="12">
        <f>VLOOKUP($B25&amp;"__wt",'SegEnds_Xtal_BW#'!$A:$Z,17,FALSE)</f>
        <v>50</v>
      </c>
      <c r="R25" s="12">
        <f>VLOOKUP($B25&amp;"__wt",'SegEnds_Xtal_BW#'!$A:$Z,18,FALSE)</f>
        <v>52</v>
      </c>
      <c r="S25" s="12">
        <f>VLOOKUP($B25&amp;"__wt",'SegEnds_Xtal_BW#'!$A:$Z,19,FALSE)</f>
        <v>33</v>
      </c>
      <c r="T25" s="12">
        <f t="array" ref="T25">INDEX(ICL3_classA!$G$2:$G$37,MATCH(MIN(ABS(AI25-ICL3_classA!$F$2:$F$37)),ABS(AI25-ICL3_classA!$F$2:$F$37),0))</f>
        <v>68</v>
      </c>
      <c r="U25" s="12">
        <f t="array" ref="U25">INDEX(ICL3_classA!$H$2:$H$37,MATCH(MIN(ABS(AI25-ICL3_classA!$F$2:$F$37)),ABS(AI25-ICL3_classA!$F$2:$F$37),0))</f>
        <v>30</v>
      </c>
      <c r="V25" s="12">
        <v>65</v>
      </c>
      <c r="W25" s="12">
        <v>24</v>
      </c>
      <c r="X25" s="12">
        <f>VLOOKUP($B25&amp;"__wt",'SegEnds_Xtal_BW#'!$A:$Z,24,FALSE)</f>
        <v>56</v>
      </c>
      <c r="Y25" s="12">
        <f>VLOOKUP($B25&amp;"__wt",'SegEnds_Xtal_BW#'!$A:$Z,25,FALSE)</f>
        <v>47</v>
      </c>
      <c r="Z25" s="12">
        <f>VLOOKUP($B25&amp;"__wt",'SegEnds_Xtal_BW#'!$A:$Z,26,FALSE)</f>
        <v>67</v>
      </c>
      <c r="AA25" s="36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2">
        <f>VLOOKUP(A25,'SegEnds_NonXtal_Prot#'!A:AL,10,FALSE)-VLOOKUP(A25,'SegEnds_NonXtal_Prot#'!A:AL,7,FALSE)</f>
        <v>15</v>
      </c>
      <c r="AD25" s="12">
        <f>VLOOKUP(A25,'SegEnds_NonXtal_Prot#'!A:AL,13,FALSE)-VLOOKUP(A25,'SegEnds_NonXtal_Prot#'!A:AL,10,FALSE)</f>
        <v>18</v>
      </c>
      <c r="AE25" s="12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22</v>
      </c>
      <c r="AG25" s="12">
        <f>VLOOKUP(A25,'SegEnds_NonXtal_Prot#'!A:AL,28,FALSE)-VLOOKUP(A25,'SegEnds_NonXtal_Prot#'!A:AL,25,FALSE)</f>
        <v>25</v>
      </c>
      <c r="AH25" s="1">
        <f>VLOOKUP(A25,'SegEnds_NonXtal_Prot#'!A:AL,28,FALSE)-VLOOKUP(A25,'SegEnds_NonXtal_Prot#'!A:AL,22,FALSE)</f>
        <v>52</v>
      </c>
      <c r="AI25" s="12">
        <f>VLOOKUP(A25,'SegEnds_NonXtal_Prot#'!A:AL,31,FALSE)-VLOOKUP(A25,'SegEnds_NonXtal_Prot#'!A:AL,28,FALSE)</f>
        <v>43</v>
      </c>
      <c r="AJ25" s="12">
        <f>VLOOKUP(A25,'SegEnds_NonXtal_Prot#'!A:AL,34,FALSE)-VLOOKUP(A25,'SegEnds_NonXtal_Prot#'!A:AL,31,FALSE)</f>
        <v>45</v>
      </c>
      <c r="AK25" s="1">
        <f>VLOOKUP(A25,'SegEnds_NonXtal_Prot#'!A:AL,37,FALSE)-VLOOKUP(A25,'SegEnds_NonXtal_Prot#'!A:AL,34,FALSE)</f>
        <v>10</v>
      </c>
      <c r="AL25" s="12" t="str">
        <f>IF(ISERROR(MATCH(A25,'SegEnds_Xtal_Prot#'!B:B, 0)), "NoXtal", "Xtal")</f>
        <v>NoXtal</v>
      </c>
    </row>
    <row r="26" spans="1:38" x14ac:dyDescent="0.2">
      <c r="A26" s="1" t="s">
        <v>176</v>
      </c>
      <c r="B26" s="1" t="str">
        <f>VLOOKUP(A26,Xtal_Templ!A:B,2,FALSE)</f>
        <v>ccr5_human</v>
      </c>
      <c r="C26" s="5">
        <f>VLOOKUP($B26&amp;"__wt",'SegEnds_Xtal_BW#'!$A:$Z,3,FALSE)</f>
        <v>24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66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24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30</v>
      </c>
      <c r="T26" s="1">
        <f t="array" ref="T26">INDEX(ICL3_classA!$G$2:$G$37,MATCH(MIN(ABS(AI26-ICL3_classA!$F$2:$F$37)),ABS(AI26-ICL3_classA!$F$2:$F$37),0))</f>
        <v>68</v>
      </c>
      <c r="U26" s="1">
        <f t="array" ref="U26">INDEX(ICL3_classA!$H$2:$H$37,MATCH(MIN(ABS(AI26-ICL3_classA!$F$2:$F$37)),ABS(AI26-ICL3_classA!$F$2:$F$37),0))</f>
        <v>30</v>
      </c>
      <c r="V26" s="1">
        <v>65</v>
      </c>
      <c r="W26" s="1">
        <v>24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59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">
        <f>VLOOKUP(A26,'SegEnds_NonXtal_Prot#'!A:AL,10,FALSE)-VLOOKUP(A26,'SegEnds_NonXtal_Prot#'!A:AL,7,FALSE)</f>
        <v>15</v>
      </c>
      <c r="AD26" s="1">
        <f>VLOOKUP(A26,'SegEnds_NonXtal_Prot#'!A:AL,13,FALSE)-VLOOKUP(A26,'SegEnds_NonXtal_Prot#'!A:AL,10,FALSE)</f>
        <v>18</v>
      </c>
      <c r="AE26" s="1">
        <f>VLOOKUP(A26,'SegEnds_NonXtal_Prot#'!A:AL,16,FALSE)-VLOOKUP(A26,'SegEnds_NonXtal_Prot#'!A:AL,10,FALSE)</f>
        <v>50</v>
      </c>
      <c r="AF26" s="1">
        <f>VLOOKUP(A26,'SegEnds_NonXtal_Prot#'!A:AL,22,FALSE)-VLOOKUP(A26,'SegEnds_NonXtal_Prot#'!A:AL,19,FALSE)</f>
        <v>20</v>
      </c>
      <c r="AG26" s="1">
        <f>VLOOKUP(A26,'SegEnds_NonXtal_Prot#'!A:AL,28,FALSE)-VLOOKUP(A26,'SegEnds_NonXtal_Prot#'!A:AL,25,FALSE)</f>
        <v>27</v>
      </c>
      <c r="AH26" s="1">
        <f>VLOOKUP(A26,'SegEnds_NonXtal_Prot#'!A:AL,28,FALSE)-VLOOKUP(A26,'SegEnds_NonXtal_Prot#'!A:AL,22,FALSE)</f>
        <v>52</v>
      </c>
      <c r="AI26" s="1">
        <f>VLOOKUP(A26,'SegEnds_NonXtal_Prot#'!A:AL,31,FALSE)-VLOOKUP(A26,'SegEnds_NonXtal_Prot#'!A:AL,28,FALSE)</f>
        <v>43</v>
      </c>
      <c r="AJ26" s="1">
        <f>VLOOKUP(A26,'SegEnds_NonXtal_Prot#'!A:AL,34,FALSE)-VLOOKUP(A26,'SegEnds_NonXtal_Prot#'!A:AL,31,FALSE)</f>
        <v>44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2" t="s">
        <v>177</v>
      </c>
      <c r="B27" s="12" t="str">
        <f>VLOOKUP(A27,Xtal_Templ!A:B,2,FALSE)</f>
        <v>ccr9_human</v>
      </c>
      <c r="C27" s="13">
        <f>VLOOKUP($B27&amp;"__wt",'SegEnds_Xtal_BW#'!$A:$Z,3,FALSE)</f>
        <v>27</v>
      </c>
      <c r="D27" s="12">
        <f>VLOOKUP($B27&amp;"__wt",'SegEnds_Xtal_BW#'!$A:$Z,4,FALSE)</f>
        <v>60</v>
      </c>
      <c r="E27" s="12">
        <f>VLOOKUP($B27&amp;"__wt",'SegEnds_Xtal_BW#'!$A:$Z,5,FALSE)</f>
        <v>48</v>
      </c>
      <c r="F27" s="12">
        <f>VLOOKUP($B27&amp;"__wt",'SegEnds_Xtal_BW#'!$A:$Z,6,FALSE)</f>
        <v>51</v>
      </c>
      <c r="G27" s="12">
        <v>37</v>
      </c>
      <c r="H27" s="12">
        <v>66</v>
      </c>
      <c r="I27" s="12">
        <f>VLOOKUP($B27&amp;"__wt",'SegEnds_Xtal_BW#'!$A:$Z,9,FALSE)</f>
        <v>49</v>
      </c>
      <c r="J27" s="12">
        <f>VLOOKUP($B27&amp;"__wt",'SegEnds_Xtal_BW#'!$A:$Z,10,FALSE)</f>
        <v>52</v>
      </c>
      <c r="K27" s="12">
        <v>24</v>
      </c>
      <c r="L27" s="12">
        <f>VLOOKUP($B27&amp;"__wt",'SegEnds_Xtal_BW#'!$A:$Z,12,FALSE)</f>
        <v>56</v>
      </c>
      <c r="M27" s="12">
        <f>VLOOKUP($B27&amp;"__wt",'SegEnds_Xtal_BW#'!$A:$Z,13,FALSE)</f>
        <v>50</v>
      </c>
      <c r="N27" s="12">
        <f>VLOOKUP($B27&amp;"__wt",'SegEnds_Xtal_BW#'!$A:$Z,14,FALSE)</f>
        <v>56</v>
      </c>
      <c r="O27" s="87">
        <f>VLOOKUP($B27&amp;"__wt",'SegEnds_Xtal_BW#'!$A:$Z,15,FALSE)</f>
        <v>35</v>
      </c>
      <c r="P27" s="12">
        <f>VLOOKUP($B27&amp;"__wt",'SegEnds_Xtal_BW#'!$A:$Z,16,FALSE)</f>
        <v>64</v>
      </c>
      <c r="Q27" s="12">
        <f>VLOOKUP($B27&amp;"__wt",'SegEnds_Xtal_BW#'!$A:$Z,17,FALSE)</f>
        <v>50</v>
      </c>
      <c r="R27" s="12">
        <f>VLOOKUP($B27&amp;"__wt",'SegEnds_Xtal_BW#'!$A:$Z,18,FALSE)</f>
        <v>52</v>
      </c>
      <c r="S27" s="12">
        <f>VLOOKUP($B27&amp;"__wt",'SegEnds_Xtal_BW#'!$A:$Z,19,FALSE)</f>
        <v>33</v>
      </c>
      <c r="T27" s="12">
        <f t="array" ref="T27">INDEX(ICL3_classA!$G$2:$G$37,MATCH(MIN(ABS(AI27-ICL3_classA!$F$2:$F$37)),ABS(AI27-ICL3_classA!$F$2:$F$37),0))</f>
        <v>68</v>
      </c>
      <c r="U27" s="12">
        <f t="array" ref="U27">INDEX(ICL3_classA!$H$2:$H$37,MATCH(MIN(ABS(AI27-ICL3_classA!$F$2:$F$37)),ABS(AI27-ICL3_classA!$F$2:$F$37),0))</f>
        <v>30</v>
      </c>
      <c r="V27" s="12">
        <v>65</v>
      </c>
      <c r="W27" s="12">
        <v>24</v>
      </c>
      <c r="X27" s="12">
        <f>VLOOKUP($B27&amp;"__wt",'SegEnds_Xtal_BW#'!$A:$Z,24,FALSE)</f>
        <v>56</v>
      </c>
      <c r="Y27" s="12">
        <f>VLOOKUP($B27&amp;"__wt",'SegEnds_Xtal_BW#'!$A:$Z,25,FALSE)</f>
        <v>47</v>
      </c>
      <c r="Z27" s="12">
        <f>VLOOKUP($B27&amp;"__wt",'SegEnds_Xtal_BW#'!$A:$Z,26,FALSE)</f>
        <v>67</v>
      </c>
      <c r="AA27" s="36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2">
        <f>VLOOKUP(A27,'SegEnds_NonXtal_Prot#'!A:AL,10,FALSE)-VLOOKUP(A27,'SegEnds_NonXtal_Prot#'!A:AL,7,FALSE)</f>
        <v>15</v>
      </c>
      <c r="AD27" s="12">
        <f>VLOOKUP(A27,'SegEnds_NonXtal_Prot#'!A:AL,13,FALSE)-VLOOKUP(A27,'SegEnds_NonXtal_Prot#'!A:AL,10,FALSE)</f>
        <v>18</v>
      </c>
      <c r="AE27" s="12">
        <f>VLOOKUP(A27,'SegEnds_NonXtal_Prot#'!A:AL,16,FALSE)-VLOOKUP(A27,'SegEnds_NonXtal_Prot#'!A:AL,10,FALSE)</f>
        <v>50</v>
      </c>
      <c r="AF27" s="1">
        <f>VLOOKUP(A27,'SegEnds_NonXtal_Prot#'!A:AL,22,FALSE)-VLOOKUP(A27,'SegEnds_NonXtal_Prot#'!A:AL,19,FALSE)</f>
        <v>22</v>
      </c>
      <c r="AG27" s="12">
        <f>VLOOKUP(A27,'SegEnds_NonXtal_Prot#'!A:AL,28,FALSE)-VLOOKUP(A27,'SegEnds_NonXtal_Prot#'!A:AL,25,FALSE)</f>
        <v>28</v>
      </c>
      <c r="AH27" s="1">
        <f>VLOOKUP(A27,'SegEnds_NonXtal_Prot#'!A:AL,28,FALSE)-VLOOKUP(A27,'SegEnds_NonXtal_Prot#'!A:AL,22,FALSE)</f>
        <v>53</v>
      </c>
      <c r="AI27" s="12">
        <f>VLOOKUP(A27,'SegEnds_NonXtal_Prot#'!A:AL,31,FALSE)-VLOOKUP(A27,'SegEnds_NonXtal_Prot#'!A:AL,28,FALSE)</f>
        <v>43</v>
      </c>
      <c r="AJ27" s="12">
        <f>VLOOKUP(A27,'SegEnds_NonXtal_Prot#'!A:AL,34,FALSE)-VLOOKUP(A27,'SegEnds_NonXtal_Prot#'!A:AL,31,FALSE)</f>
        <v>45</v>
      </c>
      <c r="AK27" s="1">
        <f>VLOOKUP(A27,'SegEnds_NonXtal_Prot#'!A:AL,37,FALSE)-VLOOKUP(A27,'SegEnds_NonXtal_Prot#'!A:AL,34,FALSE)</f>
        <v>10</v>
      </c>
      <c r="AL27" s="12" t="str">
        <f>IF(ISERROR(MATCH(A27,'SegEnds_Xtal_Prot#'!B:B, 0)), "NoXtal", "Xtal")</f>
        <v>Xtal</v>
      </c>
    </row>
    <row r="28" spans="1:38" x14ac:dyDescent="0.2">
      <c r="A28" s="1" t="s">
        <v>181</v>
      </c>
      <c r="B28" s="1" t="str">
        <f>VLOOKUP(A28,Xtal_Templ!A:B,2,FALSE)</f>
        <v>agtr1_human</v>
      </c>
      <c r="C28" s="5">
        <f>VLOOKUP($B28&amp;"__wt",'SegEnds_Xtal_BW#'!$A:$Z,3,FALSE)</f>
        <v>28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f>VLOOKUP($B28&amp;"__wt",'SegEnds_Xtal_BW#'!$A:$Z,8,FALSE)</f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18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7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34</v>
      </c>
      <c r="T28" s="1">
        <f t="array" ref="T28">INDEX(ICL3_classA!$G$2:$G$37,MATCH(MIN(ABS(AI28-ICL3_classA!$F$2:$F$37)),ABS(AI28-ICL3_classA!$F$2:$F$37),0))</f>
        <v>68</v>
      </c>
      <c r="U28" s="1">
        <f t="array" ref="U28">INDEX(ICL3_classA!$H$2:$H$37,MATCH(MIN(ABS(AI28-ICL3_classA!$F$2:$F$37)),ABS(AI28-ICL3_classA!$F$2:$F$37),0))</f>
        <v>30</v>
      </c>
      <c r="V28" s="1">
        <v>61</v>
      </c>
      <c r="W28" s="108">
        <v>25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61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27</v>
      </c>
      <c r="AC28" s="1" t="e">
        <f>VLOOKUP(A28,'SegEnds_NonXtal_Prot#'!A:AL,10,FALSE)-VLOOKUP(A28,'SegEnds_NonXtal_Prot#'!A:AL,7,FALSE)</f>
        <v>#VALUE!</v>
      </c>
      <c r="AD28" s="1">
        <f>VLOOKUP(A28,'SegEnds_NonXtal_Prot#'!A:AL,13,FALSE)-VLOOKUP(A28,'SegEnds_NonXtal_Prot#'!A:AL,10,FALSE)</f>
        <v>20</v>
      </c>
      <c r="AE28" s="1">
        <f>VLOOKUP(A28,'SegEnds_NonXtal_Prot#'!A:AL,16,FALSE)-VLOOKUP(A28,'SegEnds_NonXtal_Prot#'!A:AL,10,FALSE)</f>
        <v>52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43</v>
      </c>
      <c r="AH28" s="1">
        <f>VLOOKUP(A28,'SegEnds_NonXtal_Prot#'!A:AL,28,FALSE)-VLOOKUP(A28,'SegEnds_NonXtal_Prot#'!A:AL,22,FALSE)</f>
        <v>68</v>
      </c>
      <c r="AI28" s="1">
        <f>VLOOKUP(A28,'SegEnds_NonXtal_Prot#'!A:AL,31,FALSE)-VLOOKUP(A28,'SegEnds_NonXtal_Prot#'!A:AL,28,FALSE)</f>
        <v>43</v>
      </c>
      <c r="AJ28" s="1">
        <f>VLOOKUP(A28,'SegEnds_NonXtal_Prot#'!A:AL,34,FALSE)-VLOOKUP(A28,'SegEnds_NonXtal_Prot#'!A:AL,31,FALSE)</f>
        <v>38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NoXtal</v>
      </c>
    </row>
    <row r="29" spans="1:38" x14ac:dyDescent="0.2">
      <c r="A29" s="1" t="s">
        <v>184</v>
      </c>
      <c r="B29" s="1" t="str">
        <f>VLOOKUP(A29,Xtal_Templ!A:B,2,FALSE)</f>
        <v>ccr5_human</v>
      </c>
      <c r="C29" s="5">
        <f>VLOOKUP($B29&amp;"__wt",'SegEnds_Xtal_BW#'!$A:$Z,3,FALSE)</f>
        <v>24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30</v>
      </c>
      <c r="T29" s="1">
        <f t="array" ref="T29">INDEX(ICL3_classA!$G$2:$G$37,MATCH(MIN(ABS(AI29-ICL3_classA!$F$2:$F$37)),ABS(AI29-ICL3_classA!$F$2:$F$37),0))</f>
        <v>68</v>
      </c>
      <c r="U29" s="1">
        <f t="array" ref="U29">INDEX(ICL3_classA!$H$2:$H$37,MATCH(MIN(ABS(AI29-ICL3_classA!$F$2:$F$37)),ABS(AI29-ICL3_classA!$F$2:$F$37),0))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50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28</v>
      </c>
      <c r="AH29" s="1">
        <f>VLOOKUP(A29,'SegEnds_NonXtal_Prot#'!A:AL,28,FALSE)-VLOOKUP(A29,'SegEnds_NonXtal_Prot#'!A:AL,22,FALSE)</f>
        <v>49</v>
      </c>
      <c r="AI29" s="1">
        <f>VLOOKUP(A29,'SegEnds_NonXtal_Prot#'!A:AL,31,FALSE)-VLOOKUP(A29,'SegEnds_NonXtal_Prot#'!A:AL,28,FALSE)</f>
        <v>43</v>
      </c>
      <c r="AJ29" s="1">
        <f>VLOOKUP(A29,'SegEnds_NonXtal_Prot#'!A:AL,34,FALSE)-VLOOKUP(A29,'SegEnds_NonXtal_Prot#'!A:AL,31,FALSE)</f>
        <v>44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185</v>
      </c>
      <c r="B30" s="1" t="str">
        <f>VLOOKUP(A30,Xtal_Templ!A:B,2,FALSE)</f>
        <v>ccr2_human</v>
      </c>
      <c r="C30" s="5">
        <f>VLOOKUP($B30&amp;"__wt",'SegEnds_Xtal_BW#'!$A:$Z,3,FALSE)</f>
        <v>27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8">
        <v>56</v>
      </c>
      <c r="O30" s="87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INDEX(ICL3_classA!$G$2:$G$37,MATCH(MIN(ABS(AI30-ICL3_classA!$F$2:$F$37)),ABS(AI30-ICL3_classA!$F$2:$F$37),0))</f>
        <v>68</v>
      </c>
      <c r="U30" s="1">
        <f t="array" ref="U30">INDEX(ICL3_classA!$H$2:$H$37,MATCH(MIN(ABS(AI30-ICL3_classA!$F$2:$F$37)),ABS(AI30-ICL3_classA!$F$2:$F$37),0))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58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18</v>
      </c>
      <c r="AE30" s="1">
        <f>VLOOKUP(A30,'SegEnds_NonXtal_Prot#'!A:AL,16,FALSE)-VLOOKUP(A30,'SegEnds_NonXtal_Prot#'!A:AL,10,FALSE)</f>
        <v>50</v>
      </c>
      <c r="AF30" s="1">
        <f>VLOOKUP(A30,'SegEnds_NonXtal_Prot#'!A:AL,22,FALSE)-VLOOKUP(A30,'SegEnds_NonXtal_Prot#'!A:AL,19,FALSE)</f>
        <v>19</v>
      </c>
      <c r="AG30" s="1">
        <f>VLOOKUP(A30,'SegEnds_NonXtal_Prot#'!A:AL,28,FALSE)-VLOOKUP(A30,'SegEnds_NonXtal_Prot#'!A:AL,25,FALSE)</f>
        <v>27</v>
      </c>
      <c r="AH30" s="1">
        <f>VLOOKUP(A30,'SegEnds_NonXtal_Prot#'!A:AL,28,FALSE)-VLOOKUP(A30,'SegEnds_NonXtal_Prot#'!A:AL,22,FALSE)</f>
        <v>53</v>
      </c>
      <c r="AI30" s="1">
        <f>VLOOKUP(A30,'SegEnds_NonXtal_Prot#'!A:AL,31,FALSE)-VLOOKUP(A30,'SegEnds_NonXtal_Prot#'!A:AL,28,FALSE)</f>
        <v>43</v>
      </c>
      <c r="AJ30" s="1">
        <f>VLOOKUP(A30,'SegEnds_NonXtal_Prot#'!A:AL,34,FALSE)-VLOOKUP(A30,'SegEnds_NonXtal_Prot#'!A:AL,31,FALSE)</f>
        <v>45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ht="17" customHeight="1" x14ac:dyDescent="0.2">
      <c r="A31" s="1" t="s">
        <v>186</v>
      </c>
      <c r="B31" s="1" t="str">
        <f>VLOOKUP(A31,Xtal_Templ!A:B,2,FALSE)</f>
        <v>ccr9_human</v>
      </c>
      <c r="C31" s="5">
        <f>VLOOKUP($B31&amp;"__wt",'SegEnds_Xtal_BW#'!$A:$Z,3,FALSE)</f>
        <v>27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8">
        <v>56</v>
      </c>
      <c r="O31" s="108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33</v>
      </c>
      <c r="T31" s="1">
        <f t="array" ref="T31">INDEX(ICL3_classA!$G$2:$G$37,MATCH(MIN(ABS(AI31-ICL3_classA!$F$2:$F$37)),ABS(AI31-ICL3_classA!$F$2:$F$37),0))</f>
        <v>68</v>
      </c>
      <c r="U31" s="1">
        <f t="array" ref="U31">INDEX(ICL3_classA!$H$2:$H$37,MATCH(MIN(ABS(AI31-ICL3_classA!$F$2:$F$37)),ABS(AI31-ICL3_classA!$F$2:$F$37),0))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67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18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19</v>
      </c>
      <c r="AG31" s="1">
        <f>VLOOKUP(A31,'SegEnds_NonXtal_Prot#'!A:AL,28,FALSE)-VLOOKUP(A31,'SegEnds_NonXtal_Prot#'!A:AL,25,FALSE)</f>
        <v>27</v>
      </c>
      <c r="AH31" s="1">
        <f>VLOOKUP(A31,'SegEnds_NonXtal_Prot#'!A:AL,28,FALSE)-VLOOKUP(A31,'SegEnds_NonXtal_Prot#'!A:AL,22,FALSE)</f>
        <v>53</v>
      </c>
      <c r="AI31" s="1">
        <f>VLOOKUP(A31,'SegEnds_NonXtal_Prot#'!A:AL,31,FALSE)-VLOOKUP(A31,'SegEnds_NonXtal_Prot#'!A:AL,28,FALSE)</f>
        <v>43</v>
      </c>
      <c r="AJ31" s="1">
        <f>VLOOKUP(A31,'SegEnds_NonXtal_Prot#'!A:AL,34,FALSE)-VLOOKUP(A31,'SegEnds_NonXtal_Prot#'!A:AL,31,FALSE)</f>
        <v>45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187</v>
      </c>
      <c r="B32" s="1" t="str">
        <f>VLOOKUP(A32,Xtal_Templ!A:B,2,FALSE)</f>
        <v>cxcr4_human</v>
      </c>
      <c r="C32" s="5">
        <f>VLOOKUP($B32&amp;"__wt",'SegEnds_Xtal_BW#'!$A:$Z,3,FALSE)</f>
        <v>24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32</v>
      </c>
      <c r="T32" s="1">
        <f t="array" ref="T32">INDEX(ICL3_classA!$G$2:$G$37,MATCH(MIN(ABS(AI32-ICL3_classA!$F$2:$F$37)),ABS(AI32-ICL3_classA!$F$2:$F$37),0))</f>
        <v>68</v>
      </c>
      <c r="U32" s="1">
        <f t="array" ref="U32">INDEX(ICL3_classA!$H$2:$H$37,MATCH(MIN(ABS(AI32-ICL3_classA!$F$2:$F$37)),ABS(AI32-ICL3_classA!$F$2:$F$37),0))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18</v>
      </c>
      <c r="AE32" s="1">
        <f>VLOOKUP(A32,'SegEnds_NonXtal_Prot#'!A:AL,16,FALSE)-VLOOKUP(A32,'SegEnds_NonXtal_Prot#'!A:AL,10,FALSE)</f>
        <v>50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24</v>
      </c>
      <c r="AH32" s="1">
        <f>VLOOKUP(A32,'SegEnds_NonXtal_Prot#'!A:AL,28,FALSE)-VLOOKUP(A32,'SegEnds_NonXtal_Prot#'!A:AL,22,FALSE)</f>
        <v>51</v>
      </c>
      <c r="AI32" s="1">
        <f>VLOOKUP(A32,'SegEnds_NonXtal_Prot#'!A:AL,31,FALSE)-VLOOKUP(A32,'SegEnds_NonXtal_Prot#'!A:AL,28,FALSE)</f>
        <v>43</v>
      </c>
      <c r="AJ32" s="1">
        <f>VLOOKUP(A32,'SegEnds_NonXtal_Prot#'!A:AL,34,FALSE)-VLOOKUP(A32,'SegEnds_NonXtal_Prot#'!A:AL,31,FALSE)</f>
        <v>45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x14ac:dyDescent="0.2">
      <c r="A33" s="1" t="s">
        <v>1171</v>
      </c>
      <c r="B33" s="1" t="str">
        <f>VLOOKUP(A33,Xtal_Templ!A:B,2,FALSE)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INDEX(ICL3_classA!$G$2:$G$37,MATCH(MIN(ABS(AI33-ICL3_classA!$F$2:$F$37)),ABS(AI33-ICL3_classA!$F$2:$F$37),0))</f>
        <v>68</v>
      </c>
      <c r="U33" s="1">
        <f t="array" ref="U33">INDEX(ICL3_classA!$H$2:$H$37,MATCH(MIN(ABS(AI33-ICL3_classA!$F$2:$F$37)),ABS(AI33-ICL3_classA!$F$2:$F$37),0))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18</v>
      </c>
      <c r="AE33" s="1">
        <f>VLOOKUP(A33,'SegEnds_NonXtal_Prot#'!A:AL,16,FALSE)-VLOOKUP(A33,'SegEnds_NonXtal_Prot#'!A:AL,10,FALSE)</f>
        <v>50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25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43</v>
      </c>
      <c r="AJ33" s="1">
        <f>VLOOKUP(A33,'SegEnds_NonXtal_Prot#'!A:AL,34,FALSE)-VLOOKUP(A33,'SegEnds_NonXtal_Prot#'!A:AL,31,FALSE)</f>
        <v>45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2" t="s">
        <v>189</v>
      </c>
      <c r="B34" s="12" t="str">
        <f>VLOOKUP(A34,Xtal_Templ!A:B,2,FALSE)</f>
        <v>ccr9_human</v>
      </c>
      <c r="C34" s="13">
        <f>VLOOKUP($B34&amp;"__wt",'SegEnds_Xtal_BW#'!$A:$Z,3,FALSE)</f>
        <v>27</v>
      </c>
      <c r="D34" s="12">
        <f>VLOOKUP($B34&amp;"__wt",'SegEnds_Xtal_BW#'!$A:$Z,4,FALSE)</f>
        <v>60</v>
      </c>
      <c r="E34" s="12">
        <f>VLOOKUP($B34&amp;"__wt",'SegEnds_Xtal_BW#'!$A:$Z,5,FALSE)</f>
        <v>48</v>
      </c>
      <c r="F34" s="12">
        <f>VLOOKUP($B34&amp;"__wt",'SegEnds_Xtal_BW#'!$A:$Z,6,FALSE)</f>
        <v>51</v>
      </c>
      <c r="G34" s="12">
        <v>37</v>
      </c>
      <c r="H34" s="12">
        <v>66</v>
      </c>
      <c r="I34" s="12">
        <f>VLOOKUP($B34&amp;"__wt",'SegEnds_Xtal_BW#'!$A:$Z,9,FALSE)</f>
        <v>49</v>
      </c>
      <c r="J34" s="12">
        <f>VLOOKUP($B34&amp;"__wt",'SegEnds_Xtal_BW#'!$A:$Z,10,FALSE)</f>
        <v>52</v>
      </c>
      <c r="K34" s="12">
        <v>24</v>
      </c>
      <c r="L34" s="12">
        <f>VLOOKUP($B34&amp;"__wt",'SegEnds_Xtal_BW#'!$A:$Z,12,FALSE)</f>
        <v>56</v>
      </c>
      <c r="M34" s="12">
        <f>VLOOKUP($B34&amp;"__wt",'SegEnds_Xtal_BW#'!$A:$Z,13,FALSE)</f>
        <v>50</v>
      </c>
      <c r="N34" s="12">
        <v>58</v>
      </c>
      <c r="O34" s="87">
        <v>38</v>
      </c>
      <c r="P34" s="12">
        <f>VLOOKUP($B34&amp;"__wt",'SegEnds_Xtal_BW#'!$A:$Z,16,FALSE)</f>
        <v>64</v>
      </c>
      <c r="Q34" s="12">
        <f>VLOOKUP($B34&amp;"__wt",'SegEnds_Xtal_BW#'!$A:$Z,17,FALSE)</f>
        <v>50</v>
      </c>
      <c r="R34" s="12">
        <f>VLOOKUP($B34&amp;"__wt",'SegEnds_Xtal_BW#'!$A:$Z,18,FALSE)</f>
        <v>52</v>
      </c>
      <c r="S34" s="12">
        <f>VLOOKUP($B34&amp;"__wt",'SegEnds_Xtal_BW#'!$A:$Z,19,FALSE)</f>
        <v>33</v>
      </c>
      <c r="T34" s="12">
        <f t="array" ref="T34">INDEX(ICL3_classA!$G$2:$G$37,MATCH(MIN(ABS(AI34-ICL3_classA!$F$2:$F$37)),ABS(AI34-ICL3_classA!$F$2:$F$37),0))</f>
        <v>68</v>
      </c>
      <c r="U34" s="12">
        <f t="array" ref="U34">INDEX(ICL3_classA!$H$2:$H$37,MATCH(MIN(ABS(AI34-ICL3_classA!$F$2:$F$37)),ABS(AI34-ICL3_classA!$F$2:$F$37),0))</f>
        <v>30</v>
      </c>
      <c r="V34" s="12">
        <v>61</v>
      </c>
      <c r="W34" s="132">
        <f>VLOOKUP($B34&amp;"__wt",'SegEnds_Xtal_BW#'!$A:$Z,23,FALSE)</f>
        <v>24</v>
      </c>
      <c r="X34" s="12">
        <f>VLOOKUP($B34&amp;"__wt",'SegEnds_Xtal_BW#'!$A:$Z,24,FALSE)</f>
        <v>56</v>
      </c>
      <c r="Y34" s="12">
        <f>VLOOKUP($B34&amp;"__wt",'SegEnds_Xtal_BW#'!$A:$Z,25,FALSE)</f>
        <v>47</v>
      </c>
      <c r="Z34" s="12">
        <f>VLOOKUP($B34&amp;"__wt",'SegEnds_Xtal_BW#'!$A:$Z,26,FALSE)</f>
        <v>67</v>
      </c>
      <c r="AA34" s="36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2">
        <f>VLOOKUP(A34,'SegEnds_NonXtal_Prot#'!A:AL,10,FALSE)-VLOOKUP(A34,'SegEnds_NonXtal_Prot#'!A:AL,7,FALSE)</f>
        <v>15</v>
      </c>
      <c r="AD34" s="12">
        <f>VLOOKUP(A34,'SegEnds_NonXtal_Prot#'!A:AL,13,FALSE)-VLOOKUP(A34,'SegEnds_NonXtal_Prot#'!A:AL,10,FALSE)</f>
        <v>18</v>
      </c>
      <c r="AE34" s="12">
        <f>VLOOKUP(A34,'SegEnds_NonXtal_Prot#'!A:AL,16,FALSE)-VLOOKUP(A34,'SegEnds_NonXtal_Prot#'!A:AL,10,FALSE)</f>
        <v>50</v>
      </c>
      <c r="AF34" s="1">
        <f>VLOOKUP(A34,'SegEnds_NonXtal_Prot#'!A:AL,22,FALSE)-VLOOKUP(A34,'SegEnds_NonXtal_Prot#'!A:AL,19,FALSE)</f>
        <v>22</v>
      </c>
      <c r="AG34" s="12">
        <f>VLOOKUP(A34,'SegEnds_NonXtal_Prot#'!A:AL,28,FALSE)-VLOOKUP(A34,'SegEnds_NonXtal_Prot#'!A:AL,25,FALSE)</f>
        <v>23</v>
      </c>
      <c r="AH34" s="1">
        <f>VLOOKUP(A34,'SegEnds_NonXtal_Prot#'!A:AL,28,FALSE)-VLOOKUP(A34,'SegEnds_NonXtal_Prot#'!A:AL,22,FALSE)</f>
        <v>47</v>
      </c>
      <c r="AI34" s="12">
        <f>VLOOKUP(A34,'SegEnds_NonXtal_Prot#'!A:AL,31,FALSE)-VLOOKUP(A34,'SegEnds_NonXtal_Prot#'!A:AL,28,FALSE)</f>
        <v>43</v>
      </c>
      <c r="AJ34" s="12">
        <f>VLOOKUP(A34,'SegEnds_NonXtal_Prot#'!A:AL,34,FALSE)-VLOOKUP(A34,'SegEnds_NonXtal_Prot#'!A:AL,31,FALSE)</f>
        <v>39</v>
      </c>
      <c r="AK34" s="1">
        <f>VLOOKUP(A34,'SegEnds_NonXtal_Prot#'!A:AL,37,FALSE)-VLOOKUP(A34,'SegEnds_NonXtal_Prot#'!A:AL,34,FALSE)</f>
        <v>10</v>
      </c>
      <c r="AL34" s="12" t="str">
        <f>IF(ISERROR(MATCH(A34,'SegEnds_Xtal_Prot#'!B:B, 0)), "NoXtal", "Xtal")</f>
        <v>NoXtal</v>
      </c>
    </row>
    <row r="35" spans="1:38" x14ac:dyDescent="0.2">
      <c r="A35" s="1" t="s">
        <v>201</v>
      </c>
      <c r="B35" s="1" t="str">
        <f>VLOOKUP(A35,Xtal_Templ!A:B,2,FALSE)</f>
        <v>pd2r2_human</v>
      </c>
      <c r="C35" s="5">
        <f>VLOOKUP($B35&amp;"__wt",'SegEnds_Xtal_BW#'!$A:$Z,3,FALSE)</f>
        <v>32</v>
      </c>
      <c r="D35" s="1">
        <f>VLOOKUP($B35&amp;"__wt",'SegEnds_Xtal_BW#'!$A:$Z,4,FALSE)</f>
        <v>60</v>
      </c>
      <c r="E35" s="1" t="str">
        <f>VLOOKUP($B35&amp;"__wt",'SegEnds_Xtal_BW#'!$A:$Z,5,FALSE)</f>
        <v>-</v>
      </c>
      <c r="F35" s="1" t="str">
        <f>VLOOKUP($B35&amp;"__wt",'SegEnds_Xtal_BW#'!$A:$Z,6,FALSE)</f>
        <v>-</v>
      </c>
      <c r="G35" s="1">
        <v>37</v>
      </c>
      <c r="H35" s="12">
        <f>VLOOKUP($B35&amp;"__wt",'SegEnds_Xtal_BW#'!$A:$Z,8,FALSE)</f>
        <v>67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7">
        <v>38</v>
      </c>
      <c r="P35" s="1">
        <f>VLOOKUP($B35&amp;"__wt",'SegEnds_Xtal_BW#'!$A:$Z,16,FALSE)</f>
        <v>64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26</v>
      </c>
      <c r="T35" s="1">
        <f t="array" ref="T35">INDEX(ICL3_classA!$G$2:$G$37,MATCH(MIN(ABS(AI35-ICL3_classA!$F$2:$F$37)),ABS(AI35-ICL3_classA!$F$2:$F$37),0))</f>
        <v>68</v>
      </c>
      <c r="U35" s="1">
        <f t="array" ref="U35">INDEX(ICL3_classA!$H$2:$H$37,MATCH(MIN(ABS(AI35-ICL3_classA!$F$2:$F$37)),ABS(AI35-ICL3_classA!$F$2:$F$37),0))</f>
        <v>30</v>
      </c>
      <c r="V35" s="1">
        <v>61</v>
      </c>
      <c r="W35" s="1">
        <v>28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64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27</v>
      </c>
      <c r="AC35" s="1" t="e">
        <f>VLOOKUP(A35,'SegEnds_NonXtal_Prot#'!A:AL,10,FALSE)-VLOOKUP(A35,'SegEnds_NonXtal_Prot#'!A:AL,7,FALSE)</f>
        <v>#VALUE!</v>
      </c>
      <c r="AD35" s="1">
        <f>VLOOKUP(A35,'SegEnds_NonXtal_Prot#'!A:AL,13,FALSE)-VLOOKUP(A35,'SegEnds_NonXtal_Prot#'!A:AL,10,FALSE)</f>
        <v>20</v>
      </c>
      <c r="AE35" s="1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1">
        <f>VLOOKUP(A35,'SegEnds_NonXtal_Prot#'!A:AL,28,FALSE)-VLOOKUP(A35,'SegEnds_NonXtal_Prot#'!A:AL,25,FALSE)</f>
        <v>37</v>
      </c>
      <c r="AH35" s="1">
        <f>VLOOKUP(A35,'SegEnds_NonXtal_Prot#'!A:AL,28,FALSE)-VLOOKUP(A35,'SegEnds_NonXtal_Prot#'!A:AL,22,FALSE)</f>
        <v>63</v>
      </c>
      <c r="AI35" s="1">
        <f>VLOOKUP(A35,'SegEnds_NonXtal_Prot#'!A:AL,31,FALSE)-VLOOKUP(A35,'SegEnds_NonXtal_Prot#'!A:AL,28,FALSE)</f>
        <v>43</v>
      </c>
      <c r="AJ35" s="1">
        <f>VLOOKUP(A35,'SegEnds_NonXtal_Prot#'!A:AL,34,FALSE)-VLOOKUP(A35,'SegEnds_NonXtal_Prot#'!A:AL,31,FALSE)</f>
        <v>42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NoXtal</v>
      </c>
    </row>
    <row r="36" spans="1:38" x14ac:dyDescent="0.2">
      <c r="A36" s="1" t="s">
        <v>202</v>
      </c>
      <c r="B36" s="1" t="str">
        <f>VLOOKUP(A36,Xtal_Templ!A:B,2,FALSE)</f>
        <v>pd2r2_human</v>
      </c>
      <c r="C36" s="5">
        <f>VLOOKUP($B36&amp;"__wt",'SegEnds_Xtal_BW#'!$A:$Z,3,FALSE)</f>
        <v>32</v>
      </c>
      <c r="D36" s="1">
        <f>VLOOKUP($B36&amp;"__wt",'SegEnds_Xtal_BW#'!$A:$Z,4,FALSE)</f>
        <v>60</v>
      </c>
      <c r="E36" s="1" t="str">
        <f>VLOOKUP($B36&amp;"__wt",'SegEnds_Xtal_BW#'!$A:$Z,5,FALSE)</f>
        <v>-</v>
      </c>
      <c r="F36" s="1" t="str">
        <f>VLOOKUP($B36&amp;"__wt",'SegEnds_Xtal_BW#'!$A:$Z,6,FALSE)</f>
        <v>-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7">
        <v>38</v>
      </c>
      <c r="P36" s="1">
        <f>VLOOKUP($B36&amp;"__wt",'SegEnds_Xtal_BW#'!$A:$Z,16,FALSE)</f>
        <v>64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26</v>
      </c>
      <c r="T36" s="1">
        <f t="array" ref="T36">INDEX(ICL3_classA!$G$2:$G$37,MATCH(MIN(ABS(AI36-ICL3_classA!$F$2:$F$37)),ABS(AI36-ICL3_classA!$F$2:$F$37),0))</f>
        <v>68</v>
      </c>
      <c r="U36" s="1">
        <f t="array" ref="U36">INDEX(ICL3_classA!$H$2:$H$37,MATCH(MIN(ABS(AI36-ICL3_classA!$F$2:$F$37)),ABS(AI36-ICL3_classA!$F$2:$F$37),0))</f>
        <v>30</v>
      </c>
      <c r="V36" s="1">
        <v>61</v>
      </c>
      <c r="W36" s="1">
        <v>24</v>
      </c>
      <c r="X36" s="108">
        <v>56</v>
      </c>
      <c r="Y36" s="1">
        <f>VLOOKUP($B36&amp;"__wt",'SegEnds_Xtal_BW#'!$A:$Z,25,FALSE)</f>
        <v>47</v>
      </c>
      <c r="Z36" s="1">
        <f>VLOOKUP($B36&amp;"__wt",'SegEnds_Xtal_BW#'!$A:$Z,26,FALSE)</f>
        <v>64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27</v>
      </c>
      <c r="AC36" s="1" t="e">
        <f>VLOOKUP(A36,'SegEnds_NonXtal_Prot#'!A:AL,10,FALSE)-VLOOKUP(A36,'SegEnds_NonXtal_Prot#'!A:AL,7,FALSE)</f>
        <v>#VALUE!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37</v>
      </c>
      <c r="AH36" s="1">
        <f>VLOOKUP(A36,'SegEnds_NonXtal_Prot#'!A:AL,28,FALSE)-VLOOKUP(A36,'SegEnds_NonXtal_Prot#'!A:AL,22,FALSE)</f>
        <v>63</v>
      </c>
      <c r="AI36" s="1">
        <f>VLOOKUP(A36,'SegEnds_NonXtal_Prot#'!A:AL,31,FALSE)-VLOOKUP(A36,'SegEnds_NonXtal_Prot#'!A:AL,28,FALSE)</f>
        <v>43</v>
      </c>
      <c r="AJ36" s="1">
        <f>VLOOKUP(A36,'SegEnds_NonXtal_Prot#'!A:AL,34,FALSE)-VLOOKUP(A36,'SegEnds_NonXtal_Prot#'!A:AL,31,FALSE)</f>
        <v>43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NoXtal</v>
      </c>
    </row>
    <row r="37" spans="1:38" x14ac:dyDescent="0.2">
      <c r="A37" s="1" t="s">
        <v>203</v>
      </c>
      <c r="B37" s="1" t="str">
        <f>VLOOKUP(A37,Xtal_Templ!A:B,2,FALSE)</f>
        <v>pd2r2_human</v>
      </c>
      <c r="C37" s="5">
        <f>VLOOKUP($B37&amp;"__wt",'SegEnds_Xtal_BW#'!$A:$Z,3,FALSE)</f>
        <v>32</v>
      </c>
      <c r="D37" s="1">
        <f>VLOOKUP($B37&amp;"__wt",'SegEnds_Xtal_BW#'!$A:$Z,4,FALSE)</f>
        <v>60</v>
      </c>
      <c r="E37" s="1" t="str">
        <f>VLOOKUP($B37&amp;"__wt",'SegEnds_Xtal_BW#'!$A:$Z,5,FALSE)</f>
        <v>-</v>
      </c>
      <c r="F37" s="1" t="str">
        <f>VLOOKUP($B37&amp;"__wt",'SegEnds_Xtal_BW#'!$A:$Z,6,FALSE)</f>
        <v>-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f>VLOOKUP($B37&amp;"__wt",'SegEnds_Xtal_BW#'!$A:$Z,14,FALSE)</f>
        <v>57</v>
      </c>
      <c r="O37" s="87"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26</v>
      </c>
      <c r="T37" s="1">
        <f t="array" ref="T37">INDEX(ICL3_classA!$G$2:$G$37,MATCH(MIN(ABS(AI37-ICL3_classA!$F$2:$F$37)),ABS(AI37-ICL3_classA!$F$2:$F$37),0))</f>
        <v>68</v>
      </c>
      <c r="U37" s="1">
        <f t="array" ref="U37">INDEX(ICL3_classA!$H$2:$H$37,MATCH(MIN(ABS(AI37-ICL3_classA!$F$2:$F$37)),ABS(AI37-ICL3_classA!$F$2:$F$37),0))</f>
        <v>30</v>
      </c>
      <c r="V37" s="1">
        <v>61</v>
      </c>
      <c r="W37" s="1">
        <v>24</v>
      </c>
      <c r="X37" s="108">
        <v>56</v>
      </c>
      <c r="Y37" s="1">
        <f>VLOOKUP($B37&amp;"__wt",'SegEnds_Xtal_BW#'!$A:$Z,25,FALSE)</f>
        <v>47</v>
      </c>
      <c r="Z37" s="1">
        <f>VLOOKUP($B37&amp;"__wt",'SegEnds_Xtal_BW#'!$A:$Z,26,FALSE)</f>
        <v>64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27</v>
      </c>
      <c r="AC37" s="1" t="e">
        <f>VLOOKUP(A37,'SegEnds_NonXtal_Prot#'!A:AL,10,FALSE)-VLOOKUP(A37,'SegEnds_NonXtal_Prot#'!A:AL,7,FALSE)</f>
        <v>#VALUE!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37</v>
      </c>
      <c r="AH37" s="1">
        <f>VLOOKUP(A37,'SegEnds_NonXtal_Prot#'!A:AL,28,FALSE)-VLOOKUP(A37,'SegEnds_NonXtal_Prot#'!A:AL,22,FALSE)</f>
        <v>63</v>
      </c>
      <c r="AI37" s="1">
        <f>VLOOKUP(A37,'SegEnds_NonXtal_Prot#'!A:AL,31,FALSE)-VLOOKUP(A37,'SegEnds_NonXtal_Prot#'!A:AL,28,FALSE)</f>
        <v>43</v>
      </c>
      <c r="AJ37" s="1">
        <f>VLOOKUP(A37,'SegEnds_NonXtal_Prot#'!A:AL,34,FALSE)-VLOOKUP(A37,'SegEnds_NonXtal_Prot#'!A:AL,31,FALSE)</f>
        <v>43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233</v>
      </c>
      <c r="B38" s="1" t="str">
        <f>VLOOKUP(A38,Xtal_Templ!A:B,2,FALSE)</f>
        <v>apj_human</v>
      </c>
      <c r="C38" s="5">
        <f>VLOOKUP($B38&amp;"__wt",'SegEnds_Xtal_BW#'!$A:$Z,3,FALSE)</f>
        <v>33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52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30</v>
      </c>
      <c r="T38" s="1">
        <f t="array" ref="T38">INDEX(ICL3_classA!$G$2:$G$37,MATCH(MIN(ABS(AI38-ICL3_classA!$F$2:$F$37)),ABS(AI38-ICL3_classA!$F$2:$F$37),0))</f>
        <v>68</v>
      </c>
      <c r="U38" s="1">
        <f t="array" ref="U38">INDEX(ICL3_classA!$H$2:$H$37,MATCH(MIN(ABS(AI38-ICL3_classA!$F$2:$F$37)),ABS(AI38-ICL3_classA!$F$2:$F$37),0))</f>
        <v>30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61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28</v>
      </c>
      <c r="AH38" s="1">
        <f>VLOOKUP(A38,'SegEnds_NonXtal_Prot#'!A:AL,28,FALSE)-VLOOKUP(A38,'SegEnds_NonXtal_Prot#'!A:AL,22,FALSE)</f>
        <v>52</v>
      </c>
      <c r="AI38" s="1">
        <f>VLOOKUP(A38,'SegEnds_NonXtal_Prot#'!A:AL,31,FALSE)-VLOOKUP(A38,'SegEnds_NonXtal_Prot#'!A:AL,28,FALSE)</f>
        <v>43</v>
      </c>
      <c r="AJ38" s="1">
        <f>VLOOKUP(A38,'SegEnds_NonXtal_Prot#'!A:AL,34,FALSE)-VLOOKUP(A38,'SegEnds_NonXtal_Prot#'!A:AL,31,FALSE)</f>
        <v>44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NoXtal</v>
      </c>
    </row>
    <row r="39" spans="1:38" x14ac:dyDescent="0.2">
      <c r="A39" s="1" t="s">
        <v>237</v>
      </c>
      <c r="B39" s="1" t="str">
        <f>VLOOKUP(A39,Xtal_Templ!A:B,2,FALSE)</f>
        <v>agtr1_human</v>
      </c>
      <c r="C39" s="5">
        <f>VLOOKUP($B39&amp;"__wt",'SegEnds_Xtal_BW#'!$A:$Z,3,FALSE)</f>
        <v>28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66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7"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34</v>
      </c>
      <c r="T39" s="1">
        <f t="array" ref="T39">INDEX(ICL3_classA!$G$2:$G$37,MATCH(MIN(ABS(AI39-ICL3_classA!$F$2:$F$37)),ABS(AI39-ICL3_classA!$F$2:$F$37),0))</f>
        <v>68</v>
      </c>
      <c r="U39" s="1">
        <f t="array" ref="U39">INDEX(ICL3_classA!$H$2:$H$37,MATCH(MIN(ABS(AI39-ICL3_classA!$F$2:$F$37)),ABS(AI39-ICL3_classA!$F$2:$F$37),0))</f>
        <v>30</v>
      </c>
      <c r="V39" s="1">
        <v>61</v>
      </c>
      <c r="W39" s="1">
        <v>28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61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27</v>
      </c>
      <c r="AC39" s="1" t="e">
        <f>VLOOKUP(A39,'SegEnds_NonXtal_Prot#'!A:AL,10,FALSE)-VLOOKUP(A39,'SegEnds_NonXtal_Prot#'!A:AL,7,FALSE)</f>
        <v>#VALUE!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31</v>
      </c>
      <c r="AH39" s="1">
        <f>VLOOKUP(A39,'SegEnds_NonXtal_Prot#'!A:AL,28,FALSE)-VLOOKUP(A39,'SegEnds_NonXtal_Prot#'!A:AL,22,FALSE)</f>
        <v>56</v>
      </c>
      <c r="AI39" s="1">
        <f>VLOOKUP(A39,'SegEnds_NonXtal_Prot#'!A:AL,31,FALSE)-VLOOKUP(A39,'SegEnds_NonXtal_Prot#'!A:AL,28,FALSE)</f>
        <v>43</v>
      </c>
      <c r="AJ39" s="1">
        <f>VLOOKUP(A39,'SegEnds_NonXtal_Prot#'!A:AL,34,FALSE)-VLOOKUP(A39,'SegEnds_NonXtal_Prot#'!A:AL,31,FALSE)</f>
        <v>40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NoXtal</v>
      </c>
    </row>
    <row r="40" spans="1:38" x14ac:dyDescent="0.2">
      <c r="A40" s="1" t="s">
        <v>251</v>
      </c>
      <c r="B40" s="1" t="str">
        <f>VLOOKUP(A40,Xtal_Templ!A:B,2,FALSE)</f>
        <v>oprd_human</v>
      </c>
      <c r="C40" s="5">
        <f>VLOOKUP($B40&amp;"__wt",'SegEnds_Xtal_BW#'!$A:$Z,3,FALSE)</f>
        <v>22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21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31</v>
      </c>
      <c r="T40" s="1">
        <f t="array" ref="T40">INDEX(ICL3_classA!$G$2:$G$37,MATCH(MIN(ABS(AI40-ICL3_classA!$F$2:$F$37)),ABS(AI40-ICL3_classA!$F$2:$F$37),0))</f>
        <v>68</v>
      </c>
      <c r="U40" s="1">
        <f t="array" ref="U40">INDEX(ICL3_classA!$H$2:$H$37,MATCH(MIN(ABS(AI40-ICL3_classA!$F$2:$F$37)),ABS(AI40-ICL3_classA!$F$2:$F$37),0))</f>
        <v>30</v>
      </c>
      <c r="V40" s="1">
        <v>61</v>
      </c>
      <c r="W40" s="1">
        <v>28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60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27</v>
      </c>
      <c r="AC40" s="1" t="e">
        <f>VLOOKUP(A40,'SegEnds_NonXtal_Prot#'!A:AL,10,FALSE)-VLOOKUP(A40,'SegEnds_NonXtal_Prot#'!A:AL,7,FALSE)</f>
        <v>#VALUE!</v>
      </c>
      <c r="AD40" s="1">
        <f>VLOOKUP(A40,'SegEnds_NonXtal_Prot#'!A:AL,13,FALSE)-VLOOKUP(A40,'SegEnds_NonXtal_Prot#'!A:AL,10,FALSE)</f>
        <v>19</v>
      </c>
      <c r="AE40" s="1">
        <f>VLOOKUP(A40,'SegEnds_NonXtal_Prot#'!A:AL,16,FALSE)-VLOOKUP(A40,'SegEnds_NonXtal_Prot#'!A:AL,10,FALSE)</f>
        <v>51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37</v>
      </c>
      <c r="AH40" s="1">
        <f>VLOOKUP(A40,'SegEnds_NonXtal_Prot#'!A:AL,28,FALSE)-VLOOKUP(A40,'SegEnds_NonXtal_Prot#'!A:AL,22,FALSE)</f>
        <v>62</v>
      </c>
      <c r="AI40" s="1">
        <f>VLOOKUP(A40,'SegEnds_NonXtal_Prot#'!A:AL,31,FALSE)-VLOOKUP(A40,'SegEnds_NonXtal_Prot#'!A:AL,28,FALSE)</f>
        <v>43</v>
      </c>
      <c r="AJ40" s="1">
        <f>VLOOKUP(A40,'SegEnds_NonXtal_Prot#'!A:AL,34,FALSE)-VLOOKUP(A40,'SegEnds_NonXtal_Prot#'!A:AL,31,FALSE)</f>
        <v>42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252</v>
      </c>
      <c r="B41" s="1" t="str">
        <f>VLOOKUP(A41,Xtal_Templ!A:B,2,FALSE)</f>
        <v>agtr1_human</v>
      </c>
      <c r="C41" s="5">
        <f>VLOOKUP($B41&amp;"__wt",'SegEnds_Xtal_BW#'!$A:$Z,3,FALSE)</f>
        <v>28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7"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34</v>
      </c>
      <c r="T41" s="1">
        <f t="array" ref="T41">INDEX(ICL3_classA!$G$2:$G$37,MATCH(MIN(ABS(AI41-ICL3_classA!$F$2:$F$37)),ABS(AI41-ICL3_classA!$F$2:$F$37),0))</f>
        <v>68</v>
      </c>
      <c r="U41" s="1">
        <f t="array" ref="U41">INDEX(ICL3_classA!$H$2:$H$37,MATCH(MIN(ABS(AI41-ICL3_classA!$F$2:$F$37)),ABS(AI41-ICL3_classA!$F$2:$F$37),0))</f>
        <v>30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61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27</v>
      </c>
      <c r="AC41" s="1" t="e">
        <f>VLOOKUP(A41,'SegEnds_NonXtal_Prot#'!A:AL,10,FALSE)-VLOOKUP(A41,'SegEnds_NonXtal_Prot#'!A:AL,7,FALSE)</f>
        <v>#VALUE!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38</v>
      </c>
      <c r="AH41" s="1">
        <f>VLOOKUP(A41,'SegEnds_NonXtal_Prot#'!A:AL,28,FALSE)-VLOOKUP(A41,'SegEnds_NonXtal_Prot#'!A:AL,22,FALSE)</f>
        <v>64</v>
      </c>
      <c r="AI41" s="1">
        <f>VLOOKUP(A41,'SegEnds_NonXtal_Prot#'!A:AL,31,FALSE)-VLOOKUP(A41,'SegEnds_NonXtal_Prot#'!A:AL,28,FALSE)</f>
        <v>43</v>
      </c>
      <c r="AJ41" s="1">
        <f>VLOOKUP(A41,'SegEnds_NonXtal_Prot#'!A:AL,34,FALSE)-VLOOKUP(A41,'SegEnds_NonXtal_Prot#'!A:AL,31,FALSE)</f>
        <v>36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292</v>
      </c>
      <c r="B42" s="1" t="str">
        <f>VLOOKUP(A42,Xtal_Templ!A:B,2,FALSE)</f>
        <v>pd2r2_human</v>
      </c>
      <c r="C42" s="5">
        <f>VLOOKUP($B42&amp;"__wt",'SegEnds_Xtal_BW#'!$A:$Z,3,FALSE)</f>
        <v>32</v>
      </c>
      <c r="D42" s="1">
        <f>VLOOKUP($B42&amp;"__wt",'SegEnds_Xtal_BW#'!$A:$Z,4,FALSE)</f>
        <v>60</v>
      </c>
      <c r="E42" s="1" t="str">
        <f>VLOOKUP($B42&amp;"__wt",'SegEnds_Xtal_BW#'!$A:$Z,5,FALSE)</f>
        <v>-</v>
      </c>
      <c r="F42" s="1" t="str">
        <f>VLOOKUP($B42&amp;"__wt",'SegEnds_Xtal_BW#'!$A:$Z,6,FALSE)</f>
        <v>-</v>
      </c>
      <c r="G42" s="1">
        <v>37</v>
      </c>
      <c r="H42" s="12"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7"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08">
        <v>29</v>
      </c>
      <c r="T42" s="1">
        <f t="array" ref="T42">INDEX(ICL3_classA!$G$2:$G$37,MATCH(MIN(ABS(AI42-ICL3_classA!$F$2:$F$37)),ABS(AI42-ICL3_classA!$F$2:$F$37),0))</f>
        <v>68</v>
      </c>
      <c r="U42" s="1">
        <f t="array" ref="U42">INDEX(ICL3_classA!$H$2:$H$37,MATCH(MIN(ABS(AI42-ICL3_classA!$F$2:$F$37)),ABS(AI42-ICL3_classA!$F$2:$F$37),0))</f>
        <v>30</v>
      </c>
      <c r="V42" s="1">
        <v>64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64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19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25</v>
      </c>
      <c r="AH42" s="1">
        <f>VLOOKUP(A42,'SegEnds_NonXtal_Prot#'!A:AL,28,FALSE)-VLOOKUP(A42,'SegEnds_NonXtal_Prot#'!A:AL,22,FALSE)</f>
        <v>51</v>
      </c>
      <c r="AI42" s="1">
        <f>VLOOKUP(A42,'SegEnds_NonXtal_Prot#'!A:AL,31,FALSE)-VLOOKUP(A42,'SegEnds_NonXtal_Prot#'!A:AL,28,FALSE)</f>
        <v>43</v>
      </c>
      <c r="AJ42" s="1">
        <f>VLOOKUP(A42,'SegEnds_NonXtal_Prot#'!A:AL,34,FALSE)-VLOOKUP(A42,'SegEnds_NonXtal_Prot#'!A:AL,31,FALSE)</f>
        <v>46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" t="s">
        <v>303</v>
      </c>
      <c r="B43" s="1" t="str">
        <f>VLOOKUP(A43,Xtal_Templ!A:B,2,FALSE)</f>
        <v>c5ar1_human</v>
      </c>
      <c r="C43" s="5">
        <f>VLOOKUP($B43&amp;"__wt",'SegEnds_Xtal_BW#'!$A:$Z,3,FALSE)</f>
        <v>29</v>
      </c>
      <c r="D43" s="1">
        <f>VLOOKUP($B43&amp;"__wt",'SegEnds_Xtal_BW#'!$A:$Z,4,FALSE)</f>
        <v>60</v>
      </c>
      <c r="E43" s="1" t="str">
        <f>VLOOKUP($B43&amp;"__wt",'SegEnds_Xtal_BW#'!$A:$Z,5,FALSE)</f>
        <v>-</v>
      </c>
      <c r="F43" s="1" t="str">
        <f>VLOOKUP($B43&amp;"__wt",'SegEnds_Xtal_BW#'!$A:$Z,6,FALSE)</f>
        <v>-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7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f>VLOOKUP($B43&amp;"__wt",'SegEnds_Xtal_BW#'!$A:$Z,19,FALSE)</f>
        <v>31</v>
      </c>
      <c r="T43" s="1">
        <f t="array" ref="T43">INDEX(ICL3_classA!$G$2:$G$37,MATCH(MIN(ABS(AI43-ICL3_classA!$F$2:$F$37)),ABS(AI43-ICL3_classA!$F$2:$F$37),0))</f>
        <v>68</v>
      </c>
      <c r="U43" s="1">
        <f t="array" ref="U43">INDEX(ICL3_classA!$H$2:$H$37,MATCH(MIN(ABS(AI43-ICL3_classA!$F$2:$F$37)),ABS(AI43-ICL3_classA!$F$2:$F$37),0))</f>
        <v>30</v>
      </c>
      <c r="V43" s="1">
        <v>61</v>
      </c>
      <c r="W43" s="1">
        <v>32</v>
      </c>
      <c r="X43" s="108">
        <v>56</v>
      </c>
      <c r="Y43" s="1">
        <f>VLOOKUP($B43&amp;"__wt",'SegEnds_Xtal_BW#'!$A:$Z,25,FALSE)</f>
        <v>47</v>
      </c>
      <c r="Z43" s="1">
        <f>VLOOKUP($B43&amp;"__wt",'SegEnds_Xtal_BW#'!$A:$Z,26,FALSE)</f>
        <v>56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27</v>
      </c>
      <c r="AC43" s="1" t="e">
        <f>VLOOKUP(A43,'SegEnds_NonXtal_Prot#'!A:AL,10,FALSE)-VLOOKUP(A43,'SegEnds_NonXtal_Prot#'!A:AL,7,FALSE)</f>
        <v>#VALUE!</v>
      </c>
      <c r="AD43" s="1" t="e">
        <f>VLOOKUP(A43,'SegEnds_NonXtal_Prot#'!A:AL,13,FALSE)-VLOOKUP(A43,'SegEnds_NonXtal_Prot#'!A:AL,10,FALSE)</f>
        <v>#VALUE!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 t="e">
        <f>VLOOKUP(A43,'SegEnds_NonXtal_Prot#'!A:AL,28,FALSE)-VLOOKUP(A43,'SegEnds_NonXtal_Prot#'!A:AL,25,FALSE)</f>
        <v>#VALUE!</v>
      </c>
      <c r="AH43" s="1">
        <f>VLOOKUP(A43,'SegEnds_NonXtal_Prot#'!A:AL,28,FALSE)-VLOOKUP(A43,'SegEnds_NonXtal_Prot#'!A:AL,22,FALSE)</f>
        <v>43</v>
      </c>
      <c r="AI43" s="1">
        <f>VLOOKUP(A43,'SegEnds_NonXtal_Prot#'!A:AL,31,FALSE)-VLOOKUP(A43,'SegEnds_NonXtal_Prot#'!A:AL,28,FALSE)</f>
        <v>43</v>
      </c>
      <c r="AJ43" s="1">
        <f>VLOOKUP(A43,'SegEnds_NonXtal_Prot#'!A:AL,34,FALSE)-VLOOKUP(A43,'SegEnds_NonXtal_Prot#'!A:AL,31,FALSE)</f>
        <v>34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NoXtal</v>
      </c>
    </row>
    <row r="44" spans="1:38" x14ac:dyDescent="0.2">
      <c r="A44" s="1" t="s">
        <v>360</v>
      </c>
      <c r="B44" s="1" t="str">
        <f>VLOOKUP(A44,Xtal_Templ!A:B,2,FALSE)</f>
        <v>pd2r2_human</v>
      </c>
      <c r="C44" s="5">
        <f>VLOOKUP($B44&amp;"__wt",'SegEnds_Xtal_BW#'!$A:$Z,3,FALSE)</f>
        <v>32</v>
      </c>
      <c r="D44" s="1">
        <f>VLOOKUP($B44&amp;"__wt",'SegEnds_Xtal_BW#'!$A:$Z,4,FALSE)</f>
        <v>60</v>
      </c>
      <c r="E44" s="1" t="str">
        <f>VLOOKUP($B44&amp;"__wt",'SegEnds_Xtal_BW#'!$A:$Z,5,FALSE)</f>
        <v>-</v>
      </c>
      <c r="F44" s="1" t="str">
        <f>VLOOKUP($B44&amp;"__wt",'SegEnds_Xtal_BW#'!$A:$Z,6,FALSE)</f>
        <v>-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7">
        <f>VLOOKUP($B44&amp;"__wt",'SegEnds_Xtal_BW#'!$A:$Z,15,FALSE)</f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26</v>
      </c>
      <c r="T44" s="1">
        <f t="array" ref="T44">INDEX(ICL3_classA!$G$2:$G$37,MATCH(MIN(ABS(AI44-ICL3_classA!$F$2:$F$37)),ABS(AI44-ICL3_classA!$F$2:$F$37),0))</f>
        <v>68</v>
      </c>
      <c r="U44" s="1">
        <f t="array" ref="U44">INDEX(ICL3_classA!$H$2:$H$37,MATCH(MIN(ABS(AI44-ICL3_classA!$F$2:$F$37)),ABS(AI44-ICL3_classA!$F$2:$F$37),0))</f>
        <v>30</v>
      </c>
      <c r="V44" s="1">
        <v>61</v>
      </c>
      <c r="W44" s="108">
        <v>27</v>
      </c>
      <c r="X44" s="125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64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27</v>
      </c>
      <c r="AC44" s="1" t="e">
        <f>VLOOKUP(A44,'SegEnds_NonXtal_Prot#'!A:AL,10,FALSE)-VLOOKUP(A44,'SegEnds_NonXtal_Prot#'!A:AL,7,FALSE)</f>
        <v>#VALUE!</v>
      </c>
      <c r="AD44" s="1">
        <f>VLOOKUP(A44,'SegEnds_NonXtal_Prot#'!A:AL,13,FALSE)-VLOOKUP(A44,'SegEnds_NonXtal_Prot#'!A:AL,10,FALSE)</f>
        <v>20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36</v>
      </c>
      <c r="AH44" s="1">
        <f>VLOOKUP(A44,'SegEnds_NonXtal_Prot#'!A:AL,28,FALSE)-VLOOKUP(A44,'SegEnds_NonXtal_Prot#'!A:AL,22,FALSE)</f>
        <v>62</v>
      </c>
      <c r="AI44" s="1">
        <f>VLOOKUP(A44,'SegEnds_NonXtal_Prot#'!A:AL,31,FALSE)-VLOOKUP(A44,'SegEnds_NonXtal_Prot#'!A:AL,28,FALSE)</f>
        <v>43</v>
      </c>
      <c r="AJ44" s="1">
        <f>VLOOKUP(A44,'SegEnds_NonXtal_Prot#'!A:AL,34,FALSE)-VLOOKUP(A44,'SegEnds_NonXtal_Prot#'!A:AL,31,FALSE)</f>
        <v>40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Xtal</v>
      </c>
    </row>
    <row r="45" spans="1:38" x14ac:dyDescent="0.2">
      <c r="A45" s="1" t="s">
        <v>1507</v>
      </c>
      <c r="B45" s="1" t="str">
        <f>VLOOKUP(A45,Xtal_Templ!A:B,2,FALSE)</f>
        <v>q80km9_hcmv</v>
      </c>
      <c r="C45" s="5">
        <f>VLOOKUP($B45&amp;"__wt",'SegEnds_Xtal_BW#'!$A:$Z,3,FALSE)</f>
        <v>24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 t="str">
        <f>VLOOKUP($B45&amp;"__wt",'SegEnds_Xtal_BW#'!$A:$Z,9,FALSE)</f>
        <v>-</v>
      </c>
      <c r="J45" s="1" t="str">
        <f>VLOOKUP($B45&amp;"__wt",'SegEnds_Xtal_BW#'!$A:$Z,10,FALSE)</f>
        <v>-</v>
      </c>
      <c r="K45" s="108">
        <v>21</v>
      </c>
      <c r="L45" s="1">
        <f>VLOOKUP($B45&amp;"__wt",'SegEnds_Xtal_BW#'!$A:$Z,12,FALSE)</f>
        <v>55</v>
      </c>
      <c r="M45" s="1" t="str">
        <f>VLOOKUP($B45&amp;"__wt",'SegEnds_Xtal_BW#'!$A:$Z,13,FALSE)</f>
        <v>-</v>
      </c>
      <c r="N45" s="12" t="str">
        <f>VLOOKUP($B45&amp;"__wt",'SegEnds_Xtal_BW#'!$A:$Z,14,FALSE)</f>
        <v>-</v>
      </c>
      <c r="O45" s="87">
        <f>VLOOKUP($B45&amp;"__wt",'SegEnds_Xtal_BW#'!$A:$Z,15,FALSE)</f>
        <v>38</v>
      </c>
      <c r="P45" s="1">
        <f>VLOOKUP($B45&amp;"__wt",'SegEnds_Xtal_BW#'!$A:$Z,16,FALSE)</f>
        <v>62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33</v>
      </c>
      <c r="T45" s="1">
        <f t="array" ref="T45">INDEX(ICL3_classA!$G$2:$G$37,MATCH(MIN(ABS(AI45-ICL3_classA!$F$2:$F$37)),ABS(AI45-ICL3_classA!$F$2:$F$37),0))</f>
        <v>68</v>
      </c>
      <c r="U45" s="1">
        <v>29</v>
      </c>
      <c r="V45" s="1">
        <v>64</v>
      </c>
      <c r="W45" s="1">
        <v>24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62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 t="e">
        <f>VLOOKUP(A45,'SegEnds_NonXtal_Prot#'!A:AL,13,FALSE)-VLOOKUP(A45,'SegEnds_NonXtal_Prot#'!A:AL,10,FALSE)</f>
        <v>#VALUE!</v>
      </c>
      <c r="AE45" s="1">
        <f>VLOOKUP(A45,'SegEnds_NonXtal_Prot#'!A:AL,16,FALSE)-VLOOKUP(A45,'SegEnds_NonXtal_Prot#'!A:AL,10,FALSE)</f>
        <v>50</v>
      </c>
      <c r="AF45" s="1" t="e">
        <f>VLOOKUP(A45,'SegEnds_NonXtal_Prot#'!A:AL,22,FALSE)-VLOOKUP(A45,'SegEnds_NonXtal_Prot#'!A:AL,19,FALSE)</f>
        <v>#VALUE!</v>
      </c>
      <c r="AG45" s="1">
        <f>VLOOKUP(A45,'SegEnds_NonXtal_Prot#'!A:AL,28,FALSE)-VLOOKUP(A45,'SegEnds_NonXtal_Prot#'!A:AL,25,FALSE)</f>
        <v>27</v>
      </c>
      <c r="AH45" s="1">
        <f>VLOOKUP(A45,'SegEnds_NonXtal_Prot#'!A:AL,28,FALSE)-VLOOKUP(A45,'SegEnds_NonXtal_Prot#'!A:AL,22,FALSE)</f>
        <v>48</v>
      </c>
      <c r="AI45" s="1">
        <f>VLOOKUP(A45,'SegEnds_NonXtal_Prot#'!A:AL,31,FALSE)-VLOOKUP(A45,'SegEnds_NonXtal_Prot#'!A:AL,28,FALSE)</f>
        <v>43</v>
      </c>
      <c r="AJ45" s="1">
        <f>VLOOKUP(A45,'SegEnds_NonXtal_Prot#'!A:AL,34,FALSE)-VLOOKUP(A45,'SegEnds_NonXtal_Prot#'!A:AL,31,FALSE)</f>
        <v>45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Xtal</v>
      </c>
    </row>
    <row r="46" spans="1:38" x14ac:dyDescent="0.2">
      <c r="A46" s="1" t="s">
        <v>1451</v>
      </c>
      <c r="B46" s="1" t="s">
        <v>1451</v>
      </c>
      <c r="C46" s="5">
        <f>VLOOKUP($B46&amp;"__wt",'SegEnds_Xtal_BW#'!$A:$Z,3,FALSE)</f>
        <v>29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f>VLOOKUP($B46&amp;"__wt",'SegEnds_Xtal_BW#'!$A:$Z,11,FALSE)</f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7">
        <f>VLOOKUP($B46&amp;"__wt",'SegEnds_Xtal_BW#'!$A:$Z,15,FALSE)</f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f>VLOOKUP($B46&amp;"__wt",'SegEnds_Xtal_BW#'!$A:$Z,19,FALSE)</f>
        <v>31</v>
      </c>
      <c r="T46" s="1">
        <f t="array" ref="T46">INDEX(ICL3_classA!$G$2:$G$37,MATCH(MIN(ABS(AI46-ICL3_classA!$F$2:$F$37)),ABS(AI46-ICL3_classA!$F$2:$F$37),0))</f>
        <v>68</v>
      </c>
      <c r="U46" s="1">
        <f t="array" ref="U46">INDEX(ICL3_classA!$H$2:$H$37,MATCH(MIN(ABS(AI46-ICL3_classA!$F$2:$F$37)),ABS(AI46-ICL3_classA!$F$2:$F$37),0))</f>
        <v>30</v>
      </c>
      <c r="V46" s="1">
        <v>64</v>
      </c>
      <c r="W46" s="1">
        <v>24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61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19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25</v>
      </c>
      <c r="AH46" s="1">
        <f>VLOOKUP(A46,'SegEnds_NonXtal_Prot#'!A:AL,28,FALSE)-VLOOKUP(A46,'SegEnds_NonXtal_Prot#'!A:AL,22,FALSE)</f>
        <v>51</v>
      </c>
      <c r="AI46" s="1">
        <f>VLOOKUP(A46,'SegEnds_NonXtal_Prot#'!A:AL,31,FALSE)-VLOOKUP(A46,'SegEnds_NonXtal_Prot#'!A:AL,28,FALSE)</f>
        <v>43</v>
      </c>
      <c r="AJ46" s="1">
        <f>VLOOKUP(A46,'SegEnds_NonXtal_Prot#'!A:AL,34,FALSE)-VLOOKUP(A46,'SegEnds_NonXtal_Prot#'!A:AL,31,FALSE)</f>
        <v>43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Xtal</v>
      </c>
    </row>
    <row r="47" spans="1:38" x14ac:dyDescent="0.2">
      <c r="A47" s="1" t="s">
        <v>923</v>
      </c>
      <c r="B47" s="1" t="str">
        <f>VLOOKUP(A47,Xtal_Templ!A:B,2,FALSE)</f>
        <v>us28_hcmva</v>
      </c>
      <c r="C47" s="5">
        <f>VLOOKUP($B47&amp;"__wt",'SegEnds_Xtal_BW#'!$A:$Z,3,FALSE)</f>
        <v>24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66</v>
      </c>
      <c r="I47" s="1" t="str">
        <f>VLOOKUP($B47&amp;"__wt",'SegEnds_Xtal_BW#'!$A:$Z,9,FALSE)</f>
        <v>-</v>
      </c>
      <c r="J47" s="1" t="str">
        <f>VLOOKUP($B47&amp;"__wt",'SegEnds_Xtal_BW#'!$A:$Z,10,FALSE)</f>
        <v>-</v>
      </c>
      <c r="K47" s="108">
        <v>21</v>
      </c>
      <c r="L47" s="1">
        <f>VLOOKUP($B47&amp;"__wt",'SegEnds_Xtal_BW#'!$A:$Z,12,FALSE)</f>
        <v>55</v>
      </c>
      <c r="M47" s="1" t="str">
        <f>VLOOKUP($B47&amp;"__wt",'SegEnds_Xtal_BW#'!$A:$Z,13,FALSE)</f>
        <v>-</v>
      </c>
      <c r="N47" s="12" t="str">
        <f>VLOOKUP($B47&amp;"__wt",'SegEnds_Xtal_BW#'!$A:$Z,14,FALSE)</f>
        <v>-</v>
      </c>
      <c r="O47" s="87">
        <f>VLOOKUP($B47&amp;"__wt",'SegEnds_Xtal_BW#'!$A:$Z,15,FALSE)</f>
        <v>38</v>
      </c>
      <c r="P47" s="1">
        <f>VLOOKUP($B47&amp;"__wt",'SegEnds_Xtal_BW#'!$A:$Z,16,FALSE)</f>
        <v>62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f>VLOOKUP($B47&amp;"__wt",'SegEnds_Xtal_BW#'!$A:$Z,19,FALSE)</f>
        <v>33</v>
      </c>
      <c r="T47" s="1">
        <f t="array" ref="T47">INDEX(ICL3_classA!$G$2:$G$37,MATCH(MIN(ABS(AI47-ICL3_classA!$F$2:$F$37)),ABS(AI47-ICL3_classA!$F$2:$F$37),0))</f>
        <v>68</v>
      </c>
      <c r="U47" s="1">
        <v>29</v>
      </c>
      <c r="V47" s="1">
        <v>64</v>
      </c>
      <c r="W47" s="1">
        <v>24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62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 t="e">
        <f>VLOOKUP(A47,'SegEnds_NonXtal_Prot#'!A:AL,13,FALSE)-VLOOKUP(A47,'SegEnds_NonXtal_Prot#'!A:AL,10,FALSE)</f>
        <v>#VALUE!</v>
      </c>
      <c r="AE47" s="1">
        <f>VLOOKUP(A47,'SegEnds_NonXtal_Prot#'!A:AL,16,FALSE)-VLOOKUP(A47,'SegEnds_NonXtal_Prot#'!A:AL,10,FALSE)</f>
        <v>50</v>
      </c>
      <c r="AF47" s="1" t="e">
        <f>VLOOKUP(A47,'SegEnds_NonXtal_Prot#'!A:AL,22,FALSE)-VLOOKUP(A47,'SegEnds_NonXtal_Prot#'!A:AL,19,FALSE)</f>
        <v>#VALUE!</v>
      </c>
      <c r="AG47" s="1">
        <f>VLOOKUP(A47,'SegEnds_NonXtal_Prot#'!A:AL,28,FALSE)-VLOOKUP(A47,'SegEnds_NonXtal_Prot#'!A:AL,25,FALSE)</f>
        <v>27</v>
      </c>
      <c r="AH47" s="1">
        <f>VLOOKUP(A47,'SegEnds_NonXtal_Prot#'!A:AL,28,FALSE)-VLOOKUP(A47,'SegEnds_NonXtal_Prot#'!A:AL,22,FALSE)</f>
        <v>48</v>
      </c>
      <c r="AI47" s="1">
        <f>VLOOKUP(A47,'SegEnds_NonXtal_Prot#'!A:AL,31,FALSE)-VLOOKUP(A47,'SegEnds_NonXtal_Prot#'!A:AL,28,FALSE)</f>
        <v>43</v>
      </c>
      <c r="AJ47" s="1">
        <f>VLOOKUP(A47,'SegEnds_NonXtal_Prot#'!A:AL,34,FALSE)-VLOOKUP(A47,'SegEnds_NonXtal_Prot#'!A:AL,31,FALSE)</f>
        <v>45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Xtal</v>
      </c>
    </row>
    <row r="48" spans="1:38" x14ac:dyDescent="0.2">
      <c r="A48" s="1" t="s">
        <v>400</v>
      </c>
      <c r="B48" s="1" t="str">
        <f>VLOOKUP(A48,Xtal_Templ!A:B,2,FALSE)</f>
        <v>ccr5_human</v>
      </c>
      <c r="C48" s="5">
        <f>VLOOKUP($B48&amp;"__wt",'SegEnds_Xtal_BW#'!$A:$Z,3,FALSE)</f>
        <v>24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24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v>35</v>
      </c>
      <c r="T48" s="1">
        <f t="array" ref="T48">INDEX(ICL3_classA!$G$2:$G$37,MATCH(MIN(ABS(AI48-ICL3_classA!$F$2:$F$37)),ABS(AI48-ICL3_classA!$F$2:$F$37),0))</f>
        <v>68</v>
      </c>
      <c r="U48" s="1">
        <f t="array" ref="U48">INDEX(ICL3_classA!$H$2:$H$37,MATCH(MIN(ABS(AI48-ICL3_classA!$F$2:$F$37)),ABS(AI48-ICL3_classA!$F$2:$F$37),0))</f>
        <v>30</v>
      </c>
      <c r="V48" s="1">
        <v>64</v>
      </c>
      <c r="W48" s="1">
        <v>24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59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18</v>
      </c>
      <c r="AE48" s="1">
        <f>VLOOKUP(A48,'SegEnds_NonXtal_Prot#'!A:AL,16,FALSE)-VLOOKUP(A48,'SegEnds_NonXtal_Prot#'!A:AL,10,FALSE)</f>
        <v>50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22</v>
      </c>
      <c r="AH48" s="1">
        <f>VLOOKUP(A48,'SegEnds_NonXtal_Prot#'!A:AL,28,FALSE)-VLOOKUP(A48,'SegEnds_NonXtal_Prot#'!A:AL,22,FALSE)</f>
        <v>43</v>
      </c>
      <c r="AI48" s="1">
        <f>VLOOKUP(A48,'SegEnds_NonXtal_Prot#'!A:AL,31,FALSE)-VLOOKUP(A48,'SegEnds_NonXtal_Prot#'!A:AL,28,FALSE)</f>
        <v>43</v>
      </c>
      <c r="AJ48" s="1">
        <f>VLOOKUP(A48,'SegEnds_NonXtal_Prot#'!A:AL,34,FALSE)-VLOOKUP(A48,'SegEnds_NonXtal_Prot#'!A:AL,31,FALSE)</f>
        <v>44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164</v>
      </c>
      <c r="B49" s="1" t="str">
        <f>VLOOKUP(A49,Xtal_Templ!A:B,2,FALSE)</f>
        <v>c5ar1_human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 t="str">
        <f>VLOOKUP($B49&amp;"__wt",'SegEnds_Xtal_BW#'!$A:$Z,5,FALSE)</f>
        <v>-</v>
      </c>
      <c r="F49" s="1" t="str">
        <f>VLOOKUP($B49&amp;"__wt",'SegEnds_Xtal_BW#'!$A:$Z,6,FALSE)</f>
        <v>-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7"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31</v>
      </c>
      <c r="T49" s="1">
        <f t="array" ref="T49">INDEX(ICL3_classA!$G$2:$G$37,MATCH(MIN(ABS(AI49-ICL3_classA!$F$2:$F$37)),ABS(AI49-ICL3_classA!$F$2:$F$37),0))</f>
        <v>68</v>
      </c>
      <c r="U49" s="108">
        <v>31</v>
      </c>
      <c r="V49" s="1">
        <v>61</v>
      </c>
      <c r="W49" s="108">
        <v>25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56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27</v>
      </c>
      <c r="AC49" s="1" t="e">
        <f>VLOOKUP(A49,'SegEnds_NonXtal_Prot#'!A:AL,10,FALSE)-VLOOKUP(A49,'SegEnds_NonXtal_Prot#'!A:AL,7,FALSE)</f>
        <v>#VALUE!</v>
      </c>
      <c r="AD49" s="1">
        <f>VLOOKUP(A49,'SegEnds_NonXtal_Prot#'!A:AL,13,FALSE)-VLOOKUP(A49,'SegEnds_NonXtal_Prot#'!A:AL,10,FALSE)</f>
        <v>20</v>
      </c>
      <c r="AE49" s="1">
        <f>VLOOKUP(A49,'SegEnds_NonXtal_Prot#'!A:AL,16,FALSE)-VLOOKUP(A49,'SegEnds_NonXtal_Prot#'!A:AL,10,FALSE)</f>
        <v>52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176</v>
      </c>
      <c r="AH49" s="1">
        <f>VLOOKUP(A49,'SegEnds_NonXtal_Prot#'!A:AL,28,FALSE)-VLOOKUP(A49,'SegEnds_NonXtal_Prot#'!A:AL,22,FALSE)</f>
        <v>201</v>
      </c>
      <c r="AI49" s="1">
        <f>VLOOKUP(A49,'SegEnds_NonXtal_Prot#'!A:AL,31,FALSE)-VLOOKUP(A49,'SegEnds_NonXtal_Prot#'!A:AL,28,FALSE)</f>
        <v>44</v>
      </c>
      <c r="AJ49" s="1">
        <f>VLOOKUP(A49,'SegEnds_NonXtal_Prot#'!A:AL,34,FALSE)-VLOOKUP(A49,'SegEnds_NonXtal_Prot#'!A:AL,31,FALSE)</f>
        <v>40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NoXtal</v>
      </c>
    </row>
    <row r="50" spans="1:38" x14ac:dyDescent="0.2">
      <c r="A50" s="1" t="s">
        <v>170</v>
      </c>
      <c r="B50" s="1" t="str">
        <f>VLOOKUP(A50,Xtal_Templ!A:B,2,FALSE)</f>
        <v>ccr2_human</v>
      </c>
      <c r="C50" s="5">
        <f>VLOOKUP($B50&amp;"__wt",'SegEnds_Xtal_BW#'!$A:$Z,3,FALSE)</f>
        <v>27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24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f>VLOOKUP($B50&amp;"__wt",'SegEnds_Xtal_BW#'!$A:$Z,14,FALSE)</f>
        <v>57</v>
      </c>
      <c r="O50" s="87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31</v>
      </c>
      <c r="T50" s="1">
        <f t="array" ref="T50">INDEX(ICL3_classA!$G$2:$G$37,MATCH(MIN(ABS(AI50-ICL3_classA!$F$2:$F$37)),ABS(AI50-ICL3_classA!$F$2:$F$37),0))</f>
        <v>68</v>
      </c>
      <c r="U50" s="1">
        <f t="array" ref="U50">INDEX(ICL3_classA!$H$2:$H$37,MATCH(MIN(ABS(AI50-ICL3_classA!$F$2:$F$37)),ABS(AI50-ICL3_classA!$F$2:$F$37),0))</f>
        <v>28</v>
      </c>
      <c r="V50" s="1">
        <v>65</v>
      </c>
      <c r="W50" s="1">
        <v>24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58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18</v>
      </c>
      <c r="AE50" s="1">
        <f>VLOOKUP(A50,'SegEnds_NonXtal_Prot#'!A:AL,16,FALSE)-VLOOKUP(A50,'SegEnds_NonXtal_Prot#'!A:AL,10,FALSE)</f>
        <v>50</v>
      </c>
      <c r="AF50" s="1">
        <f>VLOOKUP(A50,'SegEnds_NonXtal_Prot#'!A:AL,22,FALSE)-VLOOKUP(A50,'SegEnds_NonXtal_Prot#'!A:AL,19,FALSE)</f>
        <v>20</v>
      </c>
      <c r="AG50" s="1">
        <f>VLOOKUP(A50,'SegEnds_NonXtal_Prot#'!A:AL,28,FALSE)-VLOOKUP(A50,'SegEnds_NonXtal_Prot#'!A:AL,25,FALSE)</f>
        <v>24</v>
      </c>
      <c r="AH50" s="1">
        <f>VLOOKUP(A50,'SegEnds_NonXtal_Prot#'!A:AL,28,FALSE)-VLOOKUP(A50,'SegEnds_NonXtal_Prot#'!A:AL,22,FALSE)</f>
        <v>49</v>
      </c>
      <c r="AI50" s="1">
        <f>VLOOKUP(A50,'SegEnds_NonXtal_Prot#'!A:AL,31,FALSE)-VLOOKUP(A50,'SegEnds_NonXtal_Prot#'!A:AL,28,FALSE)</f>
        <v>44</v>
      </c>
      <c r="AJ50" s="1">
        <f>VLOOKUP(A50,'SegEnds_NonXtal_Prot#'!A:AL,34,FALSE)-VLOOKUP(A50,'SegEnds_NonXtal_Prot#'!A:AL,31,FALSE)</f>
        <v>44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Xtal</v>
      </c>
    </row>
    <row r="51" spans="1:38" x14ac:dyDescent="0.2">
      <c r="A51" s="1" t="s">
        <v>173</v>
      </c>
      <c r="B51" s="1" t="str">
        <f>VLOOKUP(A51,Xtal_Templ!A:B,2,FALSE)</f>
        <v>ccr5_human</v>
      </c>
      <c r="C51" s="5">
        <f>VLOOKUP($B51&amp;"__wt",'SegEnds_Xtal_BW#'!$A:$Z,3,FALSE)</f>
        <v>24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24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f>VLOOKUP($B51&amp;"__wt",'SegEnds_Xtal_BW#'!$A:$Z,14,FALSE)</f>
        <v>57</v>
      </c>
      <c r="O51" s="87">
        <f>VLOOKUP($B51&amp;"__wt",'SegEnds_Xtal_BW#'!$A:$Z,15,FALSE)</f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30</v>
      </c>
      <c r="T51" s="1">
        <f t="array" ref="T51">INDEX(ICL3_classA!$G$2:$G$37,MATCH(MIN(ABS(AI51-ICL3_classA!$F$2:$F$37)),ABS(AI51-ICL3_classA!$F$2:$F$37),0))</f>
        <v>68</v>
      </c>
      <c r="U51" s="1">
        <f t="array" ref="U51">INDEX(ICL3_classA!$H$2:$H$37,MATCH(MIN(ABS(AI51-ICL3_classA!$F$2:$F$37)),ABS(AI51-ICL3_classA!$F$2:$F$37),0))</f>
        <v>28</v>
      </c>
      <c r="V51" s="1">
        <v>65</v>
      </c>
      <c r="W51" s="1">
        <v>24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18</v>
      </c>
      <c r="AE51" s="1">
        <f>VLOOKUP(A51,'SegEnds_NonXtal_Prot#'!A:AL,16,FALSE)-VLOOKUP(A51,'SegEnds_NonXtal_Prot#'!A:AL,10,FALSE)</f>
        <v>50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28</v>
      </c>
      <c r="AH51" s="1">
        <f>VLOOKUP(A51,'SegEnds_NonXtal_Prot#'!A:AL,28,FALSE)-VLOOKUP(A51,'SegEnds_NonXtal_Prot#'!A:AL,22,FALSE)</f>
        <v>53</v>
      </c>
      <c r="AI51" s="1">
        <f>VLOOKUP(A51,'SegEnds_NonXtal_Prot#'!A:AL,31,FALSE)-VLOOKUP(A51,'SegEnds_NonXtal_Prot#'!A:AL,28,FALSE)</f>
        <v>44</v>
      </c>
      <c r="AJ51" s="1">
        <f>VLOOKUP(A51,'SegEnds_NonXtal_Prot#'!A:AL,34,FALSE)-VLOOKUP(A51,'SegEnds_NonXtal_Prot#'!A:AL,31,FALSE)</f>
        <v>44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Xtal</v>
      </c>
    </row>
    <row r="52" spans="1:38" x14ac:dyDescent="0.2">
      <c r="A52" s="1" t="s">
        <v>188</v>
      </c>
      <c r="B52" s="1" t="str">
        <f>VLOOKUP(A52,Xtal_Templ!A:B,2,FALSE)</f>
        <v>cxcr4_human</v>
      </c>
      <c r="C52" s="5">
        <f>VLOOKUP($B52&amp;"__wt",'SegEnds_Xtal_BW#'!$A:$Z,3,FALSE)</f>
        <v>24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24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32</v>
      </c>
      <c r="T52" s="1">
        <f t="array" ref="T52">INDEX(ICL3_classA!$G$2:$G$37,MATCH(MIN(ABS(AI52-ICL3_classA!$F$2:$F$37)),ABS(AI52-ICL3_classA!$F$2:$F$37),0))</f>
        <v>68</v>
      </c>
      <c r="U52" s="1">
        <f t="array" ref="U52">INDEX(ICL3_classA!$H$2:$H$37,MATCH(MIN(ABS(AI52-ICL3_classA!$F$2:$F$37)),ABS(AI52-ICL3_classA!$F$2:$F$37),0))</f>
        <v>28</v>
      </c>
      <c r="V52" s="1">
        <v>64</v>
      </c>
      <c r="W52" s="1">
        <v>24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18</v>
      </c>
      <c r="AE52" s="1">
        <f>VLOOKUP(A52,'SegEnds_NonXtal_Prot#'!A:AL,16,FALSE)-VLOOKUP(A52,'SegEnds_NonXtal_Prot#'!A:AL,10,FALSE)</f>
        <v>50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28</v>
      </c>
      <c r="AH52" s="1">
        <f>VLOOKUP(A52,'SegEnds_NonXtal_Prot#'!A:AL,28,FALSE)-VLOOKUP(A52,'SegEnds_NonXtal_Prot#'!A:AL,22,FALSE)</f>
        <v>56</v>
      </c>
      <c r="AI52" s="1">
        <f>VLOOKUP(A52,'SegEnds_NonXtal_Prot#'!A:AL,31,FALSE)-VLOOKUP(A52,'SegEnds_NonXtal_Prot#'!A:AL,28,FALSE)</f>
        <v>44</v>
      </c>
      <c r="AJ52" s="1">
        <f>VLOOKUP(A52,'SegEnds_NonXtal_Prot#'!A:AL,34,FALSE)-VLOOKUP(A52,'SegEnds_NonXtal_Prot#'!A:AL,31,FALSE)</f>
        <v>45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199</v>
      </c>
      <c r="B53" s="1" t="str">
        <f>VLOOKUP(A53,Xtal_Templ!A:B,2,FALSE)</f>
        <v>par1_human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7">
        <f>VLOOKUP($B53&amp;"__wt",'SegEnds_Xtal_BW#'!$A:$Z,15,FALSE)</f>
        <v>38</v>
      </c>
      <c r="P53" s="1">
        <f>VLOOKUP($B53&amp;"__wt",'SegEnds_Xtal_BW#'!$A:$Z,16,FALSE)</f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f>VLOOKUP($B53&amp;"__wt",'SegEnds_Xtal_BW#'!$A:$Z,19,FALSE)</f>
        <v>32</v>
      </c>
      <c r="T53" s="1">
        <f t="array" ref="T53">INDEX(ICL3_classA!$G$2:$G$37,MATCH(MIN(ABS(AI53-ICL3_classA!$F$2:$F$37)),ABS(AI53-ICL3_classA!$F$2:$F$37),0))</f>
        <v>68</v>
      </c>
      <c r="U53" s="1">
        <f t="array" ref="U53">INDEX(ICL3_classA!$H$2:$H$37,MATCH(MIN(ABS(AI53-ICL3_classA!$F$2:$F$37)),ABS(AI53-ICL3_classA!$F$2:$F$37),0))</f>
        <v>28</v>
      </c>
      <c r="V53" s="1">
        <v>61</v>
      </c>
      <c r="W53" s="1">
        <v>33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61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29</v>
      </c>
      <c r="AC53" s="1" t="e">
        <f>VLOOKUP(A53,'SegEnds_NonXtal_Prot#'!A:AL,10,FALSE)-VLOOKUP(A53,'SegEnds_NonXtal_Prot#'!A:AL,7,FALSE)</f>
        <v>#VALUE!</v>
      </c>
      <c r="AD53" s="1">
        <f>VLOOKUP(A53,'SegEnds_NonXtal_Prot#'!A:AL,13,FALSE)-VLOOKUP(A53,'SegEnds_NonXtal_Prot#'!A:AL,10,FALSE)</f>
        <v>20</v>
      </c>
      <c r="AE53" s="1">
        <f>VLOOKUP(A53,'SegEnds_NonXtal_Prot#'!A:AL,16,FALSE)-VLOOKUP(A53,'SegEnds_NonXtal_Prot#'!A:AL,10,FALSE)</f>
        <v>52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27</v>
      </c>
      <c r="AH53" s="1">
        <f>VLOOKUP(A53,'SegEnds_NonXtal_Prot#'!A:AL,28,FALSE)-VLOOKUP(A53,'SegEnds_NonXtal_Prot#'!A:AL,22,FALSE)</f>
        <v>56</v>
      </c>
      <c r="AI53" s="1">
        <f>VLOOKUP(A53,'SegEnds_NonXtal_Prot#'!A:AL,31,FALSE)-VLOOKUP(A53,'SegEnds_NonXtal_Prot#'!A:AL,28,FALSE)</f>
        <v>44</v>
      </c>
      <c r="AJ53" s="1">
        <f>VLOOKUP(A53,'SegEnds_NonXtal_Prot#'!A:AL,34,FALSE)-VLOOKUP(A53,'SegEnds_NonXtal_Prot#'!A:AL,31,FALSE)</f>
        <v>33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217</v>
      </c>
      <c r="B54" s="1" t="str">
        <f>VLOOKUP(A54,Xtal_Templ!A:B,2,FALSE)</f>
        <v>hrh1_human</v>
      </c>
      <c r="C54" s="5">
        <f>VLOOKUP($B54&amp;"__wt",'SegEnds_Xtal_BW#'!$A:$Z,3,FALSE)</f>
        <v>34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66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7">
        <v>38</v>
      </c>
      <c r="P54" s="1">
        <f>VLOOKUP($B54&amp;"__wt",'SegEnds_Xtal_BW#'!$A:$Z,16,FALSE)</f>
        <v>62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35</v>
      </c>
      <c r="T54" s="1">
        <f t="array" ref="T54">INDEX(ICL3_classA!$G$2:$G$37,MATCH(MIN(ABS(AI54-ICL3_classA!$F$2:$F$37)),ABS(AI54-ICL3_classA!$F$2:$F$37),0))</f>
        <v>68</v>
      </c>
      <c r="U54" s="1">
        <f t="array" ref="U54">INDEX(ICL3_classA!$H$2:$H$37,MATCH(MIN(ABS(AI54-ICL3_classA!$F$2:$F$37)),ABS(AI54-ICL3_classA!$F$2:$F$37),0))</f>
        <v>28</v>
      </c>
      <c r="V54" s="1">
        <v>61</v>
      </c>
      <c r="W54" s="1">
        <v>28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19</v>
      </c>
      <c r="AE54" s="1">
        <f>VLOOKUP(A54,'SegEnds_NonXtal_Prot#'!A:AL,16,FALSE)-VLOOKUP(A54,'SegEnds_NonXtal_Prot#'!A:AL,10,FALSE)</f>
        <v>51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30</v>
      </c>
      <c r="AH54" s="1">
        <f>VLOOKUP(A54,'SegEnds_NonXtal_Prot#'!A:AL,28,FALSE)-VLOOKUP(A54,'SegEnds_NonXtal_Prot#'!A:AL,22,FALSE)</f>
        <v>56</v>
      </c>
      <c r="AI54" s="1">
        <f>VLOOKUP(A54,'SegEnds_NonXtal_Prot#'!A:AL,31,FALSE)-VLOOKUP(A54,'SegEnds_NonXtal_Prot#'!A:AL,28,FALSE)</f>
        <v>44</v>
      </c>
      <c r="AJ54" s="1">
        <f>VLOOKUP(A54,'SegEnds_NonXtal_Prot#'!A:AL,34,FALSE)-VLOOKUP(A54,'SegEnds_NonXtal_Prot#'!A:AL,31,FALSE)</f>
        <v>40</v>
      </c>
      <c r="AK54" s="1">
        <f>VLOOKUP(A54,'SegEnds_NonXtal_Prot#'!A:AL,37,FALSE)-VLOOKUP(A54,'SegEnds_NonXtal_Prot#'!A:AL,34,FALSE)</f>
        <v>11</v>
      </c>
      <c r="AL54" s="1" t="str">
        <f>IF(ISERROR(MATCH(A54,'SegEnds_Xtal_Prot#'!B:B, 0)), "NoXtal", "Xtal")</f>
        <v>NoXtal</v>
      </c>
    </row>
    <row r="55" spans="1:38" x14ac:dyDescent="0.2">
      <c r="A55" s="1" t="s">
        <v>258</v>
      </c>
      <c r="B55" s="1" t="str">
        <f>VLOOKUP(A55,Xtal_Templ!A:B,2,FALSE)</f>
        <v>par1_human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66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f>VLOOKUP($B55&amp;"__wt",'SegEnds_Xtal_BW#'!$A:$Z,15,FALSE)</f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f>VLOOKUP($B55&amp;"__wt",'SegEnds_Xtal_BW#'!$A:$Z,19,FALSE)</f>
        <v>32</v>
      </c>
      <c r="T55" s="1">
        <f t="array" ref="T55">INDEX(ICL3_classA!$G$2:$G$37,MATCH(MIN(ABS(AI55-ICL3_classA!$F$2:$F$37)),ABS(AI55-ICL3_classA!$F$2:$F$37),0))</f>
        <v>68</v>
      </c>
      <c r="U55" s="1">
        <f t="array" ref="U55">INDEX(ICL3_classA!$H$2:$H$37,MATCH(MIN(ABS(AI55-ICL3_classA!$F$2:$F$37)),ABS(AI55-ICL3_classA!$F$2:$F$37),0))</f>
        <v>28</v>
      </c>
      <c r="V55" s="1">
        <v>61</v>
      </c>
      <c r="W55" s="1">
        <v>33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61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29</v>
      </c>
      <c r="AC55" s="1" t="e">
        <f>VLOOKUP(A55,'SegEnds_NonXtal_Prot#'!A:AL,10,FALSE)-VLOOKUP(A55,'SegEnds_NonXtal_Prot#'!A:AL,7,FALSE)</f>
        <v>#VALUE!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27</v>
      </c>
      <c r="AH55" s="1">
        <f>VLOOKUP(A55,'SegEnds_NonXtal_Prot#'!A:AL,28,FALSE)-VLOOKUP(A55,'SegEnds_NonXtal_Prot#'!A:AL,22,FALSE)</f>
        <v>56</v>
      </c>
      <c r="AI55" s="1">
        <f>VLOOKUP(A55,'SegEnds_NonXtal_Prot#'!A:AL,31,FALSE)-VLOOKUP(A55,'SegEnds_NonXtal_Prot#'!A:AL,28,FALSE)</f>
        <v>44</v>
      </c>
      <c r="AJ55" s="1">
        <f>VLOOKUP(A55,'SegEnds_NonXtal_Prot#'!A:AL,34,FALSE)-VLOOKUP(A55,'SegEnds_NonXtal_Prot#'!A:AL,31,FALSE)</f>
        <v>33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301</v>
      </c>
      <c r="B56" s="1" t="str">
        <f>VLOOKUP(A56,Xtal_Templ!A:B,2,FALSE)</f>
        <v>agtr1_human</v>
      </c>
      <c r="C56" s="5">
        <f>VLOOKUP($B56&amp;"__wt",'SegEnds_Xtal_BW#'!$A:$Z,3,FALSE)</f>
        <v>28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v>38</v>
      </c>
      <c r="P56" s="1">
        <f>VLOOKUP($B56&amp;"__wt",'SegEnds_Xtal_BW#'!$A:$Z,16,FALSE)</f>
        <v>64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f>VLOOKUP($B56&amp;"__wt",'SegEnds_Xtal_BW#'!$A:$Z,19,FALSE)</f>
        <v>34</v>
      </c>
      <c r="T56" s="1">
        <f t="array" ref="T56">INDEX(ICL3_classA!$G$2:$G$37,MATCH(MIN(ABS(AI56-ICL3_classA!$F$2:$F$37)),ABS(AI56-ICL3_classA!$F$2:$F$37),0))</f>
        <v>68</v>
      </c>
      <c r="U56" s="1">
        <f t="array" ref="U56">INDEX(ICL3_classA!$H$2:$H$37,MATCH(MIN(ABS(AI56-ICL3_classA!$F$2:$F$37)),ABS(AI56-ICL3_classA!$F$2:$F$37),0))</f>
        <v>28</v>
      </c>
      <c r="V56" s="1">
        <v>61</v>
      </c>
      <c r="W56" s="1">
        <v>31</v>
      </c>
      <c r="X56" s="108">
        <v>56</v>
      </c>
      <c r="Y56" s="1">
        <f>VLOOKUP($B56&amp;"__wt",'SegEnds_Xtal_BW#'!$A:$Z,25,FALSE)</f>
        <v>47</v>
      </c>
      <c r="Z56" s="1">
        <f>VLOOKUP($B56&amp;"__wt",'SegEnds_Xtal_BW#'!$A:$Z,26,FALSE)</f>
        <v>61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27</v>
      </c>
      <c r="AC56" s="1" t="e">
        <f>VLOOKUP(A56,'SegEnds_NonXtal_Prot#'!A:AL,10,FALSE)-VLOOKUP(A56,'SegEnds_NonXtal_Prot#'!A:AL,7,FALSE)</f>
        <v>#VALUE!</v>
      </c>
      <c r="AD56" s="1" t="e">
        <f>VLOOKUP(A56,'SegEnds_NonXtal_Prot#'!A:AL,13,FALSE)-VLOOKUP(A56,'SegEnds_NonXtal_Prot#'!A:AL,10,FALSE)</f>
        <v>#VALUE!</v>
      </c>
      <c r="AE56" s="1">
        <f>VLOOKUP(A56,'SegEnds_NonXtal_Prot#'!A:AL,16,FALSE)-VLOOKUP(A56,'SegEnds_NonXtal_Prot#'!A:AL,10,FALSE)</f>
        <v>51</v>
      </c>
      <c r="AF56" s="1">
        <f>VLOOKUP(A56,'SegEnds_NonXtal_Prot#'!A:AL,22,FALSE)-VLOOKUP(A56,'SegEnds_NonXtal_Prot#'!A:AL,19,FALSE)</f>
        <v>20</v>
      </c>
      <c r="AG56" s="1" t="e">
        <f>VLOOKUP(A56,'SegEnds_NonXtal_Prot#'!A:AL,28,FALSE)-VLOOKUP(A56,'SegEnds_NonXtal_Prot#'!A:AL,25,FALSE)</f>
        <v>#VALUE!</v>
      </c>
      <c r="AH56" s="1">
        <f>VLOOKUP(A56,'SegEnds_NonXtal_Prot#'!A:AL,28,FALSE)-VLOOKUP(A56,'SegEnds_NonXtal_Prot#'!A:AL,22,FALSE)</f>
        <v>42</v>
      </c>
      <c r="AI56" s="1">
        <f>VLOOKUP(A56,'SegEnds_NonXtal_Prot#'!A:AL,31,FALSE)-VLOOKUP(A56,'SegEnds_NonXtal_Prot#'!A:AL,28,FALSE)</f>
        <v>44</v>
      </c>
      <c r="AJ56" s="1">
        <f>VLOOKUP(A56,'SegEnds_NonXtal_Prot#'!A:AL,34,FALSE)-VLOOKUP(A56,'SegEnds_NonXtal_Prot#'!A:AL,31,FALSE)</f>
        <v>37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1172</v>
      </c>
      <c r="B57" s="1" t="str">
        <f>VLOOKUP(A57,Xtal_Templ!A:B,2,FALSE)</f>
        <v>ffar1_human</v>
      </c>
      <c r="C57" s="5">
        <f>VLOOKUP($B57&amp;"__wt",'SegEnds_Xtal_BW#'!$A:$Z,3,FALSE)</f>
        <v>31</v>
      </c>
      <c r="D57" s="1">
        <f>VLOOKUP($B57&amp;"__wt",'SegEnds_Xtal_BW#'!$A:$Z,4,FALSE)</f>
        <v>64</v>
      </c>
      <c r="E57" s="1" t="str">
        <f>VLOOKUP($B57&amp;"__wt",'SegEnds_Xtal_BW#'!$A:$Z,5,FALSE)</f>
        <v>-</v>
      </c>
      <c r="F57" s="1" t="str">
        <f>VLOOKUP($B57&amp;"__wt",'SegEnds_Xtal_BW#'!$A:$Z,6,FALSE)</f>
        <v>-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f>VLOOKUP($B57&amp;"__wt",'SegEnds_Xtal_BW#'!$A:$Z,14,FALSE)</f>
        <v>57</v>
      </c>
      <c r="O57" s="87">
        <f>VLOOKUP($B57&amp;"__wt",'SegEnds_Xtal_BW#'!$A:$Z,15,FALSE)</f>
        <v>38</v>
      </c>
      <c r="P57" s="1">
        <f>VLOOKUP($B57&amp;"__wt",'SegEnds_Xtal_BW#'!$A:$Z,16,FALSE)</f>
        <v>65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31</v>
      </c>
      <c r="T57" s="1">
        <f t="array" ref="T57">INDEX(ICL3_classA!$G$2:$G$37,MATCH(MIN(ABS(AI57-ICL3_classA!$F$2:$F$37)),ABS(AI57-ICL3_classA!$F$2:$F$37),0))</f>
        <v>67</v>
      </c>
      <c r="U57" s="1">
        <f t="array" ref="U57">INDEX(ICL3_classA!$H$2:$H$37,MATCH(MIN(ABS(AI57-ICL3_classA!$F$2:$F$37)),ABS(AI57-ICL3_classA!$F$2:$F$37),0))</f>
        <v>28</v>
      </c>
      <c r="V57" s="1">
        <v>61</v>
      </c>
      <c r="W57" s="1">
        <v>32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61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29</v>
      </c>
      <c r="AC57" s="1" t="e">
        <f>VLOOKUP(A57,'SegEnds_NonXtal_Prot#'!A:AL,10,FALSE)-VLOOKUP(A57,'SegEnds_NonXtal_Prot#'!A:AL,7,FALSE)</f>
        <v>#VALUE!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24</v>
      </c>
      <c r="AH57" s="1">
        <f>VLOOKUP(A57,'SegEnds_NonXtal_Prot#'!A:AL,28,FALSE)-VLOOKUP(A57,'SegEnds_NonXtal_Prot#'!A:AL,22,FALSE)</f>
        <v>63</v>
      </c>
      <c r="AI57" s="1">
        <f>VLOOKUP(A57,'SegEnds_NonXtal_Prot#'!A:AL,31,FALSE)-VLOOKUP(A57,'SegEnds_NonXtal_Prot#'!A:AL,28,FALSE)</f>
        <v>45</v>
      </c>
      <c r="AJ57" s="1">
        <f>VLOOKUP(A57,'SegEnds_NonXtal_Prot#'!A:AL,34,FALSE)-VLOOKUP(A57,'SegEnds_NonXtal_Prot#'!A:AL,31,FALSE)</f>
        <v>34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Xtal</v>
      </c>
    </row>
    <row r="58" spans="1:38" x14ac:dyDescent="0.2">
      <c r="A58" s="1" t="s">
        <v>246</v>
      </c>
      <c r="B58" s="1" t="str">
        <f>VLOOKUP(A58,Xtal_Templ!A:B,2,FALSE)</f>
        <v>agtr1_human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f>VLOOKUP($B58&amp;"__wt",'SegEnds_Xtal_BW#'!$A:$Z,15,FALSE)</f>
        <v>38</v>
      </c>
      <c r="P58" s="1">
        <f>VLOOKUP($B58&amp;"__wt",'SegEnds_Xtal_BW#'!$A:$Z,16,FALSE)</f>
        <v>64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34</v>
      </c>
      <c r="T58" s="1">
        <f t="array" ref="T58">INDEX(ICL3_classA!$G$2:$G$37,MATCH(MIN(ABS(AI58-ICL3_classA!$F$2:$F$37)),ABS(AI58-ICL3_classA!$F$2:$F$37),0))</f>
        <v>67</v>
      </c>
      <c r="U58" s="1">
        <f t="array" ref="U58">INDEX(ICL3_classA!$H$2:$H$37,MATCH(MIN(ABS(AI58-ICL3_classA!$F$2:$F$37)),ABS(AI58-ICL3_classA!$F$2:$F$37),0))</f>
        <v>28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61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23</v>
      </c>
      <c r="AH58" s="1">
        <f>VLOOKUP(A58,'SegEnds_NonXtal_Prot#'!A:AL,28,FALSE)-VLOOKUP(A58,'SegEnds_NonXtal_Prot#'!A:AL,22,FALSE)</f>
        <v>50</v>
      </c>
      <c r="AI58" s="1">
        <f>VLOOKUP(A58,'SegEnds_NonXtal_Prot#'!A:AL,31,FALSE)-VLOOKUP(A58,'SegEnds_NonXtal_Prot#'!A:AL,28,FALSE)</f>
        <v>45</v>
      </c>
      <c r="AJ58" s="1">
        <f>VLOOKUP(A58,'SegEnds_NonXtal_Prot#'!A:AL,34,FALSE)-VLOOKUP(A58,'SegEnds_NonXtal_Prot#'!A:AL,31,FALSE)</f>
        <v>45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283</v>
      </c>
      <c r="B59" s="1" t="str">
        <f>VLOOKUP(A59,Xtal_Templ!A:B,2,FALSE)</f>
        <v>agtr1_human</v>
      </c>
      <c r="C59" s="5">
        <f>VLOOKUP($B59&amp;"__wt",'SegEnds_Xtal_BW#'!$A:$Z,3,FALSE)</f>
        <v>28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67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INDEX(ICL3_classA!$G$2:$G$37,MATCH(MIN(ABS(AI59-ICL3_classA!$F$2:$F$37)),ABS(AI59-ICL3_classA!$F$2:$F$37),0))</f>
        <v>67</v>
      </c>
      <c r="U59" s="1">
        <f t="array" ref="U59">INDEX(ICL3_classA!$H$2:$H$37,MATCH(MIN(ABS(AI59-ICL3_classA!$F$2:$F$37)),ABS(AI59-ICL3_classA!$F$2:$F$37),0))</f>
        <v>28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61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 t="e">
        <f>VLOOKUP(A59,'SegEnds_NonXtal_Prot#'!A:AL,10,FALSE)-VLOOKUP(A59,'SegEnds_NonXtal_Prot#'!A:AL,7,FALSE)</f>
        <v>#VALUE!</v>
      </c>
      <c r="AD59" s="1" t="e">
        <f>VLOOKUP(A59,'SegEnds_NonXtal_Prot#'!A:AL,13,FALSE)-VLOOKUP(A59,'SegEnds_NonXtal_Prot#'!A:AL,10,FALSE)</f>
        <v>#VALUE!</v>
      </c>
      <c r="AE59" s="1">
        <f>VLOOKUP(A59,'SegEnds_NonXtal_Prot#'!A:AL,16,FALSE)-VLOOKUP(A59,'SegEnds_NonXtal_Prot#'!A:AL,10,FALSE)</f>
        <v>59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24</v>
      </c>
      <c r="AH59" s="1">
        <f>VLOOKUP(A59,'SegEnds_NonXtal_Prot#'!A:AL,28,FALSE)-VLOOKUP(A59,'SegEnds_NonXtal_Prot#'!A:AL,22,FALSE)</f>
        <v>47</v>
      </c>
      <c r="AI59" s="1">
        <f>VLOOKUP(A59,'SegEnds_NonXtal_Prot#'!A:AL,31,FALSE)-VLOOKUP(A59,'SegEnds_NonXtal_Prot#'!A:AL,28,FALSE)</f>
        <v>45</v>
      </c>
      <c r="AJ59" s="1">
        <f>VLOOKUP(A59,'SegEnds_NonXtal_Prot#'!A:AL,34,FALSE)-VLOOKUP(A59,'SegEnds_NonXtal_Prot#'!A:AL,31,FALSE)</f>
        <v>36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284</v>
      </c>
      <c r="B60" s="1" t="str">
        <f>VLOOKUP(A60,Xtal_Templ!A:B,2,FALSE)</f>
        <v>aa2ar_human</v>
      </c>
      <c r="C60" s="5">
        <f>VLOOKUP($B60&amp;"__wt",'SegEnds_Xtal_BW#'!$A:$Z,3,FALSE)</f>
        <v>27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f>VLOOKUP($B60&amp;"__wt",'SegEnds_Xtal_BW#'!$A:$Z,15,FALSE)</f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f>VLOOKUP($B60&amp;"__wt",'SegEnds_Xtal_BW#'!$A:$Z,19,FALSE)</f>
        <v>34</v>
      </c>
      <c r="T60" s="1">
        <f t="array" ref="T60">INDEX(ICL3_classA!$G$2:$G$37,MATCH(MIN(ABS(AI60-ICL3_classA!$F$2:$F$37)),ABS(AI60-ICL3_classA!$F$2:$F$37),0))</f>
        <v>67</v>
      </c>
      <c r="U60" s="1">
        <f t="array" ref="U60">INDEX(ICL3_classA!$H$2:$H$37,MATCH(MIN(ABS(AI60-ICL3_classA!$F$2:$F$37)),ABS(AI60-ICL3_classA!$F$2:$F$37),0))</f>
        <v>28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69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 t="e">
        <f>VLOOKUP(A60,'SegEnds_NonXtal_Prot#'!A:AL,10,FALSE)-VLOOKUP(A60,'SegEnds_NonXtal_Prot#'!A:AL,7,FALSE)</f>
        <v>#VALUE!</v>
      </c>
      <c r="AD60" s="1" t="e">
        <f>VLOOKUP(A60,'SegEnds_NonXtal_Prot#'!A:AL,13,FALSE)-VLOOKUP(A60,'SegEnds_NonXtal_Prot#'!A:AL,10,FALSE)</f>
        <v>#VALUE!</v>
      </c>
      <c r="AE60" s="1">
        <f>VLOOKUP(A60,'SegEnds_NonXtal_Prot#'!A:AL,16,FALSE)-VLOOKUP(A60,'SegEnds_NonXtal_Prot#'!A:AL,10,FALSE)</f>
        <v>59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24</v>
      </c>
      <c r="AH60" s="1">
        <f>VLOOKUP(A60,'SegEnds_NonXtal_Prot#'!A:AL,28,FALSE)-VLOOKUP(A60,'SegEnds_NonXtal_Prot#'!A:AL,22,FALSE)</f>
        <v>47</v>
      </c>
      <c r="AI60" s="1">
        <f>VLOOKUP(A60,'SegEnds_NonXtal_Prot#'!A:AL,31,FALSE)-VLOOKUP(A60,'SegEnds_NonXtal_Prot#'!A:AL,28,FALSE)</f>
        <v>45</v>
      </c>
      <c r="AJ60" s="1">
        <f>VLOOKUP(A60,'SegEnds_NonXtal_Prot#'!A:AL,34,FALSE)-VLOOKUP(A60,'SegEnds_NonXtal_Prot#'!A:AL,31,FALSE)</f>
        <v>36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285</v>
      </c>
      <c r="B61" s="1" t="str">
        <f>VLOOKUP(A61,Xtal_Templ!A:B,2,FALSE)</f>
        <v>adrb2_human</v>
      </c>
      <c r="C61" s="5">
        <f>VLOOKUP($B61&amp;"__wt",'SegEnds_Xtal_BW#'!$A:$Z,3,FALSE)</f>
        <v>25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f>VLOOKUP($B61&amp;"__wt",'SegEnds_Xtal_BW#'!$A:$Z,15,FALSE)</f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INDEX(ICL3_classA!$G$2:$G$37,MATCH(MIN(ABS(AI61-ICL3_classA!$F$2:$F$37)),ABS(AI61-ICL3_classA!$F$2:$F$37),0))</f>
        <v>67</v>
      </c>
      <c r="U61" s="1">
        <f t="array" ref="U61">INDEX(ICL3_classA!$H$2:$H$37,MATCH(MIN(ABS(AI61-ICL3_classA!$F$2:$F$37)),ABS(AI61-ICL3_classA!$F$2:$F$37),0))</f>
        <v>28</v>
      </c>
      <c r="V61" s="1">
        <v>61</v>
      </c>
      <c r="W61" s="1">
        <v>31</v>
      </c>
      <c r="X61" s="108"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29</v>
      </c>
      <c r="AC61" s="1" t="e">
        <f>VLOOKUP(A61,'SegEnds_NonXtal_Prot#'!A:AL,10,FALSE)-VLOOKUP(A61,'SegEnds_NonXtal_Prot#'!A:AL,7,FALSE)</f>
        <v>#VALUE!</v>
      </c>
      <c r="AD61" s="1" t="e">
        <f>VLOOKUP(A61,'SegEnds_NonXtal_Prot#'!A:AL,13,FALSE)-VLOOKUP(A61,'SegEnds_NonXtal_Prot#'!A:AL,10,FALSE)</f>
        <v>#VALUE!</v>
      </c>
      <c r="AE61" s="1">
        <f>VLOOKUP(A61,'SegEnds_NonXtal_Prot#'!A:AL,16,FALSE)-VLOOKUP(A61,'SegEnds_NonXtal_Prot#'!A:AL,10,FALSE)</f>
        <v>59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26</v>
      </c>
      <c r="AH61" s="1">
        <f>VLOOKUP(A61,'SegEnds_NonXtal_Prot#'!A:AL,28,FALSE)-VLOOKUP(A61,'SegEnds_NonXtal_Prot#'!A:AL,22,FALSE)</f>
        <v>49</v>
      </c>
      <c r="AI61" s="1">
        <f>VLOOKUP(A61,'SegEnds_NonXtal_Prot#'!A:AL,31,FALSE)-VLOOKUP(A61,'SegEnds_NonXtal_Prot#'!A:AL,28,FALSE)</f>
        <v>45</v>
      </c>
      <c r="AJ61" s="1">
        <f>VLOOKUP(A61,'SegEnds_NonXtal_Prot#'!A:AL,34,FALSE)-VLOOKUP(A61,'SegEnds_NonXtal_Prot#'!A:AL,31,FALSE)</f>
        <v>36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374</v>
      </c>
      <c r="B62" s="1" t="str">
        <f>VLOOKUP(A62,Xtal_Templ!A:B,2,FALSE)</f>
        <v>oprk_human</v>
      </c>
      <c r="C62" s="5">
        <f>VLOOKUP($B62&amp;"__wt",'SegEnds_Xtal_BW#'!$A:$Z,3,FALSE)</f>
        <v>30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f>VLOOKUP($B62&amp;"__wt",'SegEnds_Xtal_BW#'!$A:$Z,15,FALSE)</f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30</v>
      </c>
      <c r="T62" s="1">
        <f t="array" ref="T62">INDEX(ICL3_classA!$G$2:$G$37,MATCH(MIN(ABS(AI62-ICL3_classA!$F$2:$F$37)),ABS(AI62-ICL3_classA!$F$2:$F$37),0))</f>
        <v>67</v>
      </c>
      <c r="U62" s="1">
        <f t="array" ref="U62">INDEX(ICL3_classA!$H$2:$H$37,MATCH(MIN(ABS(AI62-ICL3_classA!$F$2:$F$37)),ABS(AI62-ICL3_classA!$F$2:$F$37),0))</f>
        <v>28</v>
      </c>
      <c r="V62" s="1">
        <v>64</v>
      </c>
      <c r="W62" s="1">
        <v>24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30</v>
      </c>
      <c r="AC62" s="1">
        <f>VLOOKUP(A62,'SegEnds_NonXtal_Prot#'!A:AL,10,FALSE)-VLOOKUP(A62,'SegEnds_NonXtal_Prot#'!A:AL,7,FALSE)</f>
        <v>16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25</v>
      </c>
      <c r="AH62" s="1">
        <f>VLOOKUP(A62,'SegEnds_NonXtal_Prot#'!A:AL,28,FALSE)-VLOOKUP(A62,'SegEnds_NonXtal_Prot#'!A:AL,22,FALSE)</f>
        <v>50</v>
      </c>
      <c r="AI62" s="1">
        <f>VLOOKUP(A62,'SegEnds_NonXtal_Prot#'!A:AL,31,FALSE)-VLOOKUP(A62,'SegEnds_NonXtal_Prot#'!A:AL,28,FALSE)</f>
        <v>45</v>
      </c>
      <c r="AJ62" s="1">
        <f>VLOOKUP(A62,'SegEnds_NonXtal_Prot#'!A:AL,34,FALSE)-VLOOKUP(A62,'SegEnds_NonXtal_Prot#'!A:AL,31,FALSE)</f>
        <v>45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198</v>
      </c>
      <c r="B63" s="1" t="str">
        <f>VLOOKUP(A63,Xtal_Templ!A:B,2,FALSE)</f>
        <v>par2_human</v>
      </c>
      <c r="C63" s="5">
        <f>VLOOKUP($B63&amp;"__wt",'SegEnds_Xtal_BW#'!$A:$Z,3,FALSE)</f>
        <v>28</v>
      </c>
      <c r="D63" s="1">
        <f>VLOOKUP($B63&amp;"__wt",'SegEnds_Xtal_BW#'!$A:$Z,4,FALSE)</f>
        <v>60</v>
      </c>
      <c r="E63" s="1" t="str">
        <f>VLOOKUP($B63&amp;"__wt",'SegEnds_Xtal_BW#'!$A:$Z,5,FALSE)</f>
        <v>-</v>
      </c>
      <c r="F63" s="1" t="str">
        <f>VLOOKUP($B63&amp;"__wt",'SegEnds_Xtal_BW#'!$A:$Z,6,FALSE)</f>
        <v>-</v>
      </c>
      <c r="G63" s="1">
        <v>37</v>
      </c>
      <c r="H63" s="12">
        <f>VLOOKUP($B63&amp;"__wt",'SegEnds_Xtal_BW#'!$A:$Z,8,FALSE)</f>
        <v>66</v>
      </c>
      <c r="I63" s="1">
        <f>VLOOKUP($B63&amp;"__wt",'SegEnds_Xtal_BW#'!$A:$Z,9,FALSE)</f>
        <v>47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f>VLOOKUP($B63&amp;"__wt",'SegEnds_Xtal_BW#'!$A:$Z,15,FALSE)</f>
        <v>38</v>
      </c>
      <c r="P63" s="1">
        <f>VLOOKUP($B63&amp;"__wt",'SegEnds_Xtal_BW#'!$A:$Z,16,FALSE)</f>
        <v>62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31</v>
      </c>
      <c r="T63" s="1">
        <f t="array" ref="T63">INDEX(ICL3_classA!$G$2:$G$37,MATCH(MIN(ABS(AI63-ICL3_classA!$F$2:$F$37)),ABS(AI63-ICL3_classA!$F$2:$F$37),0))</f>
        <v>67</v>
      </c>
      <c r="U63" s="1">
        <f t="array" ref="U63">INDEX(ICL3_classA!$H$2:$H$37,MATCH(MIN(ABS(AI63-ICL3_classA!$F$2:$F$37)),ABS(AI63-ICL3_classA!$F$2:$F$37),0))</f>
        <v>26</v>
      </c>
      <c r="V63" s="1">
        <v>61</v>
      </c>
      <c r="W63" s="1">
        <v>33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61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30</v>
      </c>
      <c r="AC63" s="1" t="e">
        <f>VLOOKUP(A63,'SegEnds_NonXtal_Prot#'!A:AL,10,FALSE)-VLOOKUP(A63,'SegEnds_NonXtal_Prot#'!A:AL,7,FALSE)</f>
        <v>#VALUE!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>
        <f>VLOOKUP(A63,'SegEnds_NonXtal_Prot#'!A:AL,28,FALSE)-VLOOKUP(A63,'SegEnds_NonXtal_Prot#'!A:AL,25,FALSE)</f>
        <v>27</v>
      </c>
      <c r="AH63" s="1">
        <f>VLOOKUP(A63,'SegEnds_NonXtal_Prot#'!A:AL,28,FALSE)-VLOOKUP(A63,'SegEnds_NonXtal_Prot#'!A:AL,22,FALSE)</f>
        <v>57</v>
      </c>
      <c r="AI63" s="1">
        <f>VLOOKUP(A63,'SegEnds_NonXtal_Prot#'!A:AL,31,FALSE)-VLOOKUP(A63,'SegEnds_NonXtal_Prot#'!A:AL,28,FALSE)</f>
        <v>46</v>
      </c>
      <c r="AJ63" s="1">
        <f>VLOOKUP(A63,'SegEnds_NonXtal_Prot#'!A:AL,34,FALSE)-VLOOKUP(A63,'SegEnds_NonXtal_Prot#'!A:AL,31,FALSE)</f>
        <v>33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204</v>
      </c>
      <c r="B64" s="1" t="str">
        <f>VLOOKUP(A64,Xtal_Templ!A:B,2,FALSE)</f>
        <v>aa2ar_human</v>
      </c>
      <c r="C64" s="5">
        <f>VLOOKUP($B64&amp;"__wt",'SegEnds_Xtal_BW#'!$A:$Z,3,FALSE)</f>
        <v>27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67</v>
      </c>
      <c r="I64" s="1"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7">
        <f>VLOOKUP($B64&amp;"__wt",'SegEnds_Xtal_BW#'!$A:$Z,15,FALSE)</f>
        <v>38</v>
      </c>
      <c r="P64" s="1">
        <f>VLOOKUP($B64&amp;"__wt",'SegEnds_Xtal_BW#'!$A:$Z,16,FALSE)</f>
        <v>63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34</v>
      </c>
      <c r="T64" s="1">
        <f t="array" ref="T64">INDEX(ICL3_classA!$G$2:$G$37,MATCH(MIN(ABS(AI64-ICL3_classA!$F$2:$F$37)),ABS(AI64-ICL3_classA!$F$2:$F$37),0))</f>
        <v>67</v>
      </c>
      <c r="U64" s="1">
        <f t="array" ref="U64">INDEX(ICL3_classA!$H$2:$H$37,MATCH(MIN(ABS(AI64-ICL3_classA!$F$2:$F$37)),ABS(AI64-ICL3_classA!$F$2:$F$37),0))</f>
        <v>26</v>
      </c>
      <c r="V64" s="1">
        <v>61</v>
      </c>
      <c r="W64" s="1">
        <v>31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14</v>
      </c>
      <c r="AD64" s="1">
        <f>VLOOKUP(A64,'SegEnds_NonXtal_Prot#'!A:AL,13,FALSE)-VLOOKUP(A64,'SegEnds_NonXtal_Prot#'!A:AL,10,FALSE)</f>
        <v>28</v>
      </c>
      <c r="AE64" s="1">
        <f>VLOOKUP(A64,'SegEnds_NonXtal_Prot#'!A:AL,16,FALSE)-VLOOKUP(A64,'SegEnds_NonXtal_Prot#'!A:AL,10,FALSE)</f>
        <v>59</v>
      </c>
      <c r="AF64" s="1">
        <f>VLOOKUP(A64,'SegEnds_NonXtal_Prot#'!A:AL,22,FALSE)-VLOOKUP(A64,'SegEnds_NonXtal_Prot#'!A:AL,19,FALSE)</f>
        <v>20</v>
      </c>
      <c r="AG64" s="1">
        <f>VLOOKUP(A64,'SegEnds_NonXtal_Prot#'!A:AL,28,FALSE)-VLOOKUP(A64,'SegEnds_NonXtal_Prot#'!A:AL,25,FALSE)</f>
        <v>24</v>
      </c>
      <c r="AH64" s="1">
        <f>VLOOKUP(A64,'SegEnds_NonXtal_Prot#'!A:AL,28,FALSE)-VLOOKUP(A64,'SegEnds_NonXtal_Prot#'!A:AL,22,FALSE)</f>
        <v>47</v>
      </c>
      <c r="AI64" s="1">
        <f>VLOOKUP(A64,'SegEnds_NonXtal_Prot#'!A:AL,31,FALSE)-VLOOKUP(A64,'SegEnds_NonXtal_Prot#'!A:AL,28,FALSE)</f>
        <v>46</v>
      </c>
      <c r="AJ64" s="1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214</v>
      </c>
      <c r="B65" s="1" t="str">
        <f>VLOOKUP(A65,Xtal_Templ!A:B,2,FALSE)</f>
        <v>p2ry1_human</v>
      </c>
      <c r="C65" s="5">
        <f>VLOOKUP($B65&amp;"__wt",'SegEnds_Xtal_BW#'!$A:$Z,3,FALSE)</f>
        <v>30</v>
      </c>
      <c r="D65" s="1">
        <f>VLOOKUP($B65&amp;"__wt",'SegEnds_Xtal_BW#'!$A:$Z,4,FALSE)</f>
        <v>60</v>
      </c>
      <c r="E65" s="1" t="str">
        <f>VLOOKUP($B65&amp;"__wt",'SegEnds_Xtal_BW#'!$A:$Z,5,FALSE)</f>
        <v>-</v>
      </c>
      <c r="F65" s="1" t="str">
        <f>VLOOKUP($B65&amp;"__wt",'SegEnds_Xtal_BW#'!$A:$Z,6,FALSE)</f>
        <v>-</v>
      </c>
      <c r="G65" s="1">
        <v>37</v>
      </c>
      <c r="H65" s="12">
        <f>VLOOKUP($B65&amp;"__wt",'SegEnds_Xtal_BW#'!$A:$Z,8,FALSE)</f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7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32</v>
      </c>
      <c r="T65" s="1">
        <f t="array" ref="T65">INDEX(ICL3_classA!$G$2:$G$37,MATCH(MIN(ABS(AI65-ICL3_classA!$F$2:$F$37)),ABS(AI65-ICL3_classA!$F$2:$F$37),0))</f>
        <v>67</v>
      </c>
      <c r="U65" s="1">
        <f t="array" ref="U65">INDEX(ICL3_classA!$H$2:$H$37,MATCH(MIN(ABS(AI65-ICL3_classA!$F$2:$F$37)),ABS(AI65-ICL3_classA!$F$2:$F$37),0))</f>
        <v>26</v>
      </c>
      <c r="V65" s="1">
        <v>64</v>
      </c>
      <c r="W65" s="1">
        <v>24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 t="e">
        <f>VLOOKUP(A65,'SegEnds_NonXtal_Prot#'!A:AL,10,FALSE)-VLOOKUP(A65,'SegEnds_NonXtal_Prot#'!A:AL,7,FALSE)</f>
        <v>#VALUE!</v>
      </c>
      <c r="AD65" s="1">
        <f>VLOOKUP(A65,'SegEnds_NonXtal_Prot#'!A:AL,13,FALSE)-VLOOKUP(A65,'SegEnds_NonXtal_Prot#'!A:AL,10,FALSE)</f>
        <v>20</v>
      </c>
      <c r="AE65" s="1">
        <f>VLOOKUP(A65,'SegEnds_NonXtal_Prot#'!A:AL,16,FALSE)-VLOOKUP(A65,'SegEnds_NonXtal_Prot#'!A:AL,10,FALSE)</f>
        <v>52</v>
      </c>
      <c r="AF65" s="1" t="e">
        <f>VLOOKUP(A65,'SegEnds_NonXtal_Prot#'!A:AL,22,FALSE)-VLOOKUP(A65,'SegEnds_NonXtal_Prot#'!A:AL,19,FALSE)</f>
        <v>#VALUE!</v>
      </c>
      <c r="AG65" s="1">
        <f>VLOOKUP(A65,'SegEnds_NonXtal_Prot#'!A:AL,28,FALSE)-VLOOKUP(A65,'SegEnds_NonXtal_Prot#'!A:AL,25,FALSE)</f>
        <v>25</v>
      </c>
      <c r="AH65" s="1">
        <f>VLOOKUP(A65,'SegEnds_NonXtal_Prot#'!A:AL,28,FALSE)-VLOOKUP(A65,'SegEnds_NonXtal_Prot#'!A:AL,22,FALSE)</f>
        <v>44</v>
      </c>
      <c r="AI65" s="1">
        <f>VLOOKUP(A65,'SegEnds_NonXtal_Prot#'!A:AL,31,FALSE)-VLOOKUP(A65,'SegEnds_NonXtal_Prot#'!A:AL,28,FALSE)</f>
        <v>46</v>
      </c>
      <c r="AJ65" s="1">
        <f>VLOOKUP(A65,'SegEnds_NonXtal_Prot#'!A:AL,34,FALSE)-VLOOKUP(A65,'SegEnds_NonXtal_Prot#'!A:AL,31,FALSE)</f>
        <v>48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240</v>
      </c>
      <c r="B66" s="1" t="str">
        <f>VLOOKUP(A66,Xtal_Templ!A:B,2,FALSE)</f>
        <v>apj_human</v>
      </c>
      <c r="C66" s="5">
        <f>VLOOKUP($B66&amp;"__wt",'SegEnds_Xtal_BW#'!$A:$Z,3,FALSE)</f>
        <v>33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52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7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30</v>
      </c>
      <c r="T66" s="1">
        <f t="array" ref="T66">INDEX(ICL3_classA!$G$2:$G$37,MATCH(MIN(ABS(AI66-ICL3_classA!$F$2:$F$37)),ABS(AI66-ICL3_classA!$F$2:$F$37),0))</f>
        <v>67</v>
      </c>
      <c r="U66" s="1">
        <f t="array" ref="U66">INDEX(ICL3_classA!$H$2:$H$37,MATCH(MIN(ABS(AI66-ICL3_classA!$F$2:$F$37)),ABS(AI66-ICL3_classA!$F$2:$F$37),0))</f>
        <v>26</v>
      </c>
      <c r="V66" s="1">
        <v>64</v>
      </c>
      <c r="W66" s="1">
        <v>24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61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 t="e">
        <f>VLOOKUP(A66,'SegEnds_NonXtal_Prot#'!A:AL,10,FALSE)-VLOOKUP(A66,'SegEnds_NonXtal_Prot#'!A:AL,7,FALSE)</f>
        <v>#VALUE!</v>
      </c>
      <c r="AD66" s="1">
        <f>VLOOKUP(A66,'SegEnds_NonXtal_Prot#'!A:AL,13,FALSE)-VLOOKUP(A66,'SegEnds_NonXtal_Prot#'!A:AL,10,FALSE)</f>
        <v>20</v>
      </c>
      <c r="AE66" s="1">
        <f>VLOOKUP(A66,'SegEnds_NonXtal_Prot#'!A:AL,16,FALSE)-VLOOKUP(A66,'SegEnds_NonXtal_Prot#'!A:AL,10,FALSE)</f>
        <v>52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23</v>
      </c>
      <c r="AH66" s="1">
        <f>VLOOKUP(A66,'SegEnds_NonXtal_Prot#'!A:AL,28,FALSE)-VLOOKUP(A66,'SegEnds_NonXtal_Prot#'!A:AL,22,FALSE)</f>
        <v>48</v>
      </c>
      <c r="AI66" s="1">
        <f>VLOOKUP(A66,'SegEnds_NonXtal_Prot#'!A:AL,31,FALSE)-VLOOKUP(A66,'SegEnds_NonXtal_Prot#'!A:AL,28,FALSE)</f>
        <v>46</v>
      </c>
      <c r="AJ66" s="1">
        <f>VLOOKUP(A66,'SegEnds_NonXtal_Prot#'!A:AL,34,FALSE)-VLOOKUP(A66,'SegEnds_NonXtal_Prot#'!A:AL,31,FALSE)</f>
        <v>44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NoXtal</v>
      </c>
    </row>
    <row r="67" spans="1:38" x14ac:dyDescent="0.2">
      <c r="A67" s="1" t="s">
        <v>257</v>
      </c>
      <c r="B67" s="1" t="str">
        <f>VLOOKUP(A67,Xtal_Templ!A:B,2,FALSE)</f>
        <v>ptafr_human</v>
      </c>
      <c r="C67" s="5">
        <f>VLOOKUP($B67&amp;"__wt",'SegEnds_Xtal_BW#'!$A:$Z,3,FALSE)</f>
        <v>27</v>
      </c>
      <c r="D67" s="1">
        <f>VLOOKUP($B67&amp;"__wt",'SegEnds_Xtal_BW#'!$A:$Z,4,FALSE)</f>
        <v>61</v>
      </c>
      <c r="E67" s="1" t="str">
        <f>VLOOKUP($B67&amp;"__wt",'SegEnds_Xtal_BW#'!$A:$Z,5,FALSE)</f>
        <v>-</v>
      </c>
      <c r="F67" s="1" t="str">
        <f>VLOOKUP($B67&amp;"__wt",'SegEnds_Xtal_BW#'!$A:$Z,6,FALSE)</f>
        <v>-</v>
      </c>
      <c r="G67" s="1">
        <v>37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7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33</v>
      </c>
      <c r="T67" s="1">
        <f t="array" ref="T67">INDEX(ICL3_classA!$G$2:$G$37,MATCH(MIN(ABS(AI67-ICL3_classA!$F$2:$F$37)),ABS(AI67-ICL3_classA!$F$2:$F$37),0))</f>
        <v>67</v>
      </c>
      <c r="U67" s="1">
        <f t="array" ref="U67">INDEX(ICL3_classA!$H$2:$H$37,MATCH(MIN(ABS(AI67-ICL3_classA!$F$2:$F$37)),ABS(AI67-ICL3_classA!$F$2:$F$37),0))</f>
        <v>26</v>
      </c>
      <c r="V67" s="1">
        <v>64</v>
      </c>
      <c r="W67" s="1">
        <v>24</v>
      </c>
      <c r="X67" s="1">
        <f>VLOOKUP($B67&amp;"__wt",'SegEnds_Xtal_BW#'!$A:$Z,24,FALSE)</f>
        <v>59</v>
      </c>
      <c r="Y67" s="1">
        <f>VLOOKUP($B67&amp;"__wt",'SegEnds_Xtal_BW#'!$A:$Z,25,FALSE)</f>
        <v>50</v>
      </c>
      <c r="Z67" s="1">
        <f>VLOOKUP($B67&amp;"__wt",'SegEnds_Xtal_BW#'!$A:$Z,26,FALSE)</f>
        <v>63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 t="e">
        <f>VLOOKUP(A67,'SegEnds_NonXtal_Prot#'!A:AL,10,FALSE)-VLOOKUP(A67,'SegEnds_NonXtal_Prot#'!A:AL,7,FALSE)</f>
        <v>#VALUE!</v>
      </c>
      <c r="AD67" s="1">
        <f>VLOOKUP(A67,'SegEnds_NonXtal_Prot#'!A:AL,13,FALSE)-VLOOKUP(A67,'SegEnds_NonXtal_Prot#'!A:AL,10,FALSE)</f>
        <v>20</v>
      </c>
      <c r="AE67" s="1">
        <f>VLOOKUP(A67,'SegEnds_NonXtal_Prot#'!A:AL,16,FALSE)-VLOOKUP(A67,'SegEnds_NonXtal_Prot#'!A:AL,10,FALSE)</f>
        <v>52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25</v>
      </c>
      <c r="AH67" s="1">
        <f>VLOOKUP(A67,'SegEnds_NonXtal_Prot#'!A:AL,28,FALSE)-VLOOKUP(A67,'SegEnds_NonXtal_Prot#'!A:AL,22,FALSE)</f>
        <v>51</v>
      </c>
      <c r="AI67" s="1">
        <f>VLOOKUP(A67,'SegEnds_NonXtal_Prot#'!A:AL,31,FALSE)-VLOOKUP(A67,'SegEnds_NonXtal_Prot#'!A:AL,28,FALSE)</f>
        <v>46</v>
      </c>
      <c r="AJ67" s="1">
        <f>VLOOKUP(A67,'SegEnds_NonXtal_Prot#'!A:AL,34,FALSE)-VLOOKUP(A67,'SegEnds_NonXtal_Prot#'!A:AL,31,FALSE)</f>
        <v>44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NoXtal</v>
      </c>
    </row>
    <row r="68" spans="1:38" x14ac:dyDescent="0.2">
      <c r="A68" s="1" t="s">
        <v>276</v>
      </c>
      <c r="B68" s="1" t="str">
        <f>VLOOKUP(A68,Xtal_Templ!A:B,2,FALSE)</f>
        <v>oprk_human</v>
      </c>
      <c r="C68" s="5">
        <f>VLOOKUP($B68&amp;"__wt",'SegEnds_Xtal_BW#'!$A:$Z,3,FALSE)</f>
        <v>30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30</v>
      </c>
      <c r="T68" s="1">
        <f t="array" ref="T68">INDEX(ICL3_classA!$G$2:$G$37,MATCH(MIN(ABS(AI68-ICL3_classA!$F$2:$F$37)),ABS(AI68-ICL3_classA!$F$2:$F$37),0))</f>
        <v>67</v>
      </c>
      <c r="U68" s="1">
        <f t="array" ref="U68">INDEX(ICL3_classA!$H$2:$H$37,MATCH(MIN(ABS(AI68-ICL3_classA!$F$2:$F$37)),ABS(AI68-ICL3_classA!$F$2:$F$37),0))</f>
        <v>26</v>
      </c>
      <c r="V68" s="1">
        <v>64</v>
      </c>
      <c r="W68" s="1">
        <v>24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 t="e">
        <f>VLOOKUP(A68,'SegEnds_NonXtal_Prot#'!A:AL,10,FALSE)-VLOOKUP(A68,'SegEnds_NonXtal_Prot#'!A:AL,7,FALSE)</f>
        <v>#VALUE!</v>
      </c>
      <c r="AD68" s="1">
        <f>VLOOKUP(A68,'SegEnds_NonXtal_Prot#'!A:AL,13,FALSE)-VLOOKUP(A68,'SegEnds_NonXtal_Prot#'!A:AL,10,FALSE)</f>
        <v>20</v>
      </c>
      <c r="AE68" s="1">
        <f>VLOOKUP(A68,'SegEnds_NonXtal_Prot#'!A:AL,16,FALSE)-VLOOKUP(A68,'SegEnds_NonXtal_Prot#'!A:AL,10,FALSE)</f>
        <v>52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23</v>
      </c>
      <c r="AH68" s="1">
        <f>VLOOKUP(A68,'SegEnds_NonXtal_Prot#'!A:AL,28,FALSE)-VLOOKUP(A68,'SegEnds_NonXtal_Prot#'!A:AL,22,FALSE)</f>
        <v>48</v>
      </c>
      <c r="AI68" s="1">
        <f>VLOOKUP(A68,'SegEnds_NonXtal_Prot#'!A:AL,31,FALSE)-VLOOKUP(A68,'SegEnds_NonXtal_Prot#'!A:AL,28,FALSE)</f>
        <v>46</v>
      </c>
      <c r="AJ68" s="1">
        <f>VLOOKUP(A68,'SegEnds_NonXtal_Prot#'!A:AL,34,FALSE)-VLOOKUP(A68,'SegEnds_NonXtal_Prot#'!A:AL,31,FALSE)</f>
        <v>45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277</v>
      </c>
      <c r="B69" s="1" t="str">
        <f>VLOOKUP(A69,Xtal_Templ!A:B,2,FALSE)</f>
        <v>p2ry1_human</v>
      </c>
      <c r="C69" s="5">
        <f>VLOOKUP($B69&amp;"__wt",'SegEnds_Xtal_BW#'!$A:$Z,3,FALSE)</f>
        <v>30</v>
      </c>
      <c r="D69" s="1">
        <f>VLOOKUP($B69&amp;"__wt",'SegEnds_Xtal_BW#'!$A:$Z,4,FALSE)</f>
        <v>60</v>
      </c>
      <c r="E69" s="1" t="str">
        <f>VLOOKUP($B69&amp;"__wt",'SegEnds_Xtal_BW#'!$A:$Z,5,FALSE)</f>
        <v>-</v>
      </c>
      <c r="F69" s="1" t="str">
        <f>VLOOKUP($B69&amp;"__wt",'SegEnds_Xtal_BW#'!$A:$Z,6,FALSE)</f>
        <v>-</v>
      </c>
      <c r="G69" s="1">
        <v>37</v>
      </c>
      <c r="H69" s="12">
        <f>VLOOKUP($B69&amp;"__wt",'SegEnds_Xtal_BW#'!$A:$Z,8,FALSE)</f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32</v>
      </c>
      <c r="T69" s="1">
        <f t="array" ref="T69">INDEX(ICL3_classA!$G$2:$G$37,MATCH(MIN(ABS(AI69-ICL3_classA!$F$2:$F$37)),ABS(AI69-ICL3_classA!$F$2:$F$37),0))</f>
        <v>67</v>
      </c>
      <c r="U69" s="1">
        <f t="array" ref="U69">INDEX(ICL3_classA!$H$2:$H$37,MATCH(MIN(ABS(AI69-ICL3_classA!$F$2:$F$37)),ABS(AI69-ICL3_classA!$F$2:$F$37),0))</f>
        <v>26</v>
      </c>
      <c r="V69" s="1">
        <v>64</v>
      </c>
      <c r="W69" s="1">
        <v>24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 t="e">
        <f>VLOOKUP(A69,'SegEnds_NonXtal_Prot#'!A:AL,10,FALSE)-VLOOKUP(A69,'SegEnds_NonXtal_Prot#'!A:AL,7,FALSE)</f>
        <v>#VALUE!</v>
      </c>
      <c r="AD69" s="1">
        <f>VLOOKUP(A69,'SegEnds_NonXtal_Prot#'!A:AL,13,FALSE)-VLOOKUP(A69,'SegEnds_NonXtal_Prot#'!A:AL,10,FALSE)</f>
        <v>20</v>
      </c>
      <c r="AE69" s="1">
        <f>VLOOKUP(A69,'SegEnds_NonXtal_Prot#'!A:AL,16,FALSE)-VLOOKUP(A69,'SegEnds_NonXtal_Prot#'!A:AL,10,FALSE)</f>
        <v>52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23</v>
      </c>
      <c r="AH69" s="1">
        <f>VLOOKUP(A69,'SegEnds_NonXtal_Prot#'!A:AL,28,FALSE)-VLOOKUP(A69,'SegEnds_NonXtal_Prot#'!A:AL,22,FALSE)</f>
        <v>48</v>
      </c>
      <c r="AI69" s="1">
        <f>VLOOKUP(A69,'SegEnds_NonXtal_Prot#'!A:AL,31,FALSE)-VLOOKUP(A69,'SegEnds_NonXtal_Prot#'!A:AL,28,FALSE)</f>
        <v>46</v>
      </c>
      <c r="AJ69" s="1">
        <f>VLOOKUP(A69,'SegEnds_NonXtal_Prot#'!A:AL,34,FALSE)-VLOOKUP(A69,'SegEnds_NonXtal_Prot#'!A:AL,31,FALSE)</f>
        <v>45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1" t="s">
        <v>289</v>
      </c>
      <c r="B70" s="1" t="str">
        <f>VLOOKUP(A70,Xtal_Templ!A:B,2,FALSE)</f>
        <v>par2_human</v>
      </c>
      <c r="C70" s="5">
        <f>VLOOKUP($B70&amp;"__wt",'SegEnds_Xtal_BW#'!$A:$Z,3,FALSE)</f>
        <v>28</v>
      </c>
      <c r="D70" s="1">
        <f>VLOOKUP($B70&amp;"__wt",'SegEnds_Xtal_BW#'!$A:$Z,4,FALSE)</f>
        <v>60</v>
      </c>
      <c r="E70" s="1" t="str">
        <f>VLOOKUP($B70&amp;"__wt",'SegEnds_Xtal_BW#'!$A:$Z,5,FALSE)</f>
        <v>-</v>
      </c>
      <c r="F70" s="1" t="str">
        <f>VLOOKUP($B70&amp;"__wt",'SegEnds_Xtal_BW#'!$A:$Z,6,FALSE)</f>
        <v>-</v>
      </c>
      <c r="G70" s="1">
        <v>37</v>
      </c>
      <c r="H70" s="12">
        <v>66</v>
      </c>
      <c r="I70" s="1">
        <f>VLOOKUP($B70&amp;"__wt",'SegEnds_Xtal_BW#'!$A:$Z,9,FALSE)</f>
        <v>47</v>
      </c>
      <c r="J70" s="1">
        <f>VLOOKUP($B70&amp;"__wt",'SegEnds_Xtal_BW#'!$A:$Z,10,FALSE)</f>
        <v>52</v>
      </c>
      <c r="K70" s="12"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7">
        <v>38</v>
      </c>
      <c r="P70" s="1">
        <f>VLOOKUP($B70&amp;"__wt",'SegEnds_Xtal_BW#'!$A:$Z,16,FALSE)</f>
        <v>62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31</v>
      </c>
      <c r="T70" s="1">
        <f t="array" ref="T70">INDEX(ICL3_classA!$G$2:$G$37,MATCH(MIN(ABS(AI70-ICL3_classA!$F$2:$F$37)),ABS(AI70-ICL3_classA!$F$2:$F$37),0))</f>
        <v>67</v>
      </c>
      <c r="U70" s="1">
        <f t="array" ref="U70">INDEX(ICL3_classA!$H$2:$H$37,MATCH(MIN(ABS(AI70-ICL3_classA!$F$2:$F$37)),ABS(AI70-ICL3_classA!$F$2:$F$37),0))</f>
        <v>26</v>
      </c>
      <c r="V70" s="1">
        <v>64</v>
      </c>
      <c r="W70" s="1">
        <v>24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61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28</v>
      </c>
      <c r="AH70" s="1">
        <f>VLOOKUP(A70,'SegEnds_NonXtal_Prot#'!A:AL,28,FALSE)-VLOOKUP(A70,'SegEnds_NonXtal_Prot#'!A:AL,22,FALSE)</f>
        <v>57</v>
      </c>
      <c r="AI70" s="1">
        <f>VLOOKUP(A70,'SegEnds_NonXtal_Prot#'!A:AL,31,FALSE)-VLOOKUP(A70,'SegEnds_NonXtal_Prot#'!A:AL,28,FALSE)</f>
        <v>46</v>
      </c>
      <c r="AJ70" s="1">
        <f>VLOOKUP(A70,'SegEnds_NonXtal_Prot#'!A:AL,34,FALSE)-VLOOKUP(A70,'SegEnds_NonXtal_Prot#'!A:AL,31,FALSE)</f>
        <v>45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291</v>
      </c>
      <c r="B71" s="1" t="str">
        <f>VLOOKUP(A71,Xtal_Templ!A:B,2,FALSE)</f>
        <v>hrh1_human</v>
      </c>
      <c r="C71" s="5">
        <f>VLOOKUP($B71&amp;"__wt",'SegEnds_Xtal_BW#'!$A:$Z,3,FALSE)</f>
        <v>34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f>VLOOKUP($B71&amp;"__wt",'SegEnds_Xtal_BW#'!$A:$Z,15,FALSE)</f>
        <v>38</v>
      </c>
      <c r="P71" s="1">
        <f>VLOOKUP($B71&amp;"__wt",'SegEnds_Xtal_BW#'!$A:$Z,16,FALSE)</f>
        <v>62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35</v>
      </c>
      <c r="T71" s="1">
        <f t="array" ref="T71">INDEX(ICL3_classA!$G$2:$G$37,MATCH(MIN(ABS(AI71-ICL3_classA!$F$2:$F$37)),ABS(AI71-ICL3_classA!$F$2:$F$37),0))</f>
        <v>67</v>
      </c>
      <c r="U71" s="1">
        <f t="array" ref="U71">INDEX(ICL3_classA!$H$2:$H$37,MATCH(MIN(ABS(AI71-ICL3_classA!$F$2:$F$37)),ABS(AI71-ICL3_classA!$F$2:$F$37),0))</f>
        <v>26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14</v>
      </c>
      <c r="AD71" s="1">
        <f>VLOOKUP(A71,'SegEnds_NonXtal_Prot#'!A:AL,13,FALSE)-VLOOKUP(A71,'SegEnds_NonXtal_Prot#'!A:AL,10,FALSE)</f>
        <v>28</v>
      </c>
      <c r="AE71" s="1">
        <f>VLOOKUP(A71,'SegEnds_NonXtal_Prot#'!A:AL,16,FALSE)-VLOOKUP(A71,'SegEnds_NonXtal_Prot#'!A:AL,10,FALSE)</f>
        <v>59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24</v>
      </c>
      <c r="AH71" s="1">
        <f>VLOOKUP(A71,'SegEnds_NonXtal_Prot#'!A:AL,28,FALSE)-VLOOKUP(A71,'SegEnds_NonXtal_Prot#'!A:AL,22,FALSE)</f>
        <v>47</v>
      </c>
      <c r="AI71" s="1">
        <f>VLOOKUP(A71,'SegEnds_NonXtal_Prot#'!A:AL,31,FALSE)-VLOOKUP(A71,'SegEnds_NonXtal_Prot#'!A:AL,28,FALSE)</f>
        <v>46</v>
      </c>
      <c r="AJ71" s="1">
        <f>VLOOKUP(A71,'SegEnds_NonXtal_Prot#'!A:AL,34,FALSE)-VLOOKUP(A71,'SegEnds_NonXtal_Prot#'!A:AL,31,FALSE)</f>
        <v>36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293</v>
      </c>
      <c r="B72" s="1" t="str">
        <f>VLOOKUP(A72,Xtal_Templ!A:B,2,FALSE)</f>
        <v>pd2r2_human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 t="str">
        <f>VLOOKUP($B72&amp;"__wt",'SegEnds_Xtal_BW#'!$A:$Z,5,FALSE)</f>
        <v>-</v>
      </c>
      <c r="F72" s="1" t="str">
        <f>VLOOKUP($B72&amp;"__wt",'SegEnds_Xtal_BW#'!$A:$Z,6,FALSE)</f>
        <v>-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v>35</v>
      </c>
      <c r="T72" s="1">
        <f t="array" ref="T72">INDEX(ICL3_classA!$G$2:$G$37,MATCH(MIN(ABS(AI72-ICL3_classA!$F$2:$F$37)),ABS(AI72-ICL3_classA!$F$2:$F$37),0))</f>
        <v>67</v>
      </c>
      <c r="U72" s="1">
        <f t="array" ref="U72">INDEX(ICL3_classA!$H$2:$H$37,MATCH(MIN(ABS(AI72-ICL3_classA!$F$2:$F$37)),ABS(AI72-ICL3_classA!$F$2:$F$37),0))</f>
        <v>26</v>
      </c>
      <c r="V72" s="1">
        <v>64</v>
      </c>
      <c r="W72" s="1">
        <v>24</v>
      </c>
      <c r="X72" s="108">
        <v>56</v>
      </c>
      <c r="Y72" s="1">
        <f>VLOOKUP($B72&amp;"__wt",'SegEnds_Xtal_BW#'!$A:$Z,25,FALSE)</f>
        <v>47</v>
      </c>
      <c r="Z72" s="1">
        <f>VLOOKUP($B72&amp;"__wt",'SegEnds_Xtal_BW#'!$A:$Z,26,FALSE)</f>
        <v>64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30</v>
      </c>
      <c r="AC72" s="1">
        <f>VLOOKUP(A72,'SegEnds_NonXtal_Prot#'!A:AL,10,FALSE)-VLOOKUP(A72,'SegEnds_NonXtal_Prot#'!A:AL,7,FALSE)</f>
        <v>17</v>
      </c>
      <c r="AD72" s="1">
        <f>VLOOKUP(A72,'SegEnds_NonXtal_Prot#'!A:AL,13,FALSE)-VLOOKUP(A72,'SegEnds_NonXtal_Prot#'!A:AL,10,FALSE)</f>
        <v>19</v>
      </c>
      <c r="AE72" s="1">
        <f>VLOOKUP(A72,'SegEnds_NonXtal_Prot#'!A:AL,16,FALSE)-VLOOKUP(A72,'SegEnds_NonXtal_Prot#'!A:AL,10,FALSE)</f>
        <v>51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22</v>
      </c>
      <c r="AH72" s="1">
        <f>VLOOKUP(A72,'SegEnds_NonXtal_Prot#'!A:AL,28,FALSE)-VLOOKUP(A72,'SegEnds_NonXtal_Prot#'!A:AL,22,FALSE)</f>
        <v>47</v>
      </c>
      <c r="AI72" s="1">
        <f>VLOOKUP(A72,'SegEnds_NonXtal_Prot#'!A:AL,31,FALSE)-VLOOKUP(A72,'SegEnds_NonXtal_Prot#'!A:AL,28,FALSE)</f>
        <v>46</v>
      </c>
      <c r="AJ72" s="1">
        <f>VLOOKUP(A72,'SegEnds_NonXtal_Prot#'!A:AL,34,FALSE)-VLOOKUP(A72,'SegEnds_NonXtal_Prot#'!A:AL,31,FALSE)</f>
        <v>46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297</v>
      </c>
      <c r="B73" s="1" t="str">
        <f>VLOOKUP(A73,Xtal_Templ!A:B,2,FALSE)</f>
        <v>s1pr1_human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v>67</v>
      </c>
      <c r="I73" s="1" t="s">
        <v>23</v>
      </c>
      <c r="J73" s="1" t="s">
        <v>23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f>VLOOKUP($B73&amp;"__wt",'SegEnds_Xtal_BW#'!$A:$Z,15,FALSE)</f>
        <v>38</v>
      </c>
      <c r="P73" s="1">
        <f>VLOOKUP($B73&amp;"__wt",'SegEnds_Xtal_BW#'!$A:$Z,16,FALSE)</f>
        <v>63</v>
      </c>
      <c r="Q73" s="1" t="str">
        <f>VLOOKUP($B73&amp;"__wt",'SegEnds_Xtal_BW#'!$A:$Z,17,FALSE)</f>
        <v>-</v>
      </c>
      <c r="R73" s="1" t="str">
        <f>VLOOKUP($B73&amp;"__wt",'SegEnds_Xtal_BW#'!$A:$Z,18,FALSE)</f>
        <v>-</v>
      </c>
      <c r="S73" s="108">
        <v>33</v>
      </c>
      <c r="T73" s="1">
        <f t="array" ref="T73">INDEX(ICL3_classA!$G$2:$G$37,MATCH(MIN(ABS(AI73-ICL3_classA!$F$2:$F$37)),ABS(AI73-ICL3_classA!$F$2:$F$37),0))</f>
        <v>67</v>
      </c>
      <c r="U73" s="108">
        <v>27</v>
      </c>
      <c r="V73" s="1">
        <v>61</v>
      </c>
      <c r="W73" s="132">
        <f>VLOOKUP($B73&amp;"__wt",'SegEnds_Xtal_BW#'!$A:$Z,23,FALSE)</f>
        <v>30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 t="e">
        <f>VLOOKUP(A73,'SegEnds_NonXtal_Prot#'!A:AL,13,FALSE)-VLOOKUP(A73,'SegEnds_NonXtal_Prot#'!A:AL,10,FALSE)</f>
        <v>#VALUE!</v>
      </c>
      <c r="AE73" s="1">
        <f>VLOOKUP(A73,'SegEnds_NonXtal_Prot#'!A:AL,16,FALSE)-VLOOKUP(A73,'SegEnds_NonXtal_Prot#'!A:AL,10,FALSE)</f>
        <v>57</v>
      </c>
      <c r="AF73" s="1">
        <f>VLOOKUP(A73,'SegEnds_NonXtal_Prot#'!A:AL,22,FALSE)-VLOOKUP(A73,'SegEnds_NonXtal_Prot#'!A:AL,19,FALSE)</f>
        <v>20</v>
      </c>
      <c r="AG73" s="1" t="e">
        <f>VLOOKUP(A73,'SegEnds_NonXtal_Prot#'!A:AL,28,FALSE)-VLOOKUP(A73,'SegEnds_NonXtal_Prot#'!A:AL,25,FALSE)</f>
        <v>#VALUE!</v>
      </c>
      <c r="AH73" s="1">
        <f>VLOOKUP(A73,'SegEnds_NonXtal_Prot#'!A:AL,28,FALSE)-VLOOKUP(A73,'SegEnds_NonXtal_Prot#'!A:AL,22,FALSE)</f>
        <v>40</v>
      </c>
      <c r="AI73" s="1">
        <f>VLOOKUP(A73,'SegEnds_NonXtal_Prot#'!A:AL,31,FALSE)-VLOOKUP(A73,'SegEnds_NonXtal_Prot#'!A:AL,28,FALSE)</f>
        <v>46</v>
      </c>
      <c r="AJ73" s="1">
        <f>VLOOKUP(A73,'SegEnds_NonXtal_Prot#'!A:AL,34,FALSE)-VLOOKUP(A73,'SegEnds_NonXtal_Prot#'!A:AL,31,FALSE)</f>
        <v>39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1" t="s">
        <v>298</v>
      </c>
      <c r="B74" s="1" t="str">
        <f>VLOOKUP(A74,Xtal_Templ!A:B,2,FALSE)</f>
        <v>lpar1_human</v>
      </c>
      <c r="C74" s="5">
        <f>VLOOKUP($B74&amp;"__wt",'SegEnds_Xtal_BW#'!$A:$Z,3,FALSE)</f>
        <v>30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63</v>
      </c>
      <c r="I74" s="1">
        <v>49</v>
      </c>
      <c r="J74" s="1">
        <f>VLOOKUP($B74&amp;"__wt",'SegEnds_Xtal_BW#'!$A:$Z,10,FALSE)</f>
        <v>53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7">
        <f>VLOOKUP($B74&amp;"__wt",'SegEnds_Xtal_BW#'!$A:$Z,15,FALSE)</f>
        <v>38</v>
      </c>
      <c r="P74" s="1">
        <f>VLOOKUP($B74&amp;"__wt",'SegEnds_Xtal_BW#'!$A:$Z,16,FALSE)</f>
        <v>63</v>
      </c>
      <c r="Q74" s="1" t="str">
        <f>VLOOKUP($B74&amp;"__wt",'SegEnds_Xtal_BW#'!$A:$Z,17,FALSE)</f>
        <v>-</v>
      </c>
      <c r="R74" s="1" t="str">
        <f>VLOOKUP($B74&amp;"__wt",'SegEnds_Xtal_BW#'!$A:$Z,18,FALSE)</f>
        <v>-</v>
      </c>
      <c r="S74" s="108">
        <v>33</v>
      </c>
      <c r="T74" s="1">
        <f t="array" ref="T74">INDEX(ICL3_classA!$G$2:$G$37,MATCH(MIN(ABS(AI74-ICL3_classA!$F$2:$F$37)),ABS(AI74-ICL3_classA!$F$2:$F$37),0))</f>
        <v>67</v>
      </c>
      <c r="U74" s="108">
        <v>27</v>
      </c>
      <c r="V74" s="1">
        <v>61</v>
      </c>
      <c r="W74" s="132">
        <f>VLOOKUP($B74&amp;"__wt",'SegEnds_Xtal_BW#'!$A:$Z,23,FALSE)</f>
        <v>30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59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 t="e">
        <f>VLOOKUP(A74,'SegEnds_NonXtal_Prot#'!A:AL,13,FALSE)-VLOOKUP(A74,'SegEnds_NonXtal_Prot#'!A:AL,10,FALSE)</f>
        <v>#VALUE!</v>
      </c>
      <c r="AE74" s="1">
        <f>VLOOKUP(A74,'SegEnds_NonXtal_Prot#'!A:AL,16,FALSE)-VLOOKUP(A74,'SegEnds_NonXtal_Prot#'!A:AL,10,FALSE)</f>
        <v>58</v>
      </c>
      <c r="AF74" s="1">
        <f>VLOOKUP(A74,'SegEnds_NonXtal_Prot#'!A:AL,22,FALSE)-VLOOKUP(A74,'SegEnds_NonXtal_Prot#'!A:AL,19,FALSE)</f>
        <v>20</v>
      </c>
      <c r="AG74" s="1" t="e">
        <f>VLOOKUP(A74,'SegEnds_NonXtal_Prot#'!A:AL,28,FALSE)-VLOOKUP(A74,'SegEnds_NonXtal_Prot#'!A:AL,25,FALSE)</f>
        <v>#VALUE!</v>
      </c>
      <c r="AH74" s="1">
        <f>VLOOKUP(A74,'SegEnds_NonXtal_Prot#'!A:AL,28,FALSE)-VLOOKUP(A74,'SegEnds_NonXtal_Prot#'!A:AL,22,FALSE)</f>
        <v>40</v>
      </c>
      <c r="AI74" s="1">
        <f>VLOOKUP(A74,'SegEnds_NonXtal_Prot#'!A:AL,31,FALSE)-VLOOKUP(A74,'SegEnds_NonXtal_Prot#'!A:AL,28,FALSE)</f>
        <v>46</v>
      </c>
      <c r="AJ74" s="1">
        <f>VLOOKUP(A74,'SegEnds_NonXtal_Prot#'!A:AL,34,FALSE)-VLOOKUP(A74,'SegEnds_NonXtal_Prot#'!A:AL,31,FALSE)</f>
        <v>39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331</v>
      </c>
      <c r="B75" s="1" t="str">
        <f>VLOOKUP(A75,Xtal_Templ!A:B,2,FALSE)</f>
        <v>agtr2_human</v>
      </c>
      <c r="C75" s="5">
        <f>VLOOKUP($B75&amp;"__wt",'SegEnds_Xtal_BW#'!$A:$Z,3,FALSE)</f>
        <v>33</v>
      </c>
      <c r="D75" s="108">
        <v>60</v>
      </c>
      <c r="E75" s="108">
        <v>48</v>
      </c>
      <c r="F75" s="108">
        <v>51</v>
      </c>
      <c r="G75" s="1">
        <v>37</v>
      </c>
      <c r="H75" s="12">
        <f>VLOOKUP($B75&amp;"__wt",'SegEnds_Xtal_BW#'!$A:$Z,8,FALSE)</f>
        <v>66</v>
      </c>
      <c r="I75" s="1">
        <f>VLOOKUP($B75&amp;"__wt",'SegEnds_Xtal_BW#'!$A:$Z,9,FALSE)</f>
        <v>47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7">
        <f>VLOOKUP($B75&amp;"__wt",'SegEnds_Xtal_BW#'!$A:$Z,15,FALSE)</f>
        <v>38</v>
      </c>
      <c r="P75" s="1">
        <f>VLOOKUP($B75&amp;"__wt",'SegEnds_Xtal_BW#'!$A:$Z,16,FALSE)</f>
        <v>64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30</v>
      </c>
      <c r="T75" s="1">
        <f t="array" ref="T75">INDEX(ICL3_classA!$G$2:$G$37,MATCH(MIN(ABS(AI75-ICL3_classA!$F$2:$F$37)),ABS(AI75-ICL3_classA!$F$2:$F$37),0))</f>
        <v>67</v>
      </c>
      <c r="U75" s="1">
        <f t="array" ref="U75">INDEX(ICL3_classA!$H$2:$H$37,MATCH(MIN(ABS(AI75-ICL3_classA!$F$2:$F$37)),ABS(AI75-ICL3_classA!$F$2:$F$37),0))</f>
        <v>26</v>
      </c>
      <c r="V75" s="1">
        <v>61</v>
      </c>
      <c r="W75" s="1">
        <v>28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61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15</v>
      </c>
      <c r="AD75" s="1">
        <f>VLOOKUP(A75,'SegEnds_NonXtal_Prot#'!A:AL,13,FALSE)-VLOOKUP(A75,'SegEnds_NonXtal_Prot#'!A:AL,10,FALSE)</f>
        <v>20</v>
      </c>
      <c r="AE75" s="1">
        <f>VLOOKUP(A75,'SegEnds_NonXtal_Prot#'!A:AL,16,FALSE)-VLOOKUP(A75,'SegEnds_NonXtal_Prot#'!A:AL,10,FALSE)</f>
        <v>52</v>
      </c>
      <c r="AF75" s="1">
        <f>VLOOKUP(A75,'SegEnds_NonXtal_Prot#'!A:AL,22,FALSE)-VLOOKUP(A75,'SegEnds_NonXtal_Prot#'!A:AL,19,FALSE)</f>
        <v>20</v>
      </c>
      <c r="AG75" s="1">
        <f>VLOOKUP(A75,'SegEnds_NonXtal_Prot#'!A:AL,28,FALSE)-VLOOKUP(A75,'SegEnds_NonXtal_Prot#'!A:AL,25,FALSE)</f>
        <v>25</v>
      </c>
      <c r="AH75" s="1">
        <f>VLOOKUP(A75,'SegEnds_NonXtal_Prot#'!A:AL,28,FALSE)-VLOOKUP(A75,'SegEnds_NonXtal_Prot#'!A:AL,22,FALSE)</f>
        <v>51</v>
      </c>
      <c r="AI75" s="1">
        <f>VLOOKUP(A75,'SegEnds_NonXtal_Prot#'!A:AL,31,FALSE)-VLOOKUP(A75,'SegEnds_NonXtal_Prot#'!A:AL,28,FALSE)</f>
        <v>46</v>
      </c>
      <c r="AJ75" s="1">
        <f>VLOOKUP(A75,'SegEnds_NonXtal_Prot#'!A:AL,34,FALSE)-VLOOKUP(A75,'SegEnds_NonXtal_Prot#'!A:AL,31,FALSE)</f>
        <v>40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342</v>
      </c>
      <c r="B76" s="1" t="str">
        <f>VLOOKUP(A76,Xtal_Templ!A:B,2,FALSE)</f>
        <v>pd2r2_human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 t="str">
        <f>VLOOKUP($B76&amp;"__wt",'SegEnds_Xtal_BW#'!$A:$Z,5,FALSE)</f>
        <v>-</v>
      </c>
      <c r="F76" s="1" t="str">
        <f>VLOOKUP($B76&amp;"__wt",'SegEnds_Xtal_BW#'!$A:$Z,6,FALSE)</f>
        <v>-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f>VLOOKUP($B76&amp;"__wt",'SegEnds_Xtal_BW#'!$A:$Z,14,FALSE)</f>
        <v>57</v>
      </c>
      <c r="O76" s="87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f>VLOOKUP($B76&amp;"__wt",'SegEnds_Xtal_BW#'!$A:$Z,19,FALSE)</f>
        <v>26</v>
      </c>
      <c r="T76" s="1">
        <f t="array" ref="T76">INDEX(ICL3_classA!$G$2:$G$37,MATCH(MIN(ABS(AI76-ICL3_classA!$F$2:$F$37)),ABS(AI76-ICL3_classA!$F$2:$F$37),0))</f>
        <v>67</v>
      </c>
      <c r="U76" s="1">
        <f t="array" ref="U76">INDEX(ICL3_classA!$H$2:$H$37,MATCH(MIN(ABS(AI76-ICL3_classA!$F$2:$F$37)),ABS(AI76-ICL3_classA!$F$2:$F$37),0))</f>
        <v>26</v>
      </c>
      <c r="V76" s="1">
        <v>61</v>
      </c>
      <c r="W76" s="1">
        <v>28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64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20</v>
      </c>
      <c r="AE76" s="1">
        <f>VLOOKUP(A76,'SegEnds_NonXtal_Prot#'!A:AL,16,FALSE)-VLOOKUP(A76,'SegEnds_NonXtal_Prot#'!A:AL,10,FALSE)</f>
        <v>52</v>
      </c>
      <c r="AF76" s="1">
        <f>VLOOKUP(A76,'SegEnds_NonXtal_Prot#'!A:AL,22,FALSE)-VLOOKUP(A76,'SegEnds_NonXtal_Prot#'!A:AL,19,FALSE)</f>
        <v>20</v>
      </c>
      <c r="AG76" s="1">
        <f>VLOOKUP(A76,'SegEnds_NonXtal_Prot#'!A:AL,28,FALSE)-VLOOKUP(A76,'SegEnds_NonXtal_Prot#'!A:AL,25,FALSE)</f>
        <v>27</v>
      </c>
      <c r="AH76" s="1">
        <f>VLOOKUP(A76,'SegEnds_NonXtal_Prot#'!A:AL,28,FALSE)-VLOOKUP(A76,'SegEnds_NonXtal_Prot#'!A:AL,22,FALSE)</f>
        <v>47</v>
      </c>
      <c r="AI76" s="1">
        <f>VLOOKUP(A76,'SegEnds_NonXtal_Prot#'!A:AL,31,FALSE)-VLOOKUP(A76,'SegEnds_NonXtal_Prot#'!A:AL,28,FALSE)</f>
        <v>46</v>
      </c>
      <c r="AJ76" s="1">
        <f>VLOOKUP(A76,'SegEnds_NonXtal_Prot#'!A:AL,34,FALSE)-VLOOKUP(A76,'SegEnds_NonXtal_Prot#'!A:AL,31,FALSE)</f>
        <v>42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343</v>
      </c>
      <c r="B77" s="1" t="str">
        <f>VLOOKUP(A77,Xtal_Templ!A:B,2,FALSE)</f>
        <v>p2ry1_human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 t="str">
        <f>VLOOKUP($B77&amp;"__wt",'SegEnds_Xtal_BW#'!$A:$Z,5,FALSE)</f>
        <v>-</v>
      </c>
      <c r="F77" s="1" t="str">
        <f>VLOOKUP($B77&amp;"__wt",'SegEnds_Xtal_BW#'!$A:$Z,6,FALSE)</f>
        <v>-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f>VLOOKUP($B77&amp;"__wt",'SegEnds_Xtal_BW#'!$A:$Z,14,FALSE)</f>
        <v>57</v>
      </c>
      <c r="O77" s="87">
        <f>VLOOKUP($B77&amp;"__wt",'SegEnds_Xtal_BW#'!$A:$Z,15,FALSE)</f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32</v>
      </c>
      <c r="T77" s="1">
        <f t="array" ref="T77">INDEX(ICL3_classA!$G$2:$G$37,MATCH(MIN(ABS(AI77-ICL3_classA!$F$2:$F$37)),ABS(AI77-ICL3_classA!$F$2:$F$37),0))</f>
        <v>67</v>
      </c>
      <c r="U77" s="1">
        <f t="array" ref="U77">INDEX(ICL3_classA!$H$2:$H$37,MATCH(MIN(ABS(AI77-ICL3_classA!$F$2:$F$37)),ABS(AI77-ICL3_classA!$F$2:$F$37),0))</f>
        <v>26</v>
      </c>
      <c r="V77" s="1">
        <v>61</v>
      </c>
      <c r="W77" s="1">
        <v>24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27</v>
      </c>
      <c r="AH77" s="1">
        <f>VLOOKUP(A77,'SegEnds_NonXtal_Prot#'!A:AL,28,FALSE)-VLOOKUP(A77,'SegEnds_NonXtal_Prot#'!A:AL,22,FALSE)</f>
        <v>52</v>
      </c>
      <c r="AI77" s="1">
        <f>VLOOKUP(A77,'SegEnds_NonXtal_Prot#'!A:AL,31,FALSE)-VLOOKUP(A77,'SegEnds_NonXtal_Prot#'!A:AL,28,FALSE)</f>
        <v>46</v>
      </c>
      <c r="AJ77" s="1">
        <f>VLOOKUP(A77,'SegEnds_NonXtal_Prot#'!A:AL,34,FALSE)-VLOOKUP(A77,'SegEnds_NonXtal_Prot#'!A:AL,31,FALSE)</f>
        <v>43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345</v>
      </c>
      <c r="B78" s="1" t="str">
        <f>VLOOKUP(A78,Xtal_Templ!A:B,2,FALSE)</f>
        <v>p2ry1_human</v>
      </c>
      <c r="C78" s="5">
        <f>VLOOKUP($B78&amp;"__wt",'SegEnds_Xtal_BW#'!$A:$Z,3,FALSE)</f>
        <v>30</v>
      </c>
      <c r="D78" s="1">
        <f>VLOOKUP($B78&amp;"__wt",'SegEnds_Xtal_BW#'!$A:$Z,4,FALSE)</f>
        <v>60</v>
      </c>
      <c r="E78" s="1" t="str">
        <f>VLOOKUP($B78&amp;"__wt",'SegEnds_Xtal_BW#'!$A:$Z,5,FALSE)</f>
        <v>-</v>
      </c>
      <c r="F78" s="1" t="str">
        <f>VLOOKUP($B78&amp;"__wt",'SegEnds_Xtal_BW#'!$A:$Z,6,FALSE)</f>
        <v>-</v>
      </c>
      <c r="G78" s="1">
        <v>37</v>
      </c>
      <c r="H78" s="12">
        <f>VLOOKUP($B78&amp;"__wt",'SegEnds_Xtal_BW#'!$A:$Z,8,FALSE)</f>
        <v>66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f>VLOOKUP($B78&amp;"__wt",'SegEnds_Xtal_BW#'!$A:$Z,14,FALSE)</f>
        <v>57</v>
      </c>
      <c r="O78" s="87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f>VLOOKUP($B78&amp;"__wt",'SegEnds_Xtal_BW#'!$A:$Z,19,FALSE)</f>
        <v>32</v>
      </c>
      <c r="T78" s="1">
        <v>68</v>
      </c>
      <c r="U78" s="1">
        <v>28</v>
      </c>
      <c r="V78" s="1">
        <v>64</v>
      </c>
      <c r="W78" s="1">
        <v>24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 t="e">
        <f>VLOOKUP(A78,'SegEnds_NonXtal_Prot#'!A:AL,10,FALSE)-VLOOKUP(A78,'SegEnds_NonXtal_Prot#'!A:AL,7,FALSE)</f>
        <v>#VALUE!</v>
      </c>
      <c r="AD78" s="1">
        <f>VLOOKUP(A78,'SegEnds_NonXtal_Prot#'!A:AL,13,FALSE)-VLOOKUP(A78,'SegEnds_NonXtal_Prot#'!A:AL,10,FALSE)</f>
        <v>20</v>
      </c>
      <c r="AE78" s="1">
        <f>VLOOKUP(A78,'SegEnds_NonXtal_Prot#'!A:AL,16,FALSE)-VLOOKUP(A78,'SegEnds_NonXtal_Prot#'!A:AL,10,FALSE)</f>
        <v>52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27</v>
      </c>
      <c r="AH78" s="1">
        <f>VLOOKUP(A78,'SegEnds_NonXtal_Prot#'!A:AL,28,FALSE)-VLOOKUP(A78,'SegEnds_NonXtal_Prot#'!A:AL,22,FALSE)</f>
        <v>53</v>
      </c>
      <c r="AI78" s="1">
        <f>VLOOKUP(A78,'SegEnds_NonXtal_Prot#'!A:AL,31,FALSE)-VLOOKUP(A78,'SegEnds_NonXtal_Prot#'!A:AL,28,FALSE)</f>
        <v>46</v>
      </c>
      <c r="AJ78" s="1">
        <f>VLOOKUP(A78,'SegEnds_NonXtal_Prot#'!A:AL,34,FALSE)-VLOOKUP(A78,'SegEnds_NonXtal_Prot#'!A:AL,31,FALSE)</f>
        <v>46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Xtal</v>
      </c>
    </row>
    <row r="79" spans="1:38" x14ac:dyDescent="0.2">
      <c r="A79" s="1" t="s">
        <v>351</v>
      </c>
      <c r="B79" s="1" t="str">
        <f>VLOOKUP(A79,Xtal_Templ!A:B,2,FALSE)</f>
        <v>p2ry1_human</v>
      </c>
      <c r="C79" s="5">
        <f>VLOOKUP($B79&amp;"__wt",'SegEnds_Xtal_BW#'!$A:$Z,3,FALSE)</f>
        <v>30</v>
      </c>
      <c r="D79" s="1">
        <f>VLOOKUP($B79&amp;"__wt",'SegEnds_Xtal_BW#'!$A:$Z,4,FALSE)</f>
        <v>60</v>
      </c>
      <c r="E79" s="1" t="str">
        <f>VLOOKUP($B79&amp;"__wt",'SegEnds_Xtal_BW#'!$A:$Z,5,FALSE)</f>
        <v>-</v>
      </c>
      <c r="F79" s="1" t="str">
        <f>VLOOKUP($B79&amp;"__wt",'SegEnds_Xtal_BW#'!$A:$Z,6,FALSE)</f>
        <v>-</v>
      </c>
      <c r="G79" s="1">
        <v>37</v>
      </c>
      <c r="H79" s="12">
        <f>VLOOKUP($B79&amp;"__wt",'SegEnds_Xtal_BW#'!$A:$Z,8,FALSE)</f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32</v>
      </c>
      <c r="T79" s="1">
        <f t="array" ref="T79">INDEX(ICL3_classA!$G$2:$G$37,MATCH(MIN(ABS(AI79-ICL3_classA!$F$2:$F$37)),ABS(AI79-ICL3_classA!$F$2:$F$37),0))</f>
        <v>67</v>
      </c>
      <c r="U79" s="1">
        <f t="array" ref="U79">INDEX(ICL3_classA!$H$2:$H$37,MATCH(MIN(ABS(AI79-ICL3_classA!$F$2:$F$37)),ABS(AI79-ICL3_classA!$F$2:$F$37),0))</f>
        <v>26</v>
      </c>
      <c r="V79" s="1">
        <v>64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29</v>
      </c>
      <c r="AC79" s="1" t="e">
        <f>VLOOKUP(A79,'SegEnds_NonXtal_Prot#'!A:AL,10,FALSE)-VLOOKUP(A79,'SegEnds_NonXtal_Prot#'!A:AL,7,FALSE)</f>
        <v>#VALUE!</v>
      </c>
      <c r="AD79" s="1">
        <f>VLOOKUP(A79,'SegEnds_NonXtal_Prot#'!A:AL,13,FALSE)-VLOOKUP(A79,'SegEnds_NonXtal_Prot#'!A:AL,10,FALSE)</f>
        <v>20</v>
      </c>
      <c r="AE79" s="1">
        <f>VLOOKUP(A79,'SegEnds_NonXtal_Prot#'!A:AL,16,FALSE)-VLOOKUP(A79,'SegEnds_NonXtal_Prot#'!A:AL,10,FALSE)</f>
        <v>52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26</v>
      </c>
      <c r="AH79" s="1">
        <f>VLOOKUP(A79,'SegEnds_NonXtal_Prot#'!A:AL,28,FALSE)-VLOOKUP(A79,'SegEnds_NonXtal_Prot#'!A:AL,22,FALSE)</f>
        <v>63</v>
      </c>
      <c r="AI79" s="1">
        <f>VLOOKUP(A79,'SegEnds_NonXtal_Prot#'!A:AL,31,FALSE)-VLOOKUP(A79,'SegEnds_NonXtal_Prot#'!A:AL,28,FALSE)</f>
        <v>46</v>
      </c>
      <c r="AJ79" s="1">
        <f>VLOOKUP(A79,'SegEnds_NonXtal_Prot#'!A:AL,34,FALSE)-VLOOKUP(A79,'SegEnds_NonXtal_Prot#'!A:AL,31,FALSE)</f>
        <v>55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355</v>
      </c>
      <c r="B80" s="1" t="str">
        <f>VLOOKUP(A80,Xtal_Templ!A:B,2,FALSE)</f>
        <v>par1_human</v>
      </c>
      <c r="C80" s="5">
        <f>VLOOKUP($B80&amp;"__wt",'SegEnds_Xtal_BW#'!$A:$Z,3,FALSE)</f>
        <v>29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f>VLOOKUP($B80&amp;"__wt",'SegEnds_Xtal_BW#'!$A:$Z,14,FALSE)</f>
        <v>57</v>
      </c>
      <c r="O80" s="87">
        <f>VLOOKUP($B80&amp;"__wt",'SegEnds_Xtal_BW#'!$A:$Z,15,FALSE)</f>
        <v>38</v>
      </c>
      <c r="P80" s="1">
        <f>VLOOKUP($B80&amp;"__wt",'SegEnds_Xtal_BW#'!$A:$Z,16,FALSE)</f>
        <v>63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32</v>
      </c>
      <c r="T80" s="1">
        <f t="array" ref="T80">INDEX(ICL3_classA!$G$2:$G$37,MATCH(MIN(ABS(AI80-ICL3_classA!$F$2:$F$37)),ABS(AI80-ICL3_classA!$F$2:$F$37),0))</f>
        <v>67</v>
      </c>
      <c r="U80" s="1">
        <f t="array" ref="U80">INDEX(ICL3_classA!$H$2:$H$37,MATCH(MIN(ABS(AI80-ICL3_classA!$F$2:$F$37)),ABS(AI80-ICL3_classA!$F$2:$F$37),0))</f>
        <v>26</v>
      </c>
      <c r="V80" s="1">
        <v>62</v>
      </c>
      <c r="W80" s="1">
        <v>28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61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20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28</v>
      </c>
      <c r="AH80" s="1">
        <f>VLOOKUP(A80,'SegEnds_NonXtal_Prot#'!A:AL,28,FALSE)-VLOOKUP(A80,'SegEnds_NonXtal_Prot#'!A:AL,22,FALSE)</f>
        <v>55</v>
      </c>
      <c r="AI80" s="1">
        <f>VLOOKUP(A80,'SegEnds_NonXtal_Prot#'!A:AL,31,FALSE)-VLOOKUP(A80,'SegEnds_NonXtal_Prot#'!A:AL,28,FALSE)</f>
        <v>46</v>
      </c>
      <c r="AJ80" s="1">
        <f>VLOOKUP(A80,'SegEnds_NonXtal_Prot#'!A:AL,34,FALSE)-VLOOKUP(A80,'SegEnds_NonXtal_Prot#'!A:AL,31,FALSE)</f>
        <v>40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Xtal</v>
      </c>
    </row>
    <row r="81" spans="1:38" x14ac:dyDescent="0.2">
      <c r="A81" s="1" t="s">
        <v>370</v>
      </c>
      <c r="B81" s="1" t="str">
        <f>VLOOKUP(A81,Xtal_Templ!A:B,2,FALSE)</f>
        <v>p2ry1_human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 t="str">
        <f>VLOOKUP($B81&amp;"__wt",'SegEnds_Xtal_BW#'!$A:$Z,5,FALSE)</f>
        <v>-</v>
      </c>
      <c r="F81" s="1" t="str">
        <f>VLOOKUP($B81&amp;"__wt",'SegEnds_Xtal_BW#'!$A:$Z,6,FALSE)</f>
        <v>-</v>
      </c>
      <c r="G81" s="1">
        <v>37</v>
      </c>
      <c r="H81" s="12">
        <f>VLOOKUP($B81&amp;"__wt",'SegEnds_Xtal_BW#'!$A:$Z,8,FALSE)</f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f>VLOOKUP($B81&amp;"__wt",'SegEnds_Xtal_BW#'!$A:$Z,15,FALSE)</f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32</v>
      </c>
      <c r="T81" s="1">
        <f t="array" ref="T81">INDEX(ICL3_classA!$G$2:$G$37,MATCH(MIN(ABS(AI81-ICL3_classA!$F$2:$F$37)),ABS(AI81-ICL3_classA!$F$2:$F$37),0))</f>
        <v>67</v>
      </c>
      <c r="U81" s="1">
        <f t="array" ref="U81">INDEX(ICL3_classA!$H$2:$H$37,MATCH(MIN(ABS(AI81-ICL3_classA!$F$2:$F$37)),ABS(AI81-ICL3_classA!$F$2:$F$37),0))</f>
        <v>26</v>
      </c>
      <c r="V81" s="1">
        <v>64</v>
      </c>
      <c r="W81" s="1">
        <v>24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 t="e">
        <f>VLOOKUP(A81,'SegEnds_NonXtal_Prot#'!A:AL,10,FALSE)-VLOOKUP(A81,'SegEnds_NonXtal_Prot#'!A:AL,7,FALSE)</f>
        <v>#VALUE!</v>
      </c>
      <c r="AD81" s="1">
        <f>VLOOKUP(A81,'SegEnds_NonXtal_Prot#'!A:AL,13,FALSE)-VLOOKUP(A81,'SegEnds_NonXtal_Prot#'!A:AL,10,FALSE)</f>
        <v>20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25</v>
      </c>
      <c r="AH81" s="1">
        <f>VLOOKUP(A81,'SegEnds_NonXtal_Prot#'!A:AL,28,FALSE)-VLOOKUP(A81,'SegEnds_NonXtal_Prot#'!A:AL,22,FALSE)</f>
        <v>56</v>
      </c>
      <c r="AI81" s="1">
        <f>VLOOKUP(A81,'SegEnds_NonXtal_Prot#'!A:AL,31,FALSE)-VLOOKUP(A81,'SegEnds_NonXtal_Prot#'!A:AL,28,FALSE)</f>
        <v>46</v>
      </c>
      <c r="AJ81" s="1">
        <f>VLOOKUP(A81,'SegEnds_NonXtal_Prot#'!A:AL,34,FALSE)-VLOOKUP(A81,'SegEnds_NonXtal_Prot#'!A:AL,31,FALSE)</f>
        <v>46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395</v>
      </c>
      <c r="B82" s="1" t="str">
        <f>VLOOKUP(A82,Xtal_Templ!A:B,2,FALSE)</f>
        <v>aa2ar_human</v>
      </c>
      <c r="C82" s="5">
        <f>VLOOKUP($B82&amp;"__wt",'SegEnds_Xtal_BW#'!$A:$Z,3,FALSE)</f>
        <v>27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f>VLOOKUP($B82&amp;"__wt",'SegEnds_Xtal_BW#'!$A:$Z,8,FALSE)</f>
        <v>67</v>
      </c>
      <c r="I82" s="1"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63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INDEX(ICL3_classA!$G$2:$G$37,MATCH(MIN(ABS(AI82-ICL3_classA!$F$2:$F$37)),ABS(AI82-ICL3_classA!$F$2:$F$37),0))</f>
        <v>67</v>
      </c>
      <c r="U82" s="1">
        <f t="array" ref="U82">INDEX(ICL3_classA!$H$2:$H$37,MATCH(MIN(ABS(AI82-ICL3_classA!$F$2:$F$37)),ABS(AI82-ICL3_classA!$F$2:$F$37),0))</f>
        <v>26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14</v>
      </c>
      <c r="AD82" s="1">
        <f>VLOOKUP(A82,'SegEnds_NonXtal_Prot#'!A:AL,13,FALSE)-VLOOKUP(A82,'SegEnds_NonXtal_Prot#'!A:AL,10,FALSE)</f>
        <v>28</v>
      </c>
      <c r="AE82" s="1">
        <f>VLOOKUP(A82,'SegEnds_NonXtal_Prot#'!A:AL,16,FALSE)-VLOOKUP(A82,'SegEnds_NonXtal_Prot#'!A:AL,10,FALSE)</f>
        <v>59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24</v>
      </c>
      <c r="AH82" s="1">
        <f>VLOOKUP(A82,'SegEnds_NonXtal_Prot#'!A:AL,28,FALSE)-VLOOKUP(A82,'SegEnds_NonXtal_Prot#'!A:AL,22,FALSE)</f>
        <v>47</v>
      </c>
      <c r="AI82" s="1">
        <f>VLOOKUP(A82,'SegEnds_NonXtal_Prot#'!A:AL,31,FALSE)-VLOOKUP(A82,'SegEnds_NonXtal_Prot#'!A:AL,28,FALSE)</f>
        <v>46</v>
      </c>
      <c r="AJ82" s="1">
        <f>VLOOKUP(A82,'SegEnds_NonXtal_Prot#'!A:AL,34,FALSE)-VLOOKUP(A82,'SegEnds_NonXtal_Prot#'!A:AL,31,FALSE)</f>
        <v>36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179</v>
      </c>
      <c r="B83" s="1" t="str">
        <f>VLOOKUP(A83,Xtal_Templ!A:B,2,FALSE)</f>
        <v>p2ry1_human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 t="str">
        <f>VLOOKUP($B83&amp;"__wt",'SegEnds_Xtal_BW#'!$A:$Z,5,FALSE)</f>
        <v>-</v>
      </c>
      <c r="F83" s="1" t="str">
        <f>VLOOKUP($B83&amp;"__wt",'SegEnds_Xtal_BW#'!$A:$Z,6,FALSE)</f>
        <v>-</v>
      </c>
      <c r="G83" s="1">
        <v>37</v>
      </c>
      <c r="H83" s="12">
        <f>VLOOKUP($B83&amp;"__wt",'SegEnds_Xtal_BW#'!$A:$Z,8,FALSE)</f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32</v>
      </c>
      <c r="T83" s="1">
        <f t="array" ref="T83">INDEX(ICL3_classA!$G$2:$G$37,MATCH(MIN(ABS(AI83-ICL3_classA!$F$2:$F$37)),ABS(AI83-ICL3_classA!$F$2:$F$37),0))</f>
        <v>67</v>
      </c>
      <c r="U83" s="1">
        <f t="array" ref="U83">INDEX(ICL3_classA!$H$2:$H$37,MATCH(MIN(ABS(AI83-ICL3_classA!$F$2:$F$37)),ABS(AI83-ICL3_classA!$F$2:$F$37),0))</f>
        <v>26</v>
      </c>
      <c r="V83" s="1">
        <v>64</v>
      </c>
      <c r="W83" s="1">
        <v>24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 t="e">
        <f>VLOOKUP(A83,'SegEnds_NonXtal_Prot#'!A:AL,10,FALSE)-VLOOKUP(A83,'SegEnds_NonXtal_Prot#'!A:AL,7,FALSE)</f>
        <v>#VALUE!</v>
      </c>
      <c r="AD83" s="1">
        <f>VLOOKUP(A83,'SegEnds_NonXtal_Prot#'!A:AL,13,FALSE)-VLOOKUP(A83,'SegEnds_NonXtal_Prot#'!A:AL,10,FALSE)</f>
        <v>20</v>
      </c>
      <c r="AE83" s="1">
        <f>VLOOKUP(A83,'SegEnds_NonXtal_Prot#'!A:AL,16,FALSE)-VLOOKUP(A83,'SegEnds_NonXtal_Prot#'!A:AL,10,FALSE)</f>
        <v>52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28</v>
      </c>
      <c r="AH83" s="1">
        <f>VLOOKUP(A83,'SegEnds_NonXtal_Prot#'!A:AL,28,FALSE)-VLOOKUP(A83,'SegEnds_NonXtal_Prot#'!A:AL,22,FALSE)</f>
        <v>53</v>
      </c>
      <c r="AI83" s="1">
        <f>VLOOKUP(A83,'SegEnds_NonXtal_Prot#'!A:AL,31,FALSE)-VLOOKUP(A83,'SegEnds_NonXtal_Prot#'!A:AL,28,FALSE)</f>
        <v>47</v>
      </c>
      <c r="AJ83" s="1">
        <f>VLOOKUP(A83,'SegEnds_NonXtal_Prot#'!A:AL,34,FALSE)-VLOOKUP(A83,'SegEnds_NonXtal_Prot#'!A:AL,31,FALSE)</f>
        <v>44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218</v>
      </c>
      <c r="B84" s="1" t="str">
        <f>VLOOKUP(A84,Xtal_Templ!A:B,2,FALSE)</f>
        <v>5ht2a_human</v>
      </c>
      <c r="C84" s="5">
        <f>VLOOKUP($B84&amp;"__wt",'SegEnds_Xtal_BW#'!$A:$Z,3,FALSE)</f>
        <v>27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"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08">
        <v>56</v>
      </c>
      <c r="O84" s="87">
        <f>VLOOKUP($B84&amp;"__wt",'SegEnds_Xtal_BW#'!$A:$Z,15,FALSE)</f>
        <v>38</v>
      </c>
      <c r="P84" s="1">
        <f>VLOOKUP($B84&amp;"__wt",'SegEnds_Xtal_BW#'!$A:$Z,16,FALSE)</f>
        <v>67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35</v>
      </c>
      <c r="T84" s="1">
        <f t="array" ref="T84">INDEX(ICL3_classA!$G$2:$G$37,MATCH(MIN(ABS(AI84-ICL3_classA!$F$2:$F$37)),ABS(AI84-ICL3_classA!$F$2:$F$37),0))</f>
        <v>67</v>
      </c>
      <c r="U84" s="1">
        <f t="array" ref="U84">INDEX(ICL3_classA!$H$2:$H$37,MATCH(MIN(ABS(AI84-ICL3_classA!$F$2:$F$37)),ABS(AI84-ICL3_classA!$F$2:$F$37),0))</f>
        <v>26</v>
      </c>
      <c r="V84" s="1">
        <v>61</v>
      </c>
      <c r="W84" s="132">
        <f>VLOOKUP($B84&amp;"__wt",'SegEnds_Xtal_BW#'!$A:$Z,23,FALSE)</f>
        <v>27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60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29</v>
      </c>
      <c r="AC84" s="1" t="e">
        <f>VLOOKUP(A84,'SegEnds_NonXtal_Prot#'!A:AL,10,FALSE)-VLOOKUP(A84,'SegEnds_NonXtal_Prot#'!A:AL,7,FALSE)</f>
        <v>#VALUE!</v>
      </c>
      <c r="AD84" s="1" t="e">
        <f>VLOOKUP(A84,'SegEnds_NonXtal_Prot#'!A:AL,13,FALSE)-VLOOKUP(A84,'SegEnds_NonXtal_Prot#'!A:AL,10,FALSE)</f>
        <v>#VALUE!</v>
      </c>
      <c r="AE84" s="1">
        <f>VLOOKUP(A84,'SegEnds_NonXtal_Prot#'!A:AL,16,FALSE)-VLOOKUP(A84,'SegEnds_NonXtal_Prot#'!A:AL,10,FALSE)</f>
        <v>53</v>
      </c>
      <c r="AF84" s="1">
        <f>VLOOKUP(A84,'SegEnds_NonXtal_Prot#'!A:AL,22,FALSE)-VLOOKUP(A84,'SegEnds_NonXtal_Prot#'!A:AL,19,FALSE)</f>
        <v>19</v>
      </c>
      <c r="AG84" s="1" t="e">
        <f>VLOOKUP(A84,'SegEnds_NonXtal_Prot#'!A:AL,28,FALSE)-VLOOKUP(A84,'SegEnds_NonXtal_Prot#'!A:AL,25,FALSE)</f>
        <v>#VALUE!</v>
      </c>
      <c r="AH84" s="1">
        <f>VLOOKUP(A84,'SegEnds_NonXtal_Prot#'!A:AL,28,FALSE)-VLOOKUP(A84,'SegEnds_NonXtal_Prot#'!A:AL,22,FALSE)</f>
        <v>43</v>
      </c>
      <c r="AI84" s="1">
        <f>VLOOKUP(A84,'SegEnds_NonXtal_Prot#'!A:AL,31,FALSE)-VLOOKUP(A84,'SegEnds_NonXtal_Prot#'!A:AL,28,FALSE)</f>
        <v>47</v>
      </c>
      <c r="AJ84" s="1">
        <f>VLOOKUP(A84,'SegEnds_NonXtal_Prot#'!A:AL,34,FALSE)-VLOOKUP(A84,'SegEnds_NonXtal_Prot#'!A:AL,31,FALSE)</f>
        <v>39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229</v>
      </c>
      <c r="B85" s="1" t="str">
        <f>VLOOKUP(A85,Xtal_Templ!A:B,2,FALSE)</f>
        <v>p2y12_human</v>
      </c>
      <c r="C85" s="5">
        <f>VLOOKUP($B85&amp;"__wt",'SegEnds_Xtal_BW#'!$A:$Z,3,FALSE)</f>
        <v>28</v>
      </c>
      <c r="D85" s="1">
        <f>VLOOKUP($B85&amp;"__wt",'SegEnds_Xtal_BW#'!$A:$Z,4,FALSE)</f>
        <v>60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f>VLOOKUP($B85&amp;"__wt",'SegEnds_Xtal_BW#'!$A:$Z,8,FALSE)</f>
        <v>66</v>
      </c>
      <c r="I85" s="1" t="str">
        <f>VLOOKUP($B85&amp;"__wt",'SegEnds_Xtal_BW#'!$A:$Z,9,FALSE)</f>
        <v>-</v>
      </c>
      <c r="J85" s="1" t="str">
        <f>VLOOKUP($B85&amp;"__wt",'SegEnds_Xtal_BW#'!$A:$Z,10,FALSE)</f>
        <v>-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30</v>
      </c>
      <c r="T85" s="1">
        <f t="array" ref="T85">INDEX(ICL3_classA!$G$2:$G$37,MATCH(MIN(ABS(AI85-ICL3_classA!$F$2:$F$37)),ABS(AI85-ICL3_classA!$F$2:$F$37),0))</f>
        <v>67</v>
      </c>
      <c r="U85" s="1">
        <f t="array" ref="U85">INDEX(ICL3_classA!$H$2:$H$37,MATCH(MIN(ABS(AI85-ICL3_classA!$F$2:$F$37)),ABS(AI85-ICL3_classA!$F$2:$F$37),0))</f>
        <v>26</v>
      </c>
      <c r="V85" s="1">
        <v>64</v>
      </c>
      <c r="W85" s="1">
        <v>24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57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 t="e">
        <f>VLOOKUP(A85,'SegEnds_NonXtal_Prot#'!A:AL,10,FALSE)-VLOOKUP(A85,'SegEnds_NonXtal_Prot#'!A:AL,7,FALSE)</f>
        <v>#VALUE!</v>
      </c>
      <c r="AD85" s="1" t="e">
        <f>VLOOKUP(A85,'SegEnds_NonXtal_Prot#'!A:AL,13,FALSE)-VLOOKUP(A85,'SegEnds_NonXtal_Prot#'!A:AL,10,FALSE)</f>
        <v>#VALUE!</v>
      </c>
      <c r="AE85" s="1">
        <f>VLOOKUP(A85,'SegEnds_NonXtal_Prot#'!A:AL,16,FALSE)-VLOOKUP(A85,'SegEnds_NonXtal_Prot#'!A:AL,10,FALSE)</f>
        <v>52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26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47</v>
      </c>
      <c r="AJ85" s="1">
        <f>VLOOKUP(A85,'SegEnds_NonXtal_Prot#'!A:AL,34,FALSE)-VLOOKUP(A85,'SegEnds_NonXtal_Prot#'!A:AL,31,FALSE)</f>
        <v>44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275</v>
      </c>
      <c r="B86" s="1" t="str">
        <f>VLOOKUP(A86,Xtal_Templ!A:B,2,FALSE)</f>
        <v>p2ry1_human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 t="str">
        <f>VLOOKUP($B86&amp;"__wt",'SegEnds_Xtal_BW#'!$A:$Z,5,FALSE)</f>
        <v>-</v>
      </c>
      <c r="F86" s="1" t="str">
        <f>VLOOKUP($B86&amp;"__wt",'SegEnds_Xtal_BW#'!$A:$Z,6,FALSE)</f>
        <v>-</v>
      </c>
      <c r="G86" s="1">
        <v>37</v>
      </c>
      <c r="H86" s="12">
        <f>VLOOKUP($B86&amp;"__wt",'SegEnds_Xtal_BW#'!$A:$Z,8,FALSE)</f>
        <v>66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7">
        <f>VLOOKUP($B86&amp;"__wt",'SegEnds_Xtal_BW#'!$A:$Z,15,FALSE)</f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32</v>
      </c>
      <c r="T86" s="1">
        <f t="array" ref="T86">INDEX(ICL3_classA!$G$2:$G$37,MATCH(MIN(ABS(AI86-ICL3_classA!$F$2:$F$37)),ABS(AI86-ICL3_classA!$F$2:$F$37),0))</f>
        <v>67</v>
      </c>
      <c r="U86" s="1">
        <f t="array" ref="U86">INDEX(ICL3_classA!$H$2:$H$37,MATCH(MIN(ABS(AI86-ICL3_classA!$F$2:$F$37)),ABS(AI86-ICL3_classA!$F$2:$F$37),0))</f>
        <v>26</v>
      </c>
      <c r="V86" s="1">
        <v>61</v>
      </c>
      <c r="W86" s="1">
        <v>28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 t="e">
        <f>VLOOKUP(A86,'SegEnds_NonXtal_Prot#'!A:AL,10,FALSE)-VLOOKUP(A86,'SegEnds_NonXtal_Prot#'!A:AL,7,FALSE)</f>
        <v>#VALUE!</v>
      </c>
      <c r="AD86" s="1">
        <f>VLOOKUP(A86,'SegEnds_NonXtal_Prot#'!A:AL,13,FALSE)-VLOOKUP(A86,'SegEnds_NonXtal_Prot#'!A:AL,10,FALSE)</f>
        <v>20</v>
      </c>
      <c r="AE86" s="1">
        <f>VLOOKUP(A86,'SegEnds_NonXtal_Prot#'!A:AL,16,FALSE)-VLOOKUP(A86,'SegEnds_NonXtal_Prot#'!A:AL,10,FALSE)</f>
        <v>52</v>
      </c>
      <c r="AF86" s="1">
        <f>VLOOKUP(A86,'SegEnds_NonXtal_Prot#'!A:AL,22,FALSE)-VLOOKUP(A86,'SegEnds_NonXtal_Prot#'!A:AL,19,FALSE)</f>
        <v>20</v>
      </c>
      <c r="AG86" s="1">
        <f>VLOOKUP(A86,'SegEnds_NonXtal_Prot#'!A:AL,28,FALSE)-VLOOKUP(A86,'SegEnds_NonXtal_Prot#'!A:AL,25,FALSE)</f>
        <v>23</v>
      </c>
      <c r="AH86" s="1">
        <f>VLOOKUP(A86,'SegEnds_NonXtal_Prot#'!A:AL,28,FALSE)-VLOOKUP(A86,'SegEnds_NonXtal_Prot#'!A:AL,22,FALSE)</f>
        <v>48</v>
      </c>
      <c r="AI86" s="1">
        <f>VLOOKUP(A86,'SegEnds_NonXtal_Prot#'!A:AL,31,FALSE)-VLOOKUP(A86,'SegEnds_NonXtal_Prot#'!A:AL,28,FALSE)</f>
        <v>47</v>
      </c>
      <c r="AJ86" s="1">
        <f>VLOOKUP(A86,'SegEnds_NonXtal_Prot#'!A:AL,34,FALSE)-VLOOKUP(A86,'SegEnds_NonXtal_Prot#'!A:AL,31,FALSE)</f>
        <v>40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309</v>
      </c>
      <c r="B87" s="1" t="str">
        <f>VLOOKUP(A87,Xtal_Templ!A:B,2,FALSE)</f>
        <v>s1pr1_human</v>
      </c>
      <c r="C87" s="5">
        <f>VLOOKUP($B87&amp;"__wt",'SegEnds_Xtal_BW#'!$A:$Z,3,FALSE)</f>
        <v>29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67</v>
      </c>
      <c r="I87" s="1" t="s">
        <v>23</v>
      </c>
      <c r="J87" s="1" t="s">
        <v>23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f>VLOOKUP($B87&amp;"__wt",'SegEnds_Xtal_BW#'!$A:$Z,15,FALSE)</f>
        <v>38</v>
      </c>
      <c r="P87" s="1">
        <f>VLOOKUP($B87&amp;"__wt",'SegEnds_Xtal_BW#'!$A:$Z,16,FALSE)</f>
        <v>63</v>
      </c>
      <c r="Q87" s="1" t="str">
        <f>VLOOKUP($B87&amp;"__wt",'SegEnds_Xtal_BW#'!$A:$Z,17,FALSE)</f>
        <v>-</v>
      </c>
      <c r="R87" s="1" t="str">
        <f>VLOOKUP($B87&amp;"__wt",'SegEnds_Xtal_BW#'!$A:$Z,18,FALSE)</f>
        <v>-</v>
      </c>
      <c r="S87" s="108">
        <v>33</v>
      </c>
      <c r="T87" s="1">
        <f t="array" ref="T87">INDEX(ICL3_classA!$G$2:$G$37,MATCH(MIN(ABS(AI87-ICL3_classA!$F$2:$F$37)),ABS(AI87-ICL3_classA!$F$2:$F$37),0))</f>
        <v>67</v>
      </c>
      <c r="U87" s="108">
        <v>27</v>
      </c>
      <c r="V87" s="1">
        <v>61</v>
      </c>
      <c r="W87" s="132">
        <f>VLOOKUP($B87&amp;"__wt",'SegEnds_Xtal_BW#'!$A:$Z,23,FALSE)</f>
        <v>30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 t="e">
        <f>VLOOKUP(A87,'SegEnds_NonXtal_Prot#'!A:AL,13,FALSE)-VLOOKUP(A87,'SegEnds_NonXtal_Prot#'!A:AL,10,FALSE)</f>
        <v>#VALUE!</v>
      </c>
      <c r="AE87" s="1">
        <f>VLOOKUP(A87,'SegEnds_NonXtal_Prot#'!A:AL,16,FALSE)-VLOOKUP(A87,'SegEnds_NonXtal_Prot#'!A:AL,10,FALSE)</f>
        <v>58</v>
      </c>
      <c r="AF87" s="1">
        <f>VLOOKUP(A87,'SegEnds_NonXtal_Prot#'!A:AL,22,FALSE)-VLOOKUP(A87,'SegEnds_NonXtal_Prot#'!A:AL,19,FALSE)</f>
        <v>20</v>
      </c>
      <c r="AG87" s="1" t="e">
        <f>VLOOKUP(A87,'SegEnds_NonXtal_Prot#'!A:AL,28,FALSE)-VLOOKUP(A87,'SegEnds_NonXtal_Prot#'!A:AL,25,FALSE)</f>
        <v>#VALUE!</v>
      </c>
      <c r="AH87" s="1">
        <f>VLOOKUP(A87,'SegEnds_NonXtal_Prot#'!A:AL,28,FALSE)-VLOOKUP(A87,'SegEnds_NonXtal_Prot#'!A:AL,22,FALSE)</f>
        <v>40</v>
      </c>
      <c r="AI87" s="1">
        <f>VLOOKUP(A87,'SegEnds_NonXtal_Prot#'!A:AL,31,FALSE)-VLOOKUP(A87,'SegEnds_NonXtal_Prot#'!A:AL,28,FALSE)</f>
        <v>47</v>
      </c>
      <c r="AJ87" s="1">
        <f>VLOOKUP(A87,'SegEnds_NonXtal_Prot#'!A:AL,34,FALSE)-VLOOKUP(A87,'SegEnds_NonXtal_Prot#'!A:AL,31,FALSE)</f>
        <v>39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349</v>
      </c>
      <c r="B88" s="1" t="str">
        <f>VLOOKUP(A88,Xtal_Templ!A:B,2,FALSE)</f>
        <v>par2_human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 t="str">
        <f>VLOOKUP($B88&amp;"__wt",'SegEnds_Xtal_BW#'!$A:$Z,5,FALSE)</f>
        <v>-</v>
      </c>
      <c r="F88" s="1" t="str">
        <f>VLOOKUP($B88&amp;"__wt",'SegEnds_Xtal_BW#'!$A:$Z,6,FALSE)</f>
        <v>-</v>
      </c>
      <c r="G88" s="1">
        <v>37</v>
      </c>
      <c r="H88" s="12">
        <f>VLOOKUP($B88&amp;"__wt",'SegEnds_Xtal_BW#'!$A:$Z,8,FALSE)</f>
        <v>66</v>
      </c>
      <c r="I88" s="1">
        <f>VLOOKUP($B88&amp;"__wt",'SegEnds_Xtal_BW#'!$A:$Z,9,FALSE)</f>
        <v>47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31</v>
      </c>
      <c r="T88" s="1">
        <f t="array" ref="T88">INDEX(ICL3_classA!$G$2:$G$37,MATCH(MIN(ABS(AI88-ICL3_classA!$F$2:$F$37)),ABS(AI88-ICL3_classA!$F$2:$F$37),0))</f>
        <v>67</v>
      </c>
      <c r="U88" s="1">
        <f t="array" ref="U88">INDEX(ICL3_classA!$H$2:$H$37,MATCH(MIN(ABS(AI88-ICL3_classA!$F$2:$F$37)),ABS(AI88-ICL3_classA!$F$2:$F$37),0))</f>
        <v>26</v>
      </c>
      <c r="V88" s="1">
        <v>61</v>
      </c>
      <c r="W88" s="132">
        <f>VLOOKUP($B88&amp;"__wt",'SegEnds_Xtal_BW#'!$A:$Z,23,FALSE)</f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61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 t="e">
        <f>VLOOKUP(A88,'SegEnds_NonXtal_Prot#'!A:AL,10,FALSE)-VLOOKUP(A88,'SegEnds_NonXtal_Prot#'!A:AL,7,FALSE)</f>
        <v>#VALUE!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30</v>
      </c>
      <c r="AH88" s="1">
        <f>VLOOKUP(A88,'SegEnds_NonXtal_Prot#'!A:AL,28,FALSE)-VLOOKUP(A88,'SegEnds_NonXtal_Prot#'!A:AL,22,FALSE)</f>
        <v>57</v>
      </c>
      <c r="AI88" s="1">
        <f>VLOOKUP(A88,'SegEnds_NonXtal_Prot#'!A:AL,31,FALSE)-VLOOKUP(A88,'SegEnds_NonXtal_Prot#'!A:AL,28,FALSE)</f>
        <v>47</v>
      </c>
      <c r="AJ88" s="1">
        <f>VLOOKUP(A88,'SegEnds_NonXtal_Prot#'!A:AL,34,FALSE)-VLOOKUP(A88,'SegEnds_NonXtal_Prot#'!A:AL,31,FALSE)</f>
        <v>38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377</v>
      </c>
      <c r="B89" s="1" t="str">
        <f>VLOOKUP(A89,Xtal_Templ!A:B,2,FALSE)</f>
        <v>s1pr1_human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v>63</v>
      </c>
      <c r="I89" s="1">
        <f>VLOOKUP($B89&amp;"__wt",'SegEnds_Xtal_BW#'!$A:$Z,9,FALSE)</f>
        <v>47</v>
      </c>
      <c r="J89" s="1">
        <f>VLOOKUP($B89&amp;"__wt",'SegEnds_Xtal_BW#'!$A:$Z,10,FALSE)</f>
        <v>53</v>
      </c>
      <c r="K89" s="12">
        <v>21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08">
        <v>56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 t="str">
        <f>VLOOKUP($B89&amp;"__wt",'SegEnds_Xtal_BW#'!$A:$Z,17,FALSE)</f>
        <v>-</v>
      </c>
      <c r="R89" s="1" t="str">
        <f>VLOOKUP($B89&amp;"__wt",'SegEnds_Xtal_BW#'!$A:$Z,18,FALSE)</f>
        <v>-</v>
      </c>
      <c r="S89" s="1">
        <f>VLOOKUP($B89&amp;"__wt",'SegEnds_Xtal_BW#'!$A:$Z,19,FALSE)</f>
        <v>36</v>
      </c>
      <c r="T89" s="1">
        <f t="array" ref="T89">INDEX(ICL3_classA!$G$2:$G$37,MATCH(MIN(ABS(AI89-ICL3_classA!$F$2:$F$37)),ABS(AI89-ICL3_classA!$F$2:$F$37),0))</f>
        <v>67</v>
      </c>
      <c r="U89" s="1">
        <f t="array" ref="U89">INDEX(ICL3_classA!$H$2:$H$37,MATCH(MIN(ABS(AI89-ICL3_classA!$F$2:$F$37)),ABS(AI89-ICL3_classA!$F$2:$F$37),0))</f>
        <v>26</v>
      </c>
      <c r="V89" s="1">
        <v>61</v>
      </c>
      <c r="W89" s="1">
        <v>30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18</v>
      </c>
      <c r="AE89" s="1">
        <f>VLOOKUP(A89,'SegEnds_NonXtal_Prot#'!A:AL,16,FALSE)-VLOOKUP(A89,'SegEnds_NonXtal_Prot#'!A:AL,10,FALSE)</f>
        <v>51</v>
      </c>
      <c r="AF89" s="1">
        <f>VLOOKUP(A89,'SegEnds_NonXtal_Prot#'!A:AL,22,FALSE)-VLOOKUP(A89,'SegEnds_NonXtal_Prot#'!A:AL,19,FALSE)</f>
        <v>19</v>
      </c>
      <c r="AG89" s="1" t="e">
        <f>VLOOKUP(A89,'SegEnds_NonXtal_Prot#'!A:AL,28,FALSE)-VLOOKUP(A89,'SegEnds_NonXtal_Prot#'!A:AL,25,FALSE)</f>
        <v>#VALUE!</v>
      </c>
      <c r="AH89" s="1">
        <f>VLOOKUP(A89,'SegEnds_NonXtal_Prot#'!A:AL,28,FALSE)-VLOOKUP(A89,'SegEnds_NonXtal_Prot#'!A:AL,22,FALSE)</f>
        <v>45</v>
      </c>
      <c r="AI89" s="1">
        <f>VLOOKUP(A89,'SegEnds_NonXtal_Prot#'!A:AL,31,FALSE)-VLOOKUP(A89,'SegEnds_NonXtal_Prot#'!A:AL,28,FALSE)</f>
        <v>47</v>
      </c>
      <c r="AJ89" s="1">
        <f>VLOOKUP(A89,'SegEnds_NonXtal_Prot#'!A:AL,34,FALSE)-VLOOKUP(A89,'SegEnds_NonXtal_Prot#'!A:AL,31,FALSE)</f>
        <v>37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158</v>
      </c>
      <c r="B90" s="1" t="str">
        <f>VLOOKUP(A90,Xtal_Templ!A:B,2,FALSE)</f>
        <v>agtr1_human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66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f>VLOOKUP($B90&amp;"__wt",'SegEnds_Xtal_BW#'!$A:$Z,14,FALSE)</f>
        <v>57</v>
      </c>
      <c r="O90" s="87">
        <f>VLOOKUP($B90&amp;"__wt",'SegEnds_Xtal_BW#'!$A:$Z,15,FALSE)</f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INDEX(ICL3_classA!$G$2:$G$37,MATCH(MIN(ABS(AI90-ICL3_classA!$F$2:$F$37)),ABS(AI90-ICL3_classA!$F$2:$F$37),0))</f>
        <v>68</v>
      </c>
      <c r="U90" s="1">
        <f t="array" ref="U90">INDEX(ICL3_classA!$H$2:$H$37,MATCH(MIN(ABS(AI90-ICL3_classA!$F$2:$F$37)),ABS(AI90-ICL3_classA!$F$2:$F$37),0))</f>
        <v>24</v>
      </c>
      <c r="V90" s="1">
        <v>64</v>
      </c>
      <c r="W90" s="1">
        <v>24</v>
      </c>
      <c r="X90" s="125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61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27</v>
      </c>
      <c r="AH90" s="1">
        <f>VLOOKUP(A90,'SegEnds_NonXtal_Prot#'!A:AL,28,FALSE)-VLOOKUP(A90,'SegEnds_NonXtal_Prot#'!A:AL,22,FALSE)</f>
        <v>54</v>
      </c>
      <c r="AI90" s="1">
        <f>VLOOKUP(A90,'SegEnds_NonXtal_Prot#'!A:AL,31,FALSE)-VLOOKUP(A90,'SegEnds_NonXtal_Prot#'!A:AL,28,FALSE)</f>
        <v>48</v>
      </c>
      <c r="AJ90" s="1">
        <f>VLOOKUP(A90,'SegEnds_NonXtal_Prot#'!A:AL,34,FALSE)-VLOOKUP(A90,'SegEnds_NonXtal_Prot#'!A:AL,31,FALSE)</f>
        <v>44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Xtal</v>
      </c>
    </row>
    <row r="91" spans="1:38" x14ac:dyDescent="0.2">
      <c r="A91" s="1" t="s">
        <v>159</v>
      </c>
      <c r="B91" s="1" t="str">
        <f>VLOOKUP(A91,Xtal_Templ!A:B,2,FALSE)</f>
        <v>agtr2_human</v>
      </c>
      <c r="C91" s="5">
        <f>VLOOKUP($B91&amp;"__wt",'SegEnds_Xtal_BW#'!$A:$Z,3,FALSE)</f>
        <v>33</v>
      </c>
      <c r="D91" s="1">
        <f>VLOOKUP($B91&amp;"__wt",'SegEnds_Xtal_BW#'!$A:$Z,4,FALSE)</f>
        <v>60</v>
      </c>
      <c r="E91" s="1" t="str">
        <f>VLOOKUP($B91&amp;"__wt",'SegEnds_Xtal_BW#'!$A:$Z,5,FALSE)</f>
        <v>-</v>
      </c>
      <c r="F91" s="1" t="str">
        <f>VLOOKUP($B91&amp;"__wt",'SegEnds_Xtal_BW#'!$A:$Z,6,FALSE)</f>
        <v>-</v>
      </c>
      <c r="G91" s="108">
        <v>38</v>
      </c>
      <c r="H91" s="12">
        <f>VLOOKUP($B91&amp;"__wt",'SegEnds_Xtal_BW#'!$A:$Z,8,FALSE)</f>
        <v>66</v>
      </c>
      <c r="I91" s="1">
        <f>VLOOKUP($B91&amp;"__wt",'SegEnds_Xtal_BW#'!$A:$Z,9,FALSE)</f>
        <v>47</v>
      </c>
      <c r="J91" s="1">
        <f>VLOOKUP($B91&amp;"__wt",'SegEnds_Xtal_BW#'!$A:$Z,10,FALSE)</f>
        <v>52</v>
      </c>
      <c r="K91" s="12">
        <v>21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f>VLOOKUP($B91&amp;"__wt",'SegEnds_Xtal_BW#'!$A:$Z,14,FALSE)</f>
        <v>56</v>
      </c>
      <c r="O91" s="87">
        <f>VLOOKUP($B91&amp;"__wt",'SegEnds_Xtal_BW#'!$A:$Z,15,FALSE)</f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30</v>
      </c>
      <c r="T91" s="1">
        <f t="array" ref="T91">INDEX(ICL3_classA!$G$2:$G$37,MATCH(MIN(ABS(AI91-ICL3_classA!$F$2:$F$37)),ABS(AI91-ICL3_classA!$F$2:$F$37),0))</f>
        <v>68</v>
      </c>
      <c r="U91" s="1">
        <f t="array" ref="U91">INDEX(ICL3_classA!$H$2:$H$37,MATCH(MIN(ABS(AI91-ICL3_classA!$F$2:$F$37)),ABS(AI91-ICL3_classA!$F$2:$F$37),0))</f>
        <v>24</v>
      </c>
      <c r="V91" s="1">
        <v>64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61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 t="e">
        <f>VLOOKUP(A91,'SegEnds_NonXtal_Prot#'!A:AL,10,FALSE)-VLOOKUP(A91,'SegEnds_NonXtal_Prot#'!A:AL,7,FALSE)</f>
        <v>#VALUE!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19</v>
      </c>
      <c r="AG91" s="1">
        <f>VLOOKUP(A91,'SegEnds_NonXtal_Prot#'!A:AL,28,FALSE)-VLOOKUP(A91,'SegEnds_NonXtal_Prot#'!A:AL,25,FALSE)</f>
        <v>28</v>
      </c>
      <c r="AH91" s="1">
        <f>VLOOKUP(A91,'SegEnds_NonXtal_Prot#'!A:AL,28,FALSE)-VLOOKUP(A91,'SegEnds_NonXtal_Prot#'!A:AL,22,FALSE)</f>
        <v>55</v>
      </c>
      <c r="AI91" s="1">
        <f>VLOOKUP(A91,'SegEnds_NonXtal_Prot#'!A:AL,31,FALSE)-VLOOKUP(A91,'SegEnds_NonXtal_Prot#'!A:AL,28,FALSE)</f>
        <v>48</v>
      </c>
      <c r="AJ91" s="1">
        <f>VLOOKUP(A91,'SegEnds_NonXtal_Prot#'!A:AL,34,FALSE)-VLOOKUP(A91,'SegEnds_NonXtal_Prot#'!A:AL,31,FALSE)</f>
        <v>44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Xtal</v>
      </c>
    </row>
    <row r="92" spans="1:38" x14ac:dyDescent="0.2">
      <c r="A92" s="1" t="s">
        <v>216</v>
      </c>
      <c r="B92" s="1" t="str">
        <f>VLOOKUP(A92,Xtal_Templ!A:B,2,FALSE)</f>
        <v>5ht2c_human</v>
      </c>
      <c r="C92" s="5">
        <f>VLOOKUP($B92&amp;"__wt",'SegEnds_Xtal_BW#'!$A:$Z,3,FALSE)</f>
        <v>33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"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08">
        <v>56</v>
      </c>
      <c r="O92" s="87">
        <f>VLOOKUP($B92&amp;"__wt",'SegEnds_Xtal_BW#'!$A:$Z,15,FALSE)</f>
        <v>38</v>
      </c>
      <c r="P92" s="1">
        <f>VLOOKUP($B92&amp;"__wt",'SegEnds_Xtal_BW#'!$A:$Z,16,FALSE)</f>
        <v>67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35</v>
      </c>
      <c r="T92" s="1">
        <f t="array" ref="T92">INDEX(ICL3_classA!$G$2:$G$37,MATCH(MIN(ABS(AI92-ICL3_classA!$F$2:$F$37)),ABS(AI92-ICL3_classA!$F$2:$F$37),0))</f>
        <v>68</v>
      </c>
      <c r="U92" s="1">
        <f t="array" ref="U92">INDEX(ICL3_classA!$H$2:$H$37,MATCH(MIN(ABS(AI92-ICL3_classA!$F$2:$F$37)),ABS(AI92-ICL3_classA!$F$2:$F$37),0))</f>
        <v>24</v>
      </c>
      <c r="V92" s="1">
        <v>61</v>
      </c>
      <c r="W92" s="132">
        <f>VLOOKUP($B92&amp;"__wt",'SegEnds_Xtal_BW#'!$A:$Z,23,FALSE)</f>
        <v>27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60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29</v>
      </c>
      <c r="AC92" s="1" t="e">
        <f>VLOOKUP(A92,'SegEnds_NonXtal_Prot#'!A:AL,10,FALSE)-VLOOKUP(A92,'SegEnds_NonXtal_Prot#'!A:AL,7,FALSE)</f>
        <v>#VALUE!</v>
      </c>
      <c r="AD92" s="1" t="e">
        <f>VLOOKUP(A92,'SegEnds_NonXtal_Prot#'!A:AL,13,FALSE)-VLOOKUP(A92,'SegEnds_NonXtal_Prot#'!A:AL,10,FALSE)</f>
        <v>#VALUE!</v>
      </c>
      <c r="AE92" s="1">
        <f>VLOOKUP(A92,'SegEnds_NonXtal_Prot#'!A:AL,16,FALSE)-VLOOKUP(A92,'SegEnds_NonXtal_Prot#'!A:AL,10,FALSE)</f>
        <v>53</v>
      </c>
      <c r="AF92" s="1">
        <f>VLOOKUP(A92,'SegEnds_NonXtal_Prot#'!A:AL,22,FALSE)-VLOOKUP(A92,'SegEnds_NonXtal_Prot#'!A:AL,19,FALSE)</f>
        <v>19</v>
      </c>
      <c r="AG92" s="1" t="e">
        <f>VLOOKUP(A92,'SegEnds_NonXtal_Prot#'!A:AL,28,FALSE)-VLOOKUP(A92,'SegEnds_NonXtal_Prot#'!A:AL,25,FALSE)</f>
        <v>#VALUE!</v>
      </c>
      <c r="AH92" s="1">
        <f>VLOOKUP(A92,'SegEnds_NonXtal_Prot#'!A:AL,28,FALSE)-VLOOKUP(A92,'SegEnds_NonXtal_Prot#'!A:AL,22,FALSE)</f>
        <v>43</v>
      </c>
      <c r="AI92" s="1">
        <f>VLOOKUP(A92,'SegEnds_NonXtal_Prot#'!A:AL,31,FALSE)-VLOOKUP(A92,'SegEnds_NonXtal_Prot#'!A:AL,28,FALSE)</f>
        <v>48</v>
      </c>
      <c r="AJ92" s="1">
        <f>VLOOKUP(A92,'SegEnds_NonXtal_Prot#'!A:AL,34,FALSE)-VLOOKUP(A92,'SegEnds_NonXtal_Prot#'!A:AL,31,FALSE)</f>
        <v>39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224</v>
      </c>
      <c r="B93" s="1" t="str">
        <f>VLOOKUP(A93,Xtal_Templ!A:B,2,FALSE)</f>
        <v>pd2r2_human</v>
      </c>
      <c r="C93" s="5">
        <f>VLOOKUP($B93&amp;"__wt",'SegEnds_Xtal_BW#'!$A:$Z,3,FALSE)</f>
        <v>32</v>
      </c>
      <c r="D93" s="1">
        <f>VLOOKUP($B93&amp;"__wt",'SegEnds_Xtal_BW#'!$A:$Z,4,FALSE)</f>
        <v>60</v>
      </c>
      <c r="E93" s="1" t="str">
        <f>VLOOKUP($B93&amp;"__wt",'SegEnds_Xtal_BW#'!$A:$Z,5,FALSE)</f>
        <v>-</v>
      </c>
      <c r="F93" s="1" t="str">
        <f>VLOOKUP($B93&amp;"__wt",'SegEnds_Xtal_BW#'!$A:$Z,6,FALSE)</f>
        <v>-</v>
      </c>
      <c r="G93" s="1">
        <v>37</v>
      </c>
      <c r="H93" s="12"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v>35</v>
      </c>
      <c r="T93" s="1">
        <f t="array" ref="T93">INDEX(ICL3_classA!$G$2:$G$37,MATCH(MIN(ABS(AI93-ICL3_classA!$F$2:$F$37)),ABS(AI93-ICL3_classA!$F$2:$F$37),0))</f>
        <v>68</v>
      </c>
      <c r="U93" s="1">
        <f t="array" ref="U93">INDEX(ICL3_classA!$H$2:$H$37,MATCH(MIN(ABS(AI93-ICL3_classA!$F$2:$F$37)),ABS(AI93-ICL3_classA!$F$2:$F$37),0))</f>
        <v>24</v>
      </c>
      <c r="V93" s="1">
        <v>61</v>
      </c>
      <c r="W93" s="1">
        <v>28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64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30</v>
      </c>
      <c r="AC93" s="1" t="e">
        <f>VLOOKUP(A93,'SegEnds_NonXtal_Prot#'!A:AL,10,FALSE)-VLOOKUP(A93,'SegEnds_NonXtal_Prot#'!A:AL,7,FALSE)</f>
        <v>#VALUE!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22</v>
      </c>
      <c r="AH93" s="1">
        <f>VLOOKUP(A93,'SegEnds_NonXtal_Prot#'!A:AL,28,FALSE)-VLOOKUP(A93,'SegEnds_NonXtal_Prot#'!A:AL,22,FALSE)</f>
        <v>48</v>
      </c>
      <c r="AI93" s="1">
        <f>VLOOKUP(A93,'SegEnds_NonXtal_Prot#'!A:AL,31,FALSE)-VLOOKUP(A93,'SegEnds_NonXtal_Prot#'!A:AL,28,FALSE)</f>
        <v>48</v>
      </c>
      <c r="AJ93" s="1">
        <f>VLOOKUP(A93,'SegEnds_NonXtal_Prot#'!A:AL,34,FALSE)-VLOOKUP(A93,'SegEnds_NonXtal_Prot#'!A:AL,31,FALSE)</f>
        <v>40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231</v>
      </c>
      <c r="B94" s="1" t="str">
        <f>VLOOKUP(A94,Xtal_Templ!A:B,2,FALSE)</f>
        <v>p2ry1_human</v>
      </c>
      <c r="C94" s="5">
        <f>VLOOKUP($B94&amp;"__wt",'SegEnds_Xtal_BW#'!$A:$Z,3,FALSE)</f>
        <v>30</v>
      </c>
      <c r="D94" s="1">
        <f>VLOOKUP($B94&amp;"__wt",'SegEnds_Xtal_BW#'!$A:$Z,4,FALSE)</f>
        <v>60</v>
      </c>
      <c r="E94" s="1" t="str">
        <f>VLOOKUP($B94&amp;"__wt",'SegEnds_Xtal_BW#'!$A:$Z,5,FALSE)</f>
        <v>-</v>
      </c>
      <c r="F94" s="1" t="str">
        <f>VLOOKUP($B94&amp;"__wt",'SegEnds_Xtal_BW#'!$A:$Z,6,FALSE)</f>
        <v>-</v>
      </c>
      <c r="G94" s="1">
        <v>37</v>
      </c>
      <c r="H94" s="12"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21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08">
        <v>56</v>
      </c>
      <c r="O94" s="87">
        <f>VLOOKUP($B94&amp;"__wt",'SegEnds_Xtal_BW#'!$A:$Z,15,FALSE)</f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INDEX(ICL3_classA!$G$2:$G$37,MATCH(MIN(ABS(AI94-ICL3_classA!$F$2:$F$37)),ABS(AI94-ICL3_classA!$F$2:$F$37),0))</f>
        <v>68</v>
      </c>
      <c r="U94" s="1">
        <f t="array" ref="U94">INDEX(ICL3_classA!$H$2:$H$37,MATCH(MIN(ABS(AI94-ICL3_classA!$F$2:$F$37)),ABS(AI94-ICL3_classA!$F$2:$F$37),0))</f>
        <v>24</v>
      </c>
      <c r="V94" s="1">
        <v>64</v>
      </c>
      <c r="W94" s="1">
        <v>24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 t="e">
        <f>VLOOKUP(A94,'SegEnds_NonXtal_Prot#'!A:AL,10,FALSE)-VLOOKUP(A94,'SegEnds_NonXtal_Prot#'!A:AL,7,FALSE)</f>
        <v>#VALUE!</v>
      </c>
      <c r="AD94" s="1">
        <f>VLOOKUP(A94,'SegEnds_NonXtal_Prot#'!A:AL,13,FALSE)-VLOOKUP(A94,'SegEnds_NonXtal_Prot#'!A:AL,10,FALSE)</f>
        <v>19</v>
      </c>
      <c r="AE94" s="1">
        <f>VLOOKUP(A94,'SegEnds_NonXtal_Prot#'!A:AL,16,FALSE)-VLOOKUP(A94,'SegEnds_NonXtal_Prot#'!A:AL,10,FALSE)</f>
        <v>51</v>
      </c>
      <c r="AF94" s="1">
        <f>VLOOKUP(A94,'SegEnds_NonXtal_Prot#'!A:AL,22,FALSE)-VLOOKUP(A94,'SegEnds_NonXtal_Prot#'!A:AL,19,FALSE)</f>
        <v>19</v>
      </c>
      <c r="AG94" s="1">
        <f>VLOOKUP(A94,'SegEnds_NonXtal_Prot#'!A:AL,28,FALSE)-VLOOKUP(A94,'SegEnds_NonXtal_Prot#'!A:AL,25,FALSE)</f>
        <v>29</v>
      </c>
      <c r="AH94" s="1">
        <f>VLOOKUP(A94,'SegEnds_NonXtal_Prot#'!A:AL,28,FALSE)-VLOOKUP(A94,'SegEnds_NonXtal_Prot#'!A:AL,22,FALSE)</f>
        <v>55</v>
      </c>
      <c r="AI94" s="1">
        <f>VLOOKUP(A94,'SegEnds_NonXtal_Prot#'!A:AL,31,FALSE)-VLOOKUP(A94,'SegEnds_NonXtal_Prot#'!A:AL,28,FALSE)</f>
        <v>48</v>
      </c>
      <c r="AJ94" s="1">
        <f>VLOOKUP(A94,'SegEnds_NonXtal_Prot#'!A:AL,34,FALSE)-VLOOKUP(A94,'SegEnds_NonXtal_Prot#'!A:AL,31,FALSE)</f>
        <v>44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236</v>
      </c>
      <c r="B95" s="1" t="str">
        <f>VLOOKUP(A95,Xtal_Templ!A:B,2,FALSE)</f>
        <v>ccr5_human</v>
      </c>
      <c r="C95" s="5">
        <f>VLOOKUP($B95&amp;"__wt",'SegEnds_Xtal_BW#'!$A:$Z,3,FALSE)</f>
        <v>24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24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7">
        <f>VLOOKUP($B95&amp;"__wt",'SegEnds_Xtal_BW#'!$A:$Z,15,FALSE)</f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34</v>
      </c>
      <c r="T95" s="1">
        <f t="array" ref="T95">INDEX(ICL3_classA!$G$2:$G$37,MATCH(MIN(ABS(AI95-ICL3_classA!$F$2:$F$37)),ABS(AI95-ICL3_classA!$F$2:$F$37),0))</f>
        <v>68</v>
      </c>
      <c r="U95" s="1">
        <f t="array" ref="U95">INDEX(ICL3_classA!$H$2:$H$37,MATCH(MIN(ABS(AI95-ICL3_classA!$F$2:$F$37)),ABS(AI95-ICL3_classA!$F$2:$F$37),0))</f>
        <v>24</v>
      </c>
      <c r="V95" s="1">
        <v>64</v>
      </c>
      <c r="W95" s="1">
        <v>24</v>
      </c>
      <c r="X95" s="125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19</v>
      </c>
      <c r="AE95" s="1">
        <f>VLOOKUP(A95,'SegEnds_NonXtal_Prot#'!A:AL,16,FALSE)-VLOOKUP(A95,'SegEnds_NonXtal_Prot#'!A:AL,10,FALSE)</f>
        <v>50</v>
      </c>
      <c r="AF95" s="1">
        <f>VLOOKUP(A95,'SegEnds_NonXtal_Prot#'!A:AL,22,FALSE)-VLOOKUP(A95,'SegEnds_NonXtal_Prot#'!A:AL,19,FALSE)</f>
        <v>20</v>
      </c>
      <c r="AG95" s="1">
        <f>VLOOKUP(A95,'SegEnds_NonXtal_Prot#'!A:AL,28,FALSE)-VLOOKUP(A95,'SegEnds_NonXtal_Prot#'!A:AL,25,FALSE)</f>
        <v>21</v>
      </c>
      <c r="AH95" s="1">
        <f>VLOOKUP(A95,'SegEnds_NonXtal_Prot#'!A:AL,28,FALSE)-VLOOKUP(A95,'SegEnds_NonXtal_Prot#'!A:AL,22,FALSE)</f>
        <v>44</v>
      </c>
      <c r="AI95" s="1">
        <f>VLOOKUP(A95,'SegEnds_NonXtal_Prot#'!A:AL,31,FALSE)-VLOOKUP(A95,'SegEnds_NonXtal_Prot#'!A:AL,28,FALSE)</f>
        <v>48</v>
      </c>
      <c r="AJ95" s="1">
        <f>VLOOKUP(A95,'SegEnds_NonXtal_Prot#'!A:AL,34,FALSE)-VLOOKUP(A95,'SegEnds_NonXtal_Prot#'!A:AL,31,FALSE)</f>
        <v>47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241</v>
      </c>
      <c r="B96" s="1" t="str">
        <f>VLOOKUP(A96,Xtal_Templ!A:B,2,FALSE)</f>
        <v>oprk_human</v>
      </c>
      <c r="C96" s="5">
        <f>VLOOKUP($B96&amp;"__wt",'SegEnds_Xtal_BW#'!$A:$Z,3,FALSE)</f>
        <v>30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v>66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21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7"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30</v>
      </c>
      <c r="T96" s="1">
        <f t="array" ref="T96">INDEX(ICL3_classA!$G$2:$G$37,MATCH(MIN(ABS(AI96-ICL3_classA!$F$2:$F$37)),ABS(AI96-ICL3_classA!$F$2:$F$37),0))</f>
        <v>68</v>
      </c>
      <c r="U96" s="1">
        <f t="array" ref="U96">INDEX(ICL3_classA!$H$2:$H$37,MATCH(MIN(ABS(AI96-ICL3_classA!$F$2:$F$37)),ABS(AI96-ICL3_classA!$F$2:$F$37),0))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 t="e">
        <f>VLOOKUP(A96,'SegEnds_NonXtal_Prot#'!A:AL,10,FALSE)-VLOOKUP(A96,'SegEnds_NonXtal_Prot#'!A:AL,7,FALSE)</f>
        <v>#VALUE!</v>
      </c>
      <c r="AD96" s="1">
        <f>VLOOKUP(A96,'SegEnds_NonXtal_Prot#'!A:AL,13,FALSE)-VLOOKUP(A96,'SegEnds_NonXtal_Prot#'!A:AL,10,FALSE)</f>
        <v>19</v>
      </c>
      <c r="AE96" s="1">
        <f>VLOOKUP(A96,'SegEnds_NonXtal_Prot#'!A:AL,16,FALSE)-VLOOKUP(A96,'SegEnds_NonXtal_Prot#'!A:AL,10,FALSE)</f>
        <v>51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27</v>
      </c>
      <c r="AH96" s="1">
        <f>VLOOKUP(A96,'SegEnds_NonXtal_Prot#'!A:AL,28,FALSE)-VLOOKUP(A96,'SegEnds_NonXtal_Prot#'!A:AL,22,FALSE)</f>
        <v>53</v>
      </c>
      <c r="AI96" s="1">
        <f>VLOOKUP(A96,'SegEnds_NonXtal_Prot#'!A:AL,31,FALSE)-VLOOKUP(A96,'SegEnds_NonXtal_Prot#'!A:AL,28,FALSE)</f>
        <v>48</v>
      </c>
      <c r="AJ96" s="1">
        <f>VLOOKUP(A96,'SegEnds_NonXtal_Prot#'!A:AL,34,FALSE)-VLOOKUP(A96,'SegEnds_NonXtal_Prot#'!A:AL,31,FALSE)</f>
        <v>36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NoXtal</v>
      </c>
    </row>
    <row r="97" spans="1:38" x14ac:dyDescent="0.2">
      <c r="A97" s="1" t="s">
        <v>243</v>
      </c>
      <c r="B97" s="1" t="str">
        <f>VLOOKUP(A97,Xtal_Templ!A:B,2,FALSE)</f>
        <v>oprk_human</v>
      </c>
      <c r="C97" s="5">
        <f>VLOOKUP($B97&amp;"__wt",'SegEnds_Xtal_BW#'!$A:$Z,3,FALSE)</f>
        <v>30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v>66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24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v>57</v>
      </c>
      <c r="O97" s="87"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08">
        <v>38</v>
      </c>
      <c r="T97" s="1">
        <f t="array" ref="T97">INDEX(ICL3_classA!$G$2:$G$37,MATCH(MIN(ABS(AI97-ICL3_classA!$F$2:$F$37)),ABS(AI97-ICL3_classA!$F$2:$F$37),0))</f>
        <v>68</v>
      </c>
      <c r="U97" s="1">
        <f t="array" ref="U97">INDEX(ICL3_classA!$H$2:$H$37,MATCH(MIN(ABS(AI97-ICL3_classA!$F$2:$F$37)),ABS(AI97-ICL3_classA!$F$2:$F$37),0))</f>
        <v>24</v>
      </c>
      <c r="V97" s="1">
        <v>61</v>
      </c>
      <c r="W97" s="132">
        <f>VLOOKUP($B97&amp;"__wt",'SegEnds_Xtal_BW#'!$A:$Z,23,FALSE)</f>
        <v>28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 t="e">
        <f>VLOOKUP(A97,'SegEnds_NonXtal_Prot#'!A:AL,13,FALSE)-VLOOKUP(A97,'SegEnds_NonXtal_Prot#'!A:AL,10,FALSE)</f>
        <v>#VALUE!</v>
      </c>
      <c r="AE97" s="1">
        <f>VLOOKUP(A97,'SegEnds_NonXtal_Prot#'!A:AL,16,FALSE)-VLOOKUP(A97,'SegEnds_NonXtal_Prot#'!A:AL,10,FALSE)</f>
        <v>49</v>
      </c>
      <c r="AF97" s="1">
        <f>VLOOKUP(A97,'SegEnds_NonXtal_Prot#'!A:AL,22,FALSE)-VLOOKUP(A97,'SegEnds_NonXtal_Prot#'!A:AL,19,FALSE)</f>
        <v>20</v>
      </c>
      <c r="AG97" s="1" t="e">
        <f>VLOOKUP(A97,'SegEnds_NonXtal_Prot#'!A:AL,28,FALSE)-VLOOKUP(A97,'SegEnds_NonXtal_Prot#'!A:AL,25,FALSE)</f>
        <v>#VALUE!</v>
      </c>
      <c r="AH97" s="1">
        <f>VLOOKUP(A97,'SegEnds_NonXtal_Prot#'!A:AL,28,FALSE)-VLOOKUP(A97,'SegEnds_NonXtal_Prot#'!A:AL,22,FALSE)</f>
        <v>33</v>
      </c>
      <c r="AI97" s="1">
        <f>VLOOKUP(A97,'SegEnds_NonXtal_Prot#'!A:AL,31,FALSE)-VLOOKUP(A97,'SegEnds_NonXtal_Prot#'!A:AL,28,FALSE)</f>
        <v>48</v>
      </c>
      <c r="AJ97" s="1">
        <f>VLOOKUP(A97,'SegEnds_NonXtal_Prot#'!A:AL,34,FALSE)-VLOOKUP(A97,'SegEnds_NonXtal_Prot#'!A:AL,31,FALSE)</f>
        <v>38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250</v>
      </c>
      <c r="B98" s="1" t="str">
        <f>VLOOKUP(A98,Xtal_Templ!A:B,2,FALSE)</f>
        <v>oprd_human</v>
      </c>
      <c r="C98" s="5">
        <f>VLOOKUP($B98&amp;"__wt",'SegEnds_Xtal_BW#'!$A:$Z,3,FALSE)</f>
        <v>22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66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31</v>
      </c>
      <c r="T98" s="1">
        <f t="array" ref="T98">INDEX(ICL3_classA!$G$2:$G$37,MATCH(MIN(ABS(AI98-ICL3_classA!$F$2:$F$37)),ABS(AI98-ICL3_classA!$F$2:$F$37),0))</f>
        <v>68</v>
      </c>
      <c r="U98" s="1">
        <f t="array" ref="U98">INDEX(ICL3_classA!$H$2:$H$37,MATCH(MIN(ABS(AI98-ICL3_classA!$F$2:$F$37)),ABS(AI98-ICL3_classA!$F$2:$F$37),0))</f>
        <v>24</v>
      </c>
      <c r="V98" s="1">
        <v>61</v>
      </c>
      <c r="W98" s="1">
        <v>28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60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27</v>
      </c>
      <c r="AH98" s="1">
        <f>VLOOKUP(A98,'SegEnds_NonXtal_Prot#'!A:AL,28,FALSE)-VLOOKUP(A98,'SegEnds_NonXtal_Prot#'!A:AL,22,FALSE)</f>
        <v>50</v>
      </c>
      <c r="AI98" s="1">
        <f>VLOOKUP(A98,'SegEnds_NonXtal_Prot#'!A:AL,31,FALSE)-VLOOKUP(A98,'SegEnds_NonXtal_Prot#'!A:AL,28,FALSE)</f>
        <v>48</v>
      </c>
      <c r="AJ98" s="1">
        <f>VLOOKUP(A98,'SegEnds_NonXtal_Prot#'!A:AL,34,FALSE)-VLOOKUP(A98,'SegEnds_NonXtal_Prot#'!A:AL,31,FALSE)</f>
        <v>42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261</v>
      </c>
      <c r="B99" s="1" t="str">
        <f>VLOOKUP(A99,Xtal_Templ!A:B,2,FALSE)</f>
        <v>oprk_human</v>
      </c>
      <c r="C99" s="5">
        <f>VLOOKUP($B99&amp;"__wt",'SegEnds_Xtal_BW#'!$A:$Z,3,FALSE)</f>
        <v>30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24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7"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30</v>
      </c>
      <c r="T99" s="1">
        <f t="array" ref="T99">INDEX(ICL3_classA!$G$2:$G$37,MATCH(MIN(ABS(AI99-ICL3_classA!$F$2:$F$37)),ABS(AI99-ICL3_classA!$F$2:$F$37),0))</f>
        <v>68</v>
      </c>
      <c r="U99" s="1">
        <f t="array" ref="U99">INDEX(ICL3_classA!$H$2:$H$37,MATCH(MIN(ABS(AI99-ICL3_classA!$F$2:$F$37)),ABS(AI99-ICL3_classA!$F$2:$F$37),0))</f>
        <v>24</v>
      </c>
      <c r="V99" s="1">
        <v>64</v>
      </c>
      <c r="W99" s="1">
        <v>24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32</v>
      </c>
      <c r="AC99" s="1" t="e">
        <f>VLOOKUP(A99,'SegEnds_NonXtal_Prot#'!A:AL,10,FALSE)-VLOOKUP(A99,'SegEnds_NonXtal_Prot#'!A:AL,7,FALSE)</f>
        <v>#VALUE!</v>
      </c>
      <c r="AD99" s="1" t="e">
        <f>VLOOKUP(A99,'SegEnds_NonXtal_Prot#'!A:AL,13,FALSE)-VLOOKUP(A99,'SegEnds_NonXtal_Prot#'!A:AL,10,FALSE)</f>
        <v>#VALUE!</v>
      </c>
      <c r="AE99" s="1">
        <f>VLOOKUP(A99,'SegEnds_NonXtal_Prot#'!A:AL,16,FALSE)-VLOOKUP(A99,'SegEnds_NonXtal_Prot#'!A:AL,10,FALSE)</f>
        <v>49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25</v>
      </c>
      <c r="AH99" s="1">
        <f>VLOOKUP(A99,'SegEnds_NonXtal_Prot#'!A:AL,28,FALSE)-VLOOKUP(A99,'SegEnds_NonXtal_Prot#'!A:AL,22,FALSE)</f>
        <v>47</v>
      </c>
      <c r="AI99" s="1">
        <f>VLOOKUP(A99,'SegEnds_NonXtal_Prot#'!A:AL,31,FALSE)-VLOOKUP(A99,'SegEnds_NonXtal_Prot#'!A:AL,28,FALSE)</f>
        <v>48</v>
      </c>
      <c r="AJ99" s="1">
        <f>VLOOKUP(A99,'SegEnds_NonXtal_Prot#'!A:AL,34,FALSE)-VLOOKUP(A99,'SegEnds_NonXtal_Prot#'!A:AL,31,FALSE)</f>
        <v>44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288</v>
      </c>
      <c r="B100" s="1" t="str">
        <f>VLOOKUP(A100,Xtal_Templ!A:B,2,FALSE)</f>
        <v>oprk_human</v>
      </c>
      <c r="C100" s="5">
        <f>VLOOKUP($B100&amp;"__wt",'SegEnds_Xtal_BW#'!$A:$Z,3,FALSE)</f>
        <v>30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v>66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21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v>38</v>
      </c>
      <c r="P100" s="1">
        <f>VLOOKUP($B100&amp;"__wt",'SegEnds_Xtal_BW#'!$A:$Z,16,FALSE)</f>
        <v>64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30</v>
      </c>
      <c r="T100" s="1">
        <f t="array" ref="T100">INDEX(ICL3_classA!$G$2:$G$37,MATCH(MIN(ABS(AI100-ICL3_classA!$F$2:$F$37)),ABS(AI100-ICL3_classA!$F$2:$F$37),0))</f>
        <v>68</v>
      </c>
      <c r="U100" s="1">
        <f t="array" ref="U100">INDEX(ICL3_classA!$H$2:$H$37,MATCH(MIN(ABS(AI100-ICL3_classA!$F$2:$F$37)),ABS(AI100-ICL3_classA!$F$2:$F$37),0))</f>
        <v>24</v>
      </c>
      <c r="V100" s="1">
        <v>64</v>
      </c>
      <c r="W100" s="1">
        <v>24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19</v>
      </c>
      <c r="AE100" s="1">
        <f>VLOOKUP(A100,'SegEnds_NonXtal_Prot#'!A:AL,16,FALSE)-VLOOKUP(A100,'SegEnds_NonXtal_Prot#'!A:AL,10,FALSE)</f>
        <v>51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28</v>
      </c>
      <c r="AH100" s="1">
        <f>VLOOKUP(A100,'SegEnds_NonXtal_Prot#'!A:AL,28,FALSE)-VLOOKUP(A100,'SegEnds_NonXtal_Prot#'!A:AL,22,FALSE)</f>
        <v>53</v>
      </c>
      <c r="AI100" s="1">
        <f>VLOOKUP(A100,'SegEnds_NonXtal_Prot#'!A:AL,31,FALSE)-VLOOKUP(A100,'SegEnds_NonXtal_Prot#'!A:AL,28,FALSE)</f>
        <v>48</v>
      </c>
      <c r="AJ100" s="1">
        <f>VLOOKUP(A100,'SegEnds_NonXtal_Prot#'!A:AL,34,FALSE)-VLOOKUP(A100,'SegEnds_NonXtal_Prot#'!A:AL,31,FALSE)</f>
        <v>44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290</v>
      </c>
      <c r="B101" s="1" t="str">
        <f>VLOOKUP(A101,Xtal_Templ!A:B,2,FALSE)</f>
        <v>ptafr_human</v>
      </c>
      <c r="C101" s="5">
        <f>VLOOKUP($B101&amp;"__wt",'SegEnds_Xtal_BW#'!$A:$Z,3,FALSE)</f>
        <v>27</v>
      </c>
      <c r="D101" s="108">
        <v>60</v>
      </c>
      <c r="E101" s="1" t="str">
        <f>VLOOKUP($B101&amp;"__wt",'SegEnds_Xtal_BW#'!$A:$Z,5,FALSE)</f>
        <v>-</v>
      </c>
      <c r="F101" s="1" t="str">
        <f>VLOOKUP($B101&amp;"__wt",'SegEnds_Xtal_BW#'!$A:$Z,6,FALSE)</f>
        <v>-</v>
      </c>
      <c r="G101" s="1">
        <v>37</v>
      </c>
      <c r="H101" s="12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21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f>VLOOKUP($B101&amp;"__wt",'SegEnds_Xtal_BW#'!$A:$Z,15,FALSE)</f>
        <v>38</v>
      </c>
      <c r="P101" s="1">
        <f>VLOOKUP($B101&amp;"__wt",'SegEnds_Xtal_BW#'!$A:$Z,16,FALSE)</f>
        <v>63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33</v>
      </c>
      <c r="T101" s="1">
        <f t="array" ref="T101">INDEX(ICL3_classA!$G$2:$G$37,MATCH(MIN(ABS(AI101-ICL3_classA!$F$2:$F$37)),ABS(AI101-ICL3_classA!$F$2:$F$37),0))</f>
        <v>68</v>
      </c>
      <c r="U101" s="1">
        <f t="array" ref="U101">INDEX(ICL3_classA!$H$2:$H$37,MATCH(MIN(ABS(AI101-ICL3_classA!$F$2:$F$37)),ABS(AI101-ICL3_classA!$F$2:$F$37),0))</f>
        <v>24</v>
      </c>
      <c r="V101" s="1">
        <v>64</v>
      </c>
      <c r="W101" s="1">
        <v>24</v>
      </c>
      <c r="X101" s="1">
        <f>VLOOKUP($B101&amp;"__wt",'SegEnds_Xtal_BW#'!$A:$Z,24,FALSE)</f>
        <v>59</v>
      </c>
      <c r="Y101" s="1">
        <f>VLOOKUP($B101&amp;"__wt",'SegEnds_Xtal_BW#'!$A:$Z,25,FALSE)</f>
        <v>50</v>
      </c>
      <c r="Z101" s="1">
        <f>VLOOKUP($B101&amp;"__wt",'SegEnds_Xtal_BW#'!$A:$Z,26,FALSE)</f>
        <v>63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19</v>
      </c>
      <c r="AE101" s="1">
        <f>VLOOKUP(A101,'SegEnds_NonXtal_Prot#'!A:AL,16,FALSE)-VLOOKUP(A101,'SegEnds_NonXtal_Prot#'!A:AL,10,FALSE)</f>
        <v>51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28</v>
      </c>
      <c r="AH101" s="1">
        <f>VLOOKUP(A101,'SegEnds_NonXtal_Prot#'!A:AL,28,FALSE)-VLOOKUP(A101,'SegEnds_NonXtal_Prot#'!A:AL,22,FALSE)</f>
        <v>55</v>
      </c>
      <c r="AI101" s="1">
        <f>VLOOKUP(A101,'SegEnds_NonXtal_Prot#'!A:AL,31,FALSE)-VLOOKUP(A101,'SegEnds_NonXtal_Prot#'!A:AL,28,FALSE)</f>
        <v>48</v>
      </c>
      <c r="AJ101" s="1">
        <f>VLOOKUP(A101,'SegEnds_NonXtal_Prot#'!A:AL,34,FALSE)-VLOOKUP(A101,'SegEnds_NonXtal_Prot#'!A:AL,31,FALSE)</f>
        <v>44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296</v>
      </c>
      <c r="B102" s="1" t="str">
        <f>VLOOKUP(A102,Xtal_Templ!A:B,2,FALSE)</f>
        <v>lpar1_human</v>
      </c>
      <c r="C102" s="5">
        <f>VLOOKUP($B102&amp;"__wt",'SegEnds_Xtal_BW#'!$A:$Z,3,FALSE)</f>
        <v>30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v>67</v>
      </c>
      <c r="I102" s="1" t="s">
        <v>23</v>
      </c>
      <c r="J102" s="1" t="s">
        <v>23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f>VLOOKUP($B102&amp;"__wt",'SegEnds_Xtal_BW#'!$A:$Z,15,FALSE)</f>
        <v>38</v>
      </c>
      <c r="P102" s="1">
        <f>VLOOKUP($B102&amp;"__wt",'SegEnds_Xtal_BW#'!$A:$Z,16,FALSE)</f>
        <v>63</v>
      </c>
      <c r="Q102" s="1" t="str">
        <f>VLOOKUP($B102&amp;"__wt",'SegEnds_Xtal_BW#'!$A:$Z,17,FALSE)</f>
        <v>-</v>
      </c>
      <c r="R102" s="1" t="str">
        <f>VLOOKUP($B102&amp;"__wt",'SegEnds_Xtal_BW#'!$A:$Z,18,FALSE)</f>
        <v>-</v>
      </c>
      <c r="S102" s="108">
        <v>33</v>
      </c>
      <c r="T102" s="1">
        <f t="array" ref="T102">INDEX(ICL3_classA!$G$2:$G$37,MATCH(MIN(ABS(AI102-ICL3_classA!$F$2:$F$37)),ABS(AI102-ICL3_classA!$F$2:$F$37),0))</f>
        <v>68</v>
      </c>
      <c r="U102" s="108">
        <v>27</v>
      </c>
      <c r="V102" s="1">
        <v>61</v>
      </c>
      <c r="W102" s="132">
        <f>VLOOKUP($B102&amp;"__wt",'SegEnds_Xtal_BW#'!$A:$Z,23,FALSE)</f>
        <v>30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 t="e">
        <f>VLOOKUP(A102,'SegEnds_NonXtal_Prot#'!A:AL,13,FALSE)-VLOOKUP(A102,'SegEnds_NonXtal_Prot#'!A:AL,10,FALSE)</f>
        <v>#VALUE!</v>
      </c>
      <c r="AE102" s="1">
        <f>VLOOKUP(A102,'SegEnds_NonXtal_Prot#'!A:AL,16,FALSE)-VLOOKUP(A102,'SegEnds_NonXtal_Prot#'!A:AL,10,FALSE)</f>
        <v>58</v>
      </c>
      <c r="AF102" s="1">
        <f>VLOOKUP(A102,'SegEnds_NonXtal_Prot#'!A:AL,22,FALSE)-VLOOKUP(A102,'SegEnds_NonXtal_Prot#'!A:AL,19,FALSE)</f>
        <v>20</v>
      </c>
      <c r="AG102" s="1" t="e">
        <f>VLOOKUP(A102,'SegEnds_NonXtal_Prot#'!A:AL,28,FALSE)-VLOOKUP(A102,'SegEnds_NonXtal_Prot#'!A:AL,25,FALSE)</f>
        <v>#VALUE!</v>
      </c>
      <c r="AH102" s="1">
        <f>VLOOKUP(A102,'SegEnds_NonXtal_Prot#'!A:AL,28,FALSE)-VLOOKUP(A102,'SegEnds_NonXtal_Prot#'!A:AL,22,FALSE)</f>
        <v>40</v>
      </c>
      <c r="AI102" s="1">
        <f>VLOOKUP(A102,'SegEnds_NonXtal_Prot#'!A:AL,31,FALSE)-VLOOKUP(A102,'SegEnds_NonXtal_Prot#'!A:AL,28,FALSE)</f>
        <v>48</v>
      </c>
      <c r="AJ102" s="1">
        <f>VLOOKUP(A102,'SegEnds_NonXtal_Prot#'!A:AL,34,FALSE)-VLOOKUP(A102,'SegEnds_NonXtal_Prot#'!A:AL,31,FALSE)</f>
        <v>39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347</v>
      </c>
      <c r="B103" s="1" t="str">
        <f>VLOOKUP(A103,Xtal_Templ!A:B,2,FALSE)</f>
        <v>p2ry1_human</v>
      </c>
      <c r="C103" s="5">
        <f>VLOOKUP($B103&amp;"__wt",'SegEnds_Xtal_BW#'!$A:$Z,3,FALSE)</f>
        <v>30</v>
      </c>
      <c r="D103" s="1">
        <f>VLOOKUP($B103&amp;"__wt",'SegEnds_Xtal_BW#'!$A:$Z,4,FALSE)</f>
        <v>60</v>
      </c>
      <c r="E103" s="1" t="str">
        <f>VLOOKUP($B103&amp;"__wt",'SegEnds_Xtal_BW#'!$A:$Z,5,FALSE)</f>
        <v>-</v>
      </c>
      <c r="F103" s="1" t="str">
        <f>VLOOKUP($B103&amp;"__wt",'SegEnds_Xtal_BW#'!$A:$Z,6,FALSE)</f>
        <v>-</v>
      </c>
      <c r="G103" s="1">
        <v>37</v>
      </c>
      <c r="H103" s="12">
        <f>VLOOKUP($B103&amp;"__wt",'SegEnds_Xtal_BW#'!$A:$Z,8,FALSE)</f>
        <v>66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7">
        <f>VLOOKUP($B103&amp;"__wt",'SegEnds_Xtal_BW#'!$A:$Z,15,FALSE)</f>
        <v>38</v>
      </c>
      <c r="P103" s="1">
        <f>VLOOKUP($B103&amp;"__wt",'SegEnds_Xtal_BW#'!$A:$Z,16,FALSE)</f>
        <v>64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32</v>
      </c>
      <c r="T103" s="1">
        <f t="array" ref="T103">INDEX(ICL3_classA!$G$2:$G$37,MATCH(MIN(ABS(AI103-ICL3_classA!$F$2:$F$37)),ABS(AI103-ICL3_classA!$F$2:$F$37),0))</f>
        <v>68</v>
      </c>
      <c r="U103" s="1">
        <f t="array" ref="U103">INDEX(ICL3_classA!$H$2:$H$37,MATCH(MIN(ABS(AI103-ICL3_classA!$F$2:$F$37)),ABS(AI103-ICL3_classA!$F$2:$F$37),0))</f>
        <v>24</v>
      </c>
      <c r="V103" s="1">
        <v>61</v>
      </c>
      <c r="W103" s="1">
        <v>24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 t="e">
        <f>VLOOKUP(A103,'SegEnds_NonXtal_Prot#'!A:AL,10,FALSE)-VLOOKUP(A103,'SegEnds_NonXtal_Prot#'!A:AL,7,FALSE)</f>
        <v>#VALUE!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27</v>
      </c>
      <c r="AH103" s="1">
        <f>VLOOKUP(A103,'SegEnds_NonXtal_Prot#'!A:AL,28,FALSE)-VLOOKUP(A103,'SegEnds_NonXtal_Prot#'!A:AL,22,FALSE)</f>
        <v>52</v>
      </c>
      <c r="AI103" s="1">
        <f>VLOOKUP(A103,'SegEnds_NonXtal_Prot#'!A:AL,31,FALSE)-VLOOKUP(A103,'SegEnds_NonXtal_Prot#'!A:AL,28,FALSE)</f>
        <v>48</v>
      </c>
      <c r="AJ103" s="1">
        <f>VLOOKUP(A103,'SegEnds_NonXtal_Prot#'!A:AL,34,FALSE)-VLOOKUP(A103,'SegEnds_NonXtal_Prot#'!A:AL,31,FALSE)</f>
        <v>43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4" t="s">
        <v>350</v>
      </c>
      <c r="B104" s="4" t="str">
        <f>VLOOKUP(A104,Xtal_Templ!A:B,2,FALSE)</f>
        <v>ptafr_human</v>
      </c>
      <c r="C104" s="5">
        <f>VLOOKUP($B104&amp;"__wt",'SegEnds_Xtal_BW#'!$A:$Z,3,FALSE)</f>
        <v>27</v>
      </c>
      <c r="D104" s="4">
        <f>VLOOKUP($B104&amp;"__wt",'SegEnds_Xtal_BW#'!$A:$Z,4,FALSE)</f>
        <v>61</v>
      </c>
      <c r="E104" s="4" t="str">
        <f>VLOOKUP($B104&amp;"__wt",'SegEnds_Xtal_BW#'!$A:$Z,5,FALSE)</f>
        <v>-</v>
      </c>
      <c r="F104" s="4" t="str">
        <f>VLOOKUP($B104&amp;"__wt",'SegEnds_Xtal_BW#'!$A:$Z,6,FALSE)</f>
        <v>-</v>
      </c>
      <c r="G104" s="4">
        <v>37</v>
      </c>
      <c r="H104" s="11">
        <v>66</v>
      </c>
      <c r="I104" s="4">
        <f>VLOOKUP($B104&amp;"__wt",'SegEnds_Xtal_BW#'!$A:$Z,9,FALSE)</f>
        <v>49</v>
      </c>
      <c r="J104" s="4">
        <f>VLOOKUP($B104&amp;"__wt",'SegEnds_Xtal_BW#'!$A:$Z,10,FALSE)</f>
        <v>52</v>
      </c>
      <c r="K104" s="11">
        <v>21</v>
      </c>
      <c r="L104" s="4">
        <f>VLOOKUP($B104&amp;"__wt",'SegEnds_Xtal_BW#'!$A:$Z,12,FALSE)</f>
        <v>56</v>
      </c>
      <c r="M104" s="4">
        <f>VLOOKUP($B104&amp;"__wt",'SegEnds_Xtal_BW#'!$A:$Z,13,FALSE)</f>
        <v>50</v>
      </c>
      <c r="N104" s="108">
        <v>56</v>
      </c>
      <c r="O104" s="87">
        <f>VLOOKUP($B104&amp;"__wt",'SegEnds_Xtal_BW#'!$A:$Z,15,FALSE)</f>
        <v>38</v>
      </c>
      <c r="P104" s="4">
        <f>VLOOKUP($B104&amp;"__wt",'SegEnds_Xtal_BW#'!$A:$Z,16,FALSE)</f>
        <v>63</v>
      </c>
      <c r="Q104" s="4">
        <f>VLOOKUP($B104&amp;"__wt",'SegEnds_Xtal_BW#'!$A:$Z,17,FALSE)</f>
        <v>50</v>
      </c>
      <c r="R104" s="4">
        <f>VLOOKUP($B104&amp;"__wt",'SegEnds_Xtal_BW#'!$A:$Z,18,FALSE)</f>
        <v>52</v>
      </c>
      <c r="S104" s="4">
        <f>VLOOKUP($B104&amp;"__wt",'SegEnds_Xtal_BW#'!$A:$Z,19,FALSE)</f>
        <v>33</v>
      </c>
      <c r="T104" s="4">
        <f t="array" ref="T104">INDEX(ICL3_classA!$G$2:$G$37,MATCH(MIN(ABS(AI104-ICL3_classA!$F$2:$F$37)),ABS(AI104-ICL3_classA!$F$2:$F$37),0))</f>
        <v>68</v>
      </c>
      <c r="U104" s="4">
        <f t="array" ref="U104">INDEX(ICL3_classA!$H$2:$H$37,MATCH(MIN(ABS(AI104-ICL3_classA!$F$2:$F$37)),ABS(AI104-ICL3_classA!$F$2:$F$37),0))</f>
        <v>24</v>
      </c>
      <c r="V104" s="4">
        <v>64</v>
      </c>
      <c r="W104" s="4">
        <v>24</v>
      </c>
      <c r="X104" s="4">
        <f>VLOOKUP($B104&amp;"__wt",'SegEnds_Xtal_BW#'!$A:$Z,24,FALSE)</f>
        <v>59</v>
      </c>
      <c r="Y104" s="4">
        <f>VLOOKUP($B104&amp;"__wt",'SegEnds_Xtal_BW#'!$A:$Z,25,FALSE)</f>
        <v>50</v>
      </c>
      <c r="Z104" s="4">
        <f>VLOOKUP($B104&amp;"__wt",'SegEnds_Xtal_BW#'!$A:$Z,26,FALSE)</f>
        <v>63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4" t="e">
        <f>VLOOKUP(A104,'SegEnds_NonXtal_Prot#'!A:AL,10,FALSE)-VLOOKUP(A104,'SegEnds_NonXtal_Prot#'!A:AL,7,FALSE)</f>
        <v>#VALUE!</v>
      </c>
      <c r="AD104" s="4">
        <f>VLOOKUP(A104,'SegEnds_NonXtal_Prot#'!A:AL,13,FALSE)-VLOOKUP(A104,'SegEnds_NonXtal_Prot#'!A:AL,10,FALSE)</f>
        <v>19</v>
      </c>
      <c r="AE104" s="4">
        <f>VLOOKUP(A104,'SegEnds_NonXtal_Prot#'!A:AL,16,FALSE)-VLOOKUP(A104,'SegEnds_NonXtal_Prot#'!A:AL,10,FALSE)</f>
        <v>51</v>
      </c>
      <c r="AF104" s="1">
        <f>VLOOKUP(A104,'SegEnds_NonXtal_Prot#'!A:AL,22,FALSE)-VLOOKUP(A104,'SegEnds_NonXtal_Prot#'!A:AL,19,FALSE)</f>
        <v>19</v>
      </c>
      <c r="AG104" s="4">
        <f>VLOOKUP(A104,'SegEnds_NonXtal_Prot#'!A:AL,28,FALSE)-VLOOKUP(A104,'SegEnds_NonXtal_Prot#'!A:AL,25,FALSE)</f>
        <v>29</v>
      </c>
      <c r="AH104" s="1">
        <f>VLOOKUP(A104,'SegEnds_NonXtal_Prot#'!A:AL,28,FALSE)-VLOOKUP(A104,'SegEnds_NonXtal_Prot#'!A:AL,22,FALSE)</f>
        <v>53</v>
      </c>
      <c r="AI104" s="4">
        <f>VLOOKUP(A104,'SegEnds_NonXtal_Prot#'!A:AL,31,FALSE)-VLOOKUP(A104,'SegEnds_NonXtal_Prot#'!A:AL,28,FALSE)</f>
        <v>48</v>
      </c>
      <c r="AJ104" s="4">
        <f>VLOOKUP(A104,'SegEnds_NonXtal_Prot#'!A:AL,34,FALSE)-VLOOKUP(A104,'SegEnds_NonXtal_Prot#'!A:AL,31,FALSE)</f>
        <v>44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356</v>
      </c>
      <c r="B105" s="1" t="str">
        <f>VLOOKUP(A105,Xtal_Templ!A:B,2,FALSE)</f>
        <v>par2_human</v>
      </c>
      <c r="C105" s="5">
        <f>VLOOKUP($B105&amp;"__wt",'SegEnds_Xtal_BW#'!$A:$Z,3,FALSE)</f>
        <v>28</v>
      </c>
      <c r="D105" s="1">
        <f>VLOOKUP($B105&amp;"__wt",'SegEnds_Xtal_BW#'!$A:$Z,4,FALSE)</f>
        <v>60</v>
      </c>
      <c r="E105" s="1" t="str">
        <f>VLOOKUP($B105&amp;"__wt",'SegEnds_Xtal_BW#'!$A:$Z,5,FALSE)</f>
        <v>-</v>
      </c>
      <c r="F105" s="1" t="str">
        <f>VLOOKUP($B105&amp;"__wt",'SegEnds_Xtal_BW#'!$A:$Z,6,FALSE)</f>
        <v>-</v>
      </c>
      <c r="G105" s="1">
        <v>37</v>
      </c>
      <c r="H105" s="12">
        <f>VLOOKUP($B105&amp;"__wt",'SegEnds_Xtal_BW#'!$A:$Z,8,FALSE)</f>
        <v>66</v>
      </c>
      <c r="I105" s="1">
        <f>VLOOKUP($B105&amp;"__wt",'SegEnds_Xtal_BW#'!$A:$Z,9,FALSE)</f>
        <v>47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56</v>
      </c>
      <c r="O105" s="87">
        <f>VLOOKUP($B105&amp;"__wt",'SegEnds_Xtal_BW#'!$A:$Z,15,FALSE)</f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31</v>
      </c>
      <c r="T105" s="1">
        <f t="array" ref="T105">INDEX(ICL3_classA!$G$2:$G$37,MATCH(MIN(ABS(AI105-ICL3_classA!$F$2:$F$37)),ABS(AI105-ICL3_classA!$F$2:$F$37),0))</f>
        <v>68</v>
      </c>
      <c r="U105" s="1">
        <f t="array" ref="U105">INDEX(ICL3_classA!$H$2:$H$37,MATCH(MIN(ABS(AI105-ICL3_classA!$F$2:$F$37)),ABS(AI105-ICL3_classA!$F$2:$F$37),0))</f>
        <v>24</v>
      </c>
      <c r="V105" s="1">
        <v>62</v>
      </c>
      <c r="W105" s="132">
        <f>VLOOKUP($B105&amp;"__wt",'SegEnds_Xtal_BW#'!$A:$Z,23,FALSE)</f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61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 t="e">
        <f>VLOOKUP(A105,'SegEnds_NonXtal_Prot#'!A:AL,10,FALSE)-VLOOKUP(A105,'SegEnds_NonXtal_Prot#'!A:AL,7,FALSE)</f>
        <v>#VALUE!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19</v>
      </c>
      <c r="AG105" s="1">
        <f>VLOOKUP(A105,'SegEnds_NonXtal_Prot#'!A:AL,28,FALSE)-VLOOKUP(A105,'SegEnds_NonXtal_Prot#'!A:AL,25,FALSE)</f>
        <v>28</v>
      </c>
      <c r="AH105" s="1">
        <f>VLOOKUP(A105,'SegEnds_NonXtal_Prot#'!A:AL,28,FALSE)-VLOOKUP(A105,'SegEnds_NonXtal_Prot#'!A:AL,22,FALSE)</f>
        <v>55</v>
      </c>
      <c r="AI105" s="1">
        <f>VLOOKUP(A105,'SegEnds_NonXtal_Prot#'!A:AL,31,FALSE)-VLOOKUP(A105,'SegEnds_NonXtal_Prot#'!A:AL,28,FALSE)</f>
        <v>48</v>
      </c>
      <c r="AJ105" s="1">
        <f>VLOOKUP(A105,'SegEnds_NonXtal_Prot#'!A:AL,34,FALSE)-VLOOKUP(A105,'SegEnds_NonXtal_Prot#'!A:AL,31,FALSE)</f>
        <v>39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Xtal</v>
      </c>
    </row>
    <row r="106" spans="1:38" x14ac:dyDescent="0.2">
      <c r="A106" s="1" t="s">
        <v>386</v>
      </c>
      <c r="B106" s="1" t="str">
        <f>VLOOKUP(A106,Xtal_Templ!A:B,2,FALSE)</f>
        <v>p2ry1_human</v>
      </c>
      <c r="C106" s="5">
        <f>VLOOKUP($B106&amp;"__wt",'SegEnds_Xtal_BW#'!$A:$Z,3,FALSE)</f>
        <v>30</v>
      </c>
      <c r="D106" s="1">
        <f>VLOOKUP($B106&amp;"__wt",'SegEnds_Xtal_BW#'!$A:$Z,4,FALSE)</f>
        <v>60</v>
      </c>
      <c r="E106" s="1" t="str">
        <f>VLOOKUP($B106&amp;"__wt",'SegEnds_Xtal_BW#'!$A:$Z,5,FALSE)</f>
        <v>-</v>
      </c>
      <c r="F106" s="1" t="str">
        <f>VLOOKUP($B106&amp;"__wt",'SegEnds_Xtal_BW#'!$A:$Z,6,FALSE)</f>
        <v>-</v>
      </c>
      <c r="G106" s="1">
        <v>37</v>
      </c>
      <c r="H106" s="12">
        <v>66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21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f>VLOOKUP($B106&amp;"__wt",'SegEnds_Xtal_BW#'!$A:$Z,15,FALSE)</f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32</v>
      </c>
      <c r="T106" s="1">
        <f t="array" ref="T106">INDEX(ICL3_classA!$G$2:$G$37,MATCH(MIN(ABS(AI106-ICL3_classA!$F$2:$F$37)),ABS(AI106-ICL3_classA!$F$2:$F$37),0))</f>
        <v>68</v>
      </c>
      <c r="U106" s="1">
        <f t="array" ref="U106">INDEX(ICL3_classA!$H$2:$H$37,MATCH(MIN(ABS(AI106-ICL3_classA!$F$2:$F$37)),ABS(AI106-ICL3_classA!$F$2:$F$37),0))</f>
        <v>24</v>
      </c>
      <c r="V106" s="1">
        <v>64</v>
      </c>
      <c r="W106" s="1">
        <v>24</v>
      </c>
      <c r="X106" s="125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 t="e">
        <f>VLOOKUP(A106,'SegEnds_NonXtal_Prot#'!A:AL,10,FALSE)-VLOOKUP(A106,'SegEnds_NonXtal_Prot#'!A:AL,7,FALSE)</f>
        <v>#VALUE!</v>
      </c>
      <c r="AD106" s="1">
        <f>VLOOKUP(A106,'SegEnds_NonXtal_Prot#'!A:AL,13,FALSE)-VLOOKUP(A106,'SegEnds_NonXtal_Prot#'!A:AL,10,FALSE)</f>
        <v>19</v>
      </c>
      <c r="AE106" s="1">
        <f>VLOOKUP(A106,'SegEnds_NonXtal_Prot#'!A:AL,16,FALSE)-VLOOKUP(A106,'SegEnds_NonXtal_Prot#'!A:AL,10,FALSE)</f>
        <v>51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27</v>
      </c>
      <c r="AH106" s="1">
        <f>VLOOKUP(A106,'SegEnds_NonXtal_Prot#'!A:AL,28,FALSE)-VLOOKUP(A106,'SegEnds_NonXtal_Prot#'!A:AL,22,FALSE)</f>
        <v>52</v>
      </c>
      <c r="AI106" s="1">
        <f>VLOOKUP(A106,'SegEnds_NonXtal_Prot#'!A:AL,31,FALSE)-VLOOKUP(A106,'SegEnds_NonXtal_Prot#'!A:AL,28,FALSE)</f>
        <v>48</v>
      </c>
      <c r="AJ106" s="1">
        <f>VLOOKUP(A106,'SegEnds_NonXtal_Prot#'!A:AL,34,FALSE)-VLOOKUP(A106,'SegEnds_NonXtal_Prot#'!A:AL,31,FALSE)</f>
        <v>45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162</v>
      </c>
      <c r="B107" s="1" t="str">
        <f>VLOOKUP(A107,Xtal_Templ!A:B,2,FALSE)</f>
        <v>agtr2_human</v>
      </c>
      <c r="C107" s="5">
        <f>VLOOKUP($B107&amp;"__wt",'SegEnds_Xtal_BW#'!$A:$Z,3,FALSE)</f>
        <v>33</v>
      </c>
      <c r="D107" s="1">
        <f>VLOOKUP($B107&amp;"__wt",'SegEnds_Xtal_BW#'!$A:$Z,4,FALSE)</f>
        <v>60</v>
      </c>
      <c r="E107" s="1" t="str">
        <f>VLOOKUP($B107&amp;"__wt",'SegEnds_Xtal_BW#'!$A:$Z,5,FALSE)</f>
        <v>-</v>
      </c>
      <c r="F107" s="1" t="str">
        <f>VLOOKUP($B107&amp;"__wt",'SegEnds_Xtal_BW#'!$A:$Z,6,FALSE)</f>
        <v>-</v>
      </c>
      <c r="G107" s="1">
        <v>37</v>
      </c>
      <c r="H107" s="12">
        <f>VLOOKUP($B107&amp;"__wt",'SegEnds_Xtal_BW#'!$A:$Z,8,FALSE)</f>
        <v>66</v>
      </c>
      <c r="I107" s="1">
        <f>VLOOKUP($B107&amp;"__wt",'SegEnds_Xtal_BW#'!$A:$Z,9,FALSE)</f>
        <v>47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08">
        <v>57</v>
      </c>
      <c r="O107" s="87">
        <f>VLOOKUP($B107&amp;"__wt",'SegEnds_Xtal_BW#'!$A:$Z,15,FALSE)</f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30</v>
      </c>
      <c r="T107" s="1">
        <f t="array" ref="T107">INDEX(ICL3_classA!$G$2:$G$37,MATCH(MIN(ABS(AI107-ICL3_classA!$F$2:$F$37)),ABS(AI107-ICL3_classA!$F$2:$F$37),0))</f>
        <v>68</v>
      </c>
      <c r="U107" s="1">
        <f t="array" ref="U107">INDEX(ICL3_classA!$H$2:$H$37,MATCH(MIN(ABS(AI107-ICL3_classA!$F$2:$F$37)),ABS(AI107-ICL3_classA!$F$2:$F$37),0))</f>
        <v>24</v>
      </c>
      <c r="V107" s="1">
        <v>64</v>
      </c>
      <c r="W107" s="1">
        <v>24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61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25</v>
      </c>
      <c r="AH107" s="1">
        <f>VLOOKUP(A107,'SegEnds_NonXtal_Prot#'!A:AL,28,FALSE)-VLOOKUP(A107,'SegEnds_NonXtal_Prot#'!A:AL,22,FALSE)</f>
        <v>54</v>
      </c>
      <c r="AI107" s="1">
        <f>VLOOKUP(A107,'SegEnds_NonXtal_Prot#'!A:AL,31,FALSE)-VLOOKUP(A107,'SegEnds_NonXtal_Prot#'!A:AL,28,FALSE)</f>
        <v>49</v>
      </c>
      <c r="AJ107" s="1">
        <f>VLOOKUP(A107,'SegEnds_NonXtal_Prot#'!A:AL,34,FALSE)-VLOOKUP(A107,'SegEnds_NonXtal_Prot#'!A:AL,31,FALSE)</f>
        <v>44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180</v>
      </c>
      <c r="B108" s="1" t="str">
        <f>VLOOKUP(A108,Xtal_Templ!A:B,2,FALSE)</f>
        <v>p2ry1_human</v>
      </c>
      <c r="C108" s="5">
        <f>VLOOKUP($B108&amp;"__wt",'SegEnds_Xtal_BW#'!$A:$Z,3,FALSE)</f>
        <v>30</v>
      </c>
      <c r="D108" s="1">
        <f>VLOOKUP($B108&amp;"__wt",'SegEnds_Xtal_BW#'!$A:$Z,4,FALSE)</f>
        <v>60</v>
      </c>
      <c r="E108" s="1" t="str">
        <f>VLOOKUP($B108&amp;"__wt",'SegEnds_Xtal_BW#'!$A:$Z,5,FALSE)</f>
        <v>-</v>
      </c>
      <c r="F108" s="1" t="str">
        <f>VLOOKUP($B108&amp;"__wt",'SegEnds_Xtal_BW#'!$A:$Z,6,FALSE)</f>
        <v>-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32</v>
      </c>
      <c r="T108" s="1">
        <f t="array" ref="T108">INDEX(ICL3_classA!$G$2:$G$37,MATCH(MIN(ABS(AI108-ICL3_classA!$F$2:$F$37)),ABS(AI108-ICL3_classA!$F$2:$F$37),0))</f>
        <v>68</v>
      </c>
      <c r="U108" s="1">
        <f t="array" ref="U108">INDEX(ICL3_classA!$H$2:$H$37,MATCH(MIN(ABS(AI108-ICL3_classA!$F$2:$F$37)),ABS(AI108-ICL3_classA!$F$2:$F$37),0))</f>
        <v>24</v>
      </c>
      <c r="V108" s="1">
        <v>61</v>
      </c>
      <c r="W108" s="1">
        <v>28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 t="e">
        <f>VLOOKUP(A108,'SegEnds_NonXtal_Prot#'!A:AL,10,FALSE)-VLOOKUP(A108,'SegEnds_NonXtal_Prot#'!A:AL,7,FALSE)</f>
        <v>#VALUE!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26</v>
      </c>
      <c r="AH108" s="1">
        <f>VLOOKUP(A108,'SegEnds_NonXtal_Prot#'!A:AL,28,FALSE)-VLOOKUP(A108,'SegEnds_NonXtal_Prot#'!A:AL,22,FALSE)</f>
        <v>50</v>
      </c>
      <c r="AI108" s="1">
        <f>VLOOKUP(A108,'SegEnds_NonXtal_Prot#'!A:AL,31,FALSE)-VLOOKUP(A108,'SegEnds_NonXtal_Prot#'!A:AL,28,FALSE)</f>
        <v>49</v>
      </c>
      <c r="AJ108" s="1">
        <f>VLOOKUP(A108,'SegEnds_NonXtal_Prot#'!A:AL,34,FALSE)-VLOOKUP(A108,'SegEnds_NonXtal_Prot#'!A:AL,31,FALSE)</f>
        <v>40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219</v>
      </c>
      <c r="B109" s="1" t="str">
        <f>VLOOKUP(A109,Xtal_Templ!A:B,2,FALSE)</f>
        <v>agtr1_human</v>
      </c>
      <c r="C109" s="5">
        <f>VLOOKUP($B109&amp;"__wt",'SegEnds_Xtal_BW#'!$A:$Z,3,FALSE)</f>
        <v>28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63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24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56</v>
      </c>
      <c r="O109" s="87"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34</v>
      </c>
      <c r="T109" s="1">
        <f t="array" ref="T109">INDEX(ICL3_classA!$G$2:$G$37,MATCH(MIN(ABS(AI109-ICL3_classA!$F$2:$F$37)),ABS(AI109-ICL3_classA!$F$2:$F$37),0))</f>
        <v>68</v>
      </c>
      <c r="U109" s="1">
        <f t="array" ref="U109">INDEX(ICL3_classA!$H$2:$H$37,MATCH(MIN(ABS(AI109-ICL3_classA!$F$2:$F$37)),ABS(AI109-ICL3_classA!$F$2:$F$37),0))</f>
        <v>24</v>
      </c>
      <c r="V109" s="1">
        <v>64</v>
      </c>
      <c r="W109" s="1">
        <v>24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61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33</v>
      </c>
      <c r="AC109" s="1" t="e">
        <f>VLOOKUP(A109,'SegEnds_NonXtal_Prot#'!A:AL,10,FALSE)-VLOOKUP(A109,'SegEnds_NonXtal_Prot#'!A:AL,7,FALSE)</f>
        <v>#VALUE!</v>
      </c>
      <c r="AD109" s="1">
        <f>VLOOKUP(A109,'SegEnds_NonXtal_Prot#'!A:AL,13,FALSE)-VLOOKUP(A109,'SegEnds_NonXtal_Prot#'!A:AL,10,FALSE)</f>
        <v>17</v>
      </c>
      <c r="AE109" s="1">
        <f>VLOOKUP(A109,'SegEnds_NonXtal_Prot#'!A:AL,16,FALSE)-VLOOKUP(A109,'SegEnds_NonXtal_Prot#'!A:AL,10,FALSE)</f>
        <v>49</v>
      </c>
      <c r="AF109" s="1" t="e">
        <f>VLOOKUP(A109,'SegEnds_NonXtal_Prot#'!A:AL,22,FALSE)-VLOOKUP(A109,'SegEnds_NonXtal_Prot#'!A:AL,19,FALSE)</f>
        <v>#VALUE!</v>
      </c>
      <c r="AG109" s="1" t="e">
        <f>VLOOKUP(A109,'SegEnds_NonXtal_Prot#'!A:AL,28,FALSE)-VLOOKUP(A109,'SegEnds_NonXtal_Prot#'!A:AL,25,FALSE)</f>
        <v>#VALUE!</v>
      </c>
      <c r="AH109" s="1">
        <f>VLOOKUP(A109,'SegEnds_NonXtal_Prot#'!A:AL,28,FALSE)-VLOOKUP(A109,'SegEnds_NonXtal_Prot#'!A:AL,22,FALSE)</f>
        <v>47</v>
      </c>
      <c r="AI109" s="1">
        <f>VLOOKUP(A109,'SegEnds_NonXtal_Prot#'!A:AL,31,FALSE)-VLOOKUP(A109,'SegEnds_NonXtal_Prot#'!A:AL,28,FALSE)</f>
        <v>49</v>
      </c>
      <c r="AJ109" s="1">
        <f>VLOOKUP(A109,'SegEnds_NonXtal_Prot#'!A:AL,34,FALSE)-VLOOKUP(A109,'SegEnds_NonXtal_Prot#'!A:AL,31,FALSE)</f>
        <v>45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239</v>
      </c>
      <c r="B110" s="1" t="str">
        <f>VLOOKUP(A110,Xtal_Templ!A:B,2,FALSE)</f>
        <v>agtr1_human</v>
      </c>
      <c r="C110" s="5">
        <f>VLOOKUP($B110&amp;"__wt",'SegEnds_Xtal_BW#'!$A:$Z,3,FALSE)</f>
        <v>28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7"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34</v>
      </c>
      <c r="T110" s="1">
        <f t="array" ref="T110">INDEX(ICL3_classA!$G$2:$G$37,MATCH(MIN(ABS(AI110-ICL3_classA!$F$2:$F$37)),ABS(AI110-ICL3_classA!$F$2:$F$37),0))</f>
        <v>68</v>
      </c>
      <c r="U110" s="1">
        <f t="array" ref="U110">INDEX(ICL3_classA!$H$2:$H$37,MATCH(MIN(ABS(AI110-ICL3_classA!$F$2:$F$37)),ABS(AI110-ICL3_classA!$F$2:$F$37),0))</f>
        <v>24</v>
      </c>
      <c r="V110" s="1">
        <v>61</v>
      </c>
      <c r="W110" s="1">
        <v>24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61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 t="e">
        <f>VLOOKUP(A110,'SegEnds_NonXtal_Prot#'!A:AL,10,FALSE)-VLOOKUP(A110,'SegEnds_NonXtal_Prot#'!A:AL,7,FALSE)</f>
        <v>#VALUE!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24</v>
      </c>
      <c r="AH110" s="1">
        <f>VLOOKUP(A110,'SegEnds_NonXtal_Prot#'!A:AL,28,FALSE)-VLOOKUP(A110,'SegEnds_NonXtal_Prot#'!A:AL,22,FALSE)</f>
        <v>49</v>
      </c>
      <c r="AI110" s="1">
        <f>VLOOKUP(A110,'SegEnds_NonXtal_Prot#'!A:AL,31,FALSE)-VLOOKUP(A110,'SegEnds_NonXtal_Prot#'!A:AL,28,FALSE)</f>
        <v>49</v>
      </c>
      <c r="AJ110" s="1">
        <f>VLOOKUP(A110,'SegEnds_NonXtal_Prot#'!A:AL,34,FALSE)-VLOOKUP(A110,'SegEnds_NonXtal_Prot#'!A:AL,31,FALSE)</f>
        <v>43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NoXtal</v>
      </c>
    </row>
    <row r="111" spans="1:38" x14ac:dyDescent="0.2">
      <c r="A111" s="1" t="s">
        <v>254</v>
      </c>
      <c r="B111" s="1" t="str">
        <f>VLOOKUP(A111,Xtal_Templ!A:B,2,FALSE)</f>
        <v>ccr2_human</v>
      </c>
      <c r="C111" s="5">
        <f>VLOOKUP($B111&amp;"__wt",'SegEnds_Xtal_BW#'!$A:$Z,3,FALSE)</f>
        <v>27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24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INDEX(ICL3_classA!$G$2:$G$37,MATCH(MIN(ABS(AI111-ICL3_classA!$F$2:$F$37)),ABS(AI111-ICL3_classA!$F$2:$F$37),0))</f>
        <v>68</v>
      </c>
      <c r="U111" s="1">
        <f t="array" ref="U111">INDEX(ICL3_classA!$H$2:$H$37,MATCH(MIN(ABS(AI111-ICL3_classA!$F$2:$F$37)),ABS(AI111-ICL3_classA!$F$2:$F$37),0))</f>
        <v>24</v>
      </c>
      <c r="V111" s="1">
        <v>61</v>
      </c>
      <c r="W111" s="1">
        <v>28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58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 t="e">
        <f>VLOOKUP(A111,'SegEnds_NonXtal_Prot#'!A:AL,13,FALSE)-VLOOKUP(A111,'SegEnds_NonXtal_Prot#'!A:AL,10,FALSE)</f>
        <v>#VALUE!</v>
      </c>
      <c r="AE111" s="1">
        <f>VLOOKUP(A111,'SegEnds_NonXtal_Prot#'!A:AL,16,FALSE)-VLOOKUP(A111,'SegEnds_NonXtal_Prot#'!A:AL,10,FALSE)</f>
        <v>48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21</v>
      </c>
      <c r="AH111" s="1">
        <f>VLOOKUP(A111,'SegEnds_NonXtal_Prot#'!A:AL,28,FALSE)-VLOOKUP(A111,'SegEnds_NonXtal_Prot#'!A:AL,22,FALSE)</f>
        <v>42</v>
      </c>
      <c r="AI111" s="1">
        <f>VLOOKUP(A111,'SegEnds_NonXtal_Prot#'!A:AL,31,FALSE)-VLOOKUP(A111,'SegEnds_NonXtal_Prot#'!A:AL,28,FALSE)</f>
        <v>49</v>
      </c>
      <c r="AJ111" s="1">
        <f>VLOOKUP(A111,'SegEnds_NonXtal_Prot#'!A:AL,34,FALSE)-VLOOKUP(A111,'SegEnds_NonXtal_Prot#'!A:AL,31,FALSE)</f>
        <v>41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272</v>
      </c>
      <c r="B112" s="1" t="str">
        <f>VLOOKUP(A112,Xtal_Templ!A:B,2,FALSE)</f>
        <v>p2y12_human</v>
      </c>
      <c r="C112" s="5">
        <f>VLOOKUP($B112&amp;"__wt",'SegEnds_Xtal_BW#'!$A:$Z,3,FALSE)</f>
        <v>28</v>
      </c>
      <c r="D112" s="1">
        <f>VLOOKUP($B112&amp;"__wt",'SegEnds_Xtal_BW#'!$A:$Z,4,FALSE)</f>
        <v>60</v>
      </c>
      <c r="E112" s="1" t="str">
        <f>VLOOKUP($B112&amp;"__wt",'SegEnds_Xtal_BW#'!$A:$Z,5,FALSE)</f>
        <v>-</v>
      </c>
      <c r="F112" s="1" t="str">
        <f>VLOOKUP($B112&amp;"__wt",'SegEnds_Xtal_BW#'!$A:$Z,6,FALSE)</f>
        <v>-</v>
      </c>
      <c r="G112" s="1">
        <v>37</v>
      </c>
      <c r="H112" s="12">
        <f>VLOOKUP($B112&amp;"__wt",'SegEnds_Xtal_BW#'!$A:$Z,8,FALSE)</f>
        <v>66</v>
      </c>
      <c r="I112" s="1" t="str">
        <f>VLOOKUP($B112&amp;"__wt",'SegEnds_Xtal_BW#'!$A:$Z,9,FALSE)</f>
        <v>-</v>
      </c>
      <c r="J112" s="1" t="str">
        <f>VLOOKUP($B112&amp;"__wt",'SegEnds_Xtal_BW#'!$A:$Z,10,FALSE)</f>
        <v>-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INDEX(ICL3_classA!$G$2:$G$37,MATCH(MIN(ABS(AI112-ICL3_classA!$F$2:$F$37)),ABS(AI112-ICL3_classA!$F$2:$F$37),0))</f>
        <v>68</v>
      </c>
      <c r="U112" s="1">
        <f t="array" ref="U112">INDEX(ICL3_classA!$H$2:$H$37,MATCH(MIN(ABS(AI112-ICL3_classA!$F$2:$F$37)),ABS(AI112-ICL3_classA!$F$2:$F$37),0))</f>
        <v>24</v>
      </c>
      <c r="V112" s="1">
        <v>64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57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27</v>
      </c>
      <c r="AC112" s="1" t="e">
        <f>VLOOKUP(A112,'SegEnds_NonXtal_Prot#'!A:AL,10,FALSE)-VLOOKUP(A112,'SegEnds_NonXtal_Prot#'!A:AL,7,FALSE)</f>
        <v>#VALUE!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26</v>
      </c>
      <c r="AH112" s="1">
        <f>VLOOKUP(A112,'SegEnds_NonXtal_Prot#'!A:AL,28,FALSE)-VLOOKUP(A112,'SegEnds_NonXtal_Prot#'!A:AL,22,FALSE)</f>
        <v>52</v>
      </c>
      <c r="AI112" s="1">
        <f>VLOOKUP(A112,'SegEnds_NonXtal_Prot#'!A:AL,31,FALSE)-VLOOKUP(A112,'SegEnds_NonXtal_Prot#'!A:AL,28,FALSE)</f>
        <v>49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371</v>
      </c>
      <c r="B113" s="1" t="str">
        <f>VLOOKUP(A113,Xtal_Templ!A:B,2,FALSE)</f>
        <v>ptafr_human</v>
      </c>
      <c r="C113" s="5">
        <f>VLOOKUP($B113&amp;"__wt",'SegEnds_Xtal_BW#'!$A:$Z,3,FALSE)</f>
        <v>27</v>
      </c>
      <c r="D113" s="1">
        <f>VLOOKUP($B113&amp;"__wt",'SegEnds_Xtal_BW#'!$A:$Z,4,FALSE)</f>
        <v>61</v>
      </c>
      <c r="E113" s="1" t="str">
        <f>VLOOKUP($B113&amp;"__wt",'SegEnds_Xtal_BW#'!$A:$Z,5,FALSE)</f>
        <v>-</v>
      </c>
      <c r="F113" s="1" t="str">
        <f>VLOOKUP($B113&amp;"__wt",'SegEnds_Xtal_BW#'!$A:$Z,6,FALSE)</f>
        <v>-</v>
      </c>
      <c r="G113" s="108">
        <v>36</v>
      </c>
      <c r="H113" s="12">
        <f>VLOOKUP($B113&amp;"__wt",'SegEnds_Xtal_BW#'!$A:$Z,8,FALSE)</f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57</v>
      </c>
      <c r="O113" s="87">
        <v>38</v>
      </c>
      <c r="P113" s="1">
        <f>VLOOKUP($B113&amp;"__wt",'SegEnds_Xtal_BW#'!$A:$Z,16,FALSE)</f>
        <v>63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33</v>
      </c>
      <c r="T113" s="1">
        <f t="array" ref="T113">INDEX(ICL3_classA!$G$2:$G$37,MATCH(MIN(ABS(AI113-ICL3_classA!$F$2:$F$37)),ABS(AI113-ICL3_classA!$F$2:$F$37),0))</f>
        <v>68</v>
      </c>
      <c r="U113" s="1">
        <f t="array" ref="U113">INDEX(ICL3_classA!$H$2:$H$37,MATCH(MIN(ABS(AI113-ICL3_classA!$F$2:$F$37)),ABS(AI113-ICL3_classA!$F$2:$F$37),0))</f>
        <v>24</v>
      </c>
      <c r="V113" s="108">
        <v>64</v>
      </c>
      <c r="W113" s="1">
        <v>24</v>
      </c>
      <c r="X113" s="1">
        <f>VLOOKUP($B113&amp;"__wt",'SegEnds_Xtal_BW#'!$A:$Z,24,FALSE)</f>
        <v>59</v>
      </c>
      <c r="Y113" s="1">
        <f>VLOOKUP($B113&amp;"__wt",'SegEnds_Xtal_BW#'!$A:$Z,25,FALSE)</f>
        <v>50</v>
      </c>
      <c r="Z113" s="1">
        <f>VLOOKUP($B113&amp;"__wt",'SegEnds_Xtal_BW#'!$A:$Z,26,FALSE)</f>
        <v>63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30</v>
      </c>
      <c r="AC113" s="1" t="e">
        <f>VLOOKUP(A113,'SegEnds_NonXtal_Prot#'!A:AL,10,FALSE)-VLOOKUP(A113,'SegEnds_NonXtal_Prot#'!A:AL,7,FALSE)</f>
        <v>#VALUE!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20</v>
      </c>
      <c r="AG113" s="1">
        <f>VLOOKUP(A113,'SegEnds_NonXtal_Prot#'!A:AL,28,FALSE)-VLOOKUP(A113,'SegEnds_NonXtal_Prot#'!A:AL,25,FALSE)</f>
        <v>25</v>
      </c>
      <c r="AH113" s="1">
        <f>VLOOKUP(A113,'SegEnds_NonXtal_Prot#'!A:AL,28,FALSE)-VLOOKUP(A113,'SegEnds_NonXtal_Prot#'!A:AL,22,FALSE)</f>
        <v>56</v>
      </c>
      <c r="AI113" s="1">
        <f>VLOOKUP(A113,'SegEnds_NonXtal_Prot#'!A:AL,31,FALSE)-VLOOKUP(A113,'SegEnds_NonXtal_Prot#'!A:AL,28,FALSE)</f>
        <v>49</v>
      </c>
      <c r="AJ113" s="1">
        <f>VLOOKUP(A113,'SegEnds_NonXtal_Prot#'!A:AL,34,FALSE)-VLOOKUP(A113,'SegEnds_NonXtal_Prot#'!A:AL,31,FALSE)</f>
        <v>43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Xtal</v>
      </c>
    </row>
    <row r="114" spans="1:38" x14ac:dyDescent="0.2">
      <c r="A114" s="1" t="s">
        <v>1440</v>
      </c>
      <c r="B114" s="1" t="str">
        <f>VLOOKUP(A114,Xtal_Templ!A:B,2,FALSE)</f>
        <v>q08bg4_danre</v>
      </c>
      <c r="C114" s="5">
        <f>VLOOKUP($B114&amp;"__wt",'SegEnds_Xtal_BW#'!$A:$Z,3,FALSE)</f>
        <v>31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f>VLOOKUP($B114&amp;"__wt",'SegEnds_Xtal_BW#'!$A:$Z,11,FALSE)</f>
        <v>21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08">
        <f>VLOOKUP($B114&amp;"__wt",'SegEnds_Xtal_BW#'!$A:$Z,14,FALSE)</f>
        <v>57</v>
      </c>
      <c r="O114" s="108">
        <f>VLOOKUP($B114&amp;"__wt",'SegEnds_Xtal_BW#'!$A:$Z,15,FALSE)</f>
        <v>38</v>
      </c>
      <c r="P114" s="1">
        <f>VLOOKUP($B114&amp;"__wt",'SegEnds_Xtal_BW#'!$A:$Z,16,FALSE)</f>
        <v>65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31</v>
      </c>
      <c r="T114" s="1">
        <f t="array" ref="T114">INDEX(ICL3_classA!$G$2:$G$37,MATCH(MIN(ABS(AI114-ICL3_classA!$F$2:$F$37)),ABS(AI114-ICL3_classA!$F$2:$F$37),0))</f>
        <v>68</v>
      </c>
      <c r="U114" s="1">
        <f t="array" ref="U114">INDEX(ICL3_classA!$H$2:$H$37,MATCH(MIN(ABS(AI114-ICL3_classA!$F$2:$F$37)),ABS(AI114-ICL3_classA!$F$2:$F$37),0))</f>
        <v>24</v>
      </c>
      <c r="V114" s="108">
        <v>64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>
        <f>VLOOKUP(A114,'SegEnds_NonXtal_Prot#'!A:AL,10,FALSE)-VLOOKUP(A114,'SegEnds_NonXtal_Prot#'!A:AL,7,FALSE)</f>
        <v>15</v>
      </c>
      <c r="AD114" s="1">
        <f>VLOOKUP(A114,'SegEnds_NonXtal_Prot#'!A:AL,13,FALSE)-VLOOKUP(A114,'SegEnds_NonXtal_Prot#'!A:AL,10,FALSE)</f>
        <v>19</v>
      </c>
      <c r="AE114" s="1">
        <f>VLOOKUP(A114,'SegEnds_NonXtal_Prot#'!A:AL,16,FALSE)-VLOOKUP(A114,'SegEnds_NonXtal_Prot#'!A:AL,10,FALSE)</f>
        <v>51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28</v>
      </c>
      <c r="AH114" s="1">
        <f>VLOOKUP(A114,'SegEnds_NonXtal_Prot#'!A:AL,28,FALSE)-VLOOKUP(A114,'SegEnds_NonXtal_Prot#'!A:AL,22,FALSE)</f>
        <v>55</v>
      </c>
      <c r="AI114" s="1">
        <f>VLOOKUP(A114,'SegEnds_NonXtal_Prot#'!A:AL,31,FALSE)-VLOOKUP(A114,'SegEnds_NonXtal_Prot#'!A:AL,28,FALSE)</f>
        <v>49</v>
      </c>
      <c r="AJ114" s="1">
        <f>VLOOKUP(A114,'SegEnds_NonXtal_Prot#'!A:AL,34,FALSE)-VLOOKUP(A114,'SegEnds_NonXtal_Prot#'!A:AL,31,FALSE)</f>
        <v>44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Xtal</v>
      </c>
    </row>
    <row r="115" spans="1:38" x14ac:dyDescent="0.2">
      <c r="A115" s="1" t="s">
        <v>160</v>
      </c>
      <c r="B115" s="1" t="str">
        <f>VLOOKUP(A115,Xtal_Templ!A:B,2,FALSE)</f>
        <v>apj_human</v>
      </c>
      <c r="C115" s="5">
        <f>VLOOKUP($B115&amp;"__wt",'SegEnds_Xtal_BW#'!$A:$Z,3,FALSE)</f>
        <v>33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52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7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30</v>
      </c>
      <c r="T115" s="1">
        <f t="array" ref="T115">INDEX(ICL3_classA!$G$2:$G$37,MATCH(MIN(ABS(AI115-ICL3_classA!$F$2:$F$37)),ABS(AI115-ICL3_classA!$F$2:$F$37),0))</f>
        <v>72</v>
      </c>
      <c r="U115" s="1">
        <f t="array" ref="U115">INDEX(ICL3_classA!$H$2:$H$37,MATCH(MIN(ABS(AI115-ICL3_classA!$F$2:$F$37)),ABS(AI115-ICL3_classA!$F$2:$F$37),0))</f>
        <v>29</v>
      </c>
      <c r="V115" s="108">
        <v>63</v>
      </c>
      <c r="W115" s="1">
        <v>24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61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29</v>
      </c>
      <c r="AC115" s="1">
        <f>VLOOKUP(A115,'SegEnds_NonXtal_Prot#'!A:AL,10,FALSE)-VLOOKUP(A115,'SegEnds_NonXtal_Prot#'!A:AL,7,FALSE)</f>
        <v>16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32</v>
      </c>
      <c r="AH115" s="1">
        <f>VLOOKUP(A115,'SegEnds_NonXtal_Prot#'!A:AL,28,FALSE)-VLOOKUP(A115,'SegEnds_NonXtal_Prot#'!A:AL,22,FALSE)</f>
        <v>59</v>
      </c>
      <c r="AI115" s="1">
        <f>VLOOKUP(A115,'SegEnds_NonXtal_Prot#'!A:AL,31,FALSE)-VLOOKUP(A115,'SegEnds_NonXtal_Prot#'!A:AL,28,FALSE)</f>
        <v>50</v>
      </c>
      <c r="AJ115" s="1">
        <f>VLOOKUP(A115,'SegEnds_NonXtal_Prot#'!A:AL,34,FALSE)-VLOOKUP(A115,'SegEnds_NonXtal_Prot#'!A:AL,31,FALSE)</f>
        <v>43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Xtal</v>
      </c>
    </row>
    <row r="116" spans="1:38" x14ac:dyDescent="0.2">
      <c r="A116" s="1" t="s">
        <v>205</v>
      </c>
      <c r="B116" s="1" t="str">
        <f>VLOOKUP(A116,Xtal_Templ!A:B,2,FALSE)</f>
        <v>oprk_human</v>
      </c>
      <c r="C116" s="5">
        <f>VLOOKUP($B116&amp;"__wt",'SegEnds_Xtal_BW#'!$A:$Z,3,FALSE)</f>
        <v>30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7">
        <f>VLOOKUP($B116&amp;"__wt",'SegEnds_Xtal_BW#'!$A:$Z,15,FALSE)</f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INDEX(ICL3_classA!$G$2:$G$37,MATCH(MIN(ABS(AI116-ICL3_classA!$F$2:$F$37)),ABS(AI116-ICL3_classA!$F$2:$F$37),0))</f>
        <v>72</v>
      </c>
      <c r="U116" s="1">
        <f t="array" ref="U116">INDEX(ICL3_classA!$H$2:$H$37,MATCH(MIN(ABS(AI116-ICL3_classA!$F$2:$F$37)),ABS(AI116-ICL3_classA!$F$2:$F$37),0))</f>
        <v>29</v>
      </c>
      <c r="V116" s="1">
        <v>61</v>
      </c>
      <c r="W116" s="132">
        <f>VLOOKUP($B116&amp;"__wt",'SegEnds_Xtal_BW#'!$A:$Z,23,FALSE)</f>
        <v>28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30</v>
      </c>
      <c r="AC116" s="1" t="e">
        <f>VLOOKUP(A116,'SegEnds_NonXtal_Prot#'!A:AL,10,FALSE)-VLOOKUP(A116,'SegEnds_NonXtal_Prot#'!A:AL,7,FALSE)</f>
        <v>#VALUE!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25</v>
      </c>
      <c r="AH116" s="1">
        <f>VLOOKUP(A116,'SegEnds_NonXtal_Prot#'!A:AL,28,FALSE)-VLOOKUP(A116,'SegEnds_NonXtal_Prot#'!A:AL,22,FALSE)</f>
        <v>52</v>
      </c>
      <c r="AI116" s="1">
        <f>VLOOKUP(A116,'SegEnds_NonXtal_Prot#'!A:AL,31,FALSE)-VLOOKUP(A116,'SegEnds_NonXtal_Prot#'!A:AL,28,FALSE)</f>
        <v>50</v>
      </c>
      <c r="AJ116" s="1">
        <f>VLOOKUP(A116,'SegEnds_NonXtal_Prot#'!A:AL,34,FALSE)-VLOOKUP(A116,'SegEnds_NonXtal_Prot#'!A:AL,31,FALSE)</f>
        <v>38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346</v>
      </c>
      <c r="B117" s="1" t="str">
        <f>VLOOKUP(A117,Xtal_Templ!A:B,2,FALSE)</f>
        <v>p2ry1_human</v>
      </c>
      <c r="C117" s="5">
        <f>VLOOKUP($B117&amp;"__wt",'SegEnds_Xtal_BW#'!$A:$Z,3,FALSE)</f>
        <v>30</v>
      </c>
      <c r="D117" s="1">
        <f>VLOOKUP($B117&amp;"__wt",'SegEnds_Xtal_BW#'!$A:$Z,4,FALSE)</f>
        <v>60</v>
      </c>
      <c r="E117" s="1" t="str">
        <f>VLOOKUP($B117&amp;"__wt",'SegEnds_Xtal_BW#'!$A:$Z,5,FALSE)</f>
        <v>-</v>
      </c>
      <c r="F117" s="1" t="str">
        <f>VLOOKUP($B117&amp;"__wt",'SegEnds_Xtal_BW#'!$A:$Z,6,FALSE)</f>
        <v>-</v>
      </c>
      <c r="G117" s="1">
        <v>37</v>
      </c>
      <c r="H117" s="12">
        <f>VLOOKUP($B117&amp;"__wt",'SegEnds_Xtal_BW#'!$A:$Z,8,FALSE)</f>
        <v>66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f>VLOOKUP($B117&amp;"__wt",'SegEnds_Xtal_BW#'!$A:$Z,14,FALSE)</f>
        <v>57</v>
      </c>
      <c r="O117" s="87">
        <f>VLOOKUP($B117&amp;"__wt",'SegEnds_Xtal_BW#'!$A:$Z,15,FALSE)</f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32</v>
      </c>
      <c r="T117" s="1">
        <f t="array" ref="T117">INDEX(ICL3_classA!$G$2:$G$37,MATCH(MIN(ABS(AI117-ICL3_classA!$F$2:$F$37)),ABS(AI117-ICL3_classA!$F$2:$F$37),0))</f>
        <v>72</v>
      </c>
      <c r="U117" s="1">
        <f t="array" ref="U117">INDEX(ICL3_classA!$H$2:$H$37,MATCH(MIN(ABS(AI117-ICL3_classA!$F$2:$F$37)),ABS(AI117-ICL3_classA!$F$2:$F$37),0))</f>
        <v>29</v>
      </c>
      <c r="V117" s="1">
        <v>61</v>
      </c>
      <c r="W117" s="1">
        <v>24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 t="e">
        <f>VLOOKUP(A117,'SegEnds_NonXtal_Prot#'!A:AL,10,FALSE)-VLOOKUP(A117,'SegEnds_NonXtal_Prot#'!A:AL,7,FALSE)</f>
        <v>#VALUE!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27</v>
      </c>
      <c r="AH117" s="1">
        <f>VLOOKUP(A117,'SegEnds_NonXtal_Prot#'!A:AL,28,FALSE)-VLOOKUP(A117,'SegEnds_NonXtal_Prot#'!A:AL,22,FALSE)</f>
        <v>52</v>
      </c>
      <c r="AI117" s="1">
        <f>VLOOKUP(A117,'SegEnds_NonXtal_Prot#'!A:AL,31,FALSE)-VLOOKUP(A117,'SegEnds_NonXtal_Prot#'!A:AL,28,FALSE)</f>
        <v>50</v>
      </c>
      <c r="AJ117" s="1">
        <f>VLOOKUP(A117,'SegEnds_NonXtal_Prot#'!A:AL,34,FALSE)-VLOOKUP(A117,'SegEnds_NonXtal_Prot#'!A:AL,31,FALSE)</f>
        <v>43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348</v>
      </c>
      <c r="B118" s="1" t="str">
        <f>VLOOKUP(A118,Xtal_Templ!A:B,2,FALSE)</f>
        <v>p2ry1_human</v>
      </c>
      <c r="C118" s="5">
        <f>VLOOKUP($B118&amp;"__wt",'SegEnds_Xtal_BW#'!$A:$Z,3,FALSE)</f>
        <v>30</v>
      </c>
      <c r="D118" s="1">
        <f>VLOOKUP($B118&amp;"__wt",'SegEnds_Xtal_BW#'!$A:$Z,4,FALSE)</f>
        <v>60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58</v>
      </c>
      <c r="O118" s="87">
        <f>VLOOKUP($B118&amp;"__wt",'SegEnds_Xtal_BW#'!$A:$Z,15,FALSE)</f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32</v>
      </c>
      <c r="T118" s="1">
        <f t="array" ref="T118">INDEX(ICL3_classA!$G$2:$G$37,MATCH(MIN(ABS(AI118-ICL3_classA!$F$2:$F$37)),ABS(AI118-ICL3_classA!$F$2:$F$37),0))</f>
        <v>72</v>
      </c>
      <c r="U118" s="1">
        <f t="array" ref="U118">INDEX(ICL3_classA!$H$2:$H$37,MATCH(MIN(ABS(AI118-ICL3_classA!$F$2:$F$37)),ABS(AI118-ICL3_classA!$F$2:$F$37),0))</f>
        <v>29</v>
      </c>
      <c r="V118" s="1">
        <v>64</v>
      </c>
      <c r="W118" s="1">
        <v>24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20</v>
      </c>
      <c r="AE118" s="1">
        <f>VLOOKUP(A118,'SegEnds_NonXtal_Prot#'!A:AL,16,FALSE)-VLOOKUP(A118,'SegEnds_NonXtal_Prot#'!A:AL,10,FALSE)</f>
        <v>52</v>
      </c>
      <c r="AF118" s="1">
        <f>VLOOKUP(A118,'SegEnds_NonXtal_Prot#'!A:AL,22,FALSE)-VLOOKUP(A118,'SegEnds_NonXtal_Prot#'!A:AL,19,FALSE)</f>
        <v>21</v>
      </c>
      <c r="AG118" s="1">
        <f>VLOOKUP(A118,'SegEnds_NonXtal_Prot#'!A:AL,28,FALSE)-VLOOKUP(A118,'SegEnds_NonXtal_Prot#'!A:AL,25,FALSE)</f>
        <v>27</v>
      </c>
      <c r="AH118" s="1">
        <f>VLOOKUP(A118,'SegEnds_NonXtal_Prot#'!A:AL,28,FALSE)-VLOOKUP(A118,'SegEnds_NonXtal_Prot#'!A:AL,22,FALSE)</f>
        <v>52</v>
      </c>
      <c r="AI118" s="1">
        <f>VLOOKUP(A118,'SegEnds_NonXtal_Prot#'!A:AL,31,FALSE)-VLOOKUP(A118,'SegEnds_NonXtal_Prot#'!A:AL,28,FALSE)</f>
        <v>50</v>
      </c>
      <c r="AJ118" s="1">
        <f>VLOOKUP(A118,'SegEnds_NonXtal_Prot#'!A:AL,34,FALSE)-VLOOKUP(A118,'SegEnds_NonXtal_Prot#'!A:AL,31,FALSE)</f>
        <v>44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352</v>
      </c>
      <c r="B119" s="1" t="str">
        <f>VLOOKUP(A119,Xtal_Templ!A:B,2,FALSE)</f>
        <v>p2y12_human</v>
      </c>
      <c r="C119" s="5">
        <f>VLOOKUP($B119&amp;"__wt",'SegEnds_Xtal_BW#'!$A:$Z,3,FALSE)</f>
        <v>28</v>
      </c>
      <c r="D119" s="1">
        <f>VLOOKUP($B119&amp;"__wt",'SegEnds_Xtal_BW#'!$A:$Z,4,FALSE)</f>
        <v>60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f>VLOOKUP($B119&amp;"__wt",'SegEnds_Xtal_BW#'!$A:$Z,8,FALSE)</f>
        <v>66</v>
      </c>
      <c r="I119" s="1" t="str">
        <f>VLOOKUP($B119&amp;"__wt",'SegEnds_Xtal_BW#'!$A:$Z,9,FALSE)</f>
        <v>-</v>
      </c>
      <c r="J119" s="1" t="str">
        <f>VLOOKUP($B119&amp;"__wt",'SegEnds_Xtal_BW#'!$A:$Z,10,FALSE)</f>
        <v>-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7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30</v>
      </c>
      <c r="T119" s="1">
        <f t="array" ref="T119">INDEX(ICL3_classA!$G$2:$G$37,MATCH(MIN(ABS(AI119-ICL3_classA!$F$2:$F$37)),ABS(AI119-ICL3_classA!$F$2:$F$37),0))</f>
        <v>72</v>
      </c>
      <c r="U119" s="1">
        <f t="array" ref="U119">INDEX(ICL3_classA!$H$2:$H$37,MATCH(MIN(ABS(AI119-ICL3_classA!$F$2:$F$37)),ABS(AI119-ICL3_classA!$F$2:$F$37),0))</f>
        <v>29</v>
      </c>
      <c r="V119" s="1">
        <v>64</v>
      </c>
      <c r="W119" s="1">
        <v>24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57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27</v>
      </c>
      <c r="AC119" s="1" t="e">
        <f>VLOOKUP(A119,'SegEnds_NonXtal_Prot#'!A:AL,10,FALSE)-VLOOKUP(A119,'SegEnds_NonXtal_Prot#'!A:AL,7,FALSE)</f>
        <v>#VALUE!</v>
      </c>
      <c r="AD119" s="1" t="e">
        <f>VLOOKUP(A119,'SegEnds_NonXtal_Prot#'!A:AL,13,FALSE)-VLOOKUP(A119,'SegEnds_NonXtal_Prot#'!A:AL,10,FALSE)</f>
        <v>#VALUE!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26</v>
      </c>
      <c r="AH119" s="1">
        <f>VLOOKUP(A119,'SegEnds_NonXtal_Prot#'!A:AL,28,FALSE)-VLOOKUP(A119,'SegEnds_NonXtal_Prot#'!A:AL,22,FALSE)</f>
        <v>52</v>
      </c>
      <c r="AI119" s="1">
        <f>VLOOKUP(A119,'SegEnds_NonXtal_Prot#'!A:AL,31,FALSE)-VLOOKUP(A119,'SegEnds_NonXtal_Prot#'!A:AL,28,FALSE)</f>
        <v>50</v>
      </c>
      <c r="AJ119" s="1">
        <f>VLOOKUP(A119,'SegEnds_NonXtal_Prot#'!A:AL,34,FALSE)-VLOOKUP(A119,'SegEnds_NonXtal_Prot#'!A:AL,31,FALSE)</f>
        <v>44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353</v>
      </c>
      <c r="B120" s="1" t="str">
        <f>VLOOKUP(A120,Xtal_Templ!A:B,2,FALSE)</f>
        <v>p2y12_human</v>
      </c>
      <c r="C120" s="5">
        <f>VLOOKUP($B120&amp;"__wt",'SegEnds_Xtal_BW#'!$A:$Z,3,FALSE)</f>
        <v>28</v>
      </c>
      <c r="D120" s="1">
        <f>VLOOKUP($B120&amp;"__wt",'SegEnds_Xtal_BW#'!$A:$Z,4,FALSE)</f>
        <v>60</v>
      </c>
      <c r="E120" s="1" t="str">
        <f>VLOOKUP($B120&amp;"__wt",'SegEnds_Xtal_BW#'!$A:$Z,5,FALSE)</f>
        <v>-</v>
      </c>
      <c r="F120" s="1" t="str">
        <f>VLOOKUP($B120&amp;"__wt",'SegEnds_Xtal_BW#'!$A:$Z,6,FALSE)</f>
        <v>-</v>
      </c>
      <c r="G120" s="1">
        <v>37</v>
      </c>
      <c r="H120" s="12">
        <f>VLOOKUP($B120&amp;"__wt",'SegEnds_Xtal_BW#'!$A:$Z,8,FALSE)</f>
        <v>66</v>
      </c>
      <c r="I120" s="1" t="str">
        <f>VLOOKUP($B120&amp;"__wt",'SegEnds_Xtal_BW#'!$A:$Z,9,FALSE)</f>
        <v>-</v>
      </c>
      <c r="J120" s="1" t="str">
        <f>VLOOKUP($B120&amp;"__wt",'SegEnds_Xtal_BW#'!$A:$Z,10,FALSE)</f>
        <v>-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f>VLOOKUP($B120&amp;"__wt",'SegEnds_Xtal_BW#'!$A:$Z,15,FALSE)</f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30</v>
      </c>
      <c r="T120" s="1">
        <f t="array" ref="T120">INDEX(ICL3_classA!$G$2:$G$37,MATCH(MIN(ABS(AI120-ICL3_classA!$F$2:$F$37)),ABS(AI120-ICL3_classA!$F$2:$F$37),0))</f>
        <v>72</v>
      </c>
      <c r="U120" s="1">
        <f t="array" ref="U120">INDEX(ICL3_classA!$H$2:$H$37,MATCH(MIN(ABS(AI120-ICL3_classA!$F$2:$F$37)),ABS(AI120-ICL3_classA!$F$2:$F$37),0))</f>
        <v>29</v>
      </c>
      <c r="V120" s="1">
        <v>64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57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27</v>
      </c>
      <c r="AC120" s="1" t="e">
        <f>VLOOKUP(A120,'SegEnds_NonXtal_Prot#'!A:AL,10,FALSE)-VLOOKUP(A120,'SegEnds_NonXtal_Prot#'!A:AL,7,FALSE)</f>
        <v>#VALUE!</v>
      </c>
      <c r="AD120" s="1" t="e">
        <f>VLOOKUP(A120,'SegEnds_NonXtal_Prot#'!A:AL,13,FALSE)-VLOOKUP(A120,'SegEnds_NonXtal_Prot#'!A:AL,10,FALSE)</f>
        <v>#VALUE!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26</v>
      </c>
      <c r="AH120" s="1">
        <f>VLOOKUP(A120,'SegEnds_NonXtal_Prot#'!A:AL,28,FALSE)-VLOOKUP(A120,'SegEnds_NonXtal_Prot#'!A:AL,22,FALSE)</f>
        <v>52</v>
      </c>
      <c r="AI120" s="1">
        <f>VLOOKUP(A120,'SegEnds_NonXtal_Prot#'!A:AL,31,FALSE)-VLOOKUP(A120,'SegEnds_NonXtal_Prot#'!A:AL,28,FALSE)</f>
        <v>50</v>
      </c>
      <c r="AJ120" s="1">
        <f>VLOOKUP(A120,'SegEnds_NonXtal_Prot#'!A:AL,34,FALSE)-VLOOKUP(A120,'SegEnds_NonXtal_Prot#'!A:AL,31,FALSE)</f>
        <v>44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354</v>
      </c>
      <c r="B121" s="1" t="str">
        <f>VLOOKUP(A121,Xtal_Templ!A:B,2,FALSE)</f>
        <v>p2y12_human</v>
      </c>
      <c r="C121" s="5">
        <f>VLOOKUP($B121&amp;"__wt",'SegEnds_Xtal_BW#'!$A:$Z,3,FALSE)</f>
        <v>28</v>
      </c>
      <c r="D121" s="1">
        <f>VLOOKUP($B121&amp;"__wt",'SegEnds_Xtal_BW#'!$A:$Z,4,FALSE)</f>
        <v>60</v>
      </c>
      <c r="E121" s="1" t="str">
        <f>VLOOKUP($B121&amp;"__wt",'SegEnds_Xtal_BW#'!$A:$Z,5,FALSE)</f>
        <v>-</v>
      </c>
      <c r="F121" s="1" t="str">
        <f>VLOOKUP($B121&amp;"__wt",'SegEnds_Xtal_BW#'!$A:$Z,6,FALSE)</f>
        <v>-</v>
      </c>
      <c r="G121" s="1">
        <v>37</v>
      </c>
      <c r="H121" s="12">
        <f>VLOOKUP($B121&amp;"__wt",'SegEnds_Xtal_BW#'!$A:$Z,8,FALSE)</f>
        <v>66</v>
      </c>
      <c r="I121" s="1" t="str">
        <f>VLOOKUP($B121&amp;"__wt",'SegEnds_Xtal_BW#'!$A:$Z,9,FALSE)</f>
        <v>-</v>
      </c>
      <c r="J121" s="1" t="str">
        <f>VLOOKUP($B121&amp;"__wt",'SegEnds_Xtal_BW#'!$A:$Z,10,FALSE)</f>
        <v>-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30</v>
      </c>
      <c r="T121" s="1">
        <f t="array" ref="T121">INDEX(ICL3_classA!$G$2:$G$37,MATCH(MIN(ABS(AI121-ICL3_classA!$F$2:$F$37)),ABS(AI121-ICL3_classA!$F$2:$F$37),0))</f>
        <v>72</v>
      </c>
      <c r="U121" s="1">
        <f t="array" ref="U121">INDEX(ICL3_classA!$H$2:$H$37,MATCH(MIN(ABS(AI121-ICL3_classA!$F$2:$F$37)),ABS(AI121-ICL3_classA!$F$2:$F$37),0))</f>
        <v>29</v>
      </c>
      <c r="V121" s="1">
        <v>64</v>
      </c>
      <c r="W121" s="1">
        <v>24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57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27</v>
      </c>
      <c r="AC121" s="1" t="e">
        <f>VLOOKUP(A121,'SegEnds_NonXtal_Prot#'!A:AL,10,FALSE)-VLOOKUP(A121,'SegEnds_NonXtal_Prot#'!A:AL,7,FALSE)</f>
        <v>#VALUE!</v>
      </c>
      <c r="AD121" s="1" t="e">
        <f>VLOOKUP(A121,'SegEnds_NonXtal_Prot#'!A:AL,13,FALSE)-VLOOKUP(A121,'SegEnds_NonXtal_Prot#'!A:AL,10,FALSE)</f>
        <v>#VALUE!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26</v>
      </c>
      <c r="AH121" s="1">
        <f>VLOOKUP(A121,'SegEnds_NonXtal_Prot#'!A:AL,28,FALSE)-VLOOKUP(A121,'SegEnds_NonXtal_Prot#'!A:AL,22,FALSE)</f>
        <v>52</v>
      </c>
      <c r="AI121" s="1">
        <f>VLOOKUP(A121,'SegEnds_NonXtal_Prot#'!A:AL,31,FALSE)-VLOOKUP(A121,'SegEnds_NonXtal_Prot#'!A:AL,28,FALSE)</f>
        <v>50</v>
      </c>
      <c r="AJ121" s="1">
        <f>VLOOKUP(A121,'SegEnds_NonXtal_Prot#'!A:AL,34,FALSE)-VLOOKUP(A121,'SegEnds_NonXtal_Prot#'!A:AL,31,FALSE)</f>
        <v>44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365</v>
      </c>
      <c r="B122" s="1" t="str">
        <f>VLOOKUP(A122,Xtal_Templ!A:B,2,FALSE)</f>
        <v>ta2r_human</v>
      </c>
      <c r="C122" s="5">
        <f>VLOOKUP($B122&amp;"__wt",'SegEnds_Xtal_BW#'!$A:$Z,3,FALSE)</f>
        <v>35</v>
      </c>
      <c r="D122" s="108">
        <v>61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53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08">
        <v>50</v>
      </c>
      <c r="R122" s="108">
        <v>52</v>
      </c>
      <c r="S122" s="1">
        <v>35</v>
      </c>
      <c r="T122" s="1">
        <f t="array" ref="T122">INDEX(ICL3_classA!$G$2:$G$37,MATCH(MIN(ABS(AI122-ICL3_classA!$F$2:$F$37)),ABS(AI122-ICL3_classA!$F$2:$F$37),0))</f>
        <v>72</v>
      </c>
      <c r="U122" s="1">
        <f t="array" ref="U122">INDEX(ICL3_classA!$H$2:$H$37,MATCH(MIN(ABS(AI122-ICL3_classA!$F$2:$F$37)),ABS(AI122-ICL3_classA!$F$2:$F$37),0))</f>
        <v>29</v>
      </c>
      <c r="V122" s="1">
        <v>61</v>
      </c>
      <c r="W122" s="1">
        <v>31</v>
      </c>
      <c r="X122" s="108">
        <v>56</v>
      </c>
      <c r="Y122" s="108">
        <v>47</v>
      </c>
      <c r="Z122" s="1">
        <f>VLOOKUP($B122&amp;"__wt",'SegEnds_Xtal_BW#'!$A:$Z,26,FALSE)</f>
        <v>66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33</v>
      </c>
      <c r="AC122" s="1">
        <f>VLOOKUP(A122,'SegEnds_NonXtal_Prot#'!A:AL,10,FALSE)-VLOOKUP(A122,'SegEnds_NonXtal_Prot#'!A:AL,7,FALSE)</f>
        <v>19</v>
      </c>
      <c r="AD122" s="1">
        <f>VLOOKUP(A122,'SegEnds_NonXtal_Prot#'!A:AL,13,FALSE)-VLOOKUP(A122,'SegEnds_NonXtal_Prot#'!A:AL,10,FALSE)</f>
        <v>21</v>
      </c>
      <c r="AE122" s="1">
        <f>VLOOKUP(A122,'SegEnds_NonXtal_Prot#'!A:AL,16,FALSE)-VLOOKUP(A122,'SegEnds_NonXtal_Prot#'!A:AL,10,FALSE)</f>
        <v>56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28</v>
      </c>
      <c r="AH122" s="1">
        <f>VLOOKUP(A122,'SegEnds_NonXtal_Prot#'!A:AL,28,FALSE)-VLOOKUP(A122,'SegEnds_NonXtal_Prot#'!A:AL,22,FALSE)</f>
        <v>54</v>
      </c>
      <c r="AI122" s="1">
        <f>VLOOKUP(A122,'SegEnds_NonXtal_Prot#'!A:AL,31,FALSE)-VLOOKUP(A122,'SegEnds_NonXtal_Prot#'!A:AL,28,FALSE)</f>
        <v>50</v>
      </c>
      <c r="AJ122" s="1">
        <f>VLOOKUP(A122,'SegEnds_NonXtal_Prot#'!A:AL,34,FALSE)-VLOOKUP(A122,'SegEnds_NonXtal_Prot#'!A:AL,31,FALSE)</f>
        <v>37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385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21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30</v>
      </c>
      <c r="T123" s="1">
        <f t="array" ref="T123">INDEX(ICL3_classA!$G$2:$G$37,MATCH(MIN(ABS(AI123-ICL3_classA!$F$2:$F$37)),ABS(AI123-ICL3_classA!$F$2:$F$37),0))</f>
        <v>72</v>
      </c>
      <c r="U123" s="1">
        <f t="array" ref="U123">INDEX(ICL3_classA!$H$2:$H$37,MATCH(MIN(ABS(AI123-ICL3_classA!$F$2:$F$37)),ABS(AI123-ICL3_classA!$F$2:$F$37),0))</f>
        <v>29</v>
      </c>
      <c r="V123" s="1">
        <v>61</v>
      </c>
      <c r="W123" s="132">
        <f>VLOOKUP($B123&amp;"__wt",'SegEnds_Xtal_BW#'!$A:$Z,23,FALSE)</f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>
        <f>VLOOKUP(A123,'SegEnds_NonXtal_Prot#'!A:AL,10,FALSE)-VLOOKUP(A123,'SegEnds_NonXtal_Prot#'!A:AL,7,FALSE)</f>
        <v>15</v>
      </c>
      <c r="AD123" s="1">
        <f>VLOOKUP(A123,'SegEnds_NonXtal_Prot#'!A:AL,13,FALSE)-VLOOKUP(A123,'SegEnds_NonXtal_Prot#'!A:AL,10,FALSE)</f>
        <v>19</v>
      </c>
      <c r="AE123" s="1">
        <f>VLOOKUP(A123,'SegEnds_NonXtal_Prot#'!A:AL,16,FALSE)-VLOOKUP(A123,'SegEnds_NonXtal_Prot#'!A:AL,10,FALSE)</f>
        <v>51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27</v>
      </c>
      <c r="AH123" s="1">
        <f>VLOOKUP(A123,'SegEnds_NonXtal_Prot#'!A:AL,28,FALSE)-VLOOKUP(A123,'SegEnds_NonXtal_Prot#'!A:AL,22,FALSE)</f>
        <v>49</v>
      </c>
      <c r="AI123" s="1">
        <f>VLOOKUP(A123,'SegEnds_NonXtal_Prot#'!A:AL,31,FALSE)-VLOOKUP(A123,'SegEnds_NonXtal_Prot#'!A:AL,28,FALSE)</f>
        <v>50</v>
      </c>
      <c r="AJ123" s="1">
        <f>VLOOKUP(A123,'SegEnds_NonXtal_Prot#'!A:AL,34,FALSE)-VLOOKUP(A123,'SegEnds_NonXtal_Prot#'!A:AL,31,FALSE)</f>
        <v>38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396</v>
      </c>
      <c r="B124" s="1" t="str">
        <f>VLOOKUP(A124,Xtal_Templ!A:B,2,FALSE)</f>
        <v>adrb2_human</v>
      </c>
      <c r="C124" s="5">
        <f>VLOOKUP($B124&amp;"__wt",'SegEnds_Xtal_BW#'!$A:$Z,3,FALSE)</f>
        <v>25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21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08">
        <v>56</v>
      </c>
      <c r="O124" s="87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35</v>
      </c>
      <c r="T124" s="1">
        <f t="array" ref="T124">INDEX(ICL3_classA!$G$2:$G$37,MATCH(MIN(ABS(AI124-ICL3_classA!$F$2:$F$37)),ABS(AI124-ICL3_classA!$F$2:$F$37),0))</f>
        <v>72</v>
      </c>
      <c r="U124" s="1">
        <f t="array" ref="U124">INDEX(ICL3_classA!$H$2:$H$37,MATCH(MIN(ABS(AI124-ICL3_classA!$F$2:$F$37)),ABS(AI124-ICL3_classA!$F$2:$F$37),0))</f>
        <v>29</v>
      </c>
      <c r="V124" s="1">
        <v>61</v>
      </c>
      <c r="W124" s="132">
        <f>VLOOKUP($B124&amp;"__wt",'SegEnds_Xtal_BW#'!$A:$Z,23,FALSE)</f>
        <v>31</v>
      </c>
      <c r="X124" s="108"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>
        <f>VLOOKUP(A124,'SegEnds_NonXtal_Prot#'!A:AL,13,FALSE)-VLOOKUP(A124,'SegEnds_NonXtal_Prot#'!A:AL,10,FALSE)</f>
        <v>19</v>
      </c>
      <c r="AE124" s="1">
        <f>VLOOKUP(A124,'SegEnds_NonXtal_Prot#'!A:AL,16,FALSE)-VLOOKUP(A124,'SegEnds_NonXtal_Prot#'!A:AL,10,FALSE)</f>
        <v>51</v>
      </c>
      <c r="AF124" s="1">
        <f>VLOOKUP(A124,'SegEnds_NonXtal_Prot#'!A:AL,22,FALSE)-VLOOKUP(A124,'SegEnds_NonXtal_Prot#'!A:AL,19,FALSE)</f>
        <v>19</v>
      </c>
      <c r="AG124" s="1">
        <f>VLOOKUP(A124,'SegEnds_NonXtal_Prot#'!A:AL,28,FALSE)-VLOOKUP(A124,'SegEnds_NonXtal_Prot#'!A:AL,25,FALSE)</f>
        <v>24</v>
      </c>
      <c r="AH124" s="1">
        <f>VLOOKUP(A124,'SegEnds_NonXtal_Prot#'!A:AL,28,FALSE)-VLOOKUP(A124,'SegEnds_NonXtal_Prot#'!A:AL,22,FALSE)</f>
        <v>49</v>
      </c>
      <c r="AI124" s="1">
        <f>VLOOKUP(A124,'SegEnds_NonXtal_Prot#'!A:AL,31,FALSE)-VLOOKUP(A124,'SegEnds_NonXtal_Prot#'!A:AL,28,FALSE)</f>
        <v>50</v>
      </c>
      <c r="AJ124" s="1">
        <f>VLOOKUP(A124,'SegEnds_NonXtal_Prot#'!A:AL,34,FALSE)-VLOOKUP(A124,'SegEnds_NonXtal_Prot#'!A:AL,31,FALSE)</f>
        <v>39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161</v>
      </c>
      <c r="B125" s="1" t="str">
        <f>VLOOKUP(A125,Xtal_Templ!A:B,2,FALSE)</f>
        <v>agtr1_human</v>
      </c>
      <c r="C125" s="5">
        <f>VLOOKUP($B125&amp;"__wt",'SegEnds_Xtal_BW#'!$A:$Z,3,FALSE)</f>
        <v>28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57</v>
      </c>
      <c r="O125" s="87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34</v>
      </c>
      <c r="T125" s="1">
        <f t="array" ref="T125">INDEX(ICL3_classA!$G$2:$G$37,MATCH(MIN(ABS(AI125-ICL3_classA!$F$2:$F$37)),ABS(AI125-ICL3_classA!$F$2:$F$37),0))</f>
        <v>68</v>
      </c>
      <c r="U125" s="1">
        <f t="array" ref="U125">INDEX(ICL3_classA!$H$2:$H$37,MATCH(MIN(ABS(AI125-ICL3_classA!$F$2:$F$37)),ABS(AI125-ICL3_classA!$F$2:$F$37),0))</f>
        <v>23</v>
      </c>
      <c r="V125" s="1">
        <v>64</v>
      </c>
      <c r="W125" s="1">
        <v>24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20</v>
      </c>
      <c r="AG125" s="1">
        <f>VLOOKUP(A125,'SegEnds_NonXtal_Prot#'!A:AL,28,FALSE)-VLOOKUP(A125,'SegEnds_NonXtal_Prot#'!A:AL,25,FALSE)</f>
        <v>25</v>
      </c>
      <c r="AH125" s="1">
        <f>VLOOKUP(A125,'SegEnds_NonXtal_Prot#'!A:AL,28,FALSE)-VLOOKUP(A125,'SegEnds_NonXtal_Prot#'!A:AL,22,FALSE)</f>
        <v>52</v>
      </c>
      <c r="AI125" s="1">
        <f>VLOOKUP(A125,'SegEnds_NonXtal_Prot#'!A:AL,31,FALSE)-VLOOKUP(A125,'SegEnds_NonXtal_Prot#'!A:AL,28,FALSE)</f>
        <v>51</v>
      </c>
      <c r="AJ125" s="1">
        <f>VLOOKUP(A125,'SegEnds_NonXtal_Prot#'!A:AL,34,FALSE)-VLOOKUP(A125,'SegEnds_NonXtal_Prot#'!A:AL,31,FALSE)</f>
        <v>44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223</v>
      </c>
      <c r="B126" s="1" t="str">
        <f>VLOOKUP(A126,Xtal_Templ!A:B,2,FALSE)</f>
        <v>agtr2_human</v>
      </c>
      <c r="C126" s="5">
        <f>VLOOKUP($B126&amp;"__wt",'SegEnds_Xtal_BW#'!$A:$Z,3,FALSE)</f>
        <v>33</v>
      </c>
      <c r="D126" s="1">
        <f>VLOOKUP($B126&amp;"__wt",'SegEnds_Xtal_BW#'!$A:$Z,4,FALSE)</f>
        <v>60</v>
      </c>
      <c r="E126" s="1" t="str">
        <f>VLOOKUP($B126&amp;"__wt",'SegEnds_Xtal_BW#'!$A:$Z,5,FALSE)</f>
        <v>-</v>
      </c>
      <c r="F126" s="1" t="str">
        <f>VLOOKUP($B126&amp;"__wt",'SegEnds_Xtal_BW#'!$A:$Z,6,FALSE)</f>
        <v>-</v>
      </c>
      <c r="G126" s="1">
        <v>37</v>
      </c>
      <c r="H126" s="12">
        <f>VLOOKUP($B126&amp;"__wt",'SegEnds_Xtal_BW#'!$A:$Z,8,FALSE)</f>
        <v>66</v>
      </c>
      <c r="I126" s="1">
        <f>VLOOKUP($B126&amp;"__wt",'SegEnds_Xtal_BW#'!$A:$Z,9,FALSE)</f>
        <v>47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30</v>
      </c>
      <c r="T126" s="1">
        <f t="array" ref="T126">INDEX(ICL3_classA!$G$2:$G$37,MATCH(MIN(ABS(AI126-ICL3_classA!$F$2:$F$37)),ABS(AI126-ICL3_classA!$F$2:$F$37),0))</f>
        <v>68</v>
      </c>
      <c r="U126" s="1">
        <f t="array" ref="U126">INDEX(ICL3_classA!$H$2:$H$37,MATCH(MIN(ABS(AI126-ICL3_classA!$F$2:$F$37)),ABS(AI126-ICL3_classA!$F$2:$F$37),0))</f>
        <v>23</v>
      </c>
      <c r="V126" s="1">
        <v>61</v>
      </c>
      <c r="W126" s="108">
        <v>25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61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30</v>
      </c>
      <c r="AC126" s="1" t="e">
        <f>VLOOKUP(A126,'SegEnds_NonXtal_Prot#'!A:AL,10,FALSE)-VLOOKUP(A126,'SegEnds_NonXtal_Prot#'!A:AL,7,FALSE)</f>
        <v>#VALUE!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19</v>
      </c>
      <c r="AG126" s="1">
        <f>VLOOKUP(A126,'SegEnds_NonXtal_Prot#'!A:AL,28,FALSE)-VLOOKUP(A126,'SegEnds_NonXtal_Prot#'!A:AL,25,FALSE)</f>
        <v>27</v>
      </c>
      <c r="AH126" s="1">
        <f>VLOOKUP(A126,'SegEnds_NonXtal_Prot#'!A:AL,28,FALSE)-VLOOKUP(A126,'SegEnds_NonXtal_Prot#'!A:AL,22,FALSE)</f>
        <v>52</v>
      </c>
      <c r="AI126" s="1">
        <f>VLOOKUP(A126,'SegEnds_NonXtal_Prot#'!A:AL,31,FALSE)-VLOOKUP(A126,'SegEnds_NonXtal_Prot#'!A:AL,28,FALSE)</f>
        <v>51</v>
      </c>
      <c r="AJ126" s="1">
        <f>VLOOKUP(A126,'SegEnds_NonXtal_Prot#'!A:AL,34,FALSE)-VLOOKUP(A126,'SegEnds_NonXtal_Prot#'!A:AL,31,FALSE)</f>
        <v>38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234</v>
      </c>
      <c r="B127" s="1" t="str">
        <f>VLOOKUP(A127,Xtal_Templ!A:B,2,FALSE)</f>
        <v>ccr5_human</v>
      </c>
      <c r="C127" s="5">
        <f>VLOOKUP($B127&amp;"__wt",'SegEnds_Xtal_BW#'!$A:$Z,3,FALSE)</f>
        <v>24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INDEX(ICL3_classA!$G$2:$G$37,MATCH(MIN(ABS(AI127-ICL3_classA!$F$2:$F$37)),ABS(AI127-ICL3_classA!$F$2:$F$37),0))</f>
        <v>68</v>
      </c>
      <c r="U127" s="1">
        <f t="array" ref="U127">INDEX(ICL3_classA!$H$2:$H$37,MATCH(MIN(ABS(AI127-ICL3_classA!$F$2:$F$37)),ABS(AI127-ICL3_classA!$F$2:$F$37),0))</f>
        <v>23</v>
      </c>
      <c r="V127" s="1">
        <v>64</v>
      </c>
      <c r="W127" s="1">
        <v>24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27</v>
      </c>
      <c r="AH127" s="1">
        <f>VLOOKUP(A127,'SegEnds_NonXtal_Prot#'!A:AL,28,FALSE)-VLOOKUP(A127,'SegEnds_NonXtal_Prot#'!A:AL,22,FALSE)</f>
        <v>52</v>
      </c>
      <c r="AI127" s="1">
        <f>VLOOKUP(A127,'SegEnds_NonXtal_Prot#'!A:AL,31,FALSE)-VLOOKUP(A127,'SegEnds_NonXtal_Prot#'!A:AL,28,FALSE)</f>
        <v>51</v>
      </c>
      <c r="AJ127" s="1">
        <f>VLOOKUP(A127,'SegEnds_NonXtal_Prot#'!A:AL,34,FALSE)-VLOOKUP(A127,'SegEnds_NonXtal_Prot#'!A:AL,31,FALSE)</f>
        <v>46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253</v>
      </c>
      <c r="B128" s="1" t="str">
        <f>VLOOKUP(A128,Xtal_Templ!A:B,2,FALSE)</f>
        <v>ptafr_human</v>
      </c>
      <c r="C128" s="5">
        <f>VLOOKUP($B128&amp;"__wt",'SegEnds_Xtal_BW#'!$A:$Z,3,FALSE)</f>
        <v>27</v>
      </c>
      <c r="D128" s="1">
        <f>VLOOKUP($B128&amp;"__wt",'SegEnds_Xtal_BW#'!$A:$Z,4,FALSE)</f>
        <v>61</v>
      </c>
      <c r="E128" s="1" t="str">
        <f>VLOOKUP($B128&amp;"__wt",'SegEnds_Xtal_BW#'!$A:$Z,5,FALSE)</f>
        <v>-</v>
      </c>
      <c r="F128" s="1" t="str">
        <f>VLOOKUP($B128&amp;"__wt",'SegEnds_Xtal_BW#'!$A:$Z,6,FALSE)</f>
        <v>-</v>
      </c>
      <c r="G128" s="1">
        <v>37</v>
      </c>
      <c r="H128" s="12">
        <f>VLOOKUP($B128&amp;"__wt",'SegEnds_Xtal_BW#'!$A:$Z,8,FALSE)</f>
        <v>67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f>VLOOKUP($B128&amp;"__wt",'SegEnds_Xtal_BW#'!$A:$Z,14,FALSE)</f>
        <v>57</v>
      </c>
      <c r="O128" s="87">
        <f>VLOOKUP($B128&amp;"__wt",'SegEnds_Xtal_BW#'!$A:$Z,15,FALSE)</f>
        <v>38</v>
      </c>
      <c r="P128" s="1">
        <f>VLOOKUP($B128&amp;"__wt",'SegEnds_Xtal_BW#'!$A:$Z,16,FALSE)</f>
        <v>63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33</v>
      </c>
      <c r="T128" s="1">
        <f t="array" ref="T128">INDEX(ICL3_classA!$G$2:$G$37,MATCH(MIN(ABS(AI128-ICL3_classA!$F$2:$F$37)),ABS(AI128-ICL3_classA!$F$2:$F$37),0))</f>
        <v>68</v>
      </c>
      <c r="U128" s="1">
        <f t="array" ref="U128">INDEX(ICL3_classA!$H$2:$H$37,MATCH(MIN(ABS(AI128-ICL3_classA!$F$2:$F$37)),ABS(AI128-ICL3_classA!$F$2:$F$37),0))</f>
        <v>23</v>
      </c>
      <c r="V128" s="1">
        <v>61</v>
      </c>
      <c r="W128" s="1">
        <v>24</v>
      </c>
      <c r="X128" s="1">
        <f>VLOOKUP($B128&amp;"__wt",'SegEnds_Xtal_BW#'!$A:$Z,24,FALSE)</f>
        <v>59</v>
      </c>
      <c r="Y128" s="1">
        <f>VLOOKUP($B128&amp;"__wt",'SegEnds_Xtal_BW#'!$A:$Z,25,FALSE)</f>
        <v>50</v>
      </c>
      <c r="Z128" s="1">
        <f>VLOOKUP($B128&amp;"__wt",'SegEnds_Xtal_BW#'!$A:$Z,26,FALSE)</f>
        <v>63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28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26</v>
      </c>
      <c r="AH128" s="1">
        <f>VLOOKUP(A128,'SegEnds_NonXtal_Prot#'!A:AL,28,FALSE)-VLOOKUP(A128,'SegEnds_NonXtal_Prot#'!A:AL,22,FALSE)</f>
        <v>51</v>
      </c>
      <c r="AI128" s="1">
        <f>VLOOKUP(A128,'SegEnds_NonXtal_Prot#'!A:AL,31,FALSE)-VLOOKUP(A128,'SegEnds_NonXtal_Prot#'!A:AL,28,FALSE)</f>
        <v>51</v>
      </c>
      <c r="AJ128" s="1">
        <f>VLOOKUP(A128,'SegEnds_NonXtal_Prot#'!A:AL,34,FALSE)-VLOOKUP(A128,'SegEnds_NonXtal_Prot#'!A:AL,31,FALSE)</f>
        <v>43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268</v>
      </c>
      <c r="B129" s="1" t="str">
        <f>VLOOKUP(A129,Xtal_Templ!A:B,2,FALSE)</f>
        <v>oprm_mouse</v>
      </c>
      <c r="C129" s="5">
        <f>VLOOKUP($B129&amp;"__wt",'SegEnds_Xtal_BW#'!$A:$Z,3,FALSE)</f>
        <v>29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67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31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23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59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56</v>
      </c>
      <c r="AF129" s="1">
        <f>VLOOKUP(A129,'SegEnds_NonXtal_Prot#'!A:AL,22,FALSE)-VLOOKUP(A129,'SegEnds_NonXtal_Prot#'!A:AL,19,FALSE)</f>
        <v>20</v>
      </c>
      <c r="AG129" s="1" t="e">
        <f>VLOOKUP(A129,'SegEnds_NonXtal_Prot#'!A:AL,28,FALSE)-VLOOKUP(A129,'SegEnds_NonXtal_Prot#'!A:AL,25,FALSE)</f>
        <v>#VALUE!</v>
      </c>
      <c r="AH129" s="1">
        <f>VLOOKUP(A129,'SegEnds_NonXtal_Prot#'!A:AL,28,FALSE)-VLOOKUP(A129,'SegEnds_NonXtal_Prot#'!A:AL,22,FALSE)</f>
        <v>53</v>
      </c>
      <c r="AI129" s="1">
        <f>VLOOKUP(A129,'SegEnds_NonXtal_Prot#'!A:AL,31,FALSE)-VLOOKUP(A129,'SegEnds_NonXtal_Prot#'!A:AL,28,FALSE)</f>
        <v>51</v>
      </c>
      <c r="AJ129" s="1">
        <f>VLOOKUP(A129,'SegEnds_NonXtal_Prot#'!A:AL,34,FALSE)-VLOOKUP(A129,'SegEnds_NonXtal_Prot#'!A:AL,31,FALSE)</f>
        <v>42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299</v>
      </c>
      <c r="B130" s="1" t="str">
        <f>VLOOKUP(A130,Xtal_Templ!A:B,2,FALSE)</f>
        <v>oprk_human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67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30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23</v>
      </c>
      <c r="V130" s="1">
        <v>61</v>
      </c>
      <c r="W130" s="1">
        <v>31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59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31</v>
      </c>
      <c r="AC130" s="1">
        <f>VLOOKUP(A130,'SegEnds_NonXtal_Prot#'!A:AL,10,FALSE)-VLOOKUP(A130,'SegEnds_NonXtal_Prot#'!A:AL,7,FALSE)</f>
        <v>18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26</v>
      </c>
      <c r="AH130" s="1">
        <f>VLOOKUP(A130,'SegEnds_NonXtal_Prot#'!A:AL,28,FALSE)-VLOOKUP(A130,'SegEnds_NonXtal_Prot#'!A:AL,22,FALSE)</f>
        <v>52</v>
      </c>
      <c r="AI130" s="1">
        <f>VLOOKUP(A130,'SegEnds_NonXtal_Prot#'!A:AL,31,FALSE)-VLOOKUP(A130,'SegEnds_NonXtal_Prot#'!A:AL,28,FALSE)</f>
        <v>51</v>
      </c>
      <c r="AJ130" s="1">
        <f>VLOOKUP(A130,'SegEnds_NonXtal_Prot#'!A:AL,34,FALSE)-VLOOKUP(A130,'SegEnds_NonXtal_Prot#'!A:AL,31,FALSE)</f>
        <v>37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320</v>
      </c>
      <c r="B131" s="1" t="str">
        <f>VLOOKUP(A131,Xtal_Templ!A:B,2,FALSE)</f>
        <v>oprd_mouse</v>
      </c>
      <c r="C131" s="5">
        <f>VLOOKUP($B131&amp;"__wt",'SegEnds_Xtal_BW#'!$A:$Z,3,FALSE)</f>
        <v>24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f>VLOOKUP($B131&amp;"__wt",'SegEnds_Xtal_BW#'!$A:$Z,14,FALSE)</f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31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23</v>
      </c>
      <c r="V131" s="1">
        <v>61</v>
      </c>
      <c r="W131" s="132">
        <f>VLOOKUP($B131&amp;"__wt",'SegEnds_Xtal_BW#'!$A:$Z,23,FALSE)</f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60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28</v>
      </c>
      <c r="AC131" s="1">
        <f>VLOOKUP(A131,'SegEnds_NonXtal_Prot#'!A:AL,10,FALSE)-VLOOKUP(A131,'SegEnds_NonXtal_Prot#'!A:AL,7,FALSE)</f>
        <v>15</v>
      </c>
      <c r="AD131" s="1">
        <f>VLOOKUP(A131,'SegEnds_NonXtal_Prot#'!A:AL,13,FALSE)-VLOOKUP(A131,'SegEnds_NonXtal_Prot#'!A:AL,10,FALSE)</f>
        <v>19</v>
      </c>
      <c r="AE131" s="1">
        <f>VLOOKUP(A131,'SegEnds_NonXtal_Prot#'!A:AL,16,FALSE)-VLOOKUP(A131,'SegEnds_NonXtal_Prot#'!A:AL,10,FALSE)</f>
        <v>51</v>
      </c>
      <c r="AF131" s="1" t="e">
        <f>VLOOKUP(A131,'SegEnds_NonXtal_Prot#'!A:AL,22,FALSE)-VLOOKUP(A131,'SegEnds_NonXtal_Prot#'!A:AL,19,FALSE)</f>
        <v>#VALUE!</v>
      </c>
      <c r="AG131" s="1">
        <f>VLOOKUP(A131,'SegEnds_NonXtal_Prot#'!A:AL,28,FALSE)-VLOOKUP(A131,'SegEnds_NonXtal_Prot#'!A:AL,25,FALSE)</f>
        <v>27</v>
      </c>
      <c r="AH131" s="1">
        <f>VLOOKUP(A131,'SegEnds_NonXtal_Prot#'!A:AL,28,FALSE)-VLOOKUP(A131,'SegEnds_NonXtal_Prot#'!A:AL,22,FALSE)</f>
        <v>52</v>
      </c>
      <c r="AI131" s="1">
        <f>VLOOKUP(A131,'SegEnds_NonXtal_Prot#'!A:AL,31,FALSE)-VLOOKUP(A131,'SegEnds_NonXtal_Prot#'!A:AL,28,FALSE)</f>
        <v>51</v>
      </c>
      <c r="AJ131" s="1">
        <f>VLOOKUP(A131,'SegEnds_NonXtal_Prot#'!A:AL,34,FALSE)-VLOOKUP(A131,'SegEnds_NonXtal_Prot#'!A:AL,31,FALSE)</f>
        <v>38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321</v>
      </c>
      <c r="B132" s="1" t="str">
        <f>VLOOKUP(A132,Xtal_Templ!A:B,2,FALSE)</f>
        <v>oprd_human</v>
      </c>
      <c r="C132" s="5">
        <f>VLOOKUP($B132&amp;"__wt",'SegEnds_Xtal_BW#'!$A:$Z,3,FALSE)</f>
        <v>22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21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31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23</v>
      </c>
      <c r="V132" s="1">
        <v>61</v>
      </c>
      <c r="W132" s="132">
        <f>VLOOKUP($B132&amp;"__wt",'SegEnds_Xtal_BW#'!$A:$Z,23,FALSE)</f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60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28</v>
      </c>
      <c r="AC132" s="1">
        <f>VLOOKUP(A132,'SegEnds_NonXtal_Prot#'!A:AL,10,FALSE)-VLOOKUP(A132,'SegEnds_NonXtal_Prot#'!A:AL,7,FALSE)</f>
        <v>15</v>
      </c>
      <c r="AD132" s="1">
        <f>VLOOKUP(A132,'SegEnds_NonXtal_Prot#'!A:AL,13,FALSE)-VLOOKUP(A132,'SegEnds_NonXtal_Prot#'!A:AL,10,FALSE)</f>
        <v>19</v>
      </c>
      <c r="AE132" s="1">
        <f>VLOOKUP(A132,'SegEnds_NonXtal_Prot#'!A:AL,16,FALSE)-VLOOKUP(A132,'SegEnds_NonXtal_Prot#'!A:AL,10,FALSE)</f>
        <v>51</v>
      </c>
      <c r="AF132" s="1" t="e">
        <f>VLOOKUP(A132,'SegEnds_NonXtal_Prot#'!A:AL,22,FALSE)-VLOOKUP(A132,'SegEnds_NonXtal_Prot#'!A:AL,19,FALSE)</f>
        <v>#VALUE!</v>
      </c>
      <c r="AG132" s="1">
        <f>VLOOKUP(A132,'SegEnds_NonXtal_Prot#'!A:AL,28,FALSE)-VLOOKUP(A132,'SegEnds_NonXtal_Prot#'!A:AL,25,FALSE)</f>
        <v>27</v>
      </c>
      <c r="AH132" s="1">
        <f>VLOOKUP(A132,'SegEnds_NonXtal_Prot#'!A:AL,28,FALSE)-VLOOKUP(A132,'SegEnds_NonXtal_Prot#'!A:AL,22,FALSE)</f>
        <v>53</v>
      </c>
      <c r="AI132" s="1">
        <f>VLOOKUP(A132,'SegEnds_NonXtal_Prot#'!A:AL,31,FALSE)-VLOOKUP(A132,'SegEnds_NonXtal_Prot#'!A:AL,28,FALSE)</f>
        <v>51</v>
      </c>
      <c r="AJ132" s="1">
        <f>VLOOKUP(A132,'SegEnds_NonXtal_Prot#'!A:AL,34,FALSE)-VLOOKUP(A132,'SegEnds_NonXtal_Prot#'!A:AL,31,FALSE)</f>
        <v>38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335</v>
      </c>
      <c r="B133" s="1" t="str">
        <f>VLOOKUP(A133,Xtal_Templ!A:B,2,FALSE)</f>
        <v>oprd_human</v>
      </c>
      <c r="C133" s="5">
        <f>VLOOKUP($B133&amp;"__wt",'SegEnds_Xtal_BW#'!$A:$Z,3,FALSE)</f>
        <v>22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f>VLOOKUP($B133&amp;"__wt",'SegEnds_Xtal_BW#'!$A:$Z,11,FALSE)</f>
        <v>21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f>VLOOKUP($B133&amp;"__wt",'SegEnds_Xtal_BW#'!$A:$Z,14,FALSE)</f>
        <v>57</v>
      </c>
      <c r="O133" s="87">
        <f>VLOOKUP($B133&amp;"__wt",'SegEnds_Xtal_BW#'!$A:$Z,15,FALSE)</f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INDEX(ICL3_classA!$G$2:$G$37,MATCH(MIN(ABS(AI133-ICL3_classA!$F$2:$F$37)),ABS(AI133-ICL3_classA!$F$2:$F$37),0))</f>
        <v>68</v>
      </c>
      <c r="U133" s="1">
        <f t="array" ref="U133">INDEX(ICL3_classA!$H$2:$H$37,MATCH(MIN(ABS(AI133-ICL3_classA!$F$2:$F$37)),ABS(AI133-ICL3_classA!$F$2:$F$37),0))</f>
        <v>23</v>
      </c>
      <c r="V133" s="1">
        <v>61</v>
      </c>
      <c r="W133" s="132">
        <f>VLOOKUP($B133&amp;"__wt",'SegEnds_Xtal_BW#'!$A:$Z,23,FALSE)</f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60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>
        <f>VLOOKUP(A133,'SegEnds_NonXtal_Prot#'!A:AL,13,FALSE)-VLOOKUP(A133,'SegEnds_NonXtal_Prot#'!A:AL,10,FALSE)</f>
        <v>19</v>
      </c>
      <c r="AE133" s="1">
        <f>VLOOKUP(A133,'SegEnds_NonXtal_Prot#'!A:AL,16,FALSE)-VLOOKUP(A133,'SegEnds_NonXtal_Prot#'!A:AL,10,FALSE)</f>
        <v>51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27</v>
      </c>
      <c r="AH133" s="1">
        <f>VLOOKUP(A133,'SegEnds_NonXtal_Prot#'!A:AL,28,FALSE)-VLOOKUP(A133,'SegEnds_NonXtal_Prot#'!A:AL,22,FALSE)</f>
        <v>52</v>
      </c>
      <c r="AI133" s="1">
        <f>VLOOKUP(A133,'SegEnds_NonXtal_Prot#'!A:AL,31,FALSE)-VLOOKUP(A133,'SegEnds_NonXtal_Prot#'!A:AL,28,FALSE)</f>
        <v>51</v>
      </c>
      <c r="AJ133" s="1">
        <f>VLOOKUP(A133,'SegEnds_NonXtal_Prot#'!A:AL,34,FALSE)-VLOOKUP(A133,'SegEnds_NonXtal_Prot#'!A:AL,31,FALSE)</f>
        <v>39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Xtal</v>
      </c>
    </row>
    <row r="134" spans="1:38" x14ac:dyDescent="0.2">
      <c r="A134" s="1" t="s">
        <v>915</v>
      </c>
      <c r="B134" s="1" t="str">
        <f>VLOOKUP(A134,Xtal_Templ!A:B,2,FALSE)</f>
        <v>oprd_mouse</v>
      </c>
      <c r="C134" s="5">
        <f>VLOOKUP($B134&amp;"__wt",'SegEnds_Xtal_BW#'!$A:$Z,3,FALSE)</f>
        <v>24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f>VLOOKUP($B134&amp;"__wt",'SegEnds_Xtal_BW#'!$A:$Z,11,FALSE)</f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INDEX(ICL3_classA!$G$2:$G$37,MATCH(MIN(ABS(AI134-ICL3_classA!$F$2:$F$37)),ABS(AI134-ICL3_classA!$F$2:$F$37),0))</f>
        <v>68</v>
      </c>
      <c r="U134" s="1">
        <f t="array" ref="U134">INDEX(ICL3_classA!$H$2:$H$37,MATCH(MIN(ABS(AI134-ICL3_classA!$F$2:$F$37)),ABS(AI134-ICL3_classA!$F$2:$F$37),0))</f>
        <v>23</v>
      </c>
      <c r="V134" s="1">
        <v>61</v>
      </c>
      <c r="W134" s="132">
        <f>VLOOKUP($B134&amp;"__wt",'SegEnds_Xtal_BW#'!$A:$Z,23,FALSE)</f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19</v>
      </c>
      <c r="AE134" s="1">
        <f>VLOOKUP(A134,'SegEnds_NonXtal_Prot#'!A:AL,16,FALSE)-VLOOKUP(A134,'SegEnds_NonXtal_Prot#'!A:AL,10,FALSE)</f>
        <v>51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27</v>
      </c>
      <c r="AH134" s="1">
        <f>VLOOKUP(A134,'SegEnds_NonXtal_Prot#'!A:AL,28,FALSE)-VLOOKUP(A134,'SegEnds_NonXtal_Prot#'!A:AL,22,FALSE)</f>
        <v>52</v>
      </c>
      <c r="AI134" s="1">
        <f>VLOOKUP(A134,'SegEnds_NonXtal_Prot#'!A:AL,31,FALSE)-VLOOKUP(A134,'SegEnds_NonXtal_Prot#'!A:AL,28,FALSE)</f>
        <v>51</v>
      </c>
      <c r="AJ134" s="1">
        <f>VLOOKUP(A134,'SegEnds_NonXtal_Prot#'!A:AL,34,FALSE)-VLOOKUP(A134,'SegEnds_NonXtal_Prot#'!A:AL,31,FALSE)</f>
        <v>39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Xtal</v>
      </c>
    </row>
    <row r="135" spans="1:38" x14ac:dyDescent="0.2">
      <c r="A135" s="1" t="s">
        <v>336</v>
      </c>
      <c r="B135" s="1" t="str">
        <f>VLOOKUP(A135,Xtal_Templ!A:B,2,FALSE)</f>
        <v>oprk_human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f>VLOOKUP($B135&amp;"__wt",'SegEnds_Xtal_BW#'!$A:$Z,11,FALSE)</f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30</v>
      </c>
      <c r="T135" s="1">
        <f t="array" ref="T135">INDEX(ICL3_classA!$G$2:$G$37,MATCH(MIN(ABS(AI135-ICL3_classA!$F$2:$F$37)),ABS(AI135-ICL3_classA!$F$2:$F$37),0))</f>
        <v>68</v>
      </c>
      <c r="U135" s="1">
        <f t="array" ref="U135">INDEX(ICL3_classA!$H$2:$H$37,MATCH(MIN(ABS(AI135-ICL3_classA!$F$2:$F$37)),ABS(AI135-ICL3_classA!$F$2:$F$37),0))</f>
        <v>23</v>
      </c>
      <c r="V135" s="1">
        <v>61</v>
      </c>
      <c r="W135" s="132">
        <f>VLOOKUP($B135&amp;"__wt",'SegEnds_Xtal_BW#'!$A:$Z,23,FALSE)</f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19</v>
      </c>
      <c r="AE135" s="1">
        <f>VLOOKUP(A135,'SegEnds_NonXtal_Prot#'!A:AL,16,FALSE)-VLOOKUP(A135,'SegEnds_NonXtal_Prot#'!A:AL,10,FALSE)</f>
        <v>51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28</v>
      </c>
      <c r="AH135" s="1">
        <f>VLOOKUP(A135,'SegEnds_NonXtal_Prot#'!A:AL,28,FALSE)-VLOOKUP(A135,'SegEnds_NonXtal_Prot#'!A:AL,22,FALSE)</f>
        <v>55</v>
      </c>
      <c r="AI135" s="1">
        <f>VLOOKUP(A135,'SegEnds_NonXtal_Prot#'!A:AL,31,FALSE)-VLOOKUP(A135,'SegEnds_NonXtal_Prot#'!A:AL,28,FALSE)</f>
        <v>51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Xtal</v>
      </c>
    </row>
    <row r="136" spans="1:38" x14ac:dyDescent="0.2">
      <c r="A136" s="1" t="s">
        <v>337</v>
      </c>
      <c r="B136" s="1" t="str">
        <f>VLOOKUP(A136,Xtal_Templ!A:B,2,FALSE)</f>
        <v>oprm_mouse</v>
      </c>
      <c r="C136" s="5">
        <f>VLOOKUP($B136&amp;"__wt",'SegEnds_Xtal_BW#'!$A:$Z,3,FALSE)</f>
        <v>29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21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31</v>
      </c>
      <c r="T136" s="1">
        <f t="array" ref="T136">INDEX(ICL3_classA!$G$2:$G$37,MATCH(MIN(ABS(AI136-ICL3_classA!$F$2:$F$37)),ABS(AI136-ICL3_classA!$F$2:$F$37),0))</f>
        <v>68</v>
      </c>
      <c r="U136" s="1">
        <f t="array" ref="U136">INDEX(ICL3_classA!$H$2:$H$37,MATCH(MIN(ABS(AI136-ICL3_classA!$F$2:$F$37)),ABS(AI136-ICL3_classA!$F$2:$F$37),0))</f>
        <v>23</v>
      </c>
      <c r="V136" s="1">
        <v>61</v>
      </c>
      <c r="W136" s="132">
        <f>VLOOKUP($B136&amp;"__wt",'SegEnds_Xtal_BW#'!$A:$Z,23,FALSE)</f>
        <v>28</v>
      </c>
      <c r="X136" s="125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>
        <f>VLOOKUP(A136,'SegEnds_NonXtal_Prot#'!A:AL,10,FALSE)-VLOOKUP(A136,'SegEnds_NonXtal_Prot#'!A:AL,7,FALSE)</f>
        <v>15</v>
      </c>
      <c r="AD136" s="1">
        <f>VLOOKUP(A136,'SegEnds_NonXtal_Prot#'!A:AL,13,FALSE)-VLOOKUP(A136,'SegEnds_NonXtal_Prot#'!A:AL,10,FALSE)</f>
        <v>19</v>
      </c>
      <c r="AE136" s="1">
        <f>VLOOKUP(A136,'SegEnds_NonXtal_Prot#'!A:AL,16,FALSE)-VLOOKUP(A136,'SegEnds_NonXtal_Prot#'!A:AL,10,FALSE)</f>
        <v>51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27</v>
      </c>
      <c r="AH136" s="1">
        <f>VLOOKUP(A136,'SegEnds_NonXtal_Prot#'!A:AL,28,FALSE)-VLOOKUP(A136,'SegEnds_NonXtal_Prot#'!A:AL,22,FALSE)</f>
        <v>52</v>
      </c>
      <c r="AI136" s="1">
        <f>VLOOKUP(A136,'SegEnds_NonXtal_Prot#'!A:AL,31,FALSE)-VLOOKUP(A136,'SegEnds_NonXtal_Prot#'!A:AL,28,FALSE)</f>
        <v>51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917</v>
      </c>
      <c r="B137" s="1" t="str">
        <f>VLOOKUP(A137,Xtal_Templ!A:B,2,FALSE)</f>
        <v>oprm_mouse</v>
      </c>
      <c r="C137" s="5">
        <f>VLOOKUP($B137&amp;"__wt",'SegEnds_Xtal_BW#'!$A:$Z,3,FALSE)</f>
        <v>29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INDEX(ICL3_classA!$G$2:$G$37,MATCH(MIN(ABS(AI137-ICL3_classA!$F$2:$F$37)),ABS(AI137-ICL3_classA!$F$2:$F$37),0))</f>
        <v>68</v>
      </c>
      <c r="U137" s="1">
        <f t="array" ref="U137">INDEX(ICL3_classA!$H$2:$H$37,MATCH(MIN(ABS(AI137-ICL3_classA!$F$2:$F$37)),ABS(AI137-ICL3_classA!$F$2:$F$37),0))</f>
        <v>23</v>
      </c>
      <c r="V137" s="1">
        <v>61</v>
      </c>
      <c r="W137" s="132">
        <f>VLOOKUP($B137&amp;"__wt",'SegEnds_Xtal_BW#'!$A:$Z,23,FALSE)</f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19</v>
      </c>
      <c r="AE137" s="1">
        <f>VLOOKUP(A137,'SegEnds_NonXtal_Prot#'!A:AL,16,FALSE)-VLOOKUP(A137,'SegEnds_NonXtal_Prot#'!A:AL,10,FALSE)</f>
        <v>51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27</v>
      </c>
      <c r="AH137" s="1">
        <f>VLOOKUP(A137,'SegEnds_NonXtal_Prot#'!A:AL,28,FALSE)-VLOOKUP(A137,'SegEnds_NonXtal_Prot#'!A:AL,22,FALSE)</f>
        <v>52</v>
      </c>
      <c r="AI137" s="1">
        <f>VLOOKUP(A137,'SegEnds_NonXtal_Prot#'!A:AL,31,FALSE)-VLOOKUP(A137,'SegEnds_NonXtal_Prot#'!A:AL,28,FALSE)</f>
        <v>51</v>
      </c>
      <c r="AJ137" s="1">
        <f>VLOOKUP(A137,'SegEnds_NonXtal_Prot#'!A:AL,34,FALSE)-VLOOKUP(A137,'SegEnds_NonXtal_Prot#'!A:AL,31,FALSE)</f>
        <v>38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Xtal</v>
      </c>
    </row>
    <row r="138" spans="1:38" x14ac:dyDescent="0.2">
      <c r="A138" s="1" t="s">
        <v>1173</v>
      </c>
      <c r="B138" s="1" t="str">
        <f>VLOOKUP(A138,Xtal_Templ!A:B,2,FALSE)</f>
        <v>oprx_human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f>VLOOKUP($B138&amp;"__wt",'SegEnds_Xtal_BW#'!$A:$Z,11,FALSE)</f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f>VLOOKUP($B138&amp;"__wt",'SegEnds_Xtal_BW#'!$A:$Z,14,FALSE)</f>
        <v>57</v>
      </c>
      <c r="O138" s="87">
        <f>VLOOKUP($B138&amp;"__wt",'SegEnds_Xtal_BW#'!$A:$Z,15,FALSE)</f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INDEX(ICL3_classA!$G$2:$G$37,MATCH(MIN(ABS(AI138-ICL3_classA!$F$2:$F$37)),ABS(AI138-ICL3_classA!$F$2:$F$37),0))</f>
        <v>68</v>
      </c>
      <c r="U138" s="1">
        <f t="array" ref="U138">INDEX(ICL3_classA!$H$2:$H$37,MATCH(MIN(ABS(AI138-ICL3_classA!$F$2:$F$37)),ABS(AI138-ICL3_classA!$F$2:$F$37),0))</f>
        <v>23</v>
      </c>
      <c r="V138" s="1">
        <v>61</v>
      </c>
      <c r="W138" s="132">
        <f>VLOOKUP($B138&amp;"__wt",'SegEnds_Xtal_BW#'!$A:$Z,23,FALSE)</f>
        <v>28</v>
      </c>
      <c r="X138" s="125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19</v>
      </c>
      <c r="AE138" s="1">
        <f>VLOOKUP(A138,'SegEnds_NonXtal_Prot#'!A:AL,16,FALSE)-VLOOKUP(A138,'SegEnds_NonXtal_Prot#'!A:AL,10,FALSE)</f>
        <v>51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27</v>
      </c>
      <c r="AH138" s="1">
        <f>VLOOKUP(A138,'SegEnds_NonXtal_Prot#'!A:AL,28,FALSE)-VLOOKUP(A138,'SegEnds_NonXtal_Prot#'!A:AL,22,FALSE)</f>
        <v>52</v>
      </c>
      <c r="AI138" s="1">
        <f>VLOOKUP(A138,'SegEnds_NonXtal_Prot#'!A:AL,31,FALSE)-VLOOKUP(A138,'SegEnds_NonXtal_Prot#'!A:AL,28,FALSE)</f>
        <v>51</v>
      </c>
      <c r="AJ138" s="1">
        <f>VLOOKUP(A138,'SegEnds_NonXtal_Prot#'!A:AL,34,FALSE)-VLOOKUP(A138,'SegEnds_NonXtal_Prot#'!A:AL,31,FALSE)</f>
        <v>38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Xtal</v>
      </c>
    </row>
    <row r="139" spans="1:38" x14ac:dyDescent="0.2">
      <c r="A139" s="1" t="s">
        <v>378</v>
      </c>
      <c r="B139" s="1" t="str">
        <f>VLOOKUP(A139,Xtal_Templ!A:B,2,FALSE)</f>
        <v>s1pr1_human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63</v>
      </c>
      <c r="I139" s="1">
        <f>VLOOKUP($B139&amp;"__wt",'SegEnds_Xtal_BW#'!$A:$Z,9,FALSE)</f>
        <v>47</v>
      </c>
      <c r="J139" s="1">
        <f>VLOOKUP($B139&amp;"__wt",'SegEnds_Xtal_BW#'!$A:$Z,10,FALSE)</f>
        <v>53</v>
      </c>
      <c r="K139" s="12"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08">
        <v>56</v>
      </c>
      <c r="O139" s="87">
        <f>VLOOKUP($B139&amp;"__wt",'SegEnds_Xtal_BW#'!$A:$Z,15,FALSE)</f>
        <v>38</v>
      </c>
      <c r="P139" s="1">
        <f>VLOOKUP($B139&amp;"__wt",'SegEnds_Xtal_BW#'!$A:$Z,16,FALSE)</f>
        <v>63</v>
      </c>
      <c r="Q139" s="1" t="str">
        <f>VLOOKUP($B139&amp;"__wt",'SegEnds_Xtal_BW#'!$A:$Z,17,FALSE)</f>
        <v>-</v>
      </c>
      <c r="R139" s="1" t="str">
        <f>VLOOKUP($B139&amp;"__wt",'SegEnds_Xtal_BW#'!$A:$Z,18,FALSE)</f>
        <v>-</v>
      </c>
      <c r="S139" s="1">
        <f>VLOOKUP($B139&amp;"__wt",'SegEnds_Xtal_BW#'!$A:$Z,19,FALSE)</f>
        <v>36</v>
      </c>
      <c r="T139" s="1">
        <f t="array" ref="T139">INDEX(ICL3_classA!$G$2:$G$37,MATCH(MIN(ABS(AI139-ICL3_classA!$F$2:$F$37)),ABS(AI139-ICL3_classA!$F$2:$F$37),0))</f>
        <v>68</v>
      </c>
      <c r="U139" s="1">
        <f t="array" ref="U139">INDEX(ICL3_classA!$H$2:$H$37,MATCH(MIN(ABS(AI139-ICL3_classA!$F$2:$F$37)),ABS(AI139-ICL3_classA!$F$2:$F$37),0))</f>
        <v>23</v>
      </c>
      <c r="V139" s="1">
        <v>61</v>
      </c>
      <c r="W139" s="1">
        <v>30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18</v>
      </c>
      <c r="AE139" s="1">
        <f>VLOOKUP(A139,'SegEnds_NonXtal_Prot#'!A:AL,16,FALSE)-VLOOKUP(A139,'SegEnds_NonXtal_Prot#'!A:AL,10,FALSE)</f>
        <v>51</v>
      </c>
      <c r="AF139" s="1">
        <f>VLOOKUP(A139,'SegEnds_NonXtal_Prot#'!A:AL,22,FALSE)-VLOOKUP(A139,'SegEnds_NonXtal_Prot#'!A:AL,19,FALSE)</f>
        <v>19</v>
      </c>
      <c r="AG139" s="1" t="e">
        <f>VLOOKUP(A139,'SegEnds_NonXtal_Prot#'!A:AL,28,FALSE)-VLOOKUP(A139,'SegEnds_NonXtal_Prot#'!A:AL,25,FALSE)</f>
        <v>#VALUE!</v>
      </c>
      <c r="AH139" s="1">
        <f>VLOOKUP(A139,'SegEnds_NonXtal_Prot#'!A:AL,28,FALSE)-VLOOKUP(A139,'SegEnds_NonXtal_Prot#'!A:AL,22,FALSE)</f>
        <v>45</v>
      </c>
      <c r="AI139" s="1">
        <f>VLOOKUP(A139,'SegEnds_NonXtal_Prot#'!A:AL,31,FALSE)-VLOOKUP(A139,'SegEnds_NonXtal_Prot#'!A:AL,28,FALSE)</f>
        <v>51</v>
      </c>
      <c r="AJ139" s="1">
        <f>VLOOKUP(A139,'SegEnds_NonXtal_Prot#'!A:AL,34,FALSE)-VLOOKUP(A139,'SegEnds_NonXtal_Prot#'!A:AL,31,FALSE)</f>
        <v>37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379</v>
      </c>
      <c r="B140" s="1" t="str">
        <f>VLOOKUP(A140,Xtal_Templ!A:B,2,FALSE)</f>
        <v>s1pr1_human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63</v>
      </c>
      <c r="I140" s="1">
        <f>VLOOKUP($B140&amp;"__wt",'SegEnds_Xtal_BW#'!$A:$Z,9,FALSE)</f>
        <v>47</v>
      </c>
      <c r="J140" s="1">
        <f>VLOOKUP($B140&amp;"__wt",'SegEnds_Xtal_BW#'!$A:$Z,10,FALSE)</f>
        <v>53</v>
      </c>
      <c r="K140" s="12"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63</v>
      </c>
      <c r="Q140" s="1" t="str">
        <f>VLOOKUP($B140&amp;"__wt",'SegEnds_Xtal_BW#'!$A:$Z,17,FALSE)</f>
        <v>-</v>
      </c>
      <c r="R140" s="1" t="str">
        <f>VLOOKUP($B140&amp;"__wt",'SegEnds_Xtal_BW#'!$A:$Z,18,FALSE)</f>
        <v>-</v>
      </c>
      <c r="S140" s="1">
        <f>VLOOKUP($B140&amp;"__wt",'SegEnds_Xtal_BW#'!$A:$Z,19,FALSE)</f>
        <v>36</v>
      </c>
      <c r="T140" s="1">
        <f t="array" ref="T140">INDEX(ICL3_classA!$G$2:$G$37,MATCH(MIN(ABS(AI140-ICL3_classA!$F$2:$F$37)),ABS(AI140-ICL3_classA!$F$2:$F$37),0))</f>
        <v>68</v>
      </c>
      <c r="U140" s="1">
        <f t="array" ref="U140">INDEX(ICL3_classA!$H$2:$H$37,MATCH(MIN(ABS(AI140-ICL3_classA!$F$2:$F$37)),ABS(AI140-ICL3_classA!$F$2:$F$37),0))</f>
        <v>23</v>
      </c>
      <c r="V140" s="1">
        <v>61</v>
      </c>
      <c r="W140" s="132">
        <f>VLOOKUP($B140&amp;"__wt",'SegEnds_Xtal_BW#'!$A:$Z,23,FALSE)</f>
        <v>30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18</v>
      </c>
      <c r="AE140" s="1">
        <f>VLOOKUP(A140,'SegEnds_NonXtal_Prot#'!A:AL,16,FALSE)-VLOOKUP(A140,'SegEnds_NonXtal_Prot#'!A:AL,10,FALSE)</f>
        <v>51</v>
      </c>
      <c r="AF140" s="1">
        <f>VLOOKUP(A140,'SegEnds_NonXtal_Prot#'!A:AL,22,FALSE)-VLOOKUP(A140,'SegEnds_NonXtal_Prot#'!A:AL,19,FALSE)</f>
        <v>20</v>
      </c>
      <c r="AG140" s="1" t="e">
        <f>VLOOKUP(A140,'SegEnds_NonXtal_Prot#'!A:AL,28,FALSE)-VLOOKUP(A140,'SegEnds_NonXtal_Prot#'!A:AL,25,FALSE)</f>
        <v>#VALUE!</v>
      </c>
      <c r="AH140" s="1">
        <f>VLOOKUP(A140,'SegEnds_NonXtal_Prot#'!A:AL,28,FALSE)-VLOOKUP(A140,'SegEnds_NonXtal_Prot#'!A:AL,22,FALSE)</f>
        <v>45</v>
      </c>
      <c r="AI140" s="1">
        <f>VLOOKUP(A140,'SegEnds_NonXtal_Prot#'!A:AL,31,FALSE)-VLOOKUP(A140,'SegEnds_NonXtal_Prot#'!A:AL,28,FALSE)</f>
        <v>51</v>
      </c>
      <c r="AJ140" s="1">
        <f>VLOOKUP(A140,'SegEnds_NonXtal_Prot#'!A:AL,34,FALSE)-VLOOKUP(A140,'SegEnds_NonXtal_Prot#'!A:AL,31,FALSE)</f>
        <v>38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381</v>
      </c>
      <c r="B141" s="1" t="str">
        <f>VLOOKUP(A141,Xtal_Templ!A:B,2,FALSE)</f>
        <v>oprk_human</v>
      </c>
      <c r="C141" s="5">
        <f>VLOOKUP($B141&amp;"__wt",'SegEnds_Xtal_BW#'!$A:$Z,3,FALSE)</f>
        <v>30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21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INDEX(ICL3_classA!$G$2:$G$37,MATCH(MIN(ABS(AI141-ICL3_classA!$F$2:$F$37)),ABS(AI141-ICL3_classA!$F$2:$F$37),0))</f>
        <v>68</v>
      </c>
      <c r="U141" s="1">
        <f t="array" ref="U141">INDEX(ICL3_classA!$H$2:$H$37,MATCH(MIN(ABS(AI141-ICL3_classA!$F$2:$F$37)),ABS(AI141-ICL3_classA!$F$2:$F$37),0))</f>
        <v>23</v>
      </c>
      <c r="V141" s="1">
        <v>61</v>
      </c>
      <c r="W141" s="1">
        <v>32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>
        <f>VLOOKUP(A141,'SegEnds_NonXtal_Prot#'!A:AL,10,FALSE)-VLOOKUP(A141,'SegEnds_NonXtal_Prot#'!A:AL,7,FALSE)</f>
        <v>15</v>
      </c>
      <c r="AD141" s="1">
        <f>VLOOKUP(A141,'SegEnds_NonXtal_Prot#'!A:AL,13,FALSE)-VLOOKUP(A141,'SegEnds_NonXtal_Prot#'!A:AL,10,FALSE)</f>
        <v>19</v>
      </c>
      <c r="AE141" s="1">
        <f>VLOOKUP(A141,'SegEnds_NonXtal_Prot#'!A:AL,16,FALSE)-VLOOKUP(A141,'SegEnds_NonXtal_Prot#'!A:AL,10,FALSE)</f>
        <v>51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27</v>
      </c>
      <c r="AH141" s="1">
        <f>VLOOKUP(A141,'SegEnds_NonXtal_Prot#'!A:AL,28,FALSE)-VLOOKUP(A141,'SegEnds_NonXtal_Prot#'!A:AL,22,FALSE)</f>
        <v>53</v>
      </c>
      <c r="AI141" s="1">
        <f>VLOOKUP(A141,'SegEnds_NonXtal_Prot#'!A:AL,31,FALSE)-VLOOKUP(A141,'SegEnds_NonXtal_Prot#'!A:AL,28,FALSE)</f>
        <v>51</v>
      </c>
      <c r="AJ141" s="1">
        <f>VLOOKUP(A141,'SegEnds_NonXtal_Prot#'!A:AL,34,FALSE)-VLOOKUP(A141,'SegEnds_NonXtal_Prot#'!A:AL,31,FALSE)</f>
        <v>34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382</v>
      </c>
      <c r="B142" s="1" t="str">
        <f>VLOOKUP(A142,Xtal_Templ!A:B,2,FALSE)</f>
        <v>oprk_human</v>
      </c>
      <c r="C142" s="5">
        <f>VLOOKUP($B142&amp;"__wt",'SegEnds_Xtal_BW#'!$A:$Z,3,FALSE)</f>
        <v>30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30</v>
      </c>
      <c r="T142" s="1">
        <f t="array" ref="T142">INDEX(ICL3_classA!$G$2:$G$37,MATCH(MIN(ABS(AI142-ICL3_classA!$F$2:$F$37)),ABS(AI142-ICL3_classA!$F$2:$F$37),0))</f>
        <v>68</v>
      </c>
      <c r="U142" s="1">
        <f t="array" ref="U142">INDEX(ICL3_classA!$H$2:$H$37,MATCH(MIN(ABS(AI142-ICL3_classA!$F$2:$F$37)),ABS(AI142-ICL3_classA!$F$2:$F$37),0))</f>
        <v>23</v>
      </c>
      <c r="V142" s="1">
        <v>61</v>
      </c>
      <c r="W142" s="132">
        <f>VLOOKUP($B142&amp;"__wt",'SegEnds_Xtal_BW#'!$A:$Z,23,FALSE)</f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19</v>
      </c>
      <c r="AE142" s="1">
        <f>VLOOKUP(A142,'SegEnds_NonXtal_Prot#'!A:AL,16,FALSE)-VLOOKUP(A142,'SegEnds_NonXtal_Prot#'!A:AL,10,FALSE)</f>
        <v>51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27</v>
      </c>
      <c r="AH142" s="1">
        <f>VLOOKUP(A142,'SegEnds_NonXtal_Prot#'!A:AL,28,FALSE)-VLOOKUP(A142,'SegEnds_NonXtal_Prot#'!A:AL,22,FALSE)</f>
        <v>53</v>
      </c>
      <c r="AI142" s="1">
        <f>VLOOKUP(A142,'SegEnds_NonXtal_Prot#'!A:AL,31,FALSE)-VLOOKUP(A142,'SegEnds_NonXtal_Prot#'!A:AL,28,FALSE)</f>
        <v>51</v>
      </c>
      <c r="AJ142" s="1">
        <f>VLOOKUP(A142,'SegEnds_NonXtal_Prot#'!A:AL,34,FALSE)-VLOOKUP(A142,'SegEnds_NonXtal_Prot#'!A:AL,31,FALSE)</f>
        <v>38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384</v>
      </c>
      <c r="B143" s="1" t="str">
        <f>VLOOKUP(A143,Xtal_Templ!A:B,2,FALSE)</f>
        <v>oprd_human</v>
      </c>
      <c r="C143" s="5">
        <f>VLOOKUP($B143&amp;"__wt",'SegEnds_Xtal_BW#'!$A:$Z,3,FALSE)</f>
        <v>22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INDEX(ICL3_classA!$G$2:$G$37,MATCH(MIN(ABS(AI143-ICL3_classA!$F$2:$F$37)),ABS(AI143-ICL3_classA!$F$2:$F$37),0))</f>
        <v>68</v>
      </c>
      <c r="U143" s="1">
        <f t="array" ref="U143">INDEX(ICL3_classA!$H$2:$H$37,MATCH(MIN(ABS(AI143-ICL3_classA!$F$2:$F$37)),ABS(AI143-ICL3_classA!$F$2:$F$37),0))</f>
        <v>23</v>
      </c>
      <c r="V143" s="1">
        <v>61</v>
      </c>
      <c r="W143" s="1">
        <v>32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60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19</v>
      </c>
      <c r="AE143" s="1">
        <f>VLOOKUP(A143,'SegEnds_NonXtal_Prot#'!A:AL,16,FALSE)-VLOOKUP(A143,'SegEnds_NonXtal_Prot#'!A:AL,10,FALSE)</f>
        <v>51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25</v>
      </c>
      <c r="AH143" s="1">
        <f>VLOOKUP(A143,'SegEnds_NonXtal_Prot#'!A:AL,28,FALSE)-VLOOKUP(A143,'SegEnds_NonXtal_Prot#'!A:AL,22,FALSE)</f>
        <v>52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34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206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f>VLOOKUP($B144&amp;"__wt",'SegEnds_Xtal_BW#'!$A:$Z,8,FALSE)</f>
        <v>67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INDEX(ICL3_classA!$G$2:$G$37,MATCH(MIN(ABS(AI144-ICL3_classA!$F$2:$F$37)),ABS(AI144-ICL3_classA!$F$2:$F$37),0))</f>
        <v>72</v>
      </c>
      <c r="U144" s="1">
        <f t="array" ref="U144">INDEX(ICL3_classA!$H$2:$H$37,MATCH(MIN(ABS(AI144-ICL3_classA!$F$2:$F$37)),ABS(AI144-ICL3_classA!$F$2:$F$37),0))</f>
        <v>23</v>
      </c>
      <c r="V144" s="1">
        <v>61</v>
      </c>
      <c r="W144" s="132">
        <f>VLOOKUP($B144&amp;"__wt",'SegEnds_Xtal_BW#'!$A:$Z,23,FALSE)</f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24</v>
      </c>
      <c r="AH144" s="1">
        <f>VLOOKUP(A144,'SegEnds_NonXtal_Prot#'!A:AL,28,FALSE)-VLOOKUP(A144,'SegEnds_NonXtal_Prot#'!A:AL,22,FALSE)</f>
        <v>49</v>
      </c>
      <c r="AI144" s="1">
        <f>VLOOKUP(A144,'SegEnds_NonXtal_Prot#'!A:AL,31,FALSE)-VLOOKUP(A144,'SegEnds_NonXtal_Prot#'!A:AL,28,FALSE)</f>
        <v>52</v>
      </c>
      <c r="AJ144" s="1">
        <f>VLOOKUP(A144,'SegEnds_NonXtal_Prot#'!A:AL,34,FALSE)-VLOOKUP(A144,'SegEnds_NonXtal_Prot#'!A:AL,31,FALSE)</f>
        <v>38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313</v>
      </c>
      <c r="B145" s="1" t="str">
        <f>VLOOKUP(A145,Xtal_Templ!A:B,2,FALSE)</f>
        <v>mtr1a_human</v>
      </c>
      <c r="C145" s="5">
        <f>VLOOKUP($B145&amp;"__wt",'SegEnds_Xtal_BW#'!$A:$Z,3,FALSE)</f>
        <v>28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68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f>VLOOKUP($B145&amp;"__wt",'SegEnds_Xtal_BW#'!$A:$Z,15,FALSE)</f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INDEX(ICL3_classA!$G$2:$G$37,MATCH(MIN(ABS(AI145-ICL3_classA!$F$2:$F$37)),ABS(AI145-ICL3_classA!$F$2:$F$37),0))</f>
        <v>72</v>
      </c>
      <c r="U145" s="1">
        <f t="array" ref="U145">INDEX(ICL3_classA!$H$2:$H$37,MATCH(MIN(ABS(AI145-ICL3_classA!$F$2:$F$37)),ABS(AI145-ICL3_classA!$F$2:$F$37),0))</f>
        <v>23</v>
      </c>
      <c r="V145" s="1">
        <v>61</v>
      </c>
      <c r="W145" s="132">
        <f>VLOOKUP($B145&amp;"__wt",'SegEnds_Xtal_BW#'!$A:$Z,23,FALSE)</f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63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22</v>
      </c>
      <c r="AH145" s="1">
        <f>VLOOKUP(A145,'SegEnds_NonXtal_Prot#'!A:AL,28,FALSE)-VLOOKUP(A145,'SegEnds_NonXtal_Prot#'!A:AL,22,FALSE)</f>
        <v>47</v>
      </c>
      <c r="AI145" s="1">
        <f>VLOOKUP(A145,'SegEnds_NonXtal_Prot#'!A:AL,31,FALSE)-VLOOKUP(A145,'SegEnds_NonXtal_Prot#'!A:AL,28,FALSE)</f>
        <v>52</v>
      </c>
      <c r="AJ145" s="1">
        <f>VLOOKUP(A145,'SegEnds_NonXtal_Prot#'!A:AL,34,FALSE)-VLOOKUP(A145,'SegEnds_NonXtal_Prot#'!A:AL,31,FALSE)</f>
        <v>39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326</v>
      </c>
      <c r="B146" s="1" t="str">
        <f>VLOOKUP(A146,Xtal_Templ!A:B,2,FALSE)</f>
        <v>ox2r_human</v>
      </c>
      <c r="C146" s="5">
        <f>VLOOKUP($B146&amp;"__wt",'SegEnds_Xtal_BW#'!$A:$Z,3,FALSE)</f>
        <v>31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68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56</v>
      </c>
      <c r="O146" s="87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33</v>
      </c>
      <c r="T146" s="1">
        <f t="array" ref="T146">INDEX(ICL3_classA!$G$2:$G$37,MATCH(MIN(ABS(AI146-ICL3_classA!$F$2:$F$37)),ABS(AI146-ICL3_classA!$F$2:$F$37),0))</f>
        <v>72</v>
      </c>
      <c r="U146" s="1">
        <f t="array" ref="U146">INDEX(ICL3_classA!$H$2:$H$37,MATCH(MIN(ABS(AI146-ICL3_classA!$F$2:$F$37)),ABS(AI146-ICL3_classA!$F$2:$F$37),0))</f>
        <v>23</v>
      </c>
      <c r="V146" s="1">
        <v>61</v>
      </c>
      <c r="W146" s="132">
        <f>VLOOKUP($B146&amp;"__wt",'SegEnds_Xtal_BW#'!$A:$Z,23,FALSE)</f>
        <v>27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58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20</v>
      </c>
      <c r="AE146" s="1">
        <f>VLOOKUP(A146,'SegEnds_NonXtal_Prot#'!A:AL,16,FALSE)-VLOOKUP(A146,'SegEnds_NonXtal_Prot#'!A:AL,10,FALSE)</f>
        <v>52</v>
      </c>
      <c r="AF146" s="1" t="e">
        <f>VLOOKUP(A146,'SegEnds_NonXtal_Prot#'!A:AL,22,FALSE)-VLOOKUP(A146,'SegEnds_NonXtal_Prot#'!A:AL,19,FALSE)</f>
        <v>#VALUE!</v>
      </c>
      <c r="AG146" s="1">
        <f>VLOOKUP(A146,'SegEnds_NonXtal_Prot#'!A:AL,28,FALSE)-VLOOKUP(A146,'SegEnds_NonXtal_Prot#'!A:AL,25,FALSE)</f>
        <v>28</v>
      </c>
      <c r="AH146" s="1">
        <f>VLOOKUP(A146,'SegEnds_NonXtal_Prot#'!A:AL,28,FALSE)-VLOOKUP(A146,'SegEnds_NonXtal_Prot#'!A:AL,22,FALSE)</f>
        <v>58</v>
      </c>
      <c r="AI146" s="1">
        <f>VLOOKUP(A146,'SegEnds_NonXtal_Prot#'!A:AL,31,FALSE)-VLOOKUP(A146,'SegEnds_NonXtal_Prot#'!A:AL,28,FALSE)</f>
        <v>52</v>
      </c>
      <c r="AJ146" s="1">
        <f>VLOOKUP(A146,'SegEnds_NonXtal_Prot#'!A:AL,34,FALSE)-VLOOKUP(A146,'SegEnds_NonXtal_Prot#'!A:AL,31,FALSE)</f>
        <v>39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338</v>
      </c>
      <c r="B147" s="1" t="str">
        <f>VLOOKUP(A147,Xtal_Templ!A:B,2,FALSE)</f>
        <v>opsd_human</v>
      </c>
      <c r="C147" s="5">
        <f>VLOOKUP($B147&amp;"__wt",'SegEnds_Xtal_BW#'!$A:$Z,3,FALSE)</f>
        <v>29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08">
        <v>56</v>
      </c>
      <c r="O147" s="87">
        <f>VLOOKUP($B147&amp;"__wt",'SegEnds_Xtal_BW#'!$A:$Z,15,FALSE)</f>
        <v>38</v>
      </c>
      <c r="P147" s="1">
        <f>VLOOKUP($B147&amp;"__wt",'SegEnds_Xtal_BW#'!$A:$Z,16,FALSE)</f>
        <v>62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34</v>
      </c>
      <c r="T147" s="1">
        <f t="array" ref="T147">INDEX(ICL3_classA!$G$2:$G$37,MATCH(MIN(ABS(AI147-ICL3_classA!$F$2:$F$37)),ABS(AI147-ICL3_classA!$F$2:$F$37),0))</f>
        <v>72</v>
      </c>
      <c r="U147" s="1">
        <f t="array" ref="U147">INDEX(ICL3_classA!$H$2:$H$37,MATCH(MIN(ABS(AI147-ICL3_classA!$F$2:$F$37)),ABS(AI147-ICL3_classA!$F$2:$F$37),0))</f>
        <v>23</v>
      </c>
      <c r="V147" s="1">
        <v>61</v>
      </c>
      <c r="W147" s="1">
        <v>31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>
        <f>VLOOKUP(A147,'SegEnds_NonXtal_Prot#'!A:AL,22,FALSE)-VLOOKUP(A147,'SegEnds_NonXtal_Prot#'!A:AL,19,FALSE)</f>
        <v>19</v>
      </c>
      <c r="AG147" s="1">
        <f>VLOOKUP(A147,'SegEnds_NonXtal_Prot#'!A:AL,28,FALSE)-VLOOKUP(A147,'SegEnds_NonXtal_Prot#'!A:AL,25,FALSE)</f>
        <v>28</v>
      </c>
      <c r="AH147" s="1">
        <f>VLOOKUP(A147,'SegEnds_NonXtal_Prot#'!A:AL,28,FALSE)-VLOOKUP(A147,'SegEnds_NonXtal_Prot#'!A:AL,22,FALSE)</f>
        <v>54</v>
      </c>
      <c r="AI147" s="1">
        <f>VLOOKUP(A147,'SegEnds_NonXtal_Prot#'!A:AL,31,FALSE)-VLOOKUP(A147,'SegEnds_NonXtal_Prot#'!A:AL,28,FALSE)</f>
        <v>52</v>
      </c>
      <c r="AJ147" s="1">
        <f>VLOOKUP(A147,'SegEnds_NonXtal_Prot#'!A:AL,34,FALSE)-VLOOKUP(A147,'SegEnds_NonXtal_Prot#'!A:AL,31,FALSE)</f>
        <v>36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919</v>
      </c>
      <c r="B148" s="1" t="str">
        <f>VLOOKUP(A148,Xtal_Templ!A:B,2,FALSE)</f>
        <v>opsd_bovin</v>
      </c>
      <c r="C148" s="5">
        <f>VLOOKUP($B148&amp;"__wt",'SegEnds_Xtal_BW#'!$A:$Z,3,FALSE)</f>
        <v>28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08">
        <f>VLOOKUP($B148&amp;"__wt",'SegEnds_Xtal_BW#'!$A:$Z,14,FALSE)</f>
        <v>56</v>
      </c>
      <c r="O148" s="87">
        <f>VLOOKUP($B148&amp;"__wt",'SegEnds_Xtal_BW#'!$A:$Z,15,FALSE)</f>
        <v>38</v>
      </c>
      <c r="P148" s="1">
        <f>VLOOKUP($B148&amp;"__wt",'SegEnds_Xtal_BW#'!$A:$Z,16,FALSE)</f>
        <v>62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34</v>
      </c>
      <c r="T148" s="1">
        <f t="array" ref="T148">INDEX(ICL3_classA!$G$2:$G$37,MATCH(MIN(ABS(AI148-ICL3_classA!$F$2:$F$37)),ABS(AI148-ICL3_classA!$F$2:$F$37),0))</f>
        <v>72</v>
      </c>
      <c r="U148" s="1">
        <f t="array" ref="U148">INDEX(ICL3_classA!$H$2:$H$37,MATCH(MIN(ABS(AI148-ICL3_classA!$F$2:$F$37)),ABS(AI148-ICL3_classA!$F$2:$F$37),0))</f>
        <v>23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19</v>
      </c>
      <c r="AG148" s="1">
        <f>VLOOKUP(A148,'SegEnds_NonXtal_Prot#'!A:AL,28,FALSE)-VLOOKUP(A148,'SegEnds_NonXtal_Prot#'!A:AL,25,FALSE)</f>
        <v>28</v>
      </c>
      <c r="AH148" s="1">
        <f>VLOOKUP(A148,'SegEnds_NonXtal_Prot#'!A:AL,28,FALSE)-VLOOKUP(A148,'SegEnds_NonXtal_Prot#'!A:AL,22,FALSE)</f>
        <v>54</v>
      </c>
      <c r="AI148" s="1">
        <f>VLOOKUP(A148,'SegEnds_NonXtal_Prot#'!A:AL,31,FALSE)-VLOOKUP(A148,'SegEnds_NonXtal_Prot#'!A:AL,28,FALSE)</f>
        <v>52</v>
      </c>
      <c r="AJ148" s="1">
        <f>VLOOKUP(A148,'SegEnds_NonXtal_Prot#'!A:AL,34,FALSE)-VLOOKUP(A148,'SegEnds_NonXtal_Prot#'!A:AL,31,FALSE)</f>
        <v>36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Xtal</v>
      </c>
    </row>
    <row r="149" spans="1:38" x14ac:dyDescent="0.2">
      <c r="A149" s="1" t="s">
        <v>339</v>
      </c>
      <c r="B149" s="1" t="str">
        <f>VLOOKUP(A149,Xtal_Templ!A:B,2,FALSE)</f>
        <v>opsd_human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08">
        <f>VLOOKUP($B149&amp;"__wt",'SegEnds_Xtal_BW#'!$A:$Z,14,FALSE)</f>
        <v>56</v>
      </c>
      <c r="O149" s="87">
        <f>VLOOKUP($B149&amp;"__wt",'SegEnds_Xtal_BW#'!$A:$Z,15,FALSE)</f>
        <v>38</v>
      </c>
      <c r="P149" s="1">
        <f>VLOOKUP($B149&amp;"__wt",'SegEnds_Xtal_BW#'!$A:$Z,16,FALSE)</f>
        <v>62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34</v>
      </c>
      <c r="T149" s="1">
        <f t="array" ref="T149">INDEX(ICL3_classA!$G$2:$G$37,MATCH(MIN(ABS(AI149-ICL3_classA!$F$2:$F$37)),ABS(AI149-ICL3_classA!$F$2:$F$37),0))</f>
        <v>72</v>
      </c>
      <c r="U149" s="1">
        <f t="array" ref="U149">INDEX(ICL3_classA!$H$2:$H$37,MATCH(MIN(ABS(AI149-ICL3_classA!$F$2:$F$37)),ABS(AI149-ICL3_classA!$F$2:$F$37),0))</f>
        <v>23</v>
      </c>
      <c r="V149" s="1">
        <v>61</v>
      </c>
      <c r="W149" s="1">
        <v>31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19</v>
      </c>
      <c r="AG149" s="1">
        <f>VLOOKUP(A149,'SegEnds_NonXtal_Prot#'!A:AL,28,FALSE)-VLOOKUP(A149,'SegEnds_NonXtal_Prot#'!A:AL,25,FALSE)</f>
        <v>28</v>
      </c>
      <c r="AH149" s="1">
        <f>VLOOKUP(A149,'SegEnds_NonXtal_Prot#'!A:AL,28,FALSE)-VLOOKUP(A149,'SegEnds_NonXtal_Prot#'!A:AL,22,FALSE)</f>
        <v>54</v>
      </c>
      <c r="AI149" s="1">
        <f>VLOOKUP(A149,'SegEnds_NonXtal_Prot#'!A:AL,31,FALSE)-VLOOKUP(A149,'SegEnds_NonXtal_Prot#'!A:AL,28,FALSE)</f>
        <v>52</v>
      </c>
      <c r="AJ149" s="1">
        <f>VLOOKUP(A149,'SegEnds_NonXtal_Prot#'!A:AL,34,FALSE)-VLOOKUP(A149,'SegEnds_NonXtal_Prot#'!A:AL,31,FALSE)</f>
        <v>36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Xtal</v>
      </c>
    </row>
    <row r="150" spans="1:38" x14ac:dyDescent="0.2">
      <c r="A150" s="1" t="s">
        <v>340</v>
      </c>
      <c r="B150" s="1" t="str">
        <f>VLOOKUP(A150,Xtal_Templ!A:B,2,FALSE)</f>
        <v>opsd_human</v>
      </c>
      <c r="C150" s="5">
        <f>VLOOKUP($B150&amp;"__wt",'SegEnds_Xtal_BW#'!$A:$Z,3,FALSE)</f>
        <v>29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56</v>
      </c>
      <c r="O150" s="87">
        <f>VLOOKUP($B150&amp;"__wt",'SegEnds_Xtal_BW#'!$A:$Z,15,FALSE)</f>
        <v>38</v>
      </c>
      <c r="P150" s="1">
        <f>VLOOKUP($B150&amp;"__wt",'SegEnds_Xtal_BW#'!$A:$Z,16,FALSE)</f>
        <v>62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34</v>
      </c>
      <c r="T150" s="1">
        <f t="array" ref="T150">INDEX(ICL3_classA!$G$2:$G$37,MATCH(MIN(ABS(AI150-ICL3_classA!$F$2:$F$37)),ABS(AI150-ICL3_classA!$F$2:$F$37),0))</f>
        <v>72</v>
      </c>
      <c r="U150" s="1">
        <f t="array" ref="U150">INDEX(ICL3_classA!$H$2:$H$37,MATCH(MIN(ABS(AI150-ICL3_classA!$F$2:$F$37)),ABS(AI150-ICL3_classA!$F$2:$F$37),0))</f>
        <v>23</v>
      </c>
      <c r="V150" s="1">
        <v>61</v>
      </c>
      <c r="W150" s="1">
        <v>31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59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19</v>
      </c>
      <c r="AG150" s="1">
        <f>VLOOKUP(A150,'SegEnds_NonXtal_Prot#'!A:AL,28,FALSE)-VLOOKUP(A150,'SegEnds_NonXtal_Prot#'!A:AL,25,FALSE)</f>
        <v>28</v>
      </c>
      <c r="AH150" s="1">
        <f>VLOOKUP(A150,'SegEnds_NonXtal_Prot#'!A:AL,28,FALSE)-VLOOKUP(A150,'SegEnds_NonXtal_Prot#'!A:AL,22,FALSE)</f>
        <v>54</v>
      </c>
      <c r="AI150" s="1">
        <f>VLOOKUP(A150,'SegEnds_NonXtal_Prot#'!A:AL,31,FALSE)-VLOOKUP(A150,'SegEnds_NonXtal_Prot#'!A:AL,28,FALSE)</f>
        <v>52</v>
      </c>
      <c r="AJ150" s="1">
        <f>VLOOKUP(A150,'SegEnds_NonXtal_Prot#'!A:AL,34,FALSE)-VLOOKUP(A150,'SegEnds_NonXtal_Prot#'!A:AL,31,FALSE)</f>
        <v>36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341</v>
      </c>
      <c r="B151" s="1" t="str">
        <f>VLOOKUP(A151,Xtal_Templ!A:B,2,FALSE)</f>
        <v>opsd_human</v>
      </c>
      <c r="C151" s="5">
        <f>VLOOKUP($B151&amp;"__wt",'SegEnds_Xtal_BW#'!$A:$Z,3,FALSE)</f>
        <v>29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67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f>VLOOKUP($B151&amp;"__wt",'SegEnds_Xtal_BW#'!$A:$Z,14,FALSE)</f>
        <v>56</v>
      </c>
      <c r="O151" s="87">
        <f>VLOOKUP($B151&amp;"__wt",'SegEnds_Xtal_BW#'!$A:$Z,15,FALSE)</f>
        <v>38</v>
      </c>
      <c r="P151" s="1">
        <f>VLOOKUP($B151&amp;"__wt",'SegEnds_Xtal_BW#'!$A:$Z,16,FALSE)</f>
        <v>62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34</v>
      </c>
      <c r="T151" s="1">
        <f t="array" ref="T151">INDEX(ICL3_classA!$G$2:$G$37,MATCH(MIN(ABS(AI151-ICL3_classA!$F$2:$F$37)),ABS(AI151-ICL3_classA!$F$2:$F$37),0))</f>
        <v>72</v>
      </c>
      <c r="U151" s="1">
        <f t="array" ref="U151">INDEX(ICL3_classA!$H$2:$H$37,MATCH(MIN(ABS(AI151-ICL3_classA!$F$2:$F$37)),ABS(AI151-ICL3_classA!$F$2:$F$37),0))</f>
        <v>23</v>
      </c>
      <c r="V151" s="1">
        <v>61</v>
      </c>
      <c r="W151" s="1">
        <v>31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59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>
        <f>VLOOKUP(A151,'SegEnds_NonXtal_Prot#'!A:AL,10,FALSE)-VLOOKUP(A151,'SegEnds_NonXtal_Prot#'!A:AL,7,FALSE)</f>
        <v>15</v>
      </c>
      <c r="AD151" s="1">
        <f>VLOOKUP(A151,'SegEnds_NonXtal_Prot#'!A:AL,13,FALSE)-VLOOKUP(A151,'SegEnds_NonXtal_Prot#'!A:AL,10,FALSE)</f>
        <v>19</v>
      </c>
      <c r="AE151" s="1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19</v>
      </c>
      <c r="AG151" s="1">
        <f>VLOOKUP(A151,'SegEnds_NonXtal_Prot#'!A:AL,28,FALSE)-VLOOKUP(A151,'SegEnds_NonXtal_Prot#'!A:AL,25,FALSE)</f>
        <v>28</v>
      </c>
      <c r="AH151" s="1">
        <f>VLOOKUP(A151,'SegEnds_NonXtal_Prot#'!A:AL,28,FALSE)-VLOOKUP(A151,'SegEnds_NonXtal_Prot#'!A:AL,22,FALSE)</f>
        <v>54</v>
      </c>
      <c r="AI151" s="1">
        <f>VLOOKUP(A151,'SegEnds_NonXtal_Prot#'!A:AL,31,FALSE)-VLOOKUP(A151,'SegEnds_NonXtal_Prot#'!A:AL,28,FALSE)</f>
        <v>52</v>
      </c>
      <c r="AJ151" s="1">
        <f>VLOOKUP(A151,'SegEnds_NonXtal_Prot#'!A:AL,34,FALSE)-VLOOKUP(A151,'SegEnds_NonXtal_Prot#'!A:AL,31,FALSE)</f>
        <v>36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375</v>
      </c>
      <c r="B152" s="1" t="str">
        <f>VLOOKUP(A152,Xtal_Templ!A:B,2,FALSE)</f>
        <v>aa1r_human</v>
      </c>
      <c r="C152" s="5">
        <f>VLOOKUP($B152&amp;"__wt",'SegEnds_Xtal_BW#'!$A:$Z,3,FALSE)</f>
        <v>29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50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08">
        <v>56</v>
      </c>
      <c r="O152" s="87">
        <f>VLOOKUP($B152&amp;"__wt",'SegEnds_Xtal_BW#'!$A:$Z,15,FALSE)</f>
        <v>38</v>
      </c>
      <c r="P152" s="1">
        <f>VLOOKUP($B152&amp;"__wt",'SegEnds_Xtal_BW#'!$A:$Z,16,FALSE)</f>
        <v>63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INDEX(ICL3_classA!$G$2:$G$37,MATCH(MIN(ABS(AI152-ICL3_classA!$F$2:$F$37)),ABS(AI152-ICL3_classA!$F$2:$F$37),0))</f>
        <v>72</v>
      </c>
      <c r="U152" s="1">
        <f t="array" ref="U152">INDEX(ICL3_classA!$H$2:$H$37,MATCH(MIN(ABS(AI152-ICL3_classA!$F$2:$F$37)),ABS(AI152-ICL3_classA!$F$2:$F$37),0))</f>
        <v>23</v>
      </c>
      <c r="V152" s="1">
        <v>61</v>
      </c>
      <c r="W152" s="1">
        <v>31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69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 t="e">
        <f>VLOOKUP(A152,'SegEnds_NonXtal_Prot#'!A:AL,13,FALSE)-VLOOKUP(A152,'SegEnds_NonXtal_Prot#'!A:AL,10,FALSE)</f>
        <v>#VALUE!</v>
      </c>
      <c r="AE152" s="1">
        <f>VLOOKUP(A152,'SegEnds_NonXtal_Prot#'!A:AL,16,FALSE)-VLOOKUP(A152,'SegEnds_NonXtal_Prot#'!A:AL,10,FALSE)</f>
        <v>59</v>
      </c>
      <c r="AF152" s="1">
        <f>VLOOKUP(A152,'SegEnds_NonXtal_Prot#'!A:AL,22,FALSE)-VLOOKUP(A152,'SegEnds_NonXtal_Prot#'!A:AL,19,FALSE)</f>
        <v>19</v>
      </c>
      <c r="AG152" s="1">
        <f>VLOOKUP(A152,'SegEnds_NonXtal_Prot#'!A:AL,28,FALSE)-VLOOKUP(A152,'SegEnds_NonXtal_Prot#'!A:AL,25,FALSE)</f>
        <v>28</v>
      </c>
      <c r="AH152" s="1">
        <f>VLOOKUP(A152,'SegEnds_NonXtal_Prot#'!A:AL,28,FALSE)-VLOOKUP(A152,'SegEnds_NonXtal_Prot#'!A:AL,22,FALSE)</f>
        <v>55</v>
      </c>
      <c r="AI152" s="1">
        <f>VLOOKUP(A152,'SegEnds_NonXtal_Prot#'!A:AL,31,FALSE)-VLOOKUP(A152,'SegEnds_NonXtal_Prot#'!A:AL,28,FALSE)</f>
        <v>52</v>
      </c>
      <c r="AJ152" s="1">
        <f>VLOOKUP(A152,'SegEnds_NonXtal_Prot#'!A:AL,34,FALSE)-VLOOKUP(A152,'SegEnds_NonXtal_Prot#'!A:AL,31,FALSE)</f>
        <v>35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376</v>
      </c>
      <c r="B153" s="1" t="str">
        <f>VLOOKUP(A153,Xtal_Templ!A:B,2,FALSE)</f>
        <v>aa1r_human</v>
      </c>
      <c r="C153" s="5">
        <f>VLOOKUP($B153&amp;"__wt",'SegEnds_Xtal_BW#'!$A:$Z,3,FALSE)</f>
        <v>29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67</v>
      </c>
      <c r="I153" s="1">
        <f>VLOOKUP($B153&amp;"__wt",'SegEnds_Xtal_BW#'!$A:$Z,9,FALSE)</f>
        <v>50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08">
        <v>56</v>
      </c>
      <c r="O153" s="87">
        <f>VLOOKUP($B153&amp;"__wt",'SegEnds_Xtal_BW#'!$A:$Z,15,FALSE)</f>
        <v>38</v>
      </c>
      <c r="P153" s="1">
        <f>VLOOKUP($B153&amp;"__wt",'SegEnds_Xtal_BW#'!$A:$Z,16,FALSE)</f>
        <v>63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v>35</v>
      </c>
      <c r="T153" s="1">
        <f t="array" ref="T153">INDEX(ICL3_classA!$G$2:$G$37,MATCH(MIN(ABS(AI153-ICL3_classA!$F$2:$F$37)),ABS(AI153-ICL3_classA!$F$2:$F$37),0))</f>
        <v>72</v>
      </c>
      <c r="U153" s="1">
        <f t="array" ref="U153">INDEX(ICL3_classA!$H$2:$H$37,MATCH(MIN(ABS(AI153-ICL3_classA!$F$2:$F$37)),ABS(AI153-ICL3_classA!$F$2:$F$37),0))</f>
        <v>23</v>
      </c>
      <c r="V153" s="1">
        <v>61</v>
      </c>
      <c r="W153" s="1">
        <v>31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69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>
        <f>VLOOKUP(A153,'SegEnds_NonXtal_Prot#'!A:AL,13,FALSE)-VLOOKUP(A153,'SegEnds_NonXtal_Prot#'!A:AL,10,FALSE)</f>
        <v>24</v>
      </c>
      <c r="AE153" s="1">
        <f>VLOOKUP(A153,'SegEnds_NonXtal_Prot#'!A:AL,16,FALSE)-VLOOKUP(A153,'SegEnds_NonXtal_Prot#'!A:AL,10,FALSE)</f>
        <v>59</v>
      </c>
      <c r="AF153" s="1">
        <f>VLOOKUP(A153,'SegEnds_NonXtal_Prot#'!A:AL,22,FALSE)-VLOOKUP(A153,'SegEnds_NonXtal_Prot#'!A:AL,19,FALSE)</f>
        <v>19</v>
      </c>
      <c r="AG153" s="1">
        <f>VLOOKUP(A153,'SegEnds_NonXtal_Prot#'!A:AL,28,FALSE)-VLOOKUP(A153,'SegEnds_NonXtal_Prot#'!A:AL,25,FALSE)</f>
        <v>28</v>
      </c>
      <c r="AH153" s="1">
        <f>VLOOKUP(A153,'SegEnds_NonXtal_Prot#'!A:AL,28,FALSE)-VLOOKUP(A153,'SegEnds_NonXtal_Prot#'!A:AL,22,FALSE)</f>
        <v>55</v>
      </c>
      <c r="AI153" s="1">
        <f>VLOOKUP(A153,'SegEnds_NonXtal_Prot#'!A:AL,31,FALSE)-VLOOKUP(A153,'SegEnds_NonXtal_Prot#'!A:AL,28,FALSE)</f>
        <v>52</v>
      </c>
      <c r="AJ153" s="1">
        <f>VLOOKUP(A153,'SegEnds_NonXtal_Prot#'!A:AL,34,FALSE)-VLOOKUP(A153,'SegEnds_NonXtal_Prot#'!A:AL,31,FALSE)</f>
        <v>35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196</v>
      </c>
      <c r="B154" s="1" t="str">
        <f>VLOOKUP(A154,Xtal_Templ!A:B,2,FALSE)</f>
        <v>ednrb_human</v>
      </c>
      <c r="C154" s="5">
        <f>VLOOKUP($B154&amp;"__wt",'SegEnds_Xtal_BW#'!$A:$Z,3,FALSE)</f>
        <v>22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52</v>
      </c>
      <c r="G154" s="1">
        <v>38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f>VLOOKUP($B154&amp;"__wt",'SegEnds_Xtal_BW#'!$A:$Z,14,FALSE)</f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28</v>
      </c>
      <c r="T154" s="1">
        <f t="array" ref="T154">INDEX(ICL3_classA!$G$2:$G$37,MATCH(MIN(ABS(AI154-ICL3_classA!$F$2:$F$37)),ABS(AI154-ICL3_classA!$F$2:$F$37),0))</f>
        <v>72</v>
      </c>
      <c r="U154" s="1">
        <f t="array" ref="U154">INDEX(ICL3_classA!$H$2:$H$37,MATCH(MIN(ABS(AI154-ICL3_classA!$F$2:$F$37)),ABS(AI154-ICL3_classA!$F$2:$F$37),0))</f>
        <v>24</v>
      </c>
      <c r="V154" s="1">
        <v>62</v>
      </c>
      <c r="W154" s="1">
        <v>24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60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20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30</v>
      </c>
      <c r="AH154" s="1">
        <f>VLOOKUP(A154,'SegEnds_NonXtal_Prot#'!A:AL,28,FALSE)-VLOOKUP(A154,'SegEnds_NonXtal_Prot#'!A:AL,22,FALSE)</f>
        <v>59</v>
      </c>
      <c r="AI154" s="1">
        <f>VLOOKUP(A154,'SegEnds_NonXtal_Prot#'!A:AL,31,FALSE)-VLOOKUP(A154,'SegEnds_NonXtal_Prot#'!A:AL,28,FALSE)</f>
        <v>53</v>
      </c>
      <c r="AJ154" s="1">
        <f>VLOOKUP(A154,'SegEnds_NonXtal_Prot#'!A:AL,34,FALSE)-VLOOKUP(A154,'SegEnds_NonXtal_Prot#'!A:AL,31,FALSE)</f>
        <v>45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Xtal</v>
      </c>
    </row>
    <row r="155" spans="1:38" x14ac:dyDescent="0.2">
      <c r="A155" s="1" t="s">
        <v>197</v>
      </c>
      <c r="B155" s="1" t="str">
        <f>VLOOKUP(A155,Xtal_Templ!A:B,2,FALSE)</f>
        <v>ednrb_human</v>
      </c>
      <c r="C155" s="5">
        <f>VLOOKUP($B155&amp;"__wt",'SegEnds_Xtal_BW#'!$A:$Z,3,FALSE)</f>
        <v>22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52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21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28</v>
      </c>
      <c r="T155" s="1">
        <f t="array" ref="T155">INDEX(ICL3_classA!$G$2:$G$37,MATCH(MIN(ABS(AI155-ICL3_classA!$F$2:$F$37)),ABS(AI155-ICL3_classA!$F$2:$F$37),0))</f>
        <v>72</v>
      </c>
      <c r="U155" s="1">
        <f t="array" ref="U155">INDEX(ICL3_classA!$H$2:$H$37,MATCH(MIN(ABS(AI155-ICL3_classA!$F$2:$F$37)),ABS(AI155-ICL3_classA!$F$2:$F$37),0))</f>
        <v>24</v>
      </c>
      <c r="V155" s="1">
        <v>61</v>
      </c>
      <c r="W155" s="132">
        <f>VLOOKUP($B155&amp;"__wt",'SegEnds_Xtal_BW#'!$A:$Z,23,FALSE)</f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 t="e">
        <f>VLOOKUP(A155,'SegEnds_NonXtal_Prot#'!A:AL,13,FALSE)-VLOOKUP(A155,'SegEnds_NonXtal_Prot#'!A:AL,10,FALSE)</f>
        <v>#VALUE!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35</v>
      </c>
      <c r="AH155" s="1">
        <f>VLOOKUP(A155,'SegEnds_NonXtal_Prot#'!A:AL,28,FALSE)-VLOOKUP(A155,'SegEnds_NonXtal_Prot#'!A:AL,22,FALSE)</f>
        <v>65</v>
      </c>
      <c r="AI155" s="1">
        <f>VLOOKUP(A155,'SegEnds_NonXtal_Prot#'!A:AL,31,FALSE)-VLOOKUP(A155,'SegEnds_NonXtal_Prot#'!A:AL,28,FALSE)</f>
        <v>53</v>
      </c>
      <c r="AJ155" s="1">
        <f>VLOOKUP(A155,'SegEnds_NonXtal_Prot#'!A:AL,34,FALSE)-VLOOKUP(A155,'SegEnds_NonXtal_Prot#'!A:AL,31,FALSE)</f>
        <v>39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255</v>
      </c>
      <c r="B156" s="1" t="str">
        <f>VLOOKUP(A156,Xtal_Templ!A:B,2,FALSE)</f>
        <v>ednrb_human</v>
      </c>
      <c r="C156" s="5">
        <f>VLOOKUP($B156&amp;"__wt",'SegEnds_Xtal_BW#'!$A:$Z,3,FALSE)</f>
        <v>22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52</v>
      </c>
      <c r="G156" s="1">
        <v>37</v>
      </c>
      <c r="H156" s="12">
        <f>VLOOKUP($B156&amp;"__wt",'SegEnds_Xtal_BW#'!$A:$Z,8,FALSE)</f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28</v>
      </c>
      <c r="T156" s="1">
        <f t="array" ref="T156">INDEX(ICL3_classA!$G$2:$G$37,MATCH(MIN(ABS(AI156-ICL3_classA!$F$2:$F$37)),ABS(AI156-ICL3_classA!$F$2:$F$37),0))</f>
        <v>72</v>
      </c>
      <c r="U156" s="1">
        <f t="array" ref="U156">INDEX(ICL3_classA!$H$2:$H$37,MATCH(MIN(ABS(AI156-ICL3_classA!$F$2:$F$37)),ABS(AI156-ICL3_classA!$F$2:$F$37),0))</f>
        <v>24</v>
      </c>
      <c r="V156" s="1">
        <v>61</v>
      </c>
      <c r="W156" s="132">
        <f>VLOOKUP($B156&amp;"__wt",'SegEnds_Xtal_BW#'!$A:$Z,23,FALSE)</f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60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>
        <f>VLOOKUP(A156,'SegEnds_NonXtal_Prot#'!A:AL,10,FALSE)-VLOOKUP(A156,'SegEnds_NonXtal_Prot#'!A:AL,7,FALSE)</f>
        <v>15</v>
      </c>
      <c r="AD156" s="1">
        <f>VLOOKUP(A156,'SegEnds_NonXtal_Prot#'!A:AL,13,FALSE)-VLOOKUP(A156,'SegEnds_NonXtal_Prot#'!A:AL,10,FALSE)</f>
        <v>20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35</v>
      </c>
      <c r="AH156" s="1">
        <f>VLOOKUP(A156,'SegEnds_NonXtal_Prot#'!A:AL,28,FALSE)-VLOOKUP(A156,'SegEnds_NonXtal_Prot#'!A:AL,22,FALSE)</f>
        <v>67</v>
      </c>
      <c r="AI156" s="1">
        <f>VLOOKUP(A156,'SegEnds_NonXtal_Prot#'!A:AL,31,FALSE)-VLOOKUP(A156,'SegEnds_NonXtal_Prot#'!A:AL,28,FALSE)</f>
        <v>53</v>
      </c>
      <c r="AJ156" s="1">
        <f>VLOOKUP(A156,'SegEnds_NonXtal_Prot#'!A:AL,34,FALSE)-VLOOKUP(A156,'SegEnds_NonXtal_Prot#'!A:AL,31,FALSE)</f>
        <v>39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473</v>
      </c>
      <c r="B157" s="1" t="str">
        <f>VLOOKUP(A157,Xtal_Templ!A:B,2,FALSE)</f>
        <v>ta2r_human</v>
      </c>
      <c r="C157" s="5">
        <f>VLOOKUP($B157&amp;"__wt",'SegEnds_Xtal_BW#'!$A:$Z,3,FALSE)</f>
        <v>35</v>
      </c>
      <c r="D157" s="1">
        <f>VLOOKUP($B157&amp;"__wt",'SegEnds_Xtal_BW#'!$A:$Z,4,FALSE)</f>
        <v>62</v>
      </c>
      <c r="E157" s="1" t="str">
        <f>VLOOKUP($B157&amp;"__wt",'SegEnds_Xtal_BW#'!$A:$Z,5,FALSE)</f>
        <v>-</v>
      </c>
      <c r="F157" s="1" t="str">
        <f>VLOOKUP($B157&amp;"__wt",'SegEnds_Xtal_BW#'!$A:$Z,6,FALSE)</f>
        <v>-</v>
      </c>
      <c r="G157" s="1">
        <v>37</v>
      </c>
      <c r="H157" s="12">
        <v>67</v>
      </c>
      <c r="I157" s="1">
        <f>VLOOKUP($B157&amp;"__wt",'SegEnds_Xtal_BW#'!$A:$Z,9,FALSE)</f>
        <v>49</v>
      </c>
      <c r="J157" s="1">
        <f>VLOOKUP($B157&amp;"__wt",'SegEnds_Xtal_BW#'!$A:$Z,10,FALSE)</f>
        <v>53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63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33</v>
      </c>
      <c r="T157" s="1">
        <f t="array" ref="T157">INDEX(ICL3_classA!$G$2:$G$37,MATCH(MIN(ABS(AI157-ICL3_classA!$F$2:$F$37)),ABS(AI157-ICL3_classA!$F$2:$F$37),0))</f>
        <v>72</v>
      </c>
      <c r="U157" s="1">
        <f t="array" ref="U157">INDEX(ICL3_classA!$H$2:$H$37,MATCH(MIN(ABS(AI157-ICL3_classA!$F$2:$F$37)),ABS(AI157-ICL3_classA!$F$2:$F$37),0))</f>
        <v>24</v>
      </c>
      <c r="V157" s="108">
        <v>61</v>
      </c>
      <c r="W157" s="108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66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32</v>
      </c>
      <c r="AC157" s="1" t="e">
        <f>VLOOKUP(A157,'SegEnds_NonXtal_Prot#'!A:AL,10,FALSE)-VLOOKUP(A157,'SegEnds_NonXtal_Prot#'!A:AL,7,FALSE)</f>
        <v>#VALUE!</v>
      </c>
      <c r="AD157" s="1">
        <f>VLOOKUP(A157,'SegEnds_NonXtal_Prot#'!A:AL,13,FALSE)-VLOOKUP(A157,'SegEnds_NonXtal_Prot#'!A:AL,10,FALSE)</f>
        <v>21</v>
      </c>
      <c r="AE157" s="1">
        <f>VLOOKUP(A157,'SegEnds_NonXtal_Prot#'!A:AL,16,FALSE)-VLOOKUP(A157,'SegEnds_NonXtal_Prot#'!A:AL,10,FALSE)</f>
        <v>56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24</v>
      </c>
      <c r="AH157" s="1">
        <f>VLOOKUP(A157,'SegEnds_NonXtal_Prot#'!A:AL,28,FALSE)-VLOOKUP(A157,'SegEnds_NonXtal_Prot#'!A:AL,22,FALSE)</f>
        <v>50</v>
      </c>
      <c r="AI157" s="1">
        <f>VLOOKUP(A157,'SegEnds_NonXtal_Prot#'!A:AL,31,FALSE)-VLOOKUP(A157,'SegEnds_NonXtal_Prot#'!A:AL,28,FALSE)</f>
        <v>53</v>
      </c>
      <c r="AJ157" s="1">
        <f>VLOOKUP(A157,'SegEnds_NonXtal_Prot#'!A:AL,34,FALSE)-VLOOKUP(A157,'SegEnds_NonXtal_Prot#'!A:AL,31,FALSE)</f>
        <v>45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Xtal</v>
      </c>
    </row>
    <row r="158" spans="1:38" x14ac:dyDescent="0.2">
      <c r="A158" s="1" t="s">
        <v>195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38</v>
      </c>
      <c r="H158" s="12"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9">
        <v>21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INDEX(ICL3_classA!$G$2:$G$37,MATCH(MIN(ABS(AI158-ICL3_classA!$F$2:$F$37)),ABS(AI158-ICL3_classA!$F$2:$F$37),0))</f>
        <v>72</v>
      </c>
      <c r="U158" s="1">
        <f t="array" ref="U158">INDEX(ICL3_classA!$H$2:$H$37,MATCH(MIN(ABS(AI158-ICL3_classA!$F$2:$F$37)),ABS(AI158-ICL3_classA!$F$2:$F$37),0))</f>
        <v>24</v>
      </c>
      <c r="V158" s="1">
        <v>62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57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28</v>
      </c>
      <c r="AH158" s="1">
        <f>VLOOKUP(A158,'SegEnds_NonXtal_Prot#'!A:AL,28,FALSE)-VLOOKUP(A158,'SegEnds_NonXtal_Prot#'!A:AL,22,FALSE)</f>
        <v>57</v>
      </c>
      <c r="AI158" s="1">
        <f>VLOOKUP(A158,'SegEnds_NonXtal_Prot#'!A:AL,31,FALSE)-VLOOKUP(A158,'SegEnds_NonXtal_Prot#'!A:AL,28,FALSE)</f>
        <v>54</v>
      </c>
      <c r="AJ158" s="1">
        <f>VLOOKUP(A158,'SegEnds_NonXtal_Prot#'!A:AL,34,FALSE)-VLOOKUP(A158,'SegEnds_NonXtal_Prot#'!A:AL,31,FALSE)</f>
        <v>45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207</v>
      </c>
      <c r="B159" s="1" t="str">
        <f>VLOOKUP(A159,Xtal_Templ!A:B,2,FALSE)</f>
        <v>oprk_human</v>
      </c>
      <c r="C159" s="5">
        <f>VLOOKUP($B159&amp;"__wt",'SegEnds_Xtal_BW#'!$A:$Z,3,FALSE)</f>
        <v>30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7">
        <f>VLOOKUP($B159&amp;"__wt",'SegEnds_Xtal_BW#'!$A:$Z,15,FALSE)</f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30</v>
      </c>
      <c r="T159" s="1">
        <f t="array" ref="T159">INDEX(ICL3_classA!$G$2:$G$37,MATCH(MIN(ABS(AI159-ICL3_classA!$F$2:$F$37)),ABS(AI159-ICL3_classA!$F$2:$F$37),0))</f>
        <v>72</v>
      </c>
      <c r="U159" s="1">
        <f t="array" ref="U159">INDEX(ICL3_classA!$H$2:$H$37,MATCH(MIN(ABS(AI159-ICL3_classA!$F$2:$F$37)),ABS(AI159-ICL3_classA!$F$2:$F$37),0))</f>
        <v>24</v>
      </c>
      <c r="V159" s="1">
        <v>61</v>
      </c>
      <c r="W159" s="132">
        <f>VLOOKUP($B159&amp;"__wt",'SegEnds_Xtal_BW#'!$A:$Z,23,FALSE)</f>
        <v>28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59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33</v>
      </c>
      <c r="AC159" s="1">
        <f>VLOOKUP(A159,'SegEnds_NonXtal_Prot#'!A:AL,10,FALSE)-VLOOKUP(A159,'SegEnds_NonXtal_Prot#'!A:AL,7,FALSE)</f>
        <v>19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24</v>
      </c>
      <c r="AH159" s="1">
        <f>VLOOKUP(A159,'SegEnds_NonXtal_Prot#'!A:AL,28,FALSE)-VLOOKUP(A159,'SegEnds_NonXtal_Prot#'!A:AL,22,FALSE)</f>
        <v>49</v>
      </c>
      <c r="AI159" s="1">
        <f>VLOOKUP(A159,'SegEnds_NonXtal_Prot#'!A:AL,31,FALSE)-VLOOKUP(A159,'SegEnds_NonXtal_Prot#'!A:AL,28,FALSE)</f>
        <v>54</v>
      </c>
      <c r="AJ159" s="1">
        <f>VLOOKUP(A159,'SegEnds_NonXtal_Prot#'!A:AL,34,FALSE)-VLOOKUP(A159,'SegEnds_NonXtal_Prot#'!A:AL,31,FALSE)</f>
        <v>38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209</v>
      </c>
      <c r="B160" s="1" t="str">
        <f>VLOOKUP(A160,Xtal_Templ!A:B,2,FALSE)</f>
        <v>ntr1_human</v>
      </c>
      <c r="C160" s="5">
        <f>VLOOKUP($B160&amp;"__wt",'SegEnds_Xtal_BW#'!$A:$Z,3,FALSE)</f>
        <v>28</v>
      </c>
      <c r="D160" s="1">
        <f>VLOOKUP($B160&amp;"__wt",'SegEnds_Xtal_BW#'!$A:$Z,4,FALSE)</f>
        <v>60</v>
      </c>
      <c r="E160" s="1" t="str">
        <f>VLOOKUP($B160&amp;"__wt",'SegEnds_Xtal_BW#'!$A:$Z,5,FALSE)</f>
        <v>-</v>
      </c>
      <c r="F160" s="1" t="str">
        <f>VLOOKUP($B160&amp;"__wt",'SegEnds_Xtal_BW#'!$A:$Z,6,FALSE)</f>
        <v>-</v>
      </c>
      <c r="G160" s="1">
        <v>37</v>
      </c>
      <c r="H160" s="12"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f>VLOOKUP($B160&amp;"__wt",'SegEnds_Xtal_BW#'!$A:$Z,15,FALSE)</f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31</v>
      </c>
      <c r="T160" s="1">
        <f t="array" ref="T160">INDEX(ICL3_classA!$G$2:$G$37,MATCH(MIN(ABS(AI160-ICL3_classA!$F$2:$F$37)),ABS(AI160-ICL3_classA!$F$2:$F$37),0))</f>
        <v>72</v>
      </c>
      <c r="U160" s="1">
        <f t="array" ref="U160">INDEX(ICL3_classA!$H$2:$H$37,MATCH(MIN(ABS(AI160-ICL3_classA!$F$2:$F$37)),ABS(AI160-ICL3_classA!$F$2:$F$37),0))</f>
        <v>24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62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26</v>
      </c>
      <c r="AH160" s="1">
        <f>VLOOKUP(A160,'SegEnds_NonXtal_Prot#'!A:AL,28,FALSE)-VLOOKUP(A160,'SegEnds_NonXtal_Prot#'!A:AL,22,FALSE)</f>
        <v>56</v>
      </c>
      <c r="AI160" s="1">
        <f>VLOOKUP(A160,'SegEnds_NonXtal_Prot#'!A:AL,31,FALSE)-VLOOKUP(A160,'SegEnds_NonXtal_Prot#'!A:AL,28,FALSE)</f>
        <v>54</v>
      </c>
      <c r="AJ160" s="1">
        <f>VLOOKUP(A160,'SegEnds_NonXtal_Prot#'!A:AL,34,FALSE)-VLOOKUP(A160,'SegEnds_NonXtal_Prot#'!A:AL,31,FALSE)</f>
        <v>42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310</v>
      </c>
      <c r="B161" s="1" t="str">
        <f>VLOOKUP(A161,Xtal_Templ!A:B,2,FALSE)</f>
        <v>ntr1_human</v>
      </c>
      <c r="C161" s="5">
        <f>VLOOKUP($B161&amp;"__wt",'SegEnds_Xtal_BW#'!$A:$Z,3,FALSE)</f>
        <v>28</v>
      </c>
      <c r="D161" s="1">
        <f>VLOOKUP($B161&amp;"__wt",'SegEnds_Xtal_BW#'!$A:$Z,4,FALSE)</f>
        <v>60</v>
      </c>
      <c r="E161" s="1" t="str">
        <f>VLOOKUP($B161&amp;"__wt",'SegEnds_Xtal_BW#'!$A:$Z,5,FALSE)</f>
        <v>-</v>
      </c>
      <c r="F161" s="1" t="str">
        <f>VLOOKUP($B161&amp;"__wt",'SegEnds_Xtal_BW#'!$A:$Z,6,FALSE)</f>
        <v>-</v>
      </c>
      <c r="G161" s="1">
        <v>37</v>
      </c>
      <c r="H161" s="12"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31</v>
      </c>
      <c r="T161" s="1">
        <f t="array" ref="T161">INDEX(ICL3_classA!$G$2:$G$37,MATCH(MIN(ABS(AI161-ICL3_classA!$F$2:$F$37)),ABS(AI161-ICL3_classA!$F$2:$F$37),0))</f>
        <v>72</v>
      </c>
      <c r="U161" s="1">
        <f t="array" ref="U161">INDEX(ICL3_classA!$H$2:$H$37,MATCH(MIN(ABS(AI161-ICL3_classA!$F$2:$F$37)),ABS(AI161-ICL3_classA!$F$2:$F$37),0))</f>
        <v>24</v>
      </c>
      <c r="V161" s="1">
        <v>61</v>
      </c>
      <c r="W161" s="132">
        <f>VLOOKUP($B161&amp;"__wt",'SegEnds_Xtal_BW#'!$A:$Z,23,FALSE)</f>
        <v>24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62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24</v>
      </c>
      <c r="AH161" s="1">
        <f>VLOOKUP(A161,'SegEnds_NonXtal_Prot#'!A:AL,28,FALSE)-VLOOKUP(A161,'SegEnds_NonXtal_Prot#'!A:AL,22,FALSE)</f>
        <v>96</v>
      </c>
      <c r="AI161" s="1">
        <f>VLOOKUP(A161,'SegEnds_NonXtal_Prot#'!A:AL,31,FALSE)-VLOOKUP(A161,'SegEnds_NonXtal_Prot#'!A:AL,28,FALSE)</f>
        <v>54</v>
      </c>
      <c r="AJ161" s="1">
        <f>VLOOKUP(A161,'SegEnds_NonXtal_Prot#'!A:AL,34,FALSE)-VLOOKUP(A161,'SegEnds_NonXtal_Prot#'!A:AL,31,FALSE)</f>
        <v>39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311</v>
      </c>
      <c r="B162" s="1" t="str">
        <f>VLOOKUP(A162,Xtal_Templ!A:B,2,FALSE)</f>
        <v>mtr1a_human</v>
      </c>
      <c r="C162" s="5">
        <f>VLOOKUP($B162&amp;"__wt",'SegEnds_Xtal_BW#'!$A:$Z,3,FALSE)</f>
        <v>28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68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35</v>
      </c>
      <c r="T162" s="1">
        <f t="array" ref="T162">INDEX(ICL3_classA!$G$2:$G$37,MATCH(MIN(ABS(AI162-ICL3_classA!$F$2:$F$37)),ABS(AI162-ICL3_classA!$F$2:$F$37),0))</f>
        <v>72</v>
      </c>
      <c r="U162" s="1">
        <f t="array" ref="U162">INDEX(ICL3_classA!$H$2:$H$37,MATCH(MIN(ABS(AI162-ICL3_classA!$F$2:$F$37)),ABS(AI162-ICL3_classA!$F$2:$F$37),0))</f>
        <v>24</v>
      </c>
      <c r="V162" s="1">
        <v>61</v>
      </c>
      <c r="W162" s="132">
        <f>VLOOKUP($B162&amp;"__wt",'SegEnds_Xtal_BW#'!$A:$Z,23,FALSE)</f>
        <v>31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63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22</v>
      </c>
      <c r="AH162" s="1">
        <f>VLOOKUP(A162,'SegEnds_NonXtal_Prot#'!A:AL,28,FALSE)-VLOOKUP(A162,'SegEnds_NonXtal_Prot#'!A:AL,22,FALSE)</f>
        <v>47</v>
      </c>
      <c r="AI162" s="1">
        <f>VLOOKUP(A162,'SegEnds_NonXtal_Prot#'!A:AL,31,FALSE)-VLOOKUP(A162,'SegEnds_NonXtal_Prot#'!A:AL,28,FALSE)</f>
        <v>54</v>
      </c>
      <c r="AJ162" s="1">
        <f>VLOOKUP(A162,'SegEnds_NonXtal_Prot#'!A:AL,34,FALSE)-VLOOKUP(A162,'SegEnds_NonXtal_Prot#'!A:AL,31,FALSE)</f>
        <v>39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Xtal</v>
      </c>
    </row>
    <row r="163" spans="1:38" x14ac:dyDescent="0.2">
      <c r="A163" s="1" t="s">
        <v>312</v>
      </c>
      <c r="B163" s="1" t="str">
        <f>VLOOKUP(A163,Xtal_Templ!A:B,2,FALSE)</f>
        <v>mtr1b_human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68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64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INDEX(ICL3_classA!$G$2:$G$37,MATCH(MIN(ABS(AI163-ICL3_classA!$F$2:$F$37)),ABS(AI163-ICL3_classA!$F$2:$F$37),0))</f>
        <v>72</v>
      </c>
      <c r="U163" s="1">
        <f t="array" ref="U163">INDEX(ICL3_classA!$H$2:$H$37,MATCH(MIN(ABS(AI163-ICL3_classA!$F$2:$F$37)),ABS(AI163-ICL3_classA!$F$2:$F$37),0))</f>
        <v>24</v>
      </c>
      <c r="V163" s="1">
        <v>61</v>
      </c>
      <c r="W163" s="132">
        <f>VLOOKUP($B163&amp;"__wt",'SegEnds_Xtal_BW#'!$A:$Z,23,FALSE)</f>
        <v>31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63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>
        <f>VLOOKUP(A163,'SegEnds_NonXtal_Prot#'!A:AL,13,FALSE)-VLOOKUP(A163,'SegEnds_NonXtal_Prot#'!A:AL,10,FALSE)</f>
        <v>20</v>
      </c>
      <c r="AE163" s="1">
        <f>VLOOKUP(A163,'SegEnds_NonXtal_Prot#'!A:AL,16,FALSE)-VLOOKUP(A163,'SegEnds_NonXtal_Prot#'!A:AL,10,FALSE)</f>
        <v>52</v>
      </c>
      <c r="AF163" s="1">
        <f>VLOOKUP(A163,'SegEnds_NonXtal_Prot#'!A:AL,22,FALSE)-VLOOKUP(A163,'SegEnds_NonXtal_Prot#'!A:AL,19,FALSE)</f>
        <v>20</v>
      </c>
      <c r="AG163" s="1">
        <f>VLOOKUP(A163,'SegEnds_NonXtal_Prot#'!A:AL,28,FALSE)-VLOOKUP(A163,'SegEnds_NonXtal_Prot#'!A:AL,25,FALSE)</f>
        <v>22</v>
      </c>
      <c r="AH163" s="1">
        <f>VLOOKUP(A163,'SegEnds_NonXtal_Prot#'!A:AL,28,FALSE)-VLOOKUP(A163,'SegEnds_NonXtal_Prot#'!A:AL,22,FALSE)</f>
        <v>47</v>
      </c>
      <c r="AI163" s="1">
        <f>VLOOKUP(A163,'SegEnds_NonXtal_Prot#'!A:AL,31,FALSE)-VLOOKUP(A163,'SegEnds_NonXtal_Prot#'!A:AL,28,FALSE)</f>
        <v>54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Xtal</v>
      </c>
    </row>
    <row r="164" spans="1:38" x14ac:dyDescent="0.2">
      <c r="A164" s="1" t="s">
        <v>327</v>
      </c>
      <c r="B164" s="1" t="str">
        <f>VLOOKUP(A164,Xtal_Templ!A:B,2,FALSE)</f>
        <v>npy1r_human</v>
      </c>
      <c r="C164" s="5">
        <f>VLOOKUP($B164&amp;"__wt",'SegEnds_Xtal_BW#'!$A:$Z,3,FALSE)</f>
        <v>28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68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 t="str">
        <f>VLOOKUP($B164&amp;"__wt",'SegEnds_Xtal_BW#'!$A:$Z,13,FALSE)</f>
        <v>-</v>
      </c>
      <c r="N164" s="108" t="s">
        <v>23</v>
      </c>
      <c r="O164" s="87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31</v>
      </c>
      <c r="T164" s="1">
        <f t="array" ref="T164">INDEX(ICL3_classA!$G$2:$G$37,MATCH(MIN(ABS(AI164-ICL3_classA!$F$2:$F$37)),ABS(AI164-ICL3_classA!$F$2:$F$37),0))</f>
        <v>72</v>
      </c>
      <c r="U164" s="1">
        <f t="array" ref="U164">INDEX(ICL3_classA!$H$2:$H$37,MATCH(MIN(ABS(AI164-ICL3_classA!$F$2:$F$37)),ABS(AI164-ICL3_classA!$F$2:$F$37),0))</f>
        <v>24</v>
      </c>
      <c r="V164" s="1">
        <v>61</v>
      </c>
      <c r="W164" s="132">
        <f>VLOOKUP($B164&amp;"__wt",'SegEnds_Xtal_BW#'!$A:$Z,23,FALSE)</f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58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>
        <f>VLOOKUP(A164,'SegEnds_NonXtal_Prot#'!A:AL,13,FALSE)-VLOOKUP(A164,'SegEnds_NonXtal_Prot#'!A:AL,10,FALSE)</f>
        <v>20</v>
      </c>
      <c r="AE164" s="1">
        <f>VLOOKUP(A164,'SegEnds_NonXtal_Prot#'!A:AL,16,FALSE)-VLOOKUP(A164,'SegEnds_NonXtal_Prot#'!A:AL,10,FALSE)</f>
        <v>52</v>
      </c>
      <c r="AF164" s="1" t="e">
        <f>VLOOKUP(A164,'SegEnds_NonXtal_Prot#'!A:AL,22,FALSE)-VLOOKUP(A164,'SegEnds_NonXtal_Prot#'!A:AL,19,FALSE)</f>
        <v>#VALUE!</v>
      </c>
      <c r="AG164" s="1">
        <f>VLOOKUP(A164,'SegEnds_NonXtal_Prot#'!A:AL,28,FALSE)-VLOOKUP(A164,'SegEnds_NonXtal_Prot#'!A:AL,25,FALSE)</f>
        <v>25</v>
      </c>
      <c r="AH164" s="1">
        <f>VLOOKUP(A164,'SegEnds_NonXtal_Prot#'!A:AL,28,FALSE)-VLOOKUP(A164,'SegEnds_NonXtal_Prot#'!A:AL,22,FALSE)</f>
        <v>62</v>
      </c>
      <c r="AI164" s="1">
        <f>VLOOKUP(A164,'SegEnds_NonXtal_Prot#'!A:AL,31,FALSE)-VLOOKUP(A164,'SegEnds_NonXtal_Prot#'!A:AL,28,FALSE)</f>
        <v>54</v>
      </c>
      <c r="AJ164" s="1">
        <f>VLOOKUP(A164,'SegEnds_NonXtal_Prot#'!A:AL,34,FALSE)-VLOOKUP(A164,'SegEnds_NonXtal_Prot#'!A:AL,31,FALSE)</f>
        <v>39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383</v>
      </c>
      <c r="B165" s="1" t="str">
        <f>VLOOKUP(A165,Xtal_Templ!A:B,2,FALSE)</f>
        <v>oprk_human</v>
      </c>
      <c r="C165" s="5">
        <f>VLOOKUP($B165&amp;"__wt",'SegEnds_Xtal_BW#'!$A:$Z,3,FALSE)</f>
        <v>30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66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21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30</v>
      </c>
      <c r="T165" s="1">
        <f t="array" ref="T165">INDEX(ICL3_classA!$G$2:$G$37,MATCH(MIN(ABS(AI165-ICL3_classA!$F$2:$F$37)),ABS(AI165-ICL3_classA!$F$2:$F$37),0))</f>
        <v>72</v>
      </c>
      <c r="U165" s="1">
        <f t="array" ref="U165">INDEX(ICL3_classA!$H$2:$H$37,MATCH(MIN(ABS(AI165-ICL3_classA!$F$2:$F$37)),ABS(AI165-ICL3_classA!$F$2:$F$37),0))</f>
        <v>24</v>
      </c>
      <c r="V165" s="1">
        <v>61</v>
      </c>
      <c r="W165" s="132">
        <f>VLOOKUP($B165&amp;"__wt",'SegEnds_Xtal_BW#'!$A:$Z,23,FALSE)</f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19</v>
      </c>
      <c r="AE165" s="1">
        <f>VLOOKUP(A165,'SegEnds_NonXtal_Prot#'!A:AL,16,FALSE)-VLOOKUP(A165,'SegEnds_NonXtal_Prot#'!A:AL,10,FALSE)</f>
        <v>51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27</v>
      </c>
      <c r="AH165" s="1">
        <f>VLOOKUP(A165,'SegEnds_NonXtal_Prot#'!A:AL,28,FALSE)-VLOOKUP(A165,'SegEnds_NonXtal_Prot#'!A:AL,22,FALSE)</f>
        <v>50</v>
      </c>
      <c r="AI165" s="1">
        <f>VLOOKUP(A165,'SegEnds_NonXtal_Prot#'!A:AL,31,FALSE)-VLOOKUP(A165,'SegEnds_NonXtal_Prot#'!A:AL,28,FALSE)</f>
        <v>54</v>
      </c>
      <c r="AJ165" s="1">
        <f>VLOOKUP(A165,'SegEnds_NonXtal_Prot#'!A:AL,34,FALSE)-VLOOKUP(A165,'SegEnds_NonXtal_Prot#'!A:AL,31,FALSE)</f>
        <v>38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140</v>
      </c>
      <c r="B166" s="1" t="str">
        <f>VLOOKUP(A166,Xtal_Templ!A:B,2,FALSE)</f>
        <v>aa2ar_human</v>
      </c>
      <c r="C166" s="5">
        <f>VLOOKUP($B166&amp;"__wt",'SegEnds_Xtal_BW#'!$A:$Z,3,FALSE)</f>
        <v>27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v>66</v>
      </c>
      <c r="I166" s="1">
        <f>VLOOKUP($B166&amp;"__wt",'SegEnds_Xtal_BW#'!$A:$Z,9,FALSE)</f>
        <v>50</v>
      </c>
      <c r="J166" s="1">
        <f>VLOOKUP($B166&amp;"__wt",'SegEnds_Xtal_BW#'!$A:$Z,10,FALSE)</f>
        <v>52</v>
      </c>
      <c r="K166" s="12">
        <v>24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63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34</v>
      </c>
      <c r="T166" s="1">
        <f t="array" ref="T166">INDEX(ICL3_classA!$G$2:$G$37,MATCH(MIN(ABS(AI166-ICL3_classA!$F$2:$F$37)),ABS(AI166-ICL3_classA!$F$2:$F$37),0))</f>
        <v>73</v>
      </c>
      <c r="U166" s="1">
        <f t="array" ref="U166">INDEX(ICL3_classA!$H$2:$H$37,MATCH(MIN(ABS(AI166-ICL3_classA!$F$2:$F$37)),ABS(AI166-ICL3_classA!$F$2:$F$37),0))</f>
        <v>22</v>
      </c>
      <c r="V166" s="1">
        <v>61</v>
      </c>
      <c r="W166" s="132">
        <f>VLOOKUP($B166&amp;"__wt",'SegEnds_Xtal_BW#'!$A:$Z,23,FALSE)</f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69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18</v>
      </c>
      <c r="AE166" s="1">
        <f>VLOOKUP(A166,'SegEnds_NonXtal_Prot#'!A:AL,16,FALSE)-VLOOKUP(A166,'SegEnds_NonXtal_Prot#'!A:AL,10,FALSE)</f>
        <v>50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23</v>
      </c>
      <c r="AH166" s="1">
        <f>VLOOKUP(A166,'SegEnds_NonXtal_Prot#'!A:AL,28,FALSE)-VLOOKUP(A166,'SegEnds_NonXtal_Prot#'!A:AL,22,FALSE)</f>
        <v>64</v>
      </c>
      <c r="AI166" s="1">
        <f>VLOOKUP(A166,'SegEnds_NonXtal_Prot#'!A:AL,31,FALSE)-VLOOKUP(A166,'SegEnds_NonXtal_Prot#'!A:AL,28,FALSE)</f>
        <v>55</v>
      </c>
      <c r="AJ166" s="1">
        <f>VLOOKUP(A166,'SegEnds_NonXtal_Prot#'!A:AL,34,FALSE)-VLOOKUP(A166,'SegEnds_NonXtal_Prot#'!A:AL,31,FALSE)</f>
        <v>38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279</v>
      </c>
      <c r="B167" s="1" t="str">
        <f>VLOOKUP(A167,Xtal_Templ!A:B,2,FALSE)</f>
        <v>adrb2_human</v>
      </c>
      <c r="C167" s="5">
        <f>VLOOKUP($B167&amp;"__wt",'SegEnds_Xtal_BW#'!$A:$Z,3,FALSE)</f>
        <v>25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INDEX(ICL3_classA!$G$2:$G$37,MATCH(MIN(ABS(AI167-ICL3_classA!$F$2:$F$37)),ABS(AI167-ICL3_classA!$F$2:$F$37),0))</f>
        <v>73</v>
      </c>
      <c r="U167" s="1">
        <f t="array" ref="U167">INDEX(ICL3_classA!$H$2:$H$37,MATCH(MIN(ABS(AI167-ICL3_classA!$F$2:$F$37)),ABS(AI167-ICL3_classA!$F$2:$F$37),0))</f>
        <v>22</v>
      </c>
      <c r="V167" s="1">
        <v>61</v>
      </c>
      <c r="W167" s="1">
        <v>31</v>
      </c>
      <c r="X167" s="108">
        <v>56</v>
      </c>
      <c r="Y167" s="1">
        <f>VLOOKUP($B167&amp;"__wt",'SegEnds_Xtal_BW#'!$A:$Z,25,FALSE)</f>
        <v>47</v>
      </c>
      <c r="Z167" s="1">
        <f>VLOOKUP($B167&amp;"__wt",'SegEnds_Xtal_BW#'!$A:$Z,26,FALSE)</f>
        <v>59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20</v>
      </c>
      <c r="AH167" s="1">
        <f>VLOOKUP(A167,'SegEnds_NonXtal_Prot#'!A:AL,28,FALSE)-VLOOKUP(A167,'SegEnds_NonXtal_Prot#'!A:AL,22,FALSE)</f>
        <v>51</v>
      </c>
      <c r="AI167" s="1">
        <f>VLOOKUP(A167,'SegEnds_NonXtal_Prot#'!A:AL,31,FALSE)-VLOOKUP(A167,'SegEnds_NonXtal_Prot#'!A:AL,28,FALSE)</f>
        <v>55</v>
      </c>
      <c r="AJ167" s="1">
        <f>VLOOKUP(A167,'SegEnds_NonXtal_Prot#'!A:AL,34,FALSE)-VLOOKUP(A167,'SegEnds_NonXtal_Prot#'!A:AL,31,FALSE)</f>
        <v>36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314</v>
      </c>
      <c r="B168" s="1" t="str">
        <f>VLOOKUP(A168,Xtal_Templ!A:B,2,FALSE)</f>
        <v>nk1r_human</v>
      </c>
      <c r="C168" s="5">
        <f>VLOOKUP($B168&amp;"__wt",'SegEnds_Xtal_BW#'!$A:$Z,3,FALSE)</f>
        <v>28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 t="str">
        <f>VLOOKUP($B168&amp;"__wt",'SegEnds_Xtal_BW#'!$A:$Z,13,FALSE)</f>
        <v>-</v>
      </c>
      <c r="N168" s="12">
        <v>56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30</v>
      </c>
      <c r="T168" s="1">
        <f t="array" ref="T168">INDEX(ICL3_classA!$G$2:$G$37,MATCH(MIN(ABS(AI168-ICL3_classA!$F$2:$F$37)),ABS(AI168-ICL3_classA!$F$2:$F$37),0))</f>
        <v>73</v>
      </c>
      <c r="U168" s="1">
        <f t="array" ref="U168">INDEX(ICL3_classA!$H$2:$H$37,MATCH(MIN(ABS(AI168-ICL3_classA!$F$2:$F$37)),ABS(AI168-ICL3_classA!$F$2:$F$37),0))</f>
        <v>22</v>
      </c>
      <c r="V168" s="1">
        <v>61</v>
      </c>
      <c r="W168" s="132">
        <f>VLOOKUP($B168&amp;"__wt",'SegEnds_Xtal_BW#'!$A:$Z,23,FALSE)</f>
        <v>30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 t="e">
        <f>VLOOKUP(A168,'SegEnds_NonXtal_Prot#'!A:AL,22,FALSE)-VLOOKUP(A168,'SegEnds_NonXtal_Prot#'!A:AL,19,FALSE)</f>
        <v>#VALUE!</v>
      </c>
      <c r="AG168" s="1">
        <f>VLOOKUP(A168,'SegEnds_NonXtal_Prot#'!A:AL,28,FALSE)-VLOOKUP(A168,'SegEnds_NonXtal_Prot#'!A:AL,25,FALSE)</f>
        <v>28</v>
      </c>
      <c r="AH168" s="1">
        <f>VLOOKUP(A168,'SegEnds_NonXtal_Prot#'!A:AL,28,FALSE)-VLOOKUP(A168,'SegEnds_NonXtal_Prot#'!A:AL,22,FALSE)</f>
        <v>53</v>
      </c>
      <c r="AI168" s="1">
        <f>VLOOKUP(A168,'SegEnds_NonXtal_Prot#'!A:AL,31,FALSE)-VLOOKUP(A168,'SegEnds_NonXtal_Prot#'!A:AL,28,FALSE)</f>
        <v>55</v>
      </c>
      <c r="AJ168" s="1">
        <f>VLOOKUP(A168,'SegEnds_NonXtal_Prot#'!A:AL,34,FALSE)-VLOOKUP(A168,'SegEnds_NonXtal_Prot#'!A:AL,31,FALSE)</f>
        <v>39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Xtal</v>
      </c>
    </row>
    <row r="169" spans="1:38" x14ac:dyDescent="0.2">
      <c r="A169" s="1" t="s">
        <v>316</v>
      </c>
      <c r="B169" s="1" t="str">
        <f>VLOOKUP(A169,Xtal_Templ!A:B,2,FALSE)</f>
        <v>nk1r_human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68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 t="str">
        <f>VLOOKUP($B169&amp;"__wt",'SegEnds_Xtal_BW#'!$A:$Z,13,FALSE)</f>
        <v>-</v>
      </c>
      <c r="N169" s="12">
        <v>56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INDEX(ICL3_classA!$G$2:$G$37,MATCH(MIN(ABS(AI169-ICL3_classA!$F$2:$F$37)),ABS(AI169-ICL3_classA!$F$2:$F$37),0))</f>
        <v>73</v>
      </c>
      <c r="U169" s="1">
        <f t="array" ref="U169">INDEX(ICL3_classA!$H$2:$H$37,MATCH(MIN(ABS(AI169-ICL3_classA!$F$2:$F$37)),ABS(AI169-ICL3_classA!$F$2:$F$37),0))</f>
        <v>22</v>
      </c>
      <c r="V169" s="1">
        <v>61</v>
      </c>
      <c r="W169" s="132">
        <f>VLOOKUP($B169&amp;"__wt",'SegEnds_Xtal_BW#'!$A:$Z,23,FALSE)</f>
        <v>30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 t="e">
        <f>VLOOKUP(A169,'SegEnds_NonXtal_Prot#'!A:AL,22,FALSE)-VLOOKUP(A169,'SegEnds_NonXtal_Prot#'!A:AL,19,FALSE)</f>
        <v>#VALUE!</v>
      </c>
      <c r="AG169" s="1">
        <f>VLOOKUP(A169,'SegEnds_NonXtal_Prot#'!A:AL,28,FALSE)-VLOOKUP(A169,'SegEnds_NonXtal_Prot#'!A:AL,25,FALSE)</f>
        <v>26</v>
      </c>
      <c r="AH169" s="1">
        <f>VLOOKUP(A169,'SegEnds_NonXtal_Prot#'!A:AL,28,FALSE)-VLOOKUP(A169,'SegEnds_NonXtal_Prot#'!A:AL,22,FALSE)</f>
        <v>51</v>
      </c>
      <c r="AI169" s="1">
        <f>VLOOKUP(A169,'SegEnds_NonXtal_Prot#'!A:AL,31,FALSE)-VLOOKUP(A169,'SegEnds_NonXtal_Prot#'!A:AL,28,FALSE)</f>
        <v>55</v>
      </c>
      <c r="AJ169" s="1">
        <f>VLOOKUP(A169,'SegEnds_NonXtal_Prot#'!A:AL,34,FALSE)-VLOOKUP(A169,'SegEnds_NonXtal_Prot#'!A:AL,31,FALSE)</f>
        <v>39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319</v>
      </c>
      <c r="B170" s="1" t="str">
        <f>VLOOKUP(A170,Xtal_Templ!A:B,2,FALSE)</f>
        <v>ntr1_rat</v>
      </c>
      <c r="C170" s="5">
        <f>VLOOKUP($B170&amp;"__wt",'SegEnds_Xtal_BW#'!$A:$Z,3,FALSE)</f>
        <v>29</v>
      </c>
      <c r="D170" s="1">
        <f>VLOOKUP($B170&amp;"__wt",'SegEnds_Xtal_BW#'!$A:$Z,4,FALSE)</f>
        <v>60</v>
      </c>
      <c r="E170" s="1" t="str">
        <f>VLOOKUP($B170&amp;"__wt",'SegEnds_Xtal_BW#'!$A:$Z,5,FALSE)</f>
        <v>-</v>
      </c>
      <c r="F170" s="1" t="str">
        <f>VLOOKUP($B170&amp;"__wt",'SegEnds_Xtal_BW#'!$A:$Z,6,FALSE)</f>
        <v>-</v>
      </c>
      <c r="G170" s="1">
        <v>37</v>
      </c>
      <c r="H170" s="12">
        <v>66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INDEX(ICL3_classA!$G$2:$G$37,MATCH(MIN(ABS(AI170-ICL3_classA!$F$2:$F$37)),ABS(AI170-ICL3_classA!$F$2:$F$37),0))</f>
        <v>73</v>
      </c>
      <c r="U170" s="1">
        <f t="array" ref="U170">INDEX(ICL3_classA!$H$2:$H$37,MATCH(MIN(ABS(AI170-ICL3_classA!$F$2:$F$37)),ABS(AI170-ICL3_classA!$F$2:$F$37),0))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62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19</v>
      </c>
      <c r="AE170" s="1">
        <f>VLOOKUP(A170,'SegEnds_NonXtal_Prot#'!A:AL,16,FALSE)-VLOOKUP(A170,'SegEnds_NonXtal_Prot#'!A:AL,10,FALSE)</f>
        <v>53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24</v>
      </c>
      <c r="AH170" s="1">
        <f>VLOOKUP(A170,'SegEnds_NonXtal_Prot#'!A:AL,28,FALSE)-VLOOKUP(A170,'SegEnds_NonXtal_Prot#'!A:AL,22,FALSE)</f>
        <v>57</v>
      </c>
      <c r="AI170" s="1">
        <f>VLOOKUP(A170,'SegEnds_NonXtal_Prot#'!A:AL,31,FALSE)-VLOOKUP(A170,'SegEnds_NonXtal_Prot#'!A:AL,28,FALSE)</f>
        <v>55</v>
      </c>
      <c r="AJ170" s="1">
        <f>VLOOKUP(A170,'SegEnds_NonXtal_Prot#'!A:AL,34,FALSE)-VLOOKUP(A170,'SegEnds_NonXtal_Prot#'!A:AL,31,FALSE)</f>
        <v>41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325</v>
      </c>
      <c r="B171" s="1" t="str">
        <f>VLOOKUP(A171,Xtal_Templ!A:B,2,FALSE)</f>
        <v>npy1r_human</v>
      </c>
      <c r="C171" s="5">
        <f>VLOOKUP($B171&amp;"__wt",'SegEnds_Xtal_BW#'!$A:$Z,3,FALSE)</f>
        <v>28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68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 t="str">
        <f>VLOOKUP($B171&amp;"__wt",'SegEnds_Xtal_BW#'!$A:$Z,13,FALSE)</f>
        <v>-</v>
      </c>
      <c r="N171" s="108" t="s">
        <v>23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31</v>
      </c>
      <c r="T171" s="1">
        <f t="array" ref="T171">INDEX(ICL3_classA!$G$2:$G$37,MATCH(MIN(ABS(AI171-ICL3_classA!$F$2:$F$37)),ABS(AI171-ICL3_classA!$F$2:$F$37),0))</f>
        <v>73</v>
      </c>
      <c r="U171" s="1">
        <f t="array" ref="U171">INDEX(ICL3_classA!$H$2:$H$37,MATCH(MIN(ABS(AI171-ICL3_classA!$F$2:$F$37)),ABS(AI171-ICL3_classA!$F$2:$F$37),0))</f>
        <v>22</v>
      </c>
      <c r="V171" s="1">
        <v>61</v>
      </c>
      <c r="W171" s="132">
        <f>VLOOKUP($B171&amp;"__wt",'SegEnds_Xtal_BW#'!$A:$Z,23,FALSE)</f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 t="e">
        <f>VLOOKUP(A171,'SegEnds_NonXtal_Prot#'!A:AL,22,FALSE)-VLOOKUP(A171,'SegEnds_NonXtal_Prot#'!A:AL,19,FALSE)</f>
        <v>#VALUE!</v>
      </c>
      <c r="AG171" s="1">
        <f>VLOOKUP(A171,'SegEnds_NonXtal_Prot#'!A:AL,28,FALSE)-VLOOKUP(A171,'SegEnds_NonXtal_Prot#'!A:AL,25,FALSE)</f>
        <v>25</v>
      </c>
      <c r="AH171" s="1">
        <f>VLOOKUP(A171,'SegEnds_NonXtal_Prot#'!A:AL,28,FALSE)-VLOOKUP(A171,'SegEnds_NonXtal_Prot#'!A:AL,22,FALSE)</f>
        <v>60</v>
      </c>
      <c r="AI171" s="1">
        <f>VLOOKUP(A171,'SegEnds_NonXtal_Prot#'!A:AL,31,FALSE)-VLOOKUP(A171,'SegEnds_NonXtal_Prot#'!A:AL,28,FALSE)</f>
        <v>55</v>
      </c>
      <c r="AJ171" s="1">
        <f>VLOOKUP(A171,'SegEnds_NonXtal_Prot#'!A:AL,34,FALSE)-VLOOKUP(A171,'SegEnds_NonXtal_Prot#'!A:AL,31,FALSE)</f>
        <v>39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Xtal</v>
      </c>
    </row>
    <row r="172" spans="1:38" x14ac:dyDescent="0.2">
      <c r="A172" s="1" t="s">
        <v>329</v>
      </c>
      <c r="B172" s="1" t="str">
        <f>VLOOKUP(A172,Xtal_Templ!A:B,2,FALSE)</f>
        <v>npy1r_human</v>
      </c>
      <c r="C172" s="5">
        <f>VLOOKUP($B172&amp;"__wt",'SegEnds_Xtal_BW#'!$A:$Z,3,FALSE)</f>
        <v>28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68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 t="str">
        <f>VLOOKUP($B172&amp;"__wt",'SegEnds_Xtal_BW#'!$A:$Z,13,FALSE)</f>
        <v>-</v>
      </c>
      <c r="N172" s="12" t="str">
        <f>VLOOKUP($B172&amp;"__wt",'SegEnds_Xtal_BW#'!$A:$Z,14,FALSE)</f>
        <v>-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31</v>
      </c>
      <c r="T172" s="1">
        <f t="array" ref="T172">INDEX(ICL3_classA!$G$2:$G$37,MATCH(MIN(ABS(AI172-ICL3_classA!$F$2:$F$37)),ABS(AI172-ICL3_classA!$F$2:$F$37),0))</f>
        <v>73</v>
      </c>
      <c r="U172" s="1">
        <f t="array" ref="U172">INDEX(ICL3_classA!$H$2:$H$37,MATCH(MIN(ABS(AI172-ICL3_classA!$F$2:$F$37)),ABS(AI172-ICL3_classA!$F$2:$F$37),0))</f>
        <v>22</v>
      </c>
      <c r="V172" s="1">
        <v>61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29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 t="e">
        <f>VLOOKUP(A172,'SegEnds_NonXtal_Prot#'!A:AL,22,FALSE)-VLOOKUP(A172,'SegEnds_NonXtal_Prot#'!A:AL,19,FALSE)</f>
        <v>#VALUE!</v>
      </c>
      <c r="AG172" s="1" t="e">
        <f>VLOOKUP(A172,'SegEnds_NonXtal_Prot#'!A:AL,28,FALSE)-VLOOKUP(A172,'SegEnds_NonXtal_Prot#'!A:AL,25,FALSE)</f>
        <v>#VALUE!</v>
      </c>
      <c r="AH172" s="1">
        <f>VLOOKUP(A172,'SegEnds_NonXtal_Prot#'!A:AL,28,FALSE)-VLOOKUP(A172,'SegEnds_NonXtal_Prot#'!A:AL,22,FALSE)</f>
        <v>62</v>
      </c>
      <c r="AI172" s="1">
        <f>VLOOKUP(A172,'SegEnds_NonXtal_Prot#'!A:AL,31,FALSE)-VLOOKUP(A172,'SegEnds_NonXtal_Prot#'!A:AL,28,FALSE)</f>
        <v>55</v>
      </c>
      <c r="AJ172" s="1" t="e">
        <f>VLOOKUP(A172,'SegEnds_NonXtal_Prot#'!A:AL,34,FALSE)-VLOOKUP(A172,'SegEnds_NonXtal_Prot#'!A:AL,31,FALSE)</f>
        <v>#VALUE!</v>
      </c>
      <c r="AK172" s="1" t="e">
        <f>VLOOKUP(A172,'SegEnds_NonXtal_Prot#'!A:AL,37,FALSE)-VLOOKUP(A172,'SegEnds_NonXtal_Prot#'!A:AL,34,FALSE)</f>
        <v>#VALUE!</v>
      </c>
      <c r="AL172" s="1" t="str">
        <f>IF(ISERROR(MATCH(A172,'SegEnds_Xtal_Prot#'!B:B, 0)), "NoXtal", "Xtal")</f>
        <v>NoXtal</v>
      </c>
    </row>
    <row r="173" spans="1:38" x14ac:dyDescent="0.2">
      <c r="A173" s="1" t="s">
        <v>367</v>
      </c>
      <c r="B173" s="1" t="str">
        <f>VLOOKUP(A173,Xtal_Templ!A:B,2,FALSE)</f>
        <v>ox1r_human</v>
      </c>
      <c r="C173" s="5">
        <f>VLOOKUP($B173&amp;"__wt",'SegEnds_Xtal_BW#'!$A:$Z,3,FALSE)</f>
        <v>32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08" t="s">
        <v>23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INDEX(ICL3_classA!$G$2:$G$37,MATCH(MIN(ABS(AI173-ICL3_classA!$F$2:$F$37)),ABS(AI173-ICL3_classA!$F$2:$F$37),0))</f>
        <v>73</v>
      </c>
      <c r="U173" s="1">
        <f t="array" ref="U173">INDEX(ICL3_classA!$H$2:$H$37,MATCH(MIN(ABS(AI173-ICL3_classA!$F$2:$F$37)),ABS(AI173-ICL3_classA!$F$2:$F$37),0))</f>
        <v>22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22</v>
      </c>
      <c r="AE173" s="1">
        <f>VLOOKUP(A173,'SegEnds_NonXtal_Prot#'!A:AL,16,FALSE)-VLOOKUP(A173,'SegEnds_NonXtal_Prot#'!A:AL,10,FALSE)</f>
        <v>54</v>
      </c>
      <c r="AF173" s="1" t="e">
        <f>VLOOKUP(A173,'SegEnds_NonXtal_Prot#'!A:AL,22,FALSE)-VLOOKUP(A173,'SegEnds_NonXtal_Prot#'!A:AL,19,FALSE)</f>
        <v>#VALUE!</v>
      </c>
      <c r="AG173" s="1">
        <f>VLOOKUP(A173,'SegEnds_NonXtal_Prot#'!A:AL,28,FALSE)-VLOOKUP(A173,'SegEnds_NonXtal_Prot#'!A:AL,25,FALSE)</f>
        <v>27</v>
      </c>
      <c r="AH173" s="1">
        <f>VLOOKUP(A173,'SegEnds_NonXtal_Prot#'!A:AL,28,FALSE)-VLOOKUP(A173,'SegEnds_NonXtal_Prot#'!A:AL,22,FALSE)</f>
        <v>57</v>
      </c>
      <c r="AI173" s="1">
        <f>VLOOKUP(A173,'SegEnds_NonXtal_Prot#'!A:AL,31,FALSE)-VLOOKUP(A173,'SegEnds_NonXtal_Prot#'!A:AL,28,FALSE)</f>
        <v>55</v>
      </c>
      <c r="AJ173" s="1">
        <f>VLOOKUP(A173,'SegEnds_NonXtal_Prot#'!A:AL,34,FALSE)-VLOOKUP(A173,'SegEnds_NonXtal_Prot#'!A:AL,31,FALSE)</f>
        <v>40</v>
      </c>
      <c r="AK173" s="1">
        <f>VLOOKUP(A173,'SegEnds_NonXtal_Prot#'!A:AL,37,FALSE)-VLOOKUP(A173,'SegEnds_NonXtal_Prot#'!A:AL,34,FALSE)</f>
        <v>11</v>
      </c>
      <c r="AL173" s="1" t="str">
        <f>IF(ISERROR(MATCH(A173,'SegEnds_Xtal_Prot#'!B:B, 0)), "NoXtal", "Xtal")</f>
        <v>NoXtal</v>
      </c>
    </row>
    <row r="174" spans="1:38" x14ac:dyDescent="0.2">
      <c r="A174" s="1" t="s">
        <v>368</v>
      </c>
      <c r="B174" s="1" t="str">
        <f>VLOOKUP(A174,Xtal_Templ!A:B,2,FALSE)</f>
        <v>ox2r_human</v>
      </c>
      <c r="C174" s="5">
        <f>VLOOKUP($B174&amp;"__wt",'SegEnds_Xtal_BW#'!$A:$Z,3,FALSE)</f>
        <v>31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68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08" t="s">
        <v>23</v>
      </c>
      <c r="O174" s="87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33</v>
      </c>
      <c r="T174" s="1">
        <f t="array" ref="T174">INDEX(ICL3_classA!$G$2:$G$37,MATCH(MIN(ABS(AI174-ICL3_classA!$F$2:$F$37)),ABS(AI174-ICL3_classA!$F$2:$F$37),0))</f>
        <v>73</v>
      </c>
      <c r="U174" s="1">
        <f t="array" ref="U174">INDEX(ICL3_classA!$H$2:$H$37,MATCH(MIN(ABS(AI174-ICL3_classA!$F$2:$F$37)),ABS(AI174-ICL3_classA!$F$2:$F$37),0))</f>
        <v>22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22</v>
      </c>
      <c r="AE174" s="1">
        <f>VLOOKUP(A174,'SegEnds_NonXtal_Prot#'!A:AL,16,FALSE)-VLOOKUP(A174,'SegEnds_NonXtal_Prot#'!A:AL,10,FALSE)</f>
        <v>54</v>
      </c>
      <c r="AF174" s="1" t="e">
        <f>VLOOKUP(A174,'SegEnds_NonXtal_Prot#'!A:AL,22,FALSE)-VLOOKUP(A174,'SegEnds_NonXtal_Prot#'!A:AL,19,FALSE)</f>
        <v>#VALUE!</v>
      </c>
      <c r="AG174" s="1">
        <f>VLOOKUP(A174,'SegEnds_NonXtal_Prot#'!A:AL,28,FALSE)-VLOOKUP(A174,'SegEnds_NonXtal_Prot#'!A:AL,25,FALSE)</f>
        <v>27</v>
      </c>
      <c r="AH174" s="1">
        <f>VLOOKUP(A174,'SegEnds_NonXtal_Prot#'!A:AL,28,FALSE)-VLOOKUP(A174,'SegEnds_NonXtal_Prot#'!A:AL,22,FALSE)</f>
        <v>57</v>
      </c>
      <c r="AI174" s="1">
        <f>VLOOKUP(A174,'SegEnds_NonXtal_Prot#'!A:AL,31,FALSE)-VLOOKUP(A174,'SegEnds_NonXtal_Prot#'!A:AL,28,FALSE)</f>
        <v>55</v>
      </c>
      <c r="AJ174" s="1">
        <f>VLOOKUP(A174,'SegEnds_NonXtal_Prot#'!A:AL,34,FALSE)-VLOOKUP(A174,'SegEnds_NonXtal_Prot#'!A:AL,31,FALSE)</f>
        <v>40</v>
      </c>
      <c r="AK174" s="1">
        <f>VLOOKUP(A174,'SegEnds_NonXtal_Prot#'!A:AL,37,FALSE)-VLOOKUP(A174,'SegEnds_NonXtal_Prot#'!A:AL,34,FALSE)</f>
        <v>11</v>
      </c>
      <c r="AL174" s="1" t="str">
        <f>IF(ISERROR(MATCH(A174,'SegEnds_Xtal_Prot#'!B:B, 0)), "NoXtal", "Xtal")</f>
        <v>NoXtal</v>
      </c>
    </row>
    <row r="175" spans="1:38" x14ac:dyDescent="0.2">
      <c r="A175" s="1" t="s">
        <v>141</v>
      </c>
      <c r="B175" s="1" t="str">
        <f>VLOOKUP(A175,Xtal_Templ!A:B,2,FALSE)</f>
        <v>aa1r_human</v>
      </c>
      <c r="C175" s="5">
        <f>VLOOKUP($B175&amp;"__wt",'SegEnds_Xtal_BW#'!$A:$Z,3,FALSE)</f>
        <v>29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08">
        <v>66</v>
      </c>
      <c r="I175" s="1">
        <f>VLOOKUP($B175&amp;"__wt",'SegEnds_Xtal_BW#'!$A:$Z,9,FALSE)</f>
        <v>50</v>
      </c>
      <c r="J175" s="1">
        <f>VLOOKUP($B175&amp;"__wt",'SegEnds_Xtal_BW#'!$A:$Z,10,FALSE)</f>
        <v>52</v>
      </c>
      <c r="K175" s="12">
        <v>24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7">
        <v>38</v>
      </c>
      <c r="P175" s="1">
        <f>VLOOKUP($B175&amp;"__wt",'SegEnds_Xtal_BW#'!$A:$Z,16,FALSE)</f>
        <v>63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34</v>
      </c>
      <c r="T175" s="1">
        <f t="array" ref="T175">INDEX(ICL3_classA!$G$2:$G$37,MATCH(MIN(ABS(AI175-ICL3_classA!$F$2:$F$37)),ABS(AI175-ICL3_classA!$F$2:$F$37),0))</f>
        <v>73</v>
      </c>
      <c r="U175" s="1">
        <f t="array" ref="U175">INDEX(ICL3_classA!$H$2:$H$37,MATCH(MIN(ABS(AI175-ICL3_classA!$F$2:$F$37)),ABS(AI175-ICL3_classA!$F$2:$F$37),0))</f>
        <v>22</v>
      </c>
      <c r="V175" s="1">
        <v>61</v>
      </c>
      <c r="W175" s="1">
        <v>32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69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18</v>
      </c>
      <c r="AE175" s="1">
        <f>VLOOKUP(A175,'SegEnds_NonXtal_Prot#'!A:AL,16,FALSE)-VLOOKUP(A175,'SegEnds_NonXtal_Prot#'!A:AL,10,FALSE)</f>
        <v>50</v>
      </c>
      <c r="AF175" s="1">
        <f>VLOOKUP(A175,'SegEnds_NonXtal_Prot#'!A:AL,22,FALSE)-VLOOKUP(A175,'SegEnds_NonXtal_Prot#'!A:AL,19,FALSE)</f>
        <v>20</v>
      </c>
      <c r="AG175" s="1">
        <f>VLOOKUP(A175,'SegEnds_NonXtal_Prot#'!A:AL,28,FALSE)-VLOOKUP(A175,'SegEnds_NonXtal_Prot#'!A:AL,25,FALSE)</f>
        <v>23</v>
      </c>
      <c r="AH175" s="1">
        <f>VLOOKUP(A175,'SegEnds_NonXtal_Prot#'!A:AL,28,FALSE)-VLOOKUP(A175,'SegEnds_NonXtal_Prot#'!A:AL,22,FALSE)</f>
        <v>54</v>
      </c>
      <c r="AI175" s="1">
        <f>VLOOKUP(A175,'SegEnds_NonXtal_Prot#'!A:AL,31,FALSE)-VLOOKUP(A175,'SegEnds_NonXtal_Prot#'!A:AL,28,FALSE)</f>
        <v>56</v>
      </c>
      <c r="AJ175" s="1">
        <f>VLOOKUP(A175,'SegEnds_NonXtal_Prot#'!A:AL,34,FALSE)-VLOOKUP(A175,'SegEnds_NonXtal_Prot#'!A:AL,31,FALSE)</f>
        <v>34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4" t="s">
        <v>242</v>
      </c>
      <c r="B176" s="4" t="str">
        <f>VLOOKUP(A176,Xtal_Templ!A:B,2,FALSE)</f>
        <v>ox2r_human</v>
      </c>
      <c r="C176" s="5">
        <f>VLOOKUP($B176&amp;"__wt",'SegEnds_Xtal_BW#'!$A:$Z,3,FALSE)</f>
        <v>31</v>
      </c>
      <c r="D176" s="4">
        <f>VLOOKUP($B176&amp;"__wt",'SegEnds_Xtal_BW#'!$A:$Z,4,FALSE)</f>
        <v>60</v>
      </c>
      <c r="E176" s="4">
        <f>VLOOKUP($B176&amp;"__wt",'SegEnds_Xtal_BW#'!$A:$Z,5,FALSE)</f>
        <v>48</v>
      </c>
      <c r="F176" s="4">
        <f>VLOOKUP($B176&amp;"__wt",'SegEnds_Xtal_BW#'!$A:$Z,6,FALSE)</f>
        <v>51</v>
      </c>
      <c r="G176" s="4">
        <v>37</v>
      </c>
      <c r="H176" s="12">
        <f>VLOOKUP($B176&amp;"__wt",'SegEnds_Xtal_BW#'!$A:$Z,8,FALSE)</f>
        <v>68</v>
      </c>
      <c r="I176" s="4">
        <f>VLOOKUP($B176&amp;"__wt",'SegEnds_Xtal_BW#'!$A:$Z,9,FALSE)</f>
        <v>49</v>
      </c>
      <c r="J176" s="4">
        <f>VLOOKUP($B176&amp;"__wt",'SegEnds_Xtal_BW#'!$A:$Z,10,FALSE)</f>
        <v>52</v>
      </c>
      <c r="K176" s="11">
        <v>18</v>
      </c>
      <c r="L176" s="4">
        <f>VLOOKUP($B176&amp;"__wt",'SegEnds_Xtal_BW#'!$A:$Z,12,FALSE)</f>
        <v>56</v>
      </c>
      <c r="M176" s="4">
        <f>VLOOKUP($B176&amp;"__wt",'SegEnds_Xtal_BW#'!$A:$Z,13,FALSE)</f>
        <v>50</v>
      </c>
      <c r="N176" s="11">
        <v>53</v>
      </c>
      <c r="O176" s="87">
        <f>VLOOKUP($B176&amp;"__wt",'SegEnds_Xtal_BW#'!$A:$Z,15,FALSE)</f>
        <v>38</v>
      </c>
      <c r="P176" s="4">
        <f>VLOOKUP($B176&amp;"__wt",'SegEnds_Xtal_BW#'!$A:$Z,16,FALSE)</f>
        <v>64</v>
      </c>
      <c r="Q176" s="4">
        <f>VLOOKUP($B176&amp;"__wt",'SegEnds_Xtal_BW#'!$A:$Z,17,FALSE)</f>
        <v>50</v>
      </c>
      <c r="R176" s="4">
        <f>VLOOKUP($B176&amp;"__wt",'SegEnds_Xtal_BW#'!$A:$Z,18,FALSE)</f>
        <v>52</v>
      </c>
      <c r="S176" s="4">
        <f>VLOOKUP($B176&amp;"__wt",'SegEnds_Xtal_BW#'!$A:$Z,19,FALSE)</f>
        <v>33</v>
      </c>
      <c r="T176" s="4">
        <f t="array" ref="T176">INDEX(ICL3_classA!$G$2:$G$37,MATCH(MIN(ABS(AI176-ICL3_classA!$F$2:$F$37)),ABS(AI176-ICL3_classA!$F$2:$F$37),0))</f>
        <v>73</v>
      </c>
      <c r="U176" s="4">
        <f t="array" ref="U176">INDEX(ICL3_classA!$H$2:$H$37,MATCH(MIN(ABS(AI176-ICL3_classA!$F$2:$F$37)),ABS(AI176-ICL3_classA!$F$2:$F$37),0))</f>
        <v>22</v>
      </c>
      <c r="V176" s="4">
        <v>61</v>
      </c>
      <c r="W176" s="4">
        <v>31</v>
      </c>
      <c r="X176" s="4">
        <f>VLOOKUP($B176&amp;"__wt",'SegEnds_Xtal_BW#'!$A:$Z,24,FALSE)</f>
        <v>56</v>
      </c>
      <c r="Y176" s="4">
        <f>VLOOKUP($B176&amp;"__wt",'SegEnds_Xtal_BW#'!$A:$Z,25,FALSE)</f>
        <v>47</v>
      </c>
      <c r="Z176" s="4">
        <f>VLOOKUP($B176&amp;"__wt",'SegEnds_Xtal_BW#'!$A:$Z,26,FALSE)</f>
        <v>58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4">
        <f>VLOOKUP(A176,'SegEnds_NonXtal_Prot#'!A:AL,10,FALSE)-VLOOKUP(A176,'SegEnds_NonXtal_Prot#'!A:AL,7,FALSE)</f>
        <v>15</v>
      </c>
      <c r="AD176" s="4">
        <f>VLOOKUP(A176,'SegEnds_NonXtal_Prot#'!A:AL,13,FALSE)-VLOOKUP(A176,'SegEnds_NonXtal_Prot#'!A:AL,10,FALSE)</f>
        <v>20</v>
      </c>
      <c r="AE176" s="4">
        <f>VLOOKUP(A176,'SegEnds_NonXtal_Prot#'!A:AL,16,FALSE)-VLOOKUP(A176,'SegEnds_NonXtal_Prot#'!A:AL,10,FALSE)</f>
        <v>52</v>
      </c>
      <c r="AF176" s="1">
        <f>VLOOKUP(A176,'SegEnds_NonXtal_Prot#'!A:AL,22,FALSE)-VLOOKUP(A176,'SegEnds_NonXtal_Prot#'!A:AL,19,FALSE)</f>
        <v>18</v>
      </c>
      <c r="AG176" s="4">
        <f>VLOOKUP(A176,'SegEnds_NonXtal_Prot#'!A:AL,28,FALSE)-VLOOKUP(A176,'SegEnds_NonXtal_Prot#'!A:AL,25,FALSE)</f>
        <v>25</v>
      </c>
      <c r="AH176" s="1">
        <f>VLOOKUP(A176,'SegEnds_NonXtal_Prot#'!A:AL,28,FALSE)-VLOOKUP(A176,'SegEnds_NonXtal_Prot#'!A:AL,22,FALSE)</f>
        <v>47</v>
      </c>
      <c r="AI176" s="4">
        <f>VLOOKUP(A176,'SegEnds_NonXtal_Prot#'!A:AL,31,FALSE)-VLOOKUP(A176,'SegEnds_NonXtal_Prot#'!A:AL,28,FALSE)</f>
        <v>56</v>
      </c>
      <c r="AJ176" s="4">
        <f>VLOOKUP(A176,'SegEnds_NonXtal_Prot#'!A:AL,34,FALSE)-VLOOKUP(A176,'SegEnds_NonXtal_Prot#'!A:AL,31,FALSE)</f>
        <v>36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269</v>
      </c>
      <c r="B177" s="1" t="str">
        <f>VLOOKUP(A177,Xtal_Templ!A:B,2,FALSE)</f>
        <v>ox2r_human</v>
      </c>
      <c r="C177" s="5">
        <f>VLOOKUP($B177&amp;"__wt",'SegEnds_Xtal_BW#'!$A:$Z,3,FALSE)</f>
        <v>31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68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56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33</v>
      </c>
      <c r="T177" s="1">
        <f t="array" ref="T177">INDEX(ICL3_classA!$G$2:$G$37,MATCH(MIN(ABS(AI177-ICL3_classA!$F$2:$F$37)),ABS(AI177-ICL3_classA!$F$2:$F$37),0))</f>
        <v>73</v>
      </c>
      <c r="U177" s="1">
        <f t="array" ref="U177">INDEX(ICL3_classA!$H$2:$H$37,MATCH(MIN(ABS(AI177-ICL3_classA!$F$2:$F$37)),ABS(AI177-ICL3_classA!$F$2:$F$37),0))</f>
        <v>22</v>
      </c>
      <c r="V177" s="1">
        <v>61</v>
      </c>
      <c r="W177" s="1">
        <v>31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58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 t="e">
        <f>VLOOKUP(A177,'SegEnds_NonXtal_Prot#'!A:AL,22,FALSE)-VLOOKUP(A177,'SegEnds_NonXtal_Prot#'!A:AL,19,FALSE)</f>
        <v>#VALUE!</v>
      </c>
      <c r="AG177" s="1">
        <f>VLOOKUP(A177,'SegEnds_NonXtal_Prot#'!A:AL,28,FALSE)-VLOOKUP(A177,'SegEnds_NonXtal_Prot#'!A:AL,25,FALSE)</f>
        <v>27</v>
      </c>
      <c r="AH177" s="1">
        <f>VLOOKUP(A177,'SegEnds_NonXtal_Prot#'!A:AL,28,FALSE)-VLOOKUP(A177,'SegEnds_NonXtal_Prot#'!A:AL,22,FALSE)</f>
        <v>57</v>
      </c>
      <c r="AI177" s="1">
        <f>VLOOKUP(A177,'SegEnds_NonXtal_Prot#'!A:AL,31,FALSE)-VLOOKUP(A177,'SegEnds_NonXtal_Prot#'!A:AL,28,FALSE)</f>
        <v>56</v>
      </c>
      <c r="AJ177" s="1">
        <f>VLOOKUP(A177,'SegEnds_NonXtal_Prot#'!A:AL,34,FALSE)-VLOOKUP(A177,'SegEnds_NonXtal_Prot#'!A:AL,31,FALSE)</f>
        <v>35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103</v>
      </c>
      <c r="B178" s="1" t="str">
        <f>VLOOKUP(A178,Xtal_Templ!A:B,2,FALSE)</f>
        <v>lpar1_human</v>
      </c>
      <c r="C178" s="5">
        <f>VLOOKUP($B178&amp;"__wt",'SegEnds_Xtal_BW#'!$A:$Z,3,FALSE)</f>
        <v>30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v>63</v>
      </c>
      <c r="I178" s="1">
        <f>VLOOKUP($B178&amp;"__wt",'SegEnds_Xtal_BW#'!$A:$Z,9,FALSE)</f>
        <v>47</v>
      </c>
      <c r="J178" s="1">
        <f>VLOOKUP($B178&amp;"__wt",'SegEnds_Xtal_BW#'!$A:$Z,10,FALSE)</f>
        <v>53</v>
      </c>
      <c r="K178" s="12">
        <f>VLOOKUP($B178&amp;"__wt",'SegEnds_Xtal_BW#'!$A:$Z,11,FALSE)</f>
        <v>21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7">
        <f>VLOOKUP($B178&amp;"__wt",'SegEnds_Xtal_BW#'!$A:$Z,15,FALSE)</f>
        <v>38</v>
      </c>
      <c r="P178" s="1">
        <f>VLOOKUP($B178&amp;"__wt",'SegEnds_Xtal_BW#'!$A:$Z,16,FALSE)</f>
        <v>63</v>
      </c>
      <c r="Q178" s="1" t="str">
        <f>VLOOKUP($B178&amp;"__wt",'SegEnds_Xtal_BW#'!$A:$Z,17,FALSE)</f>
        <v>-</v>
      </c>
      <c r="R178" s="1" t="str">
        <f>VLOOKUP($B178&amp;"__wt",'SegEnds_Xtal_BW#'!$A:$Z,18,FALSE)</f>
        <v>-</v>
      </c>
      <c r="S178" s="1">
        <f>VLOOKUP($B178&amp;"__wt",'SegEnds_Xtal_BW#'!$A:$Z,19,FALSE)</f>
        <v>36</v>
      </c>
      <c r="T178" s="1">
        <f t="array" ref="T178">INDEX(ICL3_classA!$G$2:$G$37,MATCH(MIN(ABS(AI178-ICL3_classA!$F$2:$F$37)),ABS(AI178-ICL3_classA!$F$2:$F$37),0))</f>
        <v>73</v>
      </c>
      <c r="U178" s="1">
        <f t="array" ref="U178">INDEX(ICL3_classA!$H$2:$H$37,MATCH(MIN(ABS(AI178-ICL3_classA!$F$2:$F$37)),ABS(AI178-ICL3_classA!$F$2:$F$37),0))</f>
        <v>22</v>
      </c>
      <c r="V178" s="1">
        <v>61</v>
      </c>
      <c r="W178" s="1">
        <v>30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>
        <f>VLOOKUP(A178,'SegEnds_NonXtal_Prot#'!A:AL,13,FALSE)-VLOOKUP(A178,'SegEnds_NonXtal_Prot#'!A:AL,10,FALSE)</f>
        <v>18</v>
      </c>
      <c r="AE178" s="1">
        <f>VLOOKUP(A178,'SegEnds_NonXtal_Prot#'!A:AL,16,FALSE)-VLOOKUP(A178,'SegEnds_NonXtal_Prot#'!A:AL,10,FALSE)</f>
        <v>51</v>
      </c>
      <c r="AF178" s="1">
        <f>VLOOKUP(A178,'SegEnds_NonXtal_Prot#'!A:AL,22,FALSE)-VLOOKUP(A178,'SegEnds_NonXtal_Prot#'!A:AL,19,FALSE)</f>
        <v>19</v>
      </c>
      <c r="AG178" s="1" t="e">
        <f>VLOOKUP(A178,'SegEnds_NonXtal_Prot#'!A:AL,28,FALSE)-VLOOKUP(A178,'SegEnds_NonXtal_Prot#'!A:AL,25,FALSE)</f>
        <v>#VALUE!</v>
      </c>
      <c r="AH178" s="1">
        <f>VLOOKUP(A178,'SegEnds_NonXtal_Prot#'!A:AL,28,FALSE)-VLOOKUP(A178,'SegEnds_NonXtal_Prot#'!A:AL,22,FALSE)</f>
        <v>45</v>
      </c>
      <c r="AI178" s="1">
        <f>VLOOKUP(A178,'SegEnds_NonXtal_Prot#'!A:AL,31,FALSE)-VLOOKUP(A178,'SegEnds_NonXtal_Prot#'!A:AL,28,FALSE)</f>
        <v>56</v>
      </c>
      <c r="AJ178" s="1">
        <f>VLOOKUP(A178,'SegEnds_NonXtal_Prot#'!A:AL,34,FALSE)-VLOOKUP(A178,'SegEnds_NonXtal_Prot#'!A:AL,31,FALSE)</f>
        <v>35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Xtal</v>
      </c>
    </row>
    <row r="179" spans="1:38" x14ac:dyDescent="0.2">
      <c r="A179" s="1" t="s">
        <v>286</v>
      </c>
      <c r="B179" s="1" t="str">
        <f>VLOOKUP(A179,Xtal_Templ!A:B,2,FALSE)</f>
        <v>lpar1_human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63</v>
      </c>
      <c r="I179" s="1">
        <f>VLOOKUP($B179&amp;"__wt",'SegEnds_Xtal_BW#'!$A:$Z,9,FALSE)</f>
        <v>47</v>
      </c>
      <c r="J179" s="1">
        <f>VLOOKUP($B179&amp;"__wt",'SegEnds_Xtal_BW#'!$A:$Z,10,FALSE)</f>
        <v>53</v>
      </c>
      <c r="K179" s="12"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08">
        <v>56</v>
      </c>
      <c r="O179" s="87">
        <f>VLOOKUP($B179&amp;"__wt",'SegEnds_Xtal_BW#'!$A:$Z,15,FALSE)</f>
        <v>38</v>
      </c>
      <c r="P179" s="1">
        <f>VLOOKUP($B179&amp;"__wt",'SegEnds_Xtal_BW#'!$A:$Z,16,FALSE)</f>
        <v>63</v>
      </c>
      <c r="Q179" s="1" t="str">
        <f>VLOOKUP($B179&amp;"__wt",'SegEnds_Xtal_BW#'!$A:$Z,17,FALSE)</f>
        <v>-</v>
      </c>
      <c r="R179" s="1" t="str">
        <f>VLOOKUP($B179&amp;"__wt",'SegEnds_Xtal_BW#'!$A:$Z,18,FALSE)</f>
        <v>-</v>
      </c>
      <c r="S179" s="1">
        <f>VLOOKUP($B179&amp;"__wt",'SegEnds_Xtal_BW#'!$A:$Z,19,FALSE)</f>
        <v>36</v>
      </c>
      <c r="T179" s="1">
        <f t="array" ref="T179">INDEX(ICL3_classA!$G$2:$G$37,MATCH(MIN(ABS(AI179-ICL3_classA!$F$2:$F$37)),ABS(AI179-ICL3_classA!$F$2:$F$37),0))</f>
        <v>73</v>
      </c>
      <c r="U179" s="1">
        <f t="array" ref="U179">INDEX(ICL3_classA!$H$2:$H$37,MATCH(MIN(ABS(AI179-ICL3_classA!$F$2:$F$37)),ABS(AI179-ICL3_classA!$F$2:$F$37),0))</f>
        <v>22</v>
      </c>
      <c r="V179" s="1">
        <v>61</v>
      </c>
      <c r="W179" s="1">
        <v>30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">
        <f>VLOOKUP(A179,'SegEnds_NonXtal_Prot#'!A:AL,10,FALSE)-VLOOKUP(A179,'SegEnds_NonXtal_Prot#'!A:AL,7,FALSE)</f>
        <v>15</v>
      </c>
      <c r="AD179" s="1">
        <f>VLOOKUP(A179,'SegEnds_NonXtal_Prot#'!A:AL,13,FALSE)-VLOOKUP(A179,'SegEnds_NonXtal_Prot#'!A:AL,10,FALSE)</f>
        <v>18</v>
      </c>
      <c r="AE179" s="1">
        <f>VLOOKUP(A179,'SegEnds_NonXtal_Prot#'!A:AL,16,FALSE)-VLOOKUP(A179,'SegEnds_NonXtal_Prot#'!A:AL,10,FALSE)</f>
        <v>51</v>
      </c>
      <c r="AF179" s="1">
        <f>VLOOKUP(A179,'SegEnds_NonXtal_Prot#'!A:AL,22,FALSE)-VLOOKUP(A179,'SegEnds_NonXtal_Prot#'!A:AL,19,FALSE)</f>
        <v>19</v>
      </c>
      <c r="AG179" s="1" t="e">
        <f>VLOOKUP(A179,'SegEnds_NonXtal_Prot#'!A:AL,28,FALSE)-VLOOKUP(A179,'SegEnds_NonXtal_Prot#'!A:AL,25,FALSE)</f>
        <v>#VALUE!</v>
      </c>
      <c r="AH179" s="1">
        <f>VLOOKUP(A179,'SegEnds_NonXtal_Prot#'!A:AL,28,FALSE)-VLOOKUP(A179,'SegEnds_NonXtal_Prot#'!A:AL,22,FALSE)</f>
        <v>45</v>
      </c>
      <c r="AI179" s="1">
        <f>VLOOKUP(A179,'SegEnds_NonXtal_Prot#'!A:AL,31,FALSE)-VLOOKUP(A179,'SegEnds_NonXtal_Prot#'!A:AL,28,FALSE)</f>
        <v>56</v>
      </c>
      <c r="AJ179" s="1">
        <f>VLOOKUP(A179,'SegEnds_NonXtal_Prot#'!A:AL,34,FALSE)-VLOOKUP(A179,'SegEnds_NonXtal_Prot#'!A:AL,31,FALSE)</f>
        <v>36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287</v>
      </c>
      <c r="B180" s="1" t="str">
        <f>VLOOKUP(A180,Xtal_Templ!A:B,2,FALSE)</f>
        <v>lpar1_human</v>
      </c>
      <c r="C180" s="5">
        <f>VLOOKUP($B180&amp;"__wt",'SegEnds_Xtal_BW#'!$A:$Z,3,FALSE)</f>
        <v>30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63</v>
      </c>
      <c r="I180" s="1">
        <f>VLOOKUP($B180&amp;"__wt",'SegEnds_Xtal_BW#'!$A:$Z,9,FALSE)</f>
        <v>47</v>
      </c>
      <c r="J180" s="1">
        <f>VLOOKUP($B180&amp;"__wt",'SegEnds_Xtal_BW#'!$A:$Z,10,FALSE)</f>
        <v>53</v>
      </c>
      <c r="K180" s="12"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08">
        <v>56</v>
      </c>
      <c r="O180" s="87">
        <f>VLOOKUP($B180&amp;"__wt",'SegEnds_Xtal_BW#'!$A:$Z,15,FALSE)</f>
        <v>38</v>
      </c>
      <c r="P180" s="1">
        <f>VLOOKUP($B180&amp;"__wt",'SegEnds_Xtal_BW#'!$A:$Z,16,FALSE)</f>
        <v>63</v>
      </c>
      <c r="Q180" s="1" t="str">
        <f>VLOOKUP($B180&amp;"__wt",'SegEnds_Xtal_BW#'!$A:$Z,17,FALSE)</f>
        <v>-</v>
      </c>
      <c r="R180" s="1" t="str">
        <f>VLOOKUP($B180&amp;"__wt",'SegEnds_Xtal_BW#'!$A:$Z,18,FALSE)</f>
        <v>-</v>
      </c>
      <c r="S180" s="1">
        <f>VLOOKUP($B180&amp;"__wt",'SegEnds_Xtal_BW#'!$A:$Z,19,FALSE)</f>
        <v>36</v>
      </c>
      <c r="T180" s="1">
        <f t="array" ref="T180">INDEX(ICL3_classA!$G$2:$G$37,MATCH(MIN(ABS(AI180-ICL3_classA!$F$2:$F$37)),ABS(AI180-ICL3_classA!$F$2:$F$37),0))</f>
        <v>73</v>
      </c>
      <c r="U180" s="1">
        <f t="array" ref="U180">INDEX(ICL3_classA!$H$2:$H$37,MATCH(MIN(ABS(AI180-ICL3_classA!$F$2:$F$37)),ABS(AI180-ICL3_classA!$F$2:$F$37),0))</f>
        <v>22</v>
      </c>
      <c r="V180" s="1">
        <v>61</v>
      </c>
      <c r="W180" s="1">
        <v>30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59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>
        <f>VLOOKUP(A180,'SegEnds_NonXtal_Prot#'!A:AL,10,FALSE)-VLOOKUP(A180,'SegEnds_NonXtal_Prot#'!A:AL,7,FALSE)</f>
        <v>15</v>
      </c>
      <c r="AD180" s="1">
        <f>VLOOKUP(A180,'SegEnds_NonXtal_Prot#'!A:AL,13,FALSE)-VLOOKUP(A180,'SegEnds_NonXtal_Prot#'!A:AL,10,FALSE)</f>
        <v>18</v>
      </c>
      <c r="AE180" s="1">
        <f>VLOOKUP(A180,'SegEnds_NonXtal_Prot#'!A:AL,16,FALSE)-VLOOKUP(A180,'SegEnds_NonXtal_Prot#'!A:AL,10,FALSE)</f>
        <v>51</v>
      </c>
      <c r="AF180" s="1">
        <f>VLOOKUP(A180,'SegEnds_NonXtal_Prot#'!A:AL,22,FALSE)-VLOOKUP(A180,'SegEnds_NonXtal_Prot#'!A:AL,19,FALSE)</f>
        <v>19</v>
      </c>
      <c r="AG180" s="1" t="e">
        <f>VLOOKUP(A180,'SegEnds_NonXtal_Prot#'!A:AL,28,FALSE)-VLOOKUP(A180,'SegEnds_NonXtal_Prot#'!A:AL,25,FALSE)</f>
        <v>#VALUE!</v>
      </c>
      <c r="AH180" s="1">
        <f>VLOOKUP(A180,'SegEnds_NonXtal_Prot#'!A:AL,28,FALSE)-VLOOKUP(A180,'SegEnds_NonXtal_Prot#'!A:AL,22,FALSE)</f>
        <v>45</v>
      </c>
      <c r="AI180" s="1">
        <f>VLOOKUP(A180,'SegEnds_NonXtal_Prot#'!A:AL,31,FALSE)-VLOOKUP(A180,'SegEnds_NonXtal_Prot#'!A:AL,28,FALSE)</f>
        <v>56</v>
      </c>
      <c r="AJ180" s="1">
        <f>VLOOKUP(A180,'SegEnds_NonXtal_Prot#'!A:AL,34,FALSE)-VLOOKUP(A180,'SegEnds_NonXtal_Prot#'!A:AL,31,FALSE)</f>
        <v>36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315</v>
      </c>
      <c r="B181" s="1" t="str">
        <f>VLOOKUP(A181,Xtal_Templ!A:B,2,FALSE)</f>
        <v>nk1r_human</v>
      </c>
      <c r="C181" s="5">
        <f>VLOOKUP($B181&amp;"__wt",'SegEnds_Xtal_BW#'!$A:$Z,3,FALSE)</f>
        <v>28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68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18</v>
      </c>
      <c r="L181" s="1">
        <f>VLOOKUP($B181&amp;"__wt",'SegEnds_Xtal_BW#'!$A:$Z,12,FALSE)</f>
        <v>56</v>
      </c>
      <c r="M181" s="1" t="str">
        <f>VLOOKUP($B181&amp;"__wt",'SegEnds_Xtal_BW#'!$A:$Z,13,FALSE)</f>
        <v>-</v>
      </c>
      <c r="N181" s="12">
        <v>56</v>
      </c>
      <c r="O181" s="87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30</v>
      </c>
      <c r="T181" s="1">
        <f t="array" ref="T181">INDEX(ICL3_classA!$G$2:$G$37,MATCH(MIN(ABS(AI181-ICL3_classA!$F$2:$F$37)),ABS(AI181-ICL3_classA!$F$2:$F$37),0))</f>
        <v>73</v>
      </c>
      <c r="U181" s="1">
        <f t="array" ref="U181">INDEX(ICL3_classA!$H$2:$H$37,MATCH(MIN(ABS(AI181-ICL3_classA!$F$2:$F$37)),ABS(AI181-ICL3_classA!$F$2:$F$37),0))</f>
        <v>22</v>
      </c>
      <c r="V181" s="1">
        <v>61</v>
      </c>
      <c r="W181" s="132">
        <f>VLOOKUP($B181&amp;"__wt",'SegEnds_Xtal_BW#'!$A:$Z,23,FALSE)</f>
        <v>30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58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>
        <f>VLOOKUP(A181,'SegEnds_NonXtal_Prot#'!A:AL,10,FALSE)-VLOOKUP(A181,'SegEnds_NonXtal_Prot#'!A:AL,7,FALSE)</f>
        <v>15</v>
      </c>
      <c r="AD181" s="1">
        <f>VLOOKUP(A181,'SegEnds_NonXtal_Prot#'!A:AL,13,FALSE)-VLOOKUP(A181,'SegEnds_NonXtal_Prot#'!A:AL,10,FALSE)</f>
        <v>20</v>
      </c>
      <c r="AE181" s="1">
        <f>VLOOKUP(A181,'SegEnds_NonXtal_Prot#'!A:AL,16,FALSE)-VLOOKUP(A181,'SegEnds_NonXtal_Prot#'!A:AL,10,FALSE)</f>
        <v>52</v>
      </c>
      <c r="AF181" s="1" t="e">
        <f>VLOOKUP(A181,'SegEnds_NonXtal_Prot#'!A:AL,22,FALSE)-VLOOKUP(A181,'SegEnds_NonXtal_Prot#'!A:AL,19,FALSE)</f>
        <v>#VALUE!</v>
      </c>
      <c r="AG181" s="1">
        <f>VLOOKUP(A181,'SegEnds_NonXtal_Prot#'!A:AL,28,FALSE)-VLOOKUP(A181,'SegEnds_NonXtal_Prot#'!A:AL,25,FALSE)</f>
        <v>28</v>
      </c>
      <c r="AH181" s="1">
        <f>VLOOKUP(A181,'SegEnds_NonXtal_Prot#'!A:AL,28,FALSE)-VLOOKUP(A181,'SegEnds_NonXtal_Prot#'!A:AL,22,FALSE)</f>
        <v>53</v>
      </c>
      <c r="AI181" s="1">
        <f>VLOOKUP(A181,'SegEnds_NonXtal_Prot#'!A:AL,31,FALSE)-VLOOKUP(A181,'SegEnds_NonXtal_Prot#'!A:AL,28,FALSE)</f>
        <v>56</v>
      </c>
      <c r="AJ181" s="1">
        <f>VLOOKUP(A181,'SegEnds_NonXtal_Prot#'!A:AL,34,FALSE)-VLOOKUP(A181,'SegEnds_NonXtal_Prot#'!A:AL,31,FALSE)</f>
        <v>39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332</v>
      </c>
      <c r="B182" s="1" t="str">
        <f>VLOOKUP(A182,Xtal_Templ!A:B,2,FALSE)</f>
        <v>opsd_bovin</v>
      </c>
      <c r="C182" s="5">
        <f>VLOOKUP($B182&amp;"__wt",'SegEnds_Xtal_BW#'!$A:$Z,3,FALSE)</f>
        <v>28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f>VLOOKUP($B182&amp;"__wt",'SegEnds_Xtal_BW#'!$A:$Z,14,FALSE)</f>
        <v>56</v>
      </c>
      <c r="O182" s="87">
        <f>VLOOKUP($B182&amp;"__wt",'SegEnds_Xtal_BW#'!$A:$Z,15,FALSE)</f>
        <v>38</v>
      </c>
      <c r="P182" s="1">
        <f>VLOOKUP($B182&amp;"__wt",'SegEnds_Xtal_BW#'!$A:$Z,16,FALSE)</f>
        <v>62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34</v>
      </c>
      <c r="T182" s="1">
        <f t="array" ref="T182">INDEX(ICL3_classA!$G$2:$G$37,MATCH(MIN(ABS(AI182-ICL3_classA!$F$2:$F$37)),ABS(AI182-ICL3_classA!$F$2:$F$37),0))</f>
        <v>73</v>
      </c>
      <c r="U182" s="1">
        <f t="array" ref="U182">INDEX(ICL3_classA!$H$2:$H$37,MATCH(MIN(ABS(AI182-ICL3_classA!$F$2:$F$37)),ABS(AI182-ICL3_classA!$F$2:$F$37),0))</f>
        <v>22</v>
      </c>
      <c r="V182" s="1">
        <v>61</v>
      </c>
      <c r="W182" s="1">
        <v>31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59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1">
        <f>VLOOKUP(A182,'SegEnds_NonXtal_Prot#'!A:AL,10,FALSE)-VLOOKUP(A182,'SegEnds_NonXtal_Prot#'!A:AL,7,FALSE)</f>
        <v>15</v>
      </c>
      <c r="AD182" s="1">
        <f>VLOOKUP(A182,'SegEnds_NonXtal_Prot#'!A:AL,13,FALSE)-VLOOKUP(A182,'SegEnds_NonXtal_Prot#'!A:AL,10,FALSE)</f>
        <v>20</v>
      </c>
      <c r="AE182" s="1">
        <f>VLOOKUP(A182,'SegEnds_NonXtal_Prot#'!A:AL,16,FALSE)-VLOOKUP(A182,'SegEnds_NonXtal_Prot#'!A:AL,10,FALSE)</f>
        <v>52</v>
      </c>
      <c r="AF182" s="1" t="e">
        <f>VLOOKUP(A182,'SegEnds_NonXtal_Prot#'!A:AL,22,FALSE)-VLOOKUP(A182,'SegEnds_NonXtal_Prot#'!A:AL,19,FALSE)</f>
        <v>#VALUE!</v>
      </c>
      <c r="AG182" s="1">
        <f>VLOOKUP(A182,'SegEnds_NonXtal_Prot#'!A:AL,28,FALSE)-VLOOKUP(A182,'SegEnds_NonXtal_Prot#'!A:AL,25,FALSE)</f>
        <v>26</v>
      </c>
      <c r="AH182" s="1">
        <f>VLOOKUP(A182,'SegEnds_NonXtal_Prot#'!A:AL,28,FALSE)-VLOOKUP(A182,'SegEnds_NonXtal_Prot#'!A:AL,22,FALSE)</f>
        <v>52</v>
      </c>
      <c r="AI182" s="1">
        <f>VLOOKUP(A182,'SegEnds_NonXtal_Prot#'!A:AL,31,FALSE)-VLOOKUP(A182,'SegEnds_NonXtal_Prot#'!A:AL,28,FALSE)</f>
        <v>56</v>
      </c>
      <c r="AJ182" s="1">
        <f>VLOOKUP(A182,'SegEnds_NonXtal_Prot#'!A:AL,34,FALSE)-VLOOKUP(A182,'SegEnds_NonXtal_Prot#'!A:AL,31,FALSE)</f>
        <v>36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334</v>
      </c>
      <c r="B183" s="1" t="str">
        <f>VLOOKUP(A183,Xtal_Templ!A:B,2,FALSE)</f>
        <v>opsd_bovin</v>
      </c>
      <c r="C183" s="5">
        <f>VLOOKUP($B183&amp;"__wt",'SegEnds_Xtal_BW#'!$A:$Z,3,FALSE)</f>
        <v>28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08">
        <v>56</v>
      </c>
      <c r="O183" s="87">
        <f>VLOOKUP($B183&amp;"__wt",'SegEnds_Xtal_BW#'!$A:$Z,15,FALSE)</f>
        <v>38</v>
      </c>
      <c r="P183" s="1">
        <f>VLOOKUP($B183&amp;"__wt",'SegEnds_Xtal_BW#'!$A:$Z,16,FALSE)</f>
        <v>62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34</v>
      </c>
      <c r="T183" s="1">
        <f t="array" ref="T183">INDEX(ICL3_classA!$G$2:$G$37,MATCH(MIN(ABS(AI183-ICL3_classA!$F$2:$F$37)),ABS(AI183-ICL3_classA!$F$2:$F$37),0))</f>
        <v>73</v>
      </c>
      <c r="U183" s="1">
        <f t="array" ref="U183">INDEX(ICL3_classA!$H$2:$H$37,MATCH(MIN(ABS(AI183-ICL3_classA!$F$2:$F$37)),ABS(AI183-ICL3_classA!$F$2:$F$37),0))</f>
        <v>22</v>
      </c>
      <c r="V183" s="1">
        <v>61</v>
      </c>
      <c r="W183" s="1">
        <v>31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28</v>
      </c>
      <c r="AC183" s="1">
        <f>VLOOKUP(A183,'SegEnds_NonXtal_Prot#'!A:AL,10,FALSE)-VLOOKUP(A183,'SegEnds_NonXtal_Prot#'!A:AL,7,FALSE)</f>
        <v>14</v>
      </c>
      <c r="AD183" s="1">
        <f>VLOOKUP(A183,'SegEnds_NonXtal_Prot#'!A:AL,13,FALSE)-VLOOKUP(A183,'SegEnds_NonXtal_Prot#'!A:AL,10,FALSE)</f>
        <v>20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19</v>
      </c>
      <c r="AG183" s="1">
        <f>VLOOKUP(A183,'SegEnds_NonXtal_Prot#'!A:AL,28,FALSE)-VLOOKUP(A183,'SegEnds_NonXtal_Prot#'!A:AL,25,FALSE)</f>
        <v>28</v>
      </c>
      <c r="AH183" s="1">
        <f>VLOOKUP(A183,'SegEnds_NonXtal_Prot#'!A:AL,28,FALSE)-VLOOKUP(A183,'SegEnds_NonXtal_Prot#'!A:AL,22,FALSE)</f>
        <v>54</v>
      </c>
      <c r="AI183" s="1">
        <f>VLOOKUP(A183,'SegEnds_NonXtal_Prot#'!A:AL,31,FALSE)-VLOOKUP(A183,'SegEnds_NonXtal_Prot#'!A:AL,28,FALSE)</f>
        <v>56</v>
      </c>
      <c r="AJ183" s="1">
        <f>VLOOKUP(A183,'SegEnds_NonXtal_Prot#'!A:AL,34,FALSE)-VLOOKUP(A183,'SegEnds_NonXtal_Prot#'!A:AL,31,FALSE)</f>
        <v>36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363</v>
      </c>
      <c r="B184" s="1" t="str">
        <f>VLOOKUP(A184,Xtal_Templ!A:B,2,FALSE)</f>
        <v>pe2r3_human</v>
      </c>
      <c r="C184" s="5">
        <f>VLOOKUP($B184&amp;"__wt",'SegEnds_Xtal_BW#'!$A:$Z,3,FALSE)</f>
        <v>36</v>
      </c>
      <c r="D184" s="1">
        <f>VLOOKUP($B184&amp;"__wt",'SegEnds_Xtal_BW#'!$A:$Z,4,FALSE)</f>
        <v>62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f>VLOOKUP($B184&amp;"__wt",'SegEnds_Xtal_BW#'!$A:$Z,8,FALSE)</f>
        <v>68</v>
      </c>
      <c r="I184" s="1">
        <v>49</v>
      </c>
      <c r="J184" s="1">
        <f>VLOOKUP($B184&amp;"__wt",'SegEnds_Xtal_BW#'!$A:$Z,10,FALSE)</f>
        <v>56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63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34</v>
      </c>
      <c r="T184" s="1">
        <f t="array" ref="T184">INDEX(ICL3_classA!$G$2:$G$37,MATCH(MIN(ABS(AI184-ICL3_classA!$F$2:$F$37)),ABS(AI184-ICL3_classA!$F$2:$F$37),0))</f>
        <v>73</v>
      </c>
      <c r="U184" s="1">
        <f t="array" ref="U184">INDEX(ICL3_classA!$H$2:$H$37,MATCH(MIN(ABS(AI184-ICL3_classA!$F$2:$F$37)),ABS(AI184-ICL3_classA!$F$2:$F$37),0))</f>
        <v>22</v>
      </c>
      <c r="V184" s="1">
        <v>64</v>
      </c>
      <c r="W184" s="1">
        <v>24</v>
      </c>
      <c r="X184" s="1">
        <f>VLOOKUP($B184&amp;"__wt",'SegEnds_Xtal_BW#'!$A:$Z,24,FALSE)</f>
        <v>53</v>
      </c>
      <c r="Y184" s="1">
        <f>VLOOKUP($B184&amp;"__wt",'SegEnds_Xtal_BW#'!$A:$Z,25,FALSE)</f>
        <v>44</v>
      </c>
      <c r="Z184" s="1">
        <f>VLOOKUP($B184&amp;"__wt",'SegEnds_Xtal_BW#'!$A:$Z,26,FALSE)</f>
        <v>66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33</v>
      </c>
      <c r="AC184" s="1" t="e">
        <f>VLOOKUP(A184,'SegEnds_NonXtal_Prot#'!A:AL,10,FALSE)-VLOOKUP(A184,'SegEnds_NonXtal_Prot#'!A:AL,7,FALSE)</f>
        <v>#VALUE!</v>
      </c>
      <c r="AD184" s="1">
        <f>VLOOKUP(A184,'SegEnds_NonXtal_Prot#'!A:AL,13,FALSE)-VLOOKUP(A184,'SegEnds_NonXtal_Prot#'!A:AL,10,FALSE)</f>
        <v>21</v>
      </c>
      <c r="AE184" s="1">
        <f>VLOOKUP(A184,'SegEnds_NonXtal_Prot#'!A:AL,16,FALSE)-VLOOKUP(A184,'SegEnds_NonXtal_Prot#'!A:AL,10,FALSE)</f>
        <v>56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33</v>
      </c>
      <c r="AH184" s="1">
        <f>VLOOKUP(A184,'SegEnds_NonXtal_Prot#'!A:AL,28,FALSE)-VLOOKUP(A184,'SegEnds_NonXtal_Prot#'!A:AL,22,FALSE)</f>
        <v>59</v>
      </c>
      <c r="AI184" s="1">
        <f>VLOOKUP(A184,'SegEnds_NonXtal_Prot#'!A:AL,31,FALSE)-VLOOKUP(A184,'SegEnds_NonXtal_Prot#'!A:AL,28,FALSE)</f>
        <v>56</v>
      </c>
      <c r="AJ184" s="1">
        <f>VLOOKUP(A184,'SegEnds_NonXtal_Prot#'!A:AL,34,FALSE)-VLOOKUP(A184,'SegEnds_NonXtal_Prot#'!A:AL,31,FALSE)</f>
        <v>46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Xtal</v>
      </c>
    </row>
    <row r="185" spans="1:38" x14ac:dyDescent="0.2">
      <c r="A185" s="4" t="s">
        <v>369</v>
      </c>
      <c r="B185" s="4" t="str">
        <f>VLOOKUP(A185,Xtal_Templ!A:B,2,FALSE)</f>
        <v>ox2r_human</v>
      </c>
      <c r="C185" s="5">
        <f>VLOOKUP($B185&amp;"__wt",'SegEnds_Xtal_BW#'!$A:$Z,3,FALSE)</f>
        <v>31</v>
      </c>
      <c r="D185" s="4">
        <f>VLOOKUP($B185&amp;"__wt",'SegEnds_Xtal_BW#'!$A:$Z,4,FALSE)</f>
        <v>60</v>
      </c>
      <c r="E185" s="4">
        <f>VLOOKUP($B185&amp;"__wt",'SegEnds_Xtal_BW#'!$A:$Z,5,FALSE)</f>
        <v>48</v>
      </c>
      <c r="F185" s="4">
        <f>VLOOKUP($B185&amp;"__wt",'SegEnds_Xtal_BW#'!$A:$Z,6,FALSE)</f>
        <v>51</v>
      </c>
      <c r="G185" s="4">
        <v>37</v>
      </c>
      <c r="H185" s="11">
        <f>VLOOKUP($B185&amp;"__wt",'SegEnds_Xtal_BW#'!$A:$Z,8,FALSE)</f>
        <v>68</v>
      </c>
      <c r="I185" s="4">
        <f>VLOOKUP($B185&amp;"__wt",'SegEnds_Xtal_BW#'!$A:$Z,9,FALSE)</f>
        <v>49</v>
      </c>
      <c r="J185" s="4">
        <f>VLOOKUP($B185&amp;"__wt",'SegEnds_Xtal_BW#'!$A:$Z,10,FALSE)</f>
        <v>52</v>
      </c>
      <c r="K185" s="11">
        <v>18</v>
      </c>
      <c r="L185" s="4">
        <f>VLOOKUP($B185&amp;"__wt",'SegEnds_Xtal_BW#'!$A:$Z,12,FALSE)</f>
        <v>56</v>
      </c>
      <c r="M185" s="4">
        <f>VLOOKUP($B185&amp;"__wt",'SegEnds_Xtal_BW#'!$A:$Z,13,FALSE)</f>
        <v>50</v>
      </c>
      <c r="N185" s="11">
        <v>53</v>
      </c>
      <c r="O185" s="87">
        <f>VLOOKUP($B185&amp;"__wt",'SegEnds_Xtal_BW#'!$A:$Z,15,FALSE)</f>
        <v>38</v>
      </c>
      <c r="P185" s="4">
        <f>VLOOKUP($B185&amp;"__wt",'SegEnds_Xtal_BW#'!$A:$Z,16,FALSE)</f>
        <v>64</v>
      </c>
      <c r="Q185" s="4">
        <f>VLOOKUP($B185&amp;"__wt",'SegEnds_Xtal_BW#'!$A:$Z,17,FALSE)</f>
        <v>50</v>
      </c>
      <c r="R185" s="4">
        <f>VLOOKUP($B185&amp;"__wt",'SegEnds_Xtal_BW#'!$A:$Z,18,FALSE)</f>
        <v>52</v>
      </c>
      <c r="S185" s="4">
        <f>VLOOKUP($B185&amp;"__wt",'SegEnds_Xtal_BW#'!$A:$Z,19,FALSE)</f>
        <v>33</v>
      </c>
      <c r="T185" s="4">
        <f t="array" ref="T185">INDEX(ICL3_classA!$G$2:$G$37,MATCH(MIN(ABS(AI185-ICL3_classA!$F$2:$F$37)),ABS(AI185-ICL3_classA!$F$2:$F$37),0))</f>
        <v>73</v>
      </c>
      <c r="U185" s="4">
        <f t="array" ref="U185">INDEX(ICL3_classA!$H$2:$H$37,MATCH(MIN(ABS(AI185-ICL3_classA!$F$2:$F$37)),ABS(AI185-ICL3_classA!$F$2:$F$37),0))</f>
        <v>22</v>
      </c>
      <c r="V185" s="4">
        <v>61</v>
      </c>
      <c r="W185" s="132">
        <f>VLOOKUP($B185&amp;"__wt",'SegEnds_Xtal_BW#'!$A:$Z,23,FALSE)</f>
        <v>27</v>
      </c>
      <c r="X185" s="4">
        <f>VLOOKUP($B185&amp;"__wt",'SegEnds_Xtal_BW#'!$A:$Z,24,FALSE)</f>
        <v>56</v>
      </c>
      <c r="Y185" s="4">
        <f>VLOOKUP($B185&amp;"__wt",'SegEnds_Xtal_BW#'!$A:$Z,25,FALSE)</f>
        <v>47</v>
      </c>
      <c r="Z185" s="4">
        <f>VLOOKUP($B185&amp;"__wt",'SegEnds_Xtal_BW#'!$A:$Z,26,FALSE)</f>
        <v>58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4">
        <f>VLOOKUP(A185,'SegEnds_NonXtal_Prot#'!A:AL,10,FALSE)-VLOOKUP(A185,'SegEnds_NonXtal_Prot#'!A:AL,7,FALSE)</f>
        <v>15</v>
      </c>
      <c r="AD185" s="4">
        <f>VLOOKUP(A185,'SegEnds_NonXtal_Prot#'!A:AL,13,FALSE)-VLOOKUP(A185,'SegEnds_NonXtal_Prot#'!A:AL,10,FALSE)</f>
        <v>21</v>
      </c>
      <c r="AE185" s="4">
        <f>VLOOKUP(A185,'SegEnds_NonXtal_Prot#'!A:AL,16,FALSE)-VLOOKUP(A185,'SegEnds_NonXtal_Prot#'!A:AL,10,FALSE)</f>
        <v>53</v>
      </c>
      <c r="AF185" s="1">
        <f>VLOOKUP(A185,'SegEnds_NonXtal_Prot#'!A:AL,22,FALSE)-VLOOKUP(A185,'SegEnds_NonXtal_Prot#'!A:AL,19,FALSE)</f>
        <v>18</v>
      </c>
      <c r="AG185" s="4">
        <f>VLOOKUP(A185,'SegEnds_NonXtal_Prot#'!A:AL,28,FALSE)-VLOOKUP(A185,'SegEnds_NonXtal_Prot#'!A:AL,25,FALSE)</f>
        <v>26</v>
      </c>
      <c r="AH185" s="1">
        <f>VLOOKUP(A185,'SegEnds_NonXtal_Prot#'!A:AL,28,FALSE)-VLOOKUP(A185,'SegEnds_NonXtal_Prot#'!A:AL,22,FALSE)</f>
        <v>53</v>
      </c>
      <c r="AI185" s="4">
        <f>VLOOKUP(A185,'SegEnds_NonXtal_Prot#'!A:AL,31,FALSE)-VLOOKUP(A185,'SegEnds_NonXtal_Prot#'!A:AL,28,FALSE)</f>
        <v>56</v>
      </c>
      <c r="AJ185" s="4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388</v>
      </c>
      <c r="B186" s="1" t="str">
        <f>VLOOKUP(A186,Xtal_Templ!A:B,2,FALSE)</f>
        <v>drd2_human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62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INDEX(ICL3_classA!$G$2:$G$37,MATCH(MIN(ABS(AI186-ICL3_classA!$F$2:$F$37)),ABS(AI186-ICL3_classA!$F$2:$F$37),0))</f>
        <v>73</v>
      </c>
      <c r="U186" s="1">
        <f t="array" ref="U186">INDEX(ICL3_classA!$H$2:$H$37,MATCH(MIN(ABS(AI186-ICL3_classA!$F$2:$F$37)),ABS(AI186-ICL3_classA!$F$2:$F$37),0))</f>
        <v>22</v>
      </c>
      <c r="V186" s="1">
        <v>61</v>
      </c>
      <c r="W186" s="1">
        <v>31</v>
      </c>
      <c r="X186" s="108">
        <v>56</v>
      </c>
      <c r="Y186" s="1">
        <f>VLOOKUP($B186&amp;"__wt",'SegEnds_Xtal_BW#'!$A:$Z,25,FALSE)</f>
        <v>47</v>
      </c>
      <c r="Z186" s="1">
        <f>VLOOKUP($B186&amp;"__wt",'SegEnds_Xtal_BW#'!$A:$Z,26,FALSE)</f>
        <v>59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20</v>
      </c>
      <c r="AH186" s="1">
        <f>VLOOKUP(A186,'SegEnds_NonXtal_Prot#'!A:AL,28,FALSE)-VLOOKUP(A186,'SegEnds_NonXtal_Prot#'!A:AL,22,FALSE)</f>
        <v>53</v>
      </c>
      <c r="AI186" s="1">
        <f>VLOOKUP(A186,'SegEnds_NonXtal_Prot#'!A:AL,31,FALSE)-VLOOKUP(A186,'SegEnds_NonXtal_Prot#'!A:AL,28,FALSE)</f>
        <v>56</v>
      </c>
      <c r="AJ186" s="1">
        <f>VLOOKUP(A186,'SegEnds_NonXtal_Prot#'!A:AL,34,FALSE)-VLOOKUP(A186,'SegEnds_NonXtal_Prot#'!A:AL,31,FALSE)</f>
        <v>35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390</v>
      </c>
      <c r="B187" s="1" t="str">
        <f>VLOOKUP(A187,Xtal_Templ!A:B,2,FALSE)</f>
        <v>5ht1b_human</v>
      </c>
      <c r="C187" s="5">
        <f>VLOOKUP($B187&amp;"__wt",'SegEnds_Xtal_BW#'!$A:$Z,3,FALSE)</f>
        <v>28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63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v>35</v>
      </c>
      <c r="T187" s="1">
        <f t="array" ref="T187">INDEX(ICL3_classA!$G$2:$G$37,MATCH(MIN(ABS(AI187-ICL3_classA!$F$2:$F$37)),ABS(AI187-ICL3_classA!$F$2:$F$37),0))</f>
        <v>73</v>
      </c>
      <c r="U187" s="1">
        <f t="array" ref="U187">INDEX(ICL3_classA!$H$2:$H$37,MATCH(MIN(ABS(AI187-ICL3_classA!$F$2:$F$37)),ABS(AI187-ICL3_classA!$F$2:$F$37),0))</f>
        <v>22</v>
      </c>
      <c r="V187" s="1">
        <v>61</v>
      </c>
      <c r="W187" s="1"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58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19</v>
      </c>
      <c r="AH187" s="1">
        <f>VLOOKUP(A187,'SegEnds_NonXtal_Prot#'!A:AL,28,FALSE)-VLOOKUP(A187,'SegEnds_NonXtal_Prot#'!A:AL,22,FALSE)</f>
        <v>52</v>
      </c>
      <c r="AI187" s="1">
        <f>VLOOKUP(A187,'SegEnds_NonXtal_Prot#'!A:AL,31,FALSE)-VLOOKUP(A187,'SegEnds_NonXtal_Prot#'!A:AL,28,FALSE)</f>
        <v>56</v>
      </c>
      <c r="AJ187" s="1">
        <f>VLOOKUP(A187,'SegEnds_NonXtal_Prot#'!A:AL,34,FALSE)-VLOOKUP(A187,'SegEnds_NonXtal_Prot#'!A:AL,31,FALSE)</f>
        <v>35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138</v>
      </c>
      <c r="B188" s="1" t="str">
        <f>VLOOKUP(A188,Xtal_Templ!A:B,2,FALSE)</f>
        <v>aa1r_human</v>
      </c>
      <c r="C188" s="5">
        <f>VLOOKUP($B188&amp;"__wt",'SegEnds_Xtal_BW#'!$A:$Z,3,FALSE)</f>
        <v>29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v>66</v>
      </c>
      <c r="I188" s="1">
        <f>VLOOKUP($B188&amp;"__wt",'SegEnds_Xtal_BW#'!$A:$Z,9,FALSE)</f>
        <v>50</v>
      </c>
      <c r="J188" s="1">
        <f>VLOOKUP($B188&amp;"__wt",'SegEnds_Xtal_BW#'!$A:$Z,10,FALSE)</f>
        <v>52</v>
      </c>
      <c r="K188" s="12">
        <v>24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v>38</v>
      </c>
      <c r="P188" s="1">
        <f>VLOOKUP($B188&amp;"__wt",'SegEnds_Xtal_BW#'!$A:$Z,16,FALSE)</f>
        <v>63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34</v>
      </c>
      <c r="T188" s="1">
        <f t="array" ref="T188">INDEX(ICL3_classA!$G$2:$G$37,MATCH(MIN(ABS(AI188-ICL3_classA!$F$2:$F$37)),ABS(AI188-ICL3_classA!$F$2:$F$37),0))</f>
        <v>73</v>
      </c>
      <c r="U188" s="1">
        <f t="array" ref="U188">INDEX(ICL3_classA!$H$2:$H$37,MATCH(MIN(ABS(AI188-ICL3_classA!$F$2:$F$37)),ABS(AI188-ICL3_classA!$F$2:$F$37),0))</f>
        <v>22</v>
      </c>
      <c r="V188" s="1">
        <v>61</v>
      </c>
      <c r="W188" s="1">
        <v>31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69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18</v>
      </c>
      <c r="AE188" s="1">
        <f>VLOOKUP(A188,'SegEnds_NonXtal_Prot#'!A:AL,16,FALSE)-VLOOKUP(A188,'SegEnds_NonXtal_Prot#'!A:AL,10,FALSE)</f>
        <v>50</v>
      </c>
      <c r="AF188" s="1">
        <f>VLOOKUP(A188,'SegEnds_NonXtal_Prot#'!A:AL,22,FALSE)-VLOOKUP(A188,'SegEnds_NonXtal_Prot#'!A:AL,19,FALSE)</f>
        <v>20</v>
      </c>
      <c r="AG188" s="1">
        <f>VLOOKUP(A188,'SegEnds_NonXtal_Prot#'!A:AL,28,FALSE)-VLOOKUP(A188,'SegEnds_NonXtal_Prot#'!A:AL,25,FALSE)</f>
        <v>23</v>
      </c>
      <c r="AH188" s="1">
        <f>VLOOKUP(A188,'SegEnds_NonXtal_Prot#'!A:AL,28,FALSE)-VLOOKUP(A188,'SegEnds_NonXtal_Prot#'!A:AL,22,FALSE)</f>
        <v>60</v>
      </c>
      <c r="AI188" s="1">
        <f>VLOOKUP(A188,'SegEnds_NonXtal_Prot#'!A:AL,31,FALSE)-VLOOKUP(A188,'SegEnds_NonXtal_Prot#'!A:AL,28,FALSE)</f>
        <v>57</v>
      </c>
      <c r="AJ188" s="1">
        <f>VLOOKUP(A188,'SegEnds_NonXtal_Prot#'!A:AL,34,FALSE)-VLOOKUP(A188,'SegEnds_NonXtal_Prot#'!A:AL,31,FALSE)</f>
        <v>36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Xtal</v>
      </c>
    </row>
    <row r="189" spans="1:38" x14ac:dyDescent="0.2">
      <c r="A189" s="1" t="s">
        <v>163</v>
      </c>
      <c r="B189" s="1" t="str">
        <f>VLOOKUP(A189,Xtal_Templ!A:B,2,FALSE)</f>
        <v>ednrb_human</v>
      </c>
      <c r="C189" s="5">
        <f>VLOOKUP($B189&amp;"__wt",'SegEnds_Xtal_BW#'!$A:$Z,3,FALSE)</f>
        <v>22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52</v>
      </c>
      <c r="G189" s="1">
        <v>37</v>
      </c>
      <c r="H189" s="12">
        <f>VLOOKUP($B189&amp;"__wt",'SegEnds_Xtal_BW#'!$A:$Z,8,FALSE)</f>
        <v>67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28</v>
      </c>
      <c r="T189" s="1">
        <f t="array" ref="T189">INDEX(ICL3_classA!$G$2:$G$37,MATCH(MIN(ABS(AI189-ICL3_classA!$F$2:$F$37)),ABS(AI189-ICL3_classA!$F$2:$F$37),0))</f>
        <v>73</v>
      </c>
      <c r="U189" s="1">
        <f t="array" ref="U189">INDEX(ICL3_classA!$H$2:$H$37,MATCH(MIN(ABS(AI189-ICL3_classA!$F$2:$F$37)),ABS(AI189-ICL3_classA!$F$2:$F$37),0))</f>
        <v>22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60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26</v>
      </c>
      <c r="AH189" s="1">
        <f>VLOOKUP(A189,'SegEnds_NonXtal_Prot#'!A:AL,28,FALSE)-VLOOKUP(A189,'SegEnds_NonXtal_Prot#'!A:AL,22,FALSE)</f>
        <v>57</v>
      </c>
      <c r="AI189" s="1">
        <f>VLOOKUP(A189,'SegEnds_NonXtal_Prot#'!A:AL,31,FALSE)-VLOOKUP(A189,'SegEnds_NonXtal_Prot#'!A:AL,28,FALSE)</f>
        <v>57</v>
      </c>
      <c r="AJ189" s="1">
        <f>VLOOKUP(A189,'SegEnds_NonXtal_Prot#'!A:AL,34,FALSE)-VLOOKUP(A189,'SegEnds_NonXtal_Prot#'!A:AL,31,FALSE)</f>
        <v>41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215</v>
      </c>
      <c r="B190" s="1" t="str">
        <f>VLOOKUP(A190,Xtal_Templ!A:B,2,FALSE)</f>
        <v>mtr1a_human</v>
      </c>
      <c r="C190" s="5">
        <f>VLOOKUP($B190&amp;"__wt",'SegEnds_Xtal_BW#'!$A:$Z,3,FALSE)</f>
        <v>28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68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56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35</v>
      </c>
      <c r="T190" s="1">
        <f t="array" ref="T190">INDEX(ICL3_classA!$G$2:$G$37,MATCH(MIN(ABS(AI190-ICL3_classA!$F$2:$F$37)),ABS(AI190-ICL3_classA!$F$2:$F$37),0))</f>
        <v>73</v>
      </c>
      <c r="U190" s="1">
        <f t="array" ref="U190">INDEX(ICL3_classA!$H$2:$H$37,MATCH(MIN(ABS(AI190-ICL3_classA!$F$2:$F$37)),ABS(AI190-ICL3_classA!$F$2:$F$37),0))</f>
        <v>22</v>
      </c>
      <c r="V190" s="1">
        <v>61</v>
      </c>
      <c r="W190" s="132">
        <f>VLOOKUP($B190&amp;"__wt",'SegEnds_Xtal_BW#'!$A:$Z,23,FALSE)</f>
        <v>31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63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 t="e">
        <f>VLOOKUP(A190,'SegEnds_NonXtal_Prot#'!A:AL,13,FALSE)-VLOOKUP(A190,'SegEnds_NonXtal_Prot#'!A:AL,10,FALSE)</f>
        <v>#VALUE!</v>
      </c>
      <c r="AE190" s="1">
        <f>VLOOKUP(A190,'SegEnds_NonXtal_Prot#'!A:AL,16,FALSE)-VLOOKUP(A190,'SegEnds_NonXtal_Prot#'!A:AL,10,FALSE)</f>
        <v>60</v>
      </c>
      <c r="AF190" s="1" t="e">
        <f>VLOOKUP(A190,'SegEnds_NonXtal_Prot#'!A:AL,22,FALSE)-VLOOKUP(A190,'SegEnds_NonXtal_Prot#'!A:AL,19,FALSE)</f>
        <v>#VALUE!</v>
      </c>
      <c r="AG190" s="1">
        <f>VLOOKUP(A190,'SegEnds_NonXtal_Prot#'!A:AL,28,FALSE)-VLOOKUP(A190,'SegEnds_NonXtal_Prot#'!A:AL,25,FALSE)</f>
        <v>27</v>
      </c>
      <c r="AH190" s="1">
        <f>VLOOKUP(A190,'SegEnds_NonXtal_Prot#'!A:AL,28,FALSE)-VLOOKUP(A190,'SegEnds_NonXtal_Prot#'!A:AL,22,FALSE)</f>
        <v>55</v>
      </c>
      <c r="AI190" s="1">
        <f>VLOOKUP(A190,'SegEnds_NonXtal_Prot#'!A:AL,31,FALSE)-VLOOKUP(A190,'SegEnds_NonXtal_Prot#'!A:AL,28,FALSE)</f>
        <v>57</v>
      </c>
      <c r="AJ190" s="1">
        <f>VLOOKUP(A190,'SegEnds_NonXtal_Prot#'!A:AL,34,FALSE)-VLOOKUP(A190,'SegEnds_NonXtal_Prot#'!A:AL,31,FALSE)</f>
        <v>38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4" t="s">
        <v>238</v>
      </c>
      <c r="B191" s="4" t="str">
        <f>VLOOKUP(A191,Xtal_Templ!A:B,2,FALSE)</f>
        <v>lpar1_human</v>
      </c>
      <c r="C191" s="5">
        <f>VLOOKUP($B191&amp;"__wt",'SegEnds_Xtal_BW#'!$A:$Z,3,FALSE)</f>
        <v>30</v>
      </c>
      <c r="D191" s="4">
        <f>VLOOKUP($B191&amp;"__wt",'SegEnds_Xtal_BW#'!$A:$Z,4,FALSE)</f>
        <v>60</v>
      </c>
      <c r="E191" s="4">
        <f>VLOOKUP($B191&amp;"__wt",'SegEnds_Xtal_BW#'!$A:$Z,5,FALSE)</f>
        <v>48</v>
      </c>
      <c r="F191" s="4">
        <f>VLOOKUP($B191&amp;"__wt",'SegEnds_Xtal_BW#'!$A:$Z,6,FALSE)</f>
        <v>51</v>
      </c>
      <c r="G191" s="4">
        <v>37</v>
      </c>
      <c r="H191" s="11">
        <v>62</v>
      </c>
      <c r="I191" s="4">
        <v>48</v>
      </c>
      <c r="J191" s="4">
        <v>52</v>
      </c>
      <c r="K191" s="11">
        <v>24</v>
      </c>
      <c r="L191" s="4">
        <f>VLOOKUP($B191&amp;"__wt",'SegEnds_Xtal_BW#'!$A:$Z,12,FALSE)</f>
        <v>56</v>
      </c>
      <c r="M191" s="4">
        <f>VLOOKUP($B191&amp;"__wt",'SegEnds_Xtal_BW#'!$A:$Z,13,FALSE)</f>
        <v>50</v>
      </c>
      <c r="N191" s="11">
        <v>57</v>
      </c>
      <c r="O191" s="88">
        <v>38</v>
      </c>
      <c r="P191" s="4">
        <f>VLOOKUP($B191&amp;"__wt",'SegEnds_Xtal_BW#'!$A:$Z,16,FALSE)</f>
        <v>63</v>
      </c>
      <c r="Q191" s="4" t="str">
        <f>VLOOKUP($B191&amp;"__wt",'SegEnds_Xtal_BW#'!$A:$Z,17,FALSE)</f>
        <v>-</v>
      </c>
      <c r="R191" s="4" t="str">
        <f>VLOOKUP($B191&amp;"__wt",'SegEnds_Xtal_BW#'!$A:$Z,18,FALSE)</f>
        <v>-</v>
      </c>
      <c r="S191" s="4">
        <f>VLOOKUP($B191&amp;"__wt",'SegEnds_Xtal_BW#'!$A:$Z,19,FALSE)</f>
        <v>36</v>
      </c>
      <c r="T191" s="4">
        <f t="array" ref="T191">INDEX(ICL3_classA!$G$2:$G$37,MATCH(MIN(ABS(AI191-ICL3_classA!$F$2:$F$37)),ABS(AI191-ICL3_classA!$F$2:$F$37),0))</f>
        <v>73</v>
      </c>
      <c r="U191" s="4">
        <f t="array" ref="U191">INDEX(ICL3_classA!$H$2:$H$37,MATCH(MIN(ABS(AI191-ICL3_classA!$F$2:$F$37)),ABS(AI191-ICL3_classA!$F$2:$F$37),0))</f>
        <v>22</v>
      </c>
      <c r="V191" s="4">
        <v>61</v>
      </c>
      <c r="W191" s="4">
        <v>34</v>
      </c>
      <c r="X191" s="4">
        <f>VLOOKUP($B191&amp;"__wt",'SegEnds_Xtal_BW#'!$A:$Z,24,FALSE)</f>
        <v>56</v>
      </c>
      <c r="Y191" s="4">
        <f>VLOOKUP($B191&amp;"__wt",'SegEnds_Xtal_BW#'!$A:$Z,25,FALSE)</f>
        <v>47</v>
      </c>
      <c r="Z191" s="4">
        <f>VLOOKUP($B191&amp;"__wt",'SegEnds_Xtal_BW#'!$A:$Z,26,FALSE)</f>
        <v>59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4" t="e">
        <f>VLOOKUP(A191,'SegEnds_NonXtal_Prot#'!A:AL,10,FALSE)-VLOOKUP(A191,'SegEnds_NonXtal_Prot#'!A:AL,7,FALSE)</f>
        <v>#VALUE!</v>
      </c>
      <c r="AD191" s="4">
        <f>VLOOKUP(A191,'SegEnds_NonXtal_Prot#'!A:AL,13,FALSE)-VLOOKUP(A191,'SegEnds_NonXtal_Prot#'!A:AL,10,FALSE)</f>
        <v>15</v>
      </c>
      <c r="AE191" s="4">
        <f>VLOOKUP(A191,'SegEnds_NonXtal_Prot#'!A:AL,16,FALSE)-VLOOKUP(A191,'SegEnds_NonXtal_Prot#'!A:AL,10,FALSE)</f>
        <v>48</v>
      </c>
      <c r="AF191" s="1">
        <f>VLOOKUP(A191,'SegEnds_NonXtal_Prot#'!A:AL,22,FALSE)-VLOOKUP(A191,'SegEnds_NonXtal_Prot#'!A:AL,19,FALSE)</f>
        <v>20</v>
      </c>
      <c r="AG191" s="4" t="e">
        <f>VLOOKUP(A191,'SegEnds_NonXtal_Prot#'!A:AL,28,FALSE)-VLOOKUP(A191,'SegEnds_NonXtal_Prot#'!A:AL,25,FALSE)</f>
        <v>#VALUE!</v>
      </c>
      <c r="AH191" s="1">
        <f>VLOOKUP(A191,'SegEnds_NonXtal_Prot#'!A:AL,28,FALSE)-VLOOKUP(A191,'SegEnds_NonXtal_Prot#'!A:AL,22,FALSE)</f>
        <v>44</v>
      </c>
      <c r="AI191" s="4">
        <f>VLOOKUP(A191,'SegEnds_NonXtal_Prot#'!A:AL,31,FALSE)-VLOOKUP(A191,'SegEnds_NonXtal_Prot#'!A:AL,28,FALSE)</f>
        <v>57</v>
      </c>
      <c r="AJ191" s="4">
        <f>VLOOKUP(A191,'SegEnds_NonXtal_Prot#'!A:AL,34,FALSE)-VLOOKUP(A191,'SegEnds_NonXtal_Prot#'!A:AL,31,FALSE)</f>
        <v>32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249</v>
      </c>
      <c r="B192" s="1" t="str">
        <f>VLOOKUP(A192,Xtal_Templ!A:B,2,FALSE)</f>
        <v>lpar1_human</v>
      </c>
      <c r="C192" s="5">
        <f>VLOOKUP($B192&amp;"__wt",'SegEnds_Xtal_BW#'!$A:$Z,3,FALSE)</f>
        <v>30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v>62</v>
      </c>
      <c r="I192" s="1">
        <v>48</v>
      </c>
      <c r="J192" s="1">
        <v>52</v>
      </c>
      <c r="K192" s="12">
        <v>24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v>38</v>
      </c>
      <c r="P192" s="1">
        <f>VLOOKUP($B192&amp;"__wt",'SegEnds_Xtal_BW#'!$A:$Z,16,FALSE)</f>
        <v>63</v>
      </c>
      <c r="Q192" s="1" t="str">
        <f>VLOOKUP($B192&amp;"__wt",'SegEnds_Xtal_BW#'!$A:$Z,17,FALSE)</f>
        <v>-</v>
      </c>
      <c r="R192" s="1" t="str">
        <f>VLOOKUP($B192&amp;"__wt",'SegEnds_Xtal_BW#'!$A:$Z,18,FALSE)</f>
        <v>-</v>
      </c>
      <c r="S192" s="1">
        <f>VLOOKUP($B192&amp;"__wt",'SegEnds_Xtal_BW#'!$A:$Z,19,FALSE)</f>
        <v>36</v>
      </c>
      <c r="T192" s="1">
        <f t="array" ref="T192">INDEX(ICL3_classA!$G$2:$G$37,MATCH(MIN(ABS(AI192-ICL3_classA!$F$2:$F$37)),ABS(AI192-ICL3_classA!$F$2:$F$37),0))</f>
        <v>73</v>
      </c>
      <c r="U192" s="1">
        <f t="array" ref="U192">INDEX(ICL3_classA!$H$2:$H$37,MATCH(MIN(ABS(AI192-ICL3_classA!$F$2:$F$37)),ABS(AI192-ICL3_classA!$F$2:$F$37),0))</f>
        <v>22</v>
      </c>
      <c r="V192" s="1">
        <v>61</v>
      </c>
      <c r="W192" s="1">
        <v>34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59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15</v>
      </c>
      <c r="AE192" s="1">
        <f>VLOOKUP(A192,'SegEnds_NonXtal_Prot#'!A:AL,16,FALSE)-VLOOKUP(A192,'SegEnds_NonXtal_Prot#'!A:AL,10,FALSE)</f>
        <v>48</v>
      </c>
      <c r="AF192" s="1">
        <f>VLOOKUP(A192,'SegEnds_NonXtal_Prot#'!A:AL,22,FALSE)-VLOOKUP(A192,'SegEnds_NonXtal_Prot#'!A:AL,19,FALSE)</f>
        <v>20</v>
      </c>
      <c r="AG192" s="1" t="e">
        <f>VLOOKUP(A192,'SegEnds_NonXtal_Prot#'!A:AL,28,FALSE)-VLOOKUP(A192,'SegEnds_NonXtal_Prot#'!A:AL,25,FALSE)</f>
        <v>#VALUE!</v>
      </c>
      <c r="AH192" s="1">
        <f>VLOOKUP(A192,'SegEnds_NonXtal_Prot#'!A:AL,28,FALSE)-VLOOKUP(A192,'SegEnds_NonXtal_Prot#'!A:AL,22,FALSE)</f>
        <v>44</v>
      </c>
      <c r="AI192" s="1">
        <f>VLOOKUP(A192,'SegEnds_NonXtal_Prot#'!A:AL,31,FALSE)-VLOOKUP(A192,'SegEnds_NonXtal_Prot#'!A:AL,28,FALSE)</f>
        <v>57</v>
      </c>
      <c r="AJ192" s="1">
        <f>VLOOKUP(A192,'SegEnds_NonXtal_Prot#'!A:AL,34,FALSE)-VLOOKUP(A192,'SegEnds_NonXtal_Prot#'!A:AL,31,FALSE)</f>
        <v>32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262</v>
      </c>
      <c r="B193" s="1" t="str">
        <f>VLOOKUP(A193,Xtal_Templ!A:B,2,FALSE)</f>
        <v>s1pr1_human</v>
      </c>
      <c r="C193" s="5">
        <f>VLOOKUP($B193&amp;"__wt",'SegEnds_Xtal_BW#'!$A:$Z,3,FALSE)</f>
        <v>29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v>62</v>
      </c>
      <c r="I193" s="1">
        <v>48</v>
      </c>
      <c r="J193" s="1">
        <v>52</v>
      </c>
      <c r="K193" s="12">
        <v>24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v>38</v>
      </c>
      <c r="P193" s="1">
        <f>VLOOKUP($B193&amp;"__wt",'SegEnds_Xtal_BW#'!$A:$Z,16,FALSE)</f>
        <v>63</v>
      </c>
      <c r="Q193" s="1" t="str">
        <f>VLOOKUP($B193&amp;"__wt",'SegEnds_Xtal_BW#'!$A:$Z,17,FALSE)</f>
        <v>-</v>
      </c>
      <c r="R193" s="1" t="str">
        <f>VLOOKUP($B193&amp;"__wt",'SegEnds_Xtal_BW#'!$A:$Z,18,FALSE)</f>
        <v>-</v>
      </c>
      <c r="S193" s="1">
        <f>VLOOKUP($B193&amp;"__wt",'SegEnds_Xtal_BW#'!$A:$Z,19,FALSE)</f>
        <v>36</v>
      </c>
      <c r="T193" s="1">
        <f t="array" ref="T193">INDEX(ICL3_classA!$G$2:$G$37,MATCH(MIN(ABS(AI193-ICL3_classA!$F$2:$F$37)),ABS(AI193-ICL3_classA!$F$2:$F$37),0))</f>
        <v>73</v>
      </c>
      <c r="U193" s="1">
        <f t="array" ref="U193">INDEX(ICL3_classA!$H$2:$H$37,MATCH(MIN(ABS(AI193-ICL3_classA!$F$2:$F$37)),ABS(AI193-ICL3_classA!$F$2:$F$37),0))</f>
        <v>22</v>
      </c>
      <c r="V193" s="1">
        <v>61</v>
      </c>
      <c r="W193" s="1">
        <v>34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59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15</v>
      </c>
      <c r="AE193" s="1">
        <f>VLOOKUP(A193,'SegEnds_NonXtal_Prot#'!A:AL,16,FALSE)-VLOOKUP(A193,'SegEnds_NonXtal_Prot#'!A:AL,10,FALSE)</f>
        <v>48</v>
      </c>
      <c r="AF193" s="1">
        <f>VLOOKUP(A193,'SegEnds_NonXtal_Prot#'!A:AL,22,FALSE)-VLOOKUP(A193,'SegEnds_NonXtal_Prot#'!A:AL,19,FALSE)</f>
        <v>20</v>
      </c>
      <c r="AG193" s="1" t="e">
        <f>VLOOKUP(A193,'SegEnds_NonXtal_Prot#'!A:AL,28,FALSE)-VLOOKUP(A193,'SegEnds_NonXtal_Prot#'!A:AL,25,FALSE)</f>
        <v>#VALUE!</v>
      </c>
      <c r="AH193" s="1">
        <f>VLOOKUP(A193,'SegEnds_NonXtal_Prot#'!A:AL,28,FALSE)-VLOOKUP(A193,'SegEnds_NonXtal_Prot#'!A:AL,22,FALSE)</f>
        <v>44</v>
      </c>
      <c r="AI193" s="1">
        <f>VLOOKUP(A193,'SegEnds_NonXtal_Prot#'!A:AL,31,FALSE)-VLOOKUP(A193,'SegEnds_NonXtal_Prot#'!A:AL,28,FALSE)</f>
        <v>57</v>
      </c>
      <c r="AJ193" s="1">
        <f>VLOOKUP(A193,'SegEnds_NonXtal_Prot#'!A:AL,34,FALSE)-VLOOKUP(A193,'SegEnds_NonXtal_Prot#'!A:AL,31,FALSE)</f>
        <v>32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274</v>
      </c>
      <c r="B194" s="1" t="str">
        <f>VLOOKUP(A194,Xtal_Templ!A:B,2,FALSE)</f>
        <v>ednrb_human</v>
      </c>
      <c r="C194" s="5">
        <f>VLOOKUP($B194&amp;"__wt",'SegEnds_Xtal_BW#'!$A:$Z,3,FALSE)</f>
        <v>22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52</v>
      </c>
      <c r="G194" s="1">
        <v>37</v>
      </c>
      <c r="H194" s="12">
        <f>VLOOKUP($B194&amp;"__wt",'SegEnds_Xtal_BW#'!$A:$Z,8,FALSE)</f>
        <v>67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7"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28</v>
      </c>
      <c r="T194" s="1">
        <f t="array" ref="T194">INDEX(ICL3_classA!$G$2:$G$37,MATCH(MIN(ABS(AI194-ICL3_classA!$F$2:$F$37)),ABS(AI194-ICL3_classA!$F$2:$F$37),0))</f>
        <v>73</v>
      </c>
      <c r="U194" s="1">
        <f t="array" ref="U194">INDEX(ICL3_classA!$H$2:$H$37,MATCH(MIN(ABS(AI194-ICL3_classA!$F$2:$F$37)),ABS(AI194-ICL3_classA!$F$2:$F$37),0))</f>
        <v>22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60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>
        <f>VLOOKUP(A194,'SegEnds_NonXtal_Prot#'!A:AL,10,FALSE)-VLOOKUP(A194,'SegEnds_NonXtal_Prot#'!A:AL,7,FALSE)</f>
        <v>15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20</v>
      </c>
      <c r="AG194" s="1">
        <f>VLOOKUP(A194,'SegEnds_NonXtal_Prot#'!A:AL,28,FALSE)-VLOOKUP(A194,'SegEnds_NonXtal_Prot#'!A:AL,25,FALSE)</f>
        <v>26</v>
      </c>
      <c r="AH194" s="1">
        <f>VLOOKUP(A194,'SegEnds_NonXtal_Prot#'!A:AL,28,FALSE)-VLOOKUP(A194,'SegEnds_NonXtal_Prot#'!A:AL,22,FALSE)</f>
        <v>57</v>
      </c>
      <c r="AI194" s="1">
        <f>VLOOKUP(A194,'SegEnds_NonXtal_Prot#'!A:AL,31,FALSE)-VLOOKUP(A194,'SegEnds_NonXtal_Prot#'!A:AL,28,FALSE)</f>
        <v>57</v>
      </c>
      <c r="AJ194" s="1">
        <f>VLOOKUP(A194,'SegEnds_NonXtal_Prot#'!A:AL,34,FALSE)-VLOOKUP(A194,'SegEnds_NonXtal_Prot#'!A:AL,31,FALSE)</f>
        <v>40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300</v>
      </c>
      <c r="B195" s="1" t="str">
        <f>VLOOKUP(A195,Xtal_Templ!A:B,2,FALSE)</f>
        <v>oprd_human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66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31</v>
      </c>
      <c r="T195" s="1">
        <f t="array" ref="T195">INDEX(ICL3_classA!$G$2:$G$37,MATCH(MIN(ABS(AI195-ICL3_classA!$F$2:$F$37)),ABS(AI195-ICL3_classA!$F$2:$F$37),0))</f>
        <v>73</v>
      </c>
      <c r="U195" s="1">
        <f t="array" ref="U195">INDEX(ICL3_classA!$H$2:$H$37,MATCH(MIN(ABS(AI195-ICL3_classA!$F$2:$F$37)),ABS(AI195-ICL3_classA!$F$2:$F$37),0))</f>
        <v>22</v>
      </c>
      <c r="V195" s="1">
        <v>61</v>
      </c>
      <c r="W195" s="1">
        <v>31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27</v>
      </c>
      <c r="AC195" s="1" t="e">
        <f>VLOOKUP(A195,'SegEnds_NonXtal_Prot#'!A:AL,10,FALSE)-VLOOKUP(A195,'SegEnds_NonXtal_Prot#'!A:AL,7,FALSE)</f>
        <v>#VALUE!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25</v>
      </c>
      <c r="AH195" s="1">
        <f>VLOOKUP(A195,'SegEnds_NonXtal_Prot#'!A:AL,28,FALSE)-VLOOKUP(A195,'SegEnds_NonXtal_Prot#'!A:AL,22,FALSE)</f>
        <v>51</v>
      </c>
      <c r="AI195" s="1">
        <f>VLOOKUP(A195,'SegEnds_NonXtal_Prot#'!A:AL,31,FALSE)-VLOOKUP(A195,'SegEnds_NonXtal_Prot#'!A:AL,28,FALSE)</f>
        <v>57</v>
      </c>
      <c r="AJ195" s="1">
        <f>VLOOKUP(A195,'SegEnds_NonXtal_Prot#'!A:AL,34,FALSE)-VLOOKUP(A195,'SegEnds_NonXtal_Prot#'!A:AL,31,FALSE)</f>
        <v>37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1" t="s">
        <v>317</v>
      </c>
      <c r="B196" s="1" t="str">
        <f>VLOOKUP(A196,Xtal_Templ!A:B,2,FALSE)</f>
        <v>ednrb_human</v>
      </c>
      <c r="C196" s="5">
        <f>VLOOKUP($B196&amp;"__wt",'SegEnds_Xtal_BW#'!$A:$Z,3,FALSE)</f>
        <v>22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52</v>
      </c>
      <c r="G196" s="1">
        <v>37</v>
      </c>
      <c r="H196" s="12">
        <f>VLOOKUP($B196&amp;"__wt",'SegEnds_Xtal_BW#'!$A:$Z,8,FALSE)</f>
        <v>67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7"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28</v>
      </c>
      <c r="T196" s="1">
        <f t="array" ref="T196">INDEX(ICL3_classA!$G$2:$G$37,MATCH(MIN(ABS(AI196-ICL3_classA!$F$2:$F$37)),ABS(AI196-ICL3_classA!$F$2:$F$37),0))</f>
        <v>73</v>
      </c>
      <c r="U196" s="1">
        <f t="array" ref="U196">INDEX(ICL3_classA!$H$2:$H$37,MATCH(MIN(ABS(AI196-ICL3_classA!$F$2:$F$37)),ABS(AI196-ICL3_classA!$F$2:$F$37),0))</f>
        <v>22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60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>
        <f>VLOOKUP(A196,'SegEnds_NonXtal_Prot#'!A:AL,22,FALSE)-VLOOKUP(A196,'SegEnds_NonXtal_Prot#'!A:AL,19,FALSE)</f>
        <v>20</v>
      </c>
      <c r="AG196" s="1">
        <f>VLOOKUP(A196,'SegEnds_NonXtal_Prot#'!A:AL,28,FALSE)-VLOOKUP(A196,'SegEnds_NonXtal_Prot#'!A:AL,25,FALSE)</f>
        <v>26</v>
      </c>
      <c r="AH196" s="1">
        <f>VLOOKUP(A196,'SegEnds_NonXtal_Prot#'!A:AL,28,FALSE)-VLOOKUP(A196,'SegEnds_NonXtal_Prot#'!A:AL,22,FALSE)</f>
        <v>56</v>
      </c>
      <c r="AI196" s="1">
        <f>VLOOKUP(A196,'SegEnds_NonXtal_Prot#'!A:AL,31,FALSE)-VLOOKUP(A196,'SegEnds_NonXtal_Prot#'!A:AL,28,FALSE)</f>
        <v>57</v>
      </c>
      <c r="AJ196" s="1">
        <f>VLOOKUP(A196,'SegEnds_NonXtal_Prot#'!A:AL,34,FALSE)-VLOOKUP(A196,'SegEnds_NonXtal_Prot#'!A:AL,31,FALSE)</f>
        <v>40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322</v>
      </c>
      <c r="B197" s="1" t="str">
        <f>VLOOKUP(A197,Xtal_Templ!A:B,2,FALSE)</f>
        <v>ox1r_human</v>
      </c>
      <c r="C197" s="5">
        <f>VLOOKUP($B197&amp;"__wt",'SegEnds_Xtal_BW#'!$A:$Z,3,FALSE)</f>
        <v>32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56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INDEX(ICL3_classA!$G$2:$G$37,MATCH(MIN(ABS(AI197-ICL3_classA!$F$2:$F$37)),ABS(AI197-ICL3_classA!$F$2:$F$37),0))</f>
        <v>73</v>
      </c>
      <c r="U197" s="1">
        <f t="array" ref="U197">INDEX(ICL3_classA!$H$2:$H$37,MATCH(MIN(ABS(AI197-ICL3_classA!$F$2:$F$37)),ABS(AI197-ICL3_classA!$F$2:$F$37),0))</f>
        <v>22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 t="e">
        <f>VLOOKUP(A197,'SegEnds_NonXtal_Prot#'!A:AL,22,FALSE)-VLOOKUP(A197,'SegEnds_NonXtal_Prot#'!A:AL,19,FALSE)</f>
        <v>#VALUE!</v>
      </c>
      <c r="AG197" s="1">
        <f>VLOOKUP(A197,'SegEnds_NonXtal_Prot#'!A:AL,28,FALSE)-VLOOKUP(A197,'SegEnds_NonXtal_Prot#'!A:AL,25,FALSE)</f>
        <v>25</v>
      </c>
      <c r="AH197" s="1">
        <f>VLOOKUP(A197,'SegEnds_NonXtal_Prot#'!A:AL,28,FALSE)-VLOOKUP(A197,'SegEnds_NonXtal_Prot#'!A:AL,22,FALSE)</f>
        <v>62</v>
      </c>
      <c r="AI197" s="1">
        <f>VLOOKUP(A197,'SegEnds_NonXtal_Prot#'!A:AL,31,FALSE)-VLOOKUP(A197,'SegEnds_NonXtal_Prot#'!A:AL,28,FALSE)</f>
        <v>57</v>
      </c>
      <c r="AJ197" s="1">
        <f>VLOOKUP(A197,'SegEnds_NonXtal_Prot#'!A:AL,34,FALSE)-VLOOKUP(A197,'SegEnds_NonXtal_Prot#'!A:AL,31,FALSE)</f>
        <v>41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366</v>
      </c>
      <c r="B198" s="1" t="str">
        <f>VLOOKUP(A198,Xtal_Templ!A:B,2,FALSE)</f>
        <v>pe2r4_human</v>
      </c>
      <c r="C198" s="5">
        <f>VLOOKUP($B198&amp;"__wt",'SegEnds_Xtal_BW#'!$A:$Z,3,FALSE)</f>
        <v>33</v>
      </c>
      <c r="D198" s="1">
        <f>VLOOKUP($B198&amp;"__wt",'SegEnds_Xtal_BW#'!$A:$Z,4,FALSE)</f>
        <v>58</v>
      </c>
      <c r="E198" s="1" t="str">
        <f>VLOOKUP($B198&amp;"__wt",'SegEnds_Xtal_BW#'!$A:$Z,5,FALSE)</f>
        <v>-</v>
      </c>
      <c r="F198" s="1" t="str">
        <f>VLOOKUP($B198&amp;"__wt",'SegEnds_Xtal_BW#'!$A:$Z,6,FALSE)</f>
        <v>-</v>
      </c>
      <c r="G198" s="1">
        <v>37</v>
      </c>
      <c r="H198" s="12"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f>VLOOKUP($B198&amp;"__wt",'SegEnds_Xtal_BW#'!$A:$Z,15,FALSE)</f>
        <v>38</v>
      </c>
      <c r="P198" s="1">
        <f>VLOOKUP($B198&amp;"__wt",'SegEnds_Xtal_BW#'!$A:$Z,16,FALSE)</f>
        <v>63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33</v>
      </c>
      <c r="T198" s="1">
        <f t="array" ref="T198">INDEX(ICL3_classA!$G$2:$G$37,MATCH(MIN(ABS(AI198-ICL3_classA!$F$2:$F$37)),ABS(AI198-ICL3_classA!$F$2:$F$37),0))</f>
        <v>73</v>
      </c>
      <c r="U198" s="1">
        <f t="array" ref="U198">INDEX(ICL3_classA!$H$2:$H$37,MATCH(MIN(ABS(AI198-ICL3_classA!$F$2:$F$37)),ABS(AI198-ICL3_classA!$F$2:$F$37),0))</f>
        <v>22</v>
      </c>
      <c r="V198" s="1">
        <v>61</v>
      </c>
      <c r="W198" s="1">
        <v>31</v>
      </c>
      <c r="X198" s="108">
        <v>56</v>
      </c>
      <c r="Y198" s="1">
        <f>VLOOKUP($B198&amp;"__wt",'SegEnds_Xtal_BW#'!$A:$Z,25,FALSE)</f>
        <v>47</v>
      </c>
      <c r="Z198" s="1">
        <f>VLOOKUP($B198&amp;"__wt",'SegEnds_Xtal_BW#'!$A:$Z,26,FALSE)</f>
        <v>60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29</v>
      </c>
      <c r="AC198" s="1" t="e">
        <f>VLOOKUP(A198,'SegEnds_NonXtal_Prot#'!A:AL,10,FALSE)-VLOOKUP(A198,'SegEnds_NonXtal_Prot#'!A:AL,7,FALSE)</f>
        <v>#VALUE!</v>
      </c>
      <c r="AD198" s="1" t="e">
        <f>VLOOKUP(A198,'SegEnds_NonXtal_Prot#'!A:AL,13,FALSE)-VLOOKUP(A198,'SegEnds_NonXtal_Prot#'!A:AL,10,FALSE)</f>
        <v>#VALUE!</v>
      </c>
      <c r="AE198" s="1">
        <f>VLOOKUP(A198,'SegEnds_NonXtal_Prot#'!A:AL,16,FALSE)-VLOOKUP(A198,'SegEnds_NonXtal_Prot#'!A:AL,10,FALSE)</f>
        <v>57</v>
      </c>
      <c r="AF198" s="1">
        <f>VLOOKUP(A198,'SegEnds_NonXtal_Prot#'!A:AL,22,FALSE)-VLOOKUP(A198,'SegEnds_NonXtal_Prot#'!A:AL,19,FALSE)</f>
        <v>20</v>
      </c>
      <c r="AG198" s="1">
        <f>VLOOKUP(A198,'SegEnds_NonXtal_Prot#'!A:AL,28,FALSE)-VLOOKUP(A198,'SegEnds_NonXtal_Prot#'!A:AL,25,FALSE)</f>
        <v>27</v>
      </c>
      <c r="AH198" s="1">
        <f>VLOOKUP(A198,'SegEnds_NonXtal_Prot#'!A:AL,28,FALSE)-VLOOKUP(A198,'SegEnds_NonXtal_Prot#'!A:AL,22,FALSE)</f>
        <v>53</v>
      </c>
      <c r="AI198" s="1">
        <f>VLOOKUP(A198,'SegEnds_NonXtal_Prot#'!A:AL,31,FALSE)-VLOOKUP(A198,'SegEnds_NonXtal_Prot#'!A:AL,28,FALSE)</f>
        <v>57</v>
      </c>
      <c r="AJ198" s="1">
        <f>VLOOKUP(A198,'SegEnds_NonXtal_Prot#'!A:AL,34,FALSE)-VLOOKUP(A198,'SegEnds_NonXtal_Prot#'!A:AL,31,FALSE)</f>
        <v>35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226</v>
      </c>
      <c r="B199" s="1" t="str">
        <f>VLOOKUP(A199,Xtal_Templ!A:B,2,FALSE)</f>
        <v>par1_human</v>
      </c>
      <c r="C199" s="5">
        <f>VLOOKUP($B199&amp;"__wt",'SegEnds_Xtal_BW#'!$A:$Z,3,FALSE)</f>
        <v>29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66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v>63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v>35</v>
      </c>
      <c r="T199" s="1">
        <f t="array" ref="T199">INDEX(ICL3_classA!$G$2:$G$37,MATCH(MIN(ABS(AI199-ICL3_classA!$F$2:$F$37)),ABS(AI199-ICL3_classA!$F$2:$F$37),0))</f>
        <v>73</v>
      </c>
      <c r="U199" s="1">
        <f t="array" ref="U199">INDEX(ICL3_classA!$H$2:$H$37,MATCH(MIN(ABS(AI199-ICL3_classA!$F$2:$F$37)),ABS(AI199-ICL3_classA!$F$2:$F$37),0))</f>
        <v>24</v>
      </c>
      <c r="V199" s="1">
        <v>61</v>
      </c>
      <c r="W199" s="1">
        <v>31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61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27</v>
      </c>
      <c r="AC199" s="1" t="e">
        <f>VLOOKUP(A199,'SegEnds_NonXtal_Prot#'!A:AL,10,FALSE)-VLOOKUP(A199,'SegEnds_NonXtal_Prot#'!A:AL,7,FALSE)</f>
        <v>#VALUE!</v>
      </c>
      <c r="AD199" s="1" t="e">
        <f>VLOOKUP(A199,'SegEnds_NonXtal_Prot#'!A:AL,13,FALSE)-VLOOKUP(A199,'SegEnds_NonXtal_Prot#'!A:AL,10,FALSE)</f>
        <v>#VALUE!</v>
      </c>
      <c r="AE199" s="1">
        <f>VLOOKUP(A199,'SegEnds_NonXtal_Prot#'!A:AL,16,FALSE)-VLOOKUP(A199,'SegEnds_NonXtal_Prot#'!A:AL,10,FALSE)</f>
        <v>54</v>
      </c>
      <c r="AF199" s="1" t="e">
        <f>VLOOKUP(A199,'SegEnds_NonXtal_Prot#'!A:AL,22,FALSE)-VLOOKUP(A199,'SegEnds_NonXtal_Prot#'!A:AL,19,FALSE)</f>
        <v>#VALUE!</v>
      </c>
      <c r="AG199" s="1">
        <f>VLOOKUP(A199,'SegEnds_NonXtal_Prot#'!A:AL,28,FALSE)-VLOOKUP(A199,'SegEnds_NonXtal_Prot#'!A:AL,25,FALSE)</f>
        <v>22</v>
      </c>
      <c r="AH199" s="1">
        <f>VLOOKUP(A199,'SegEnds_NonXtal_Prot#'!A:AL,28,FALSE)-VLOOKUP(A199,'SegEnds_NonXtal_Prot#'!A:AL,22,FALSE)</f>
        <v>49</v>
      </c>
      <c r="AI199" s="1">
        <f>VLOOKUP(A199,'SegEnds_NonXtal_Prot#'!A:AL,31,FALSE)-VLOOKUP(A199,'SegEnds_NonXtal_Prot#'!A:AL,28,FALSE)</f>
        <v>58</v>
      </c>
      <c r="AJ199" s="1">
        <f>VLOOKUP(A199,'SegEnds_NonXtal_Prot#'!A:AL,34,FALSE)-VLOOKUP(A199,'SegEnds_NonXtal_Prot#'!A:AL,31,FALSE)</f>
        <v>35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NoXtal</v>
      </c>
    </row>
    <row r="200" spans="1:38" x14ac:dyDescent="0.2">
      <c r="A200" s="1" t="s">
        <v>323</v>
      </c>
      <c r="B200" s="1" t="str">
        <f>VLOOKUP(A200,Xtal_Templ!A:B,2,FALSE)</f>
        <v>ox1r_human</v>
      </c>
      <c r="C200" s="5">
        <f>VLOOKUP($B200&amp;"__wt",'SegEnds_Xtal_BW#'!$A:$Z,3,FALSE)</f>
        <v>32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56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32</v>
      </c>
      <c r="T200" s="1">
        <f t="array" ref="T200">INDEX(ICL3_classA!$G$2:$G$37,MATCH(MIN(ABS(AI200-ICL3_classA!$F$2:$F$37)),ABS(AI200-ICL3_classA!$F$2:$F$37),0))</f>
        <v>73</v>
      </c>
      <c r="U200" s="1">
        <f t="array" ref="U200">INDEX(ICL3_classA!$H$2:$H$37,MATCH(MIN(ABS(AI200-ICL3_classA!$F$2:$F$37)),ABS(AI200-ICL3_classA!$F$2:$F$37),0))</f>
        <v>24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 t="e">
        <f>VLOOKUP(A200,'SegEnds_NonXtal_Prot#'!A:AL,22,FALSE)-VLOOKUP(A200,'SegEnds_NonXtal_Prot#'!A:AL,19,FALSE)</f>
        <v>#VALUE!</v>
      </c>
      <c r="AG200" s="1">
        <f>VLOOKUP(A200,'SegEnds_NonXtal_Prot#'!A:AL,28,FALSE)-VLOOKUP(A200,'SegEnds_NonXtal_Prot#'!A:AL,25,FALSE)</f>
        <v>25</v>
      </c>
      <c r="AH200" s="1">
        <f>VLOOKUP(A200,'SegEnds_NonXtal_Prot#'!A:AL,28,FALSE)-VLOOKUP(A200,'SegEnds_NonXtal_Prot#'!A:AL,22,FALSE)</f>
        <v>63</v>
      </c>
      <c r="AI200" s="1">
        <f>VLOOKUP(A200,'SegEnds_NonXtal_Prot#'!A:AL,31,FALSE)-VLOOKUP(A200,'SegEnds_NonXtal_Prot#'!A:AL,28,FALSE)</f>
        <v>58</v>
      </c>
      <c r="AJ200" s="1">
        <f>VLOOKUP(A200,'SegEnds_NonXtal_Prot#'!A:AL,34,FALSE)-VLOOKUP(A200,'SegEnds_NonXtal_Prot#'!A:AL,31,FALSE)</f>
        <v>41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4" t="s">
        <v>104</v>
      </c>
      <c r="B201" s="4" t="str">
        <f>VLOOKUP(A201,Xtal_Templ!A:B,2,FALSE)</f>
        <v>s1pr1_human</v>
      </c>
      <c r="C201" s="5">
        <f>VLOOKUP($B201&amp;"__wt",'SegEnds_Xtal_BW#'!$A:$Z,3,FALSE)</f>
        <v>29</v>
      </c>
      <c r="D201" s="4">
        <f>VLOOKUP($B201&amp;"__wt",'SegEnds_Xtal_BW#'!$A:$Z,4,FALSE)</f>
        <v>60</v>
      </c>
      <c r="E201" s="4">
        <f>VLOOKUP($B201&amp;"__wt",'SegEnds_Xtal_BW#'!$A:$Z,5,FALSE)</f>
        <v>48</v>
      </c>
      <c r="F201" s="4">
        <f>VLOOKUP($B201&amp;"__wt",'SegEnds_Xtal_BW#'!$A:$Z,6,FALSE)</f>
        <v>51</v>
      </c>
      <c r="G201" s="4">
        <v>37</v>
      </c>
      <c r="H201" s="11">
        <v>63</v>
      </c>
      <c r="I201" s="4">
        <f>VLOOKUP($B201&amp;"__wt",'SegEnds_Xtal_BW#'!$A:$Z,9,FALSE)</f>
        <v>47</v>
      </c>
      <c r="J201" s="4">
        <f>VLOOKUP($B201&amp;"__wt",'SegEnds_Xtal_BW#'!$A:$Z,10,FALSE)</f>
        <v>53</v>
      </c>
      <c r="K201" s="11">
        <f>VLOOKUP($B201&amp;"__wt",'SegEnds_Xtal_BW#'!$A:$Z,11,FALSE)</f>
        <v>21</v>
      </c>
      <c r="L201" s="4">
        <f>VLOOKUP($B201&amp;"__wt",'SegEnds_Xtal_BW#'!$A:$Z,12,FALSE)</f>
        <v>56</v>
      </c>
      <c r="M201" s="4">
        <f>VLOOKUP($B201&amp;"__wt",'SegEnds_Xtal_BW#'!$A:$Z,13,FALSE)</f>
        <v>50</v>
      </c>
      <c r="N201" s="108">
        <f>VLOOKUP($B201&amp;"__wt",'SegEnds_Xtal_BW#'!$A:$Z,14,FALSE)</f>
        <v>56</v>
      </c>
      <c r="O201" s="87">
        <f>VLOOKUP($B201&amp;"__wt",'SegEnds_Xtal_BW#'!$A:$Z,15,FALSE)</f>
        <v>38</v>
      </c>
      <c r="P201" s="4">
        <f>VLOOKUP($B201&amp;"__wt",'SegEnds_Xtal_BW#'!$A:$Z,16,FALSE)</f>
        <v>63</v>
      </c>
      <c r="Q201" s="4" t="str">
        <f>VLOOKUP($B201&amp;"__wt",'SegEnds_Xtal_BW#'!$A:$Z,17,FALSE)</f>
        <v>-</v>
      </c>
      <c r="R201" s="4" t="str">
        <f>VLOOKUP($B201&amp;"__wt",'SegEnds_Xtal_BW#'!$A:$Z,18,FALSE)</f>
        <v>-</v>
      </c>
      <c r="S201" s="4">
        <f>VLOOKUP($B201&amp;"__wt",'SegEnds_Xtal_BW#'!$A:$Z,19,FALSE)</f>
        <v>36</v>
      </c>
      <c r="T201" s="4">
        <f t="array" ref="T201">INDEX(ICL3_classA!$G$2:$G$37,MATCH(MIN(ABS(AI201-ICL3_classA!$F$2:$F$37)),ABS(AI201-ICL3_classA!$F$2:$F$37),0))</f>
        <v>73</v>
      </c>
      <c r="U201" s="4">
        <f t="array" ref="U201">INDEX(ICL3_classA!$H$2:$H$37,MATCH(MIN(ABS(AI201-ICL3_classA!$F$2:$F$37)),ABS(AI201-ICL3_classA!$F$2:$F$37),0))</f>
        <v>24</v>
      </c>
      <c r="V201" s="4">
        <v>61</v>
      </c>
      <c r="W201" s="4">
        <v>30</v>
      </c>
      <c r="X201" s="1">
        <f>VLOOKUP($B201&amp;"__wt",'SegEnds_Xtal_BW#'!$A:$Z,24,FALSE)</f>
        <v>56</v>
      </c>
      <c r="Y201" s="4">
        <f>VLOOKUP($B201&amp;"__wt",'SegEnds_Xtal_BW#'!$A:$Z,25,FALSE)</f>
        <v>47</v>
      </c>
      <c r="Z201" s="4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4">
        <f>VLOOKUP(A201,'SegEnds_NonXtal_Prot#'!A:AL,10,FALSE)-VLOOKUP(A201,'SegEnds_NonXtal_Prot#'!A:AL,7,FALSE)</f>
        <v>15</v>
      </c>
      <c r="AD201" s="4">
        <f>VLOOKUP(A201,'SegEnds_NonXtal_Prot#'!A:AL,13,FALSE)-VLOOKUP(A201,'SegEnds_NonXtal_Prot#'!A:AL,10,FALSE)</f>
        <v>18</v>
      </c>
      <c r="AE201" s="4">
        <f>VLOOKUP(A201,'SegEnds_NonXtal_Prot#'!A:AL,16,FALSE)-VLOOKUP(A201,'SegEnds_NonXtal_Prot#'!A:AL,10,FALSE)</f>
        <v>51</v>
      </c>
      <c r="AF201" s="1">
        <f>VLOOKUP(A201,'SegEnds_NonXtal_Prot#'!A:AL,22,FALSE)-VLOOKUP(A201,'SegEnds_NonXtal_Prot#'!A:AL,19,FALSE)</f>
        <v>19</v>
      </c>
      <c r="AG201" s="4" t="e">
        <f>VLOOKUP(A201,'SegEnds_NonXtal_Prot#'!A:AL,28,FALSE)-VLOOKUP(A201,'SegEnds_NonXtal_Prot#'!A:AL,25,FALSE)</f>
        <v>#VALUE!</v>
      </c>
      <c r="AH201" s="1">
        <f>VLOOKUP(A201,'SegEnds_NonXtal_Prot#'!A:AL,28,FALSE)-VLOOKUP(A201,'SegEnds_NonXtal_Prot#'!A:AL,22,FALSE)</f>
        <v>45</v>
      </c>
      <c r="AI201" s="4">
        <f>VLOOKUP(A201,'SegEnds_NonXtal_Prot#'!A:AL,31,FALSE)-VLOOKUP(A201,'SegEnds_NonXtal_Prot#'!A:AL,28,FALSE)</f>
        <v>58</v>
      </c>
      <c r="AJ201" s="4">
        <f>VLOOKUP(A201,'SegEnds_NonXtal_Prot#'!A:AL,34,FALSE)-VLOOKUP(A201,'SegEnds_NonXtal_Prot#'!A:AL,31,FALSE)</f>
        <v>37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Xtal</v>
      </c>
    </row>
    <row r="202" spans="1:38" x14ac:dyDescent="0.2">
      <c r="A202" s="1" t="s">
        <v>139</v>
      </c>
      <c r="B202" s="1" t="str">
        <f>VLOOKUP(A202,Xtal_Templ!A:B,2,FALSE)</f>
        <v>aa2ar_human</v>
      </c>
      <c r="C202" s="5">
        <f>VLOOKUP($B202&amp;"__wt",'SegEnds_Xtal_BW#'!$A:$Z,3,FALSE)</f>
        <v>27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v>66</v>
      </c>
      <c r="I202" s="1">
        <f>VLOOKUP($B202&amp;"__wt",'SegEnds_Xtal_BW#'!$A:$Z,9,FALSE)</f>
        <v>50</v>
      </c>
      <c r="J202" s="1">
        <f>VLOOKUP($B202&amp;"__wt",'SegEnds_Xtal_BW#'!$A:$Z,10,FALSE)</f>
        <v>52</v>
      </c>
      <c r="K202" s="12">
        <v>24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f>VLOOKUP($B202&amp;"__wt",'SegEnds_Xtal_BW#'!$A:$Z,14,FALSE)</f>
        <v>57</v>
      </c>
      <c r="O202" s="87">
        <f>VLOOKUP($B202&amp;"__wt",'SegEnds_Xtal_BW#'!$A:$Z,15,FALSE)</f>
        <v>38</v>
      </c>
      <c r="P202" s="1">
        <f>VLOOKUP($B202&amp;"__wt",'SegEnds_Xtal_BW#'!$A:$Z,16,FALSE)</f>
        <v>63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INDEX(ICL3_classA!$G$2:$G$37,MATCH(MIN(ABS(AI202-ICL3_classA!$F$2:$F$37)),ABS(AI202-ICL3_classA!$F$2:$F$37),0))</f>
        <v>74</v>
      </c>
      <c r="U202" s="1">
        <f t="array" ref="U202">INDEX(ICL3_classA!$H$2:$H$37,MATCH(MIN(ABS(AI202-ICL3_classA!$F$2:$F$37)),ABS(AI202-ICL3_classA!$F$2:$F$37),0))</f>
        <v>21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69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18</v>
      </c>
      <c r="AE202" s="1">
        <f>VLOOKUP(A202,'SegEnds_NonXtal_Prot#'!A:AL,16,FALSE)-VLOOKUP(A202,'SegEnds_NonXtal_Prot#'!A:AL,10,FALSE)</f>
        <v>50</v>
      </c>
      <c r="AF202" s="1">
        <f>VLOOKUP(A202,'SegEnds_NonXtal_Prot#'!A:AL,22,FALSE)-VLOOKUP(A202,'SegEnds_NonXtal_Prot#'!A:AL,19,FALSE)</f>
        <v>20</v>
      </c>
      <c r="AG202" s="1">
        <f>VLOOKUP(A202,'SegEnds_NonXtal_Prot#'!A:AL,28,FALSE)-VLOOKUP(A202,'SegEnds_NonXtal_Prot#'!A:AL,25,FALSE)</f>
        <v>23</v>
      </c>
      <c r="AH202" s="1">
        <f>VLOOKUP(A202,'SegEnds_NonXtal_Prot#'!A:AL,28,FALSE)-VLOOKUP(A202,'SegEnds_NonXtal_Prot#'!A:AL,22,FALSE)</f>
        <v>60</v>
      </c>
      <c r="AI202" s="1">
        <f>VLOOKUP(A202,'SegEnds_NonXtal_Prot#'!A:AL,31,FALSE)-VLOOKUP(A202,'SegEnds_NonXtal_Prot#'!A:AL,28,FALSE)</f>
        <v>59</v>
      </c>
      <c r="AJ202" s="1">
        <f>VLOOKUP(A202,'SegEnds_NonXtal_Prot#'!A:AL,34,FALSE)-VLOOKUP(A202,'SegEnds_NonXtal_Prot#'!A:AL,31,FALSE)</f>
        <v>37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Xtal</v>
      </c>
    </row>
    <row r="203" spans="1:38" x14ac:dyDescent="0.2">
      <c r="A203" s="1" t="s">
        <v>183</v>
      </c>
      <c r="B203" s="1" t="str">
        <f>VLOOKUP(A203,Xtal_Templ!A:B,2,FALSE)</f>
        <v>cnr2_human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v>48</v>
      </c>
      <c r="J203" s="1"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f>VLOOKUP($B203&amp;"__wt",'SegEnds_Xtal_BW#'!$A:$Z,15,FALSE)</f>
        <v>38</v>
      </c>
      <c r="P203" s="1">
        <f>VLOOKUP($B203&amp;"__wt",'SegEnds_Xtal_BW#'!$A:$Z,16,FALSE)</f>
        <v>63</v>
      </c>
      <c r="Q203" s="1" t="str">
        <f>VLOOKUP($B203&amp;"__wt",'SegEnds_Xtal_BW#'!$A:$Z,17,FALSE)</f>
        <v>-</v>
      </c>
      <c r="R203" s="1" t="str">
        <f>VLOOKUP($B203&amp;"__wt",'SegEnds_Xtal_BW#'!$A:$Z,18,FALSE)</f>
        <v>-</v>
      </c>
      <c r="S203" s="1">
        <f>VLOOKUP($B203&amp;"__wt",'SegEnds_Xtal_BW#'!$A:$Z,19,FALSE)</f>
        <v>36</v>
      </c>
      <c r="T203" s="1">
        <f t="array" ref="T203">INDEX(ICL3_classA!$G$2:$G$37,MATCH(MIN(ABS(AI203-ICL3_classA!$F$2:$F$37)),ABS(AI203-ICL3_classA!$F$2:$F$37),0))</f>
        <v>74</v>
      </c>
      <c r="U203" s="1">
        <f t="array" ref="U203">INDEX(ICL3_classA!$H$2:$H$37,MATCH(MIN(ABS(AI203-ICL3_classA!$F$2:$F$37)),ABS(AI203-ICL3_classA!$F$2:$F$37),0))</f>
        <v>21</v>
      </c>
      <c r="V203" s="1">
        <f>VLOOKUP($B203&amp;"__wt",'SegEnds_Xtal_BW#'!$A:$Z,22,FALSE)</f>
        <v>61</v>
      </c>
      <c r="W203" s="1">
        <f>VLOOKUP($B203&amp;"__wt",'SegEnds_Xtal_BW#'!$A:$Z,23,FALSE)</f>
        <v>28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63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29</v>
      </c>
      <c r="AC203" s="1">
        <f>VLOOKUP(A203,'SegEnds_NonXtal_Prot#'!A:AL,10,FALSE)-VLOOKUP(A203,'SegEnds_NonXtal_Prot#'!A:AL,7,FALSE)</f>
        <v>16</v>
      </c>
      <c r="AD203" s="1" t="e">
        <f>VLOOKUP(A203,'SegEnds_NonXtal_Prot#'!A:AL,13,FALSE)-VLOOKUP(A203,'SegEnds_NonXtal_Prot#'!A:AL,10,FALSE)</f>
        <v>#VALUE!</v>
      </c>
      <c r="AE203" s="1">
        <f>VLOOKUP(A203,'SegEnds_NonXtal_Prot#'!A:AL,16,FALSE)-VLOOKUP(A203,'SegEnds_NonXtal_Prot#'!A:AL,10,FALSE)</f>
        <v>51</v>
      </c>
      <c r="AF203" s="1">
        <f>VLOOKUP(A203,'SegEnds_NonXtal_Prot#'!A:AL,22,FALSE)-VLOOKUP(A203,'SegEnds_NonXtal_Prot#'!A:AL,19,FALSE)</f>
        <v>20</v>
      </c>
      <c r="AG203" s="1" t="e">
        <f>VLOOKUP(A203,'SegEnds_NonXtal_Prot#'!A:AL,28,FALSE)-VLOOKUP(A203,'SegEnds_NonXtal_Prot#'!A:AL,25,FALSE)</f>
        <v>#VALUE!</v>
      </c>
      <c r="AH203" s="1">
        <f>VLOOKUP(A203,'SegEnds_NonXtal_Prot#'!A:AL,28,FALSE)-VLOOKUP(A203,'SegEnds_NonXtal_Prot#'!A:AL,22,FALSE)</f>
        <v>43</v>
      </c>
      <c r="AI203" s="1">
        <f>VLOOKUP(A203,'SegEnds_NonXtal_Prot#'!A:AL,31,FALSE)-VLOOKUP(A203,'SegEnds_NonXtal_Prot#'!A:AL,28,FALSE)</f>
        <v>59</v>
      </c>
      <c r="AJ203" s="1">
        <f>VLOOKUP(A203,'SegEnds_NonXtal_Prot#'!A:AL,34,FALSE)-VLOOKUP(A203,'SegEnds_NonXtal_Prot#'!A:AL,31,FALSE)</f>
        <v>36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Xtal</v>
      </c>
    </row>
    <row r="204" spans="1:38" x14ac:dyDescent="0.2">
      <c r="A204" s="1" t="s">
        <v>210</v>
      </c>
      <c r="B204" s="1" t="str">
        <f>VLOOKUP(A204,Xtal_Templ!A:B,2,FALSE)</f>
        <v>apj_human</v>
      </c>
      <c r="C204" s="5">
        <f>VLOOKUP($B204&amp;"__wt",'SegEnds_Xtal_BW#'!$A:$Z,3,FALSE)</f>
        <v>33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52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21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53</v>
      </c>
      <c r="O204" s="87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30</v>
      </c>
      <c r="T204" s="1">
        <f t="array" ref="T204">INDEX(ICL3_classA!$G$2:$G$37,MATCH(MIN(ABS(AI204-ICL3_classA!$F$2:$F$37)),ABS(AI204-ICL3_classA!$F$2:$F$37),0))</f>
        <v>74</v>
      </c>
      <c r="U204" s="1">
        <f t="array" ref="U204">INDEX(ICL3_classA!$H$2:$H$37,MATCH(MIN(ABS(AI204-ICL3_classA!$F$2:$F$37)),ABS(AI204-ICL3_classA!$F$2:$F$37),0))</f>
        <v>21</v>
      </c>
      <c r="V204" s="1">
        <v>61</v>
      </c>
      <c r="W204" s="108">
        <v>25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61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34</v>
      </c>
      <c r="AC204" s="1">
        <f>VLOOKUP(A204,'SegEnds_NonXtal_Prot#'!A:AL,10,FALSE)-VLOOKUP(A204,'SegEnds_NonXtal_Prot#'!A:AL,7,FALSE)</f>
        <v>14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18</v>
      </c>
      <c r="AG204" s="1">
        <f>VLOOKUP(A204,'SegEnds_NonXtal_Prot#'!A:AL,28,FALSE)-VLOOKUP(A204,'SegEnds_NonXtal_Prot#'!A:AL,25,FALSE)</f>
        <v>23</v>
      </c>
      <c r="AH204" s="1">
        <f>VLOOKUP(A204,'SegEnds_NonXtal_Prot#'!A:AL,28,FALSE)-VLOOKUP(A204,'SegEnds_NonXtal_Prot#'!A:AL,22,FALSE)</f>
        <v>59</v>
      </c>
      <c r="AI204" s="1">
        <f>VLOOKUP(A204,'SegEnds_NonXtal_Prot#'!A:AL,31,FALSE)-VLOOKUP(A204,'SegEnds_NonXtal_Prot#'!A:AL,28,FALSE)</f>
        <v>59</v>
      </c>
      <c r="AJ204" s="1">
        <f>VLOOKUP(A204,'SegEnds_NonXtal_Prot#'!A:AL,34,FALSE)-VLOOKUP(A204,'SegEnds_NonXtal_Prot#'!A:AL,31,FALSE)</f>
        <v>38</v>
      </c>
      <c r="AK204" s="1" t="e">
        <f>VLOOKUP(A204,'SegEnds_NonXtal_Prot#'!A:AL,37,FALSE)-VLOOKUP(A204,'SegEnds_NonXtal_Prot#'!A:AL,34,FALSE)</f>
        <v>#VALUE!</v>
      </c>
      <c r="AL204" s="1" t="str">
        <f>IF(ISERROR(MATCH(A204,'SegEnds_Xtal_Prot#'!B:B, 0)), "NoXtal", "Xtal")</f>
        <v>NoXtal</v>
      </c>
    </row>
    <row r="205" spans="1:38" x14ac:dyDescent="0.2">
      <c r="A205" s="1" t="s">
        <v>273</v>
      </c>
      <c r="B205" s="1" t="str">
        <f>VLOOKUP(A205,Xtal_Templ!A:B,2,FALSE)</f>
        <v>ox1r_human</v>
      </c>
      <c r="C205" s="5">
        <f>VLOOKUP($B205&amp;"__wt",'SegEnds_Xtal_BW#'!$A:$Z,3,FALSE)</f>
        <v>32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v>57</v>
      </c>
      <c r="O205" s="87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v>35</v>
      </c>
      <c r="T205" s="1">
        <f t="array" ref="T205">INDEX(ICL3_classA!$G$2:$G$37,MATCH(MIN(ABS(AI205-ICL3_classA!$F$2:$F$37)),ABS(AI205-ICL3_classA!$F$2:$F$37),0))</f>
        <v>74</v>
      </c>
      <c r="U205" s="1">
        <f t="array" ref="U205">INDEX(ICL3_classA!$H$2:$H$37,MATCH(MIN(ABS(AI205-ICL3_classA!$F$2:$F$37)),ABS(AI205-ICL3_classA!$F$2:$F$37),0))</f>
        <v>21</v>
      </c>
      <c r="V205" s="1">
        <v>61</v>
      </c>
      <c r="W205" s="1">
        <v>32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 t="e">
        <f>VLOOKUP(A205,'SegEnds_NonXtal_Prot#'!A:AL,13,FALSE)-VLOOKUP(A205,'SegEnds_NonXtal_Prot#'!A:AL,10,FALSE)</f>
        <v>#VALUE!</v>
      </c>
      <c r="AE205" s="1">
        <f>VLOOKUP(A205,'SegEnds_NonXtal_Prot#'!A:AL,16,FALSE)-VLOOKUP(A205,'SegEnds_NonXtal_Prot#'!A:AL,10,FALSE)</f>
        <v>61</v>
      </c>
      <c r="AF205" s="1">
        <f>VLOOKUP(A205,'SegEnds_NonXtal_Prot#'!A:AL,22,FALSE)-VLOOKUP(A205,'SegEnds_NonXtal_Prot#'!A:AL,19,FALSE)</f>
        <v>20</v>
      </c>
      <c r="AG205" s="1" t="e">
        <f>VLOOKUP(A205,'SegEnds_NonXtal_Prot#'!A:AL,28,FALSE)-VLOOKUP(A205,'SegEnds_NonXtal_Prot#'!A:AL,25,FALSE)</f>
        <v>#VALUE!</v>
      </c>
      <c r="AH205" s="1">
        <f>VLOOKUP(A205,'SegEnds_NonXtal_Prot#'!A:AL,28,FALSE)-VLOOKUP(A205,'SegEnds_NonXtal_Prot#'!A:AL,22,FALSE)</f>
        <v>72</v>
      </c>
      <c r="AI205" s="1">
        <f>VLOOKUP(A205,'SegEnds_NonXtal_Prot#'!A:AL,31,FALSE)-VLOOKUP(A205,'SegEnds_NonXtal_Prot#'!A:AL,28,FALSE)</f>
        <v>61</v>
      </c>
      <c r="AJ205" s="1">
        <f>VLOOKUP(A205,'SegEnds_NonXtal_Prot#'!A:AL,34,FALSE)-VLOOKUP(A205,'SegEnds_NonXtal_Prot#'!A:AL,31,FALSE)</f>
        <v>34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282</v>
      </c>
      <c r="B206" s="1" t="str">
        <f>VLOOKUP(A206,Xtal_Templ!A:B,2,FALSE)</f>
        <v>oprk_human</v>
      </c>
      <c r="C206" s="5">
        <f>VLOOKUP($B206&amp;"__wt",'SegEnds_Xtal_BW#'!$A:$Z,3,FALSE)</f>
        <v>30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30</v>
      </c>
      <c r="T206" s="1">
        <f t="array" ref="T206">INDEX(ICL3_classA!$G$2:$G$37,MATCH(MIN(ABS(AI206-ICL3_classA!$F$2:$F$37)),ABS(AI206-ICL3_classA!$F$2:$F$37),0))</f>
        <v>74</v>
      </c>
      <c r="U206" s="1">
        <f t="array" ref="U206">INDEX(ICL3_classA!$H$2:$H$37,MATCH(MIN(ABS(AI206-ICL3_classA!$F$2:$F$37)),ABS(AI206-ICL3_classA!$F$2:$F$37),0))</f>
        <v>21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25</v>
      </c>
      <c r="AH206" s="1">
        <f>VLOOKUP(A206,'SegEnds_NonXtal_Prot#'!A:AL,28,FALSE)-VLOOKUP(A206,'SegEnds_NonXtal_Prot#'!A:AL,22,FALSE)</f>
        <v>49</v>
      </c>
      <c r="AI206" s="1">
        <f>VLOOKUP(A206,'SegEnds_NonXtal_Prot#'!A:AL,31,FALSE)-VLOOKUP(A206,'SegEnds_NonXtal_Prot#'!A:AL,28,FALSE)</f>
        <v>62</v>
      </c>
      <c r="AJ206" s="1">
        <f>VLOOKUP(A206,'SegEnds_NonXtal_Prot#'!A:AL,34,FALSE)-VLOOKUP(A206,'SegEnds_NonXtal_Prot#'!A:AL,31,FALSE)</f>
        <v>42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372</v>
      </c>
      <c r="B207" s="1" t="str">
        <f>VLOOKUP(A207,Xtal_Templ!A:B,2,FALSE)</f>
        <v>ox2r_human</v>
      </c>
      <c r="C207" s="5">
        <f>VLOOKUP($B207&amp;"__wt",'SegEnds_Xtal_BW#'!$A:$Z,3,FALSE)</f>
        <v>31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68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57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33</v>
      </c>
      <c r="T207" s="1">
        <f t="array" ref="T207">INDEX(ICL3_classA!$G$2:$G$37,MATCH(MIN(ABS(AI207-ICL3_classA!$F$2:$F$37)),ABS(AI207-ICL3_classA!$F$2:$F$37),0))</f>
        <v>74</v>
      </c>
      <c r="U207" s="1">
        <f t="array" ref="U207">INDEX(ICL3_classA!$H$2:$H$37,MATCH(MIN(ABS(AI207-ICL3_classA!$F$2:$F$37)),ABS(AI207-ICL3_classA!$F$2:$F$37),0))</f>
        <v>21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20</v>
      </c>
      <c r="AG207" s="1">
        <f>VLOOKUP(A207,'SegEnds_NonXtal_Prot#'!A:AL,28,FALSE)-VLOOKUP(A207,'SegEnds_NonXtal_Prot#'!A:AL,25,FALSE)</f>
        <v>25</v>
      </c>
      <c r="AH207" s="1">
        <f>VLOOKUP(A207,'SegEnds_NonXtal_Prot#'!A:AL,28,FALSE)-VLOOKUP(A207,'SegEnds_NonXtal_Prot#'!A:AL,22,FALSE)</f>
        <v>56</v>
      </c>
      <c r="AI207" s="1">
        <f>VLOOKUP(A207,'SegEnds_NonXtal_Prot#'!A:AL,31,FALSE)-VLOOKUP(A207,'SegEnds_NonXtal_Prot#'!A:AL,28,FALSE)</f>
        <v>62</v>
      </c>
      <c r="AJ207" s="1">
        <f>VLOOKUP(A207,'SegEnds_NonXtal_Prot#'!A:AL,34,FALSE)-VLOOKUP(A207,'SegEnds_NonXtal_Prot#'!A:AL,31,FALSE)</f>
        <v>41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373</v>
      </c>
      <c r="B208" s="1" t="str">
        <f>VLOOKUP(A208,Xtal_Templ!A:B,2,FALSE)</f>
        <v>agtr1_human</v>
      </c>
      <c r="C208" s="5">
        <f>VLOOKUP($B208&amp;"__wt",'SegEnds_Xtal_BW#'!$A:$Z,3,FALSE)</f>
        <v>28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66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58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34</v>
      </c>
      <c r="T208" s="1">
        <f t="array" ref="T208">INDEX(ICL3_classA!$G$2:$G$37,MATCH(MIN(ABS(AI208-ICL3_classA!$F$2:$F$37)),ABS(AI208-ICL3_classA!$F$2:$F$37),0))</f>
        <v>74</v>
      </c>
      <c r="U208" s="1">
        <f t="array" ref="U208">INDEX(ICL3_classA!$H$2:$H$37,MATCH(MIN(ABS(AI208-ICL3_classA!$F$2:$F$37)),ABS(AI208-ICL3_classA!$F$2:$F$37),0))</f>
        <v>21</v>
      </c>
      <c r="V208" s="1">
        <v>64</v>
      </c>
      <c r="W208" s="1">
        <v>24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61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29</v>
      </c>
      <c r="AC208" s="1">
        <f>VLOOKUP(A208,'SegEnds_NonXtal_Prot#'!A:AL,10,FALSE)-VLOOKUP(A208,'SegEnds_NonXtal_Prot#'!A:AL,7,FALSE)</f>
        <v>16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 t="e">
        <f>VLOOKUP(A208,'SegEnds_NonXtal_Prot#'!A:AL,22,FALSE)-VLOOKUP(A208,'SegEnds_NonXtal_Prot#'!A:AL,19,FALSE)</f>
        <v>#VALUE!</v>
      </c>
      <c r="AG208" s="1">
        <f>VLOOKUP(A208,'SegEnds_NonXtal_Prot#'!A:AL,28,FALSE)-VLOOKUP(A208,'SegEnds_NonXtal_Prot#'!A:AL,25,FALSE)</f>
        <v>32</v>
      </c>
      <c r="AH208" s="1">
        <f>VLOOKUP(A208,'SegEnds_NonXtal_Prot#'!A:AL,28,FALSE)-VLOOKUP(A208,'SegEnds_NonXtal_Prot#'!A:AL,22,FALSE)</f>
        <v>57</v>
      </c>
      <c r="AI208" s="1">
        <f>VLOOKUP(A208,'SegEnds_NonXtal_Prot#'!A:AL,31,FALSE)-VLOOKUP(A208,'SegEnds_NonXtal_Prot#'!A:AL,28,FALSE)</f>
        <v>62</v>
      </c>
      <c r="AJ208" s="1">
        <f>VLOOKUP(A208,'SegEnds_NonXtal_Prot#'!A:AL,34,FALSE)-VLOOKUP(A208,'SegEnds_NonXtal_Prot#'!A:AL,31,FALSE)</f>
        <v>45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380</v>
      </c>
      <c r="B209" s="1" t="str">
        <f>VLOOKUP(A209,Xtal_Templ!A:B,2,FALSE)</f>
        <v>s1pr1_human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v>63</v>
      </c>
      <c r="I209" s="1">
        <f>VLOOKUP($B209&amp;"__wt",'SegEnds_Xtal_BW#'!$A:$Z,9,FALSE)</f>
        <v>47</v>
      </c>
      <c r="J209" s="1">
        <f>VLOOKUP($B209&amp;"__wt",'SegEnds_Xtal_BW#'!$A:$Z,10,FALSE)</f>
        <v>53</v>
      </c>
      <c r="K209" s="12">
        <v>21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08">
        <v>56</v>
      </c>
      <c r="O209" s="87">
        <f>VLOOKUP($B209&amp;"__wt",'SegEnds_Xtal_BW#'!$A:$Z,15,FALSE)</f>
        <v>38</v>
      </c>
      <c r="P209" s="1">
        <f>VLOOKUP($B209&amp;"__wt",'SegEnds_Xtal_BW#'!$A:$Z,16,FALSE)</f>
        <v>63</v>
      </c>
      <c r="Q209" s="1" t="str">
        <f>VLOOKUP($B209&amp;"__wt",'SegEnds_Xtal_BW#'!$A:$Z,17,FALSE)</f>
        <v>-</v>
      </c>
      <c r="R209" s="1" t="str">
        <f>VLOOKUP($B209&amp;"__wt",'SegEnds_Xtal_BW#'!$A:$Z,18,FALSE)</f>
        <v>-</v>
      </c>
      <c r="S209" s="1">
        <f>VLOOKUP($B209&amp;"__wt",'SegEnds_Xtal_BW#'!$A:$Z,19,FALSE)</f>
        <v>36</v>
      </c>
      <c r="T209" s="1">
        <f t="array" ref="T209">INDEX(ICL3_classA!$G$2:$G$37,MATCH(MIN(ABS(AI209-ICL3_classA!$F$2:$F$37)),ABS(AI209-ICL3_classA!$F$2:$F$37),0))</f>
        <v>74</v>
      </c>
      <c r="U209" s="1">
        <f t="array" ref="U209">INDEX(ICL3_classA!$H$2:$H$37,MATCH(MIN(ABS(AI209-ICL3_classA!$F$2:$F$37)),ABS(AI209-ICL3_classA!$F$2:$F$37),0))</f>
        <v>21</v>
      </c>
      <c r="V209" s="1">
        <v>61</v>
      </c>
      <c r="W209" s="1">
        <v>30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18</v>
      </c>
      <c r="AE209" s="1">
        <f>VLOOKUP(A209,'SegEnds_NonXtal_Prot#'!A:AL,16,FALSE)-VLOOKUP(A209,'SegEnds_NonXtal_Prot#'!A:AL,10,FALSE)</f>
        <v>51</v>
      </c>
      <c r="AF209" s="1">
        <f>VLOOKUP(A209,'SegEnds_NonXtal_Prot#'!A:AL,22,FALSE)-VLOOKUP(A209,'SegEnds_NonXtal_Prot#'!A:AL,19,FALSE)</f>
        <v>19</v>
      </c>
      <c r="AG209" s="1" t="e">
        <f>VLOOKUP(A209,'SegEnds_NonXtal_Prot#'!A:AL,28,FALSE)-VLOOKUP(A209,'SegEnds_NonXtal_Prot#'!A:AL,25,FALSE)</f>
        <v>#VALUE!</v>
      </c>
      <c r="AH209" s="1">
        <f>VLOOKUP(A209,'SegEnds_NonXtal_Prot#'!A:AL,28,FALSE)-VLOOKUP(A209,'SegEnds_NonXtal_Prot#'!A:AL,22,FALSE)</f>
        <v>45</v>
      </c>
      <c r="AI209" s="1">
        <f>VLOOKUP(A209,'SegEnds_NonXtal_Prot#'!A:AL,31,FALSE)-VLOOKUP(A209,'SegEnds_NonXtal_Prot#'!A:AL,28,FALSE)</f>
        <v>62</v>
      </c>
      <c r="AJ209" s="1">
        <f>VLOOKUP(A209,'SegEnds_NonXtal_Prot#'!A:AL,34,FALSE)-VLOOKUP(A209,'SegEnds_NonXtal_Prot#'!A:AL,31,FALSE)</f>
        <v>37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389</v>
      </c>
      <c r="B210" s="1" t="str">
        <f>VLOOKUP(A210,Xtal_Templ!A:B,2,FALSE)</f>
        <v>drd2_human</v>
      </c>
      <c r="C210" s="5">
        <f>VLOOKUP($B210&amp;"__wt",'SegEnds_Xtal_BW#'!$A:$Z,3,FALSE)</f>
        <v>29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68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7">
        <f>VLOOKUP($B210&amp;"__wt",'SegEnds_Xtal_BW#'!$A:$Z,15,FALSE)</f>
        <v>38</v>
      </c>
      <c r="P210" s="1">
        <f>VLOOKUP($B210&amp;"__wt",'SegEnds_Xtal_BW#'!$A:$Z,16,FALSE)</f>
        <v>62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v>35</v>
      </c>
      <c r="T210" s="1">
        <f t="array" ref="T210">INDEX(ICL3_classA!$G$2:$G$37,MATCH(MIN(ABS(AI210-ICL3_classA!$F$2:$F$37)),ABS(AI210-ICL3_classA!$F$2:$F$37),0))</f>
        <v>74</v>
      </c>
      <c r="U210" s="1">
        <f t="array" ref="U210">INDEX(ICL3_classA!$H$2:$H$37,MATCH(MIN(ABS(AI210-ICL3_classA!$F$2:$F$37)),ABS(AI210-ICL3_classA!$F$2:$F$37),0))</f>
        <v>21</v>
      </c>
      <c r="V210" s="1">
        <v>61</v>
      </c>
      <c r="W210" s="1">
        <v>31</v>
      </c>
      <c r="X210" s="108"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20</v>
      </c>
      <c r="AH210" s="1">
        <f>VLOOKUP(A210,'SegEnds_NonXtal_Prot#'!A:AL,28,FALSE)-VLOOKUP(A210,'SegEnds_NonXtal_Prot#'!A:AL,22,FALSE)</f>
        <v>53</v>
      </c>
      <c r="AI210" s="1">
        <f>VLOOKUP(A210,'SegEnds_NonXtal_Prot#'!A:AL,31,FALSE)-VLOOKUP(A210,'SegEnds_NonXtal_Prot#'!A:AL,28,FALSE)</f>
        <v>62</v>
      </c>
      <c r="AJ210" s="1">
        <f>VLOOKUP(A210,'SegEnds_NonXtal_Prot#'!A:AL,34,FALSE)-VLOOKUP(A210,'SegEnds_NonXtal_Prot#'!A:AL,31,FALSE)</f>
        <v>35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4" t="s">
        <v>235</v>
      </c>
      <c r="B211" s="4" t="str">
        <f>VLOOKUP(A211,Xtal_Templ!A:B,2,FALSE)</f>
        <v>lpar1_human</v>
      </c>
      <c r="C211" s="5">
        <f>VLOOKUP($B211&amp;"__wt",'SegEnds_Xtal_BW#'!$A:$Z,3,FALSE)</f>
        <v>30</v>
      </c>
      <c r="D211" s="4">
        <f>VLOOKUP($B211&amp;"__wt",'SegEnds_Xtal_BW#'!$A:$Z,4,FALSE)</f>
        <v>60</v>
      </c>
      <c r="E211" s="4">
        <f>VLOOKUP($B211&amp;"__wt",'SegEnds_Xtal_BW#'!$A:$Z,5,FALSE)</f>
        <v>48</v>
      </c>
      <c r="F211" s="4">
        <f>VLOOKUP($B211&amp;"__wt",'SegEnds_Xtal_BW#'!$A:$Z,6,FALSE)</f>
        <v>51</v>
      </c>
      <c r="G211" s="4">
        <v>37</v>
      </c>
      <c r="H211" s="11">
        <v>66</v>
      </c>
      <c r="I211" s="4">
        <v>48</v>
      </c>
      <c r="J211" s="4">
        <v>52</v>
      </c>
      <c r="K211" s="11">
        <v>24</v>
      </c>
      <c r="L211" s="4">
        <f>VLOOKUP($B211&amp;"__wt",'SegEnds_Xtal_BW#'!$A:$Z,12,FALSE)</f>
        <v>56</v>
      </c>
      <c r="M211" s="4">
        <f>VLOOKUP($B211&amp;"__wt",'SegEnds_Xtal_BW#'!$A:$Z,13,FALSE)</f>
        <v>50</v>
      </c>
      <c r="N211" s="11">
        <f>VLOOKUP($B211&amp;"__wt",'SegEnds_Xtal_BW#'!$A:$Z,14,FALSE)</f>
        <v>56</v>
      </c>
      <c r="O211" s="88">
        <v>38</v>
      </c>
      <c r="P211" s="4">
        <f>VLOOKUP($B211&amp;"__wt",'SegEnds_Xtal_BW#'!$A:$Z,16,FALSE)</f>
        <v>63</v>
      </c>
      <c r="Q211" s="115">
        <v>50</v>
      </c>
      <c r="R211" s="115">
        <v>52</v>
      </c>
      <c r="S211" s="4">
        <v>35</v>
      </c>
      <c r="T211" s="4">
        <f t="array" ref="T211">INDEX(ICL3_classA!$G$2:$G$37,MATCH(MIN(ABS(AI211-ICL3_classA!$F$2:$F$37)),ABS(AI211-ICL3_classA!$F$2:$F$37),0))</f>
        <v>74</v>
      </c>
      <c r="U211" s="4">
        <f t="array" ref="U211">INDEX(ICL3_classA!$H$2:$H$37,MATCH(MIN(ABS(AI211-ICL3_classA!$F$2:$F$37)),ABS(AI211-ICL3_classA!$F$2:$F$37),0))</f>
        <v>21</v>
      </c>
      <c r="V211" s="4">
        <v>61</v>
      </c>
      <c r="W211" s="132">
        <f>VLOOKUP($B211&amp;"__wt",'SegEnds_Xtal_BW#'!$A:$Z,23,FALSE)</f>
        <v>30</v>
      </c>
      <c r="X211" s="4">
        <f>VLOOKUP($B211&amp;"__wt",'SegEnds_Xtal_BW#'!$A:$Z,24,FALSE)</f>
        <v>56</v>
      </c>
      <c r="Y211" s="4">
        <f>VLOOKUP($B211&amp;"__wt",'SegEnds_Xtal_BW#'!$A:$Z,25,FALSE)</f>
        <v>47</v>
      </c>
      <c r="Z211" s="4">
        <f>VLOOKUP($B211&amp;"__wt",'SegEnds_Xtal_BW#'!$A:$Z,26,FALSE)</f>
        <v>59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29</v>
      </c>
      <c r="AC211" s="4">
        <f>VLOOKUP(A211,'SegEnds_NonXtal_Prot#'!A:AL,10,FALSE)-VLOOKUP(A211,'SegEnds_NonXtal_Prot#'!A:AL,7,FALSE)</f>
        <v>16</v>
      </c>
      <c r="AD211" s="4" t="e">
        <f>VLOOKUP(A211,'SegEnds_NonXtal_Prot#'!A:AL,13,FALSE)-VLOOKUP(A211,'SegEnds_NonXtal_Prot#'!A:AL,10,FALSE)</f>
        <v>#VALUE!</v>
      </c>
      <c r="AE211" s="4">
        <f>VLOOKUP(A211,'SegEnds_NonXtal_Prot#'!A:AL,16,FALSE)-VLOOKUP(A211,'SegEnds_NonXtal_Prot#'!A:AL,10,FALSE)</f>
        <v>49</v>
      </c>
      <c r="AF211" s="1" t="e">
        <f>VLOOKUP(A211,'SegEnds_NonXtal_Prot#'!A:AL,22,FALSE)-VLOOKUP(A211,'SegEnds_NonXtal_Prot#'!A:AL,19,FALSE)</f>
        <v>#VALUE!</v>
      </c>
      <c r="AG211" s="4">
        <f>VLOOKUP(A211,'SegEnds_NonXtal_Prot#'!A:AL,28,FALSE)-VLOOKUP(A211,'SegEnds_NonXtal_Prot#'!A:AL,25,FALSE)</f>
        <v>21</v>
      </c>
      <c r="AH211" s="1">
        <f>VLOOKUP(A211,'SegEnds_NonXtal_Prot#'!A:AL,28,FALSE)-VLOOKUP(A211,'SegEnds_NonXtal_Prot#'!A:AL,22,FALSE)</f>
        <v>44</v>
      </c>
      <c r="AI211" s="4">
        <f>VLOOKUP(A211,'SegEnds_NonXtal_Prot#'!A:AL,31,FALSE)-VLOOKUP(A211,'SegEnds_NonXtal_Prot#'!A:AL,28,FALSE)</f>
        <v>63</v>
      </c>
      <c r="AJ211" s="4">
        <f>VLOOKUP(A211,'SegEnds_NonXtal_Prot#'!A:AL,34,FALSE)-VLOOKUP(A211,'SegEnds_NonXtal_Prot#'!A:AL,31,FALSE)</f>
        <v>38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213</v>
      </c>
      <c r="B212" s="1" t="str">
        <f>VLOOKUP(A212,Xtal_Templ!A:B,2,FALSE)</f>
        <v>5ht2a_human</v>
      </c>
      <c r="C212" s="5">
        <f>VLOOKUP($B212&amp;"__wt",'SegEnds_Xtal_BW#'!$A:$Z,3,FALSE)</f>
        <v>27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08"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7">
        <v>38</v>
      </c>
      <c r="P212" s="1">
        <f>VLOOKUP($B212&amp;"__wt",'SegEnds_Xtal_BW#'!$A:$Z,16,FALSE)</f>
        <v>67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v>35</v>
      </c>
      <c r="T212" s="1">
        <f t="array" ref="T212">INDEX(ICL3_classA!$G$2:$G$37,MATCH(MIN(ABS(AI212-ICL3_classA!$F$2:$F$37)),ABS(AI212-ICL3_classA!$F$2:$F$37),0))</f>
        <v>74</v>
      </c>
      <c r="U212" s="1">
        <f t="array" ref="U212">INDEX(ICL3_classA!$H$2:$H$37,MATCH(MIN(ABS(AI212-ICL3_classA!$F$2:$F$37)),ABS(AI212-ICL3_classA!$F$2:$F$37),0))</f>
        <v>21</v>
      </c>
      <c r="V212" s="1">
        <v>61</v>
      </c>
      <c r="W212" s="1">
        <v>31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29</v>
      </c>
      <c r="AC212" s="1" t="e">
        <f>VLOOKUP(A212,'SegEnds_NonXtal_Prot#'!A:AL,10,FALSE)-VLOOKUP(A212,'SegEnds_NonXtal_Prot#'!A:AL,7,FALSE)</f>
        <v>#VALUE!</v>
      </c>
      <c r="AD212" s="1" t="e">
        <f>VLOOKUP(A212,'SegEnds_NonXtal_Prot#'!A:AL,13,FALSE)-VLOOKUP(A212,'SegEnds_NonXtal_Prot#'!A:AL,10,FALSE)</f>
        <v>#VALUE!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20</v>
      </c>
      <c r="AG212" s="1">
        <f>VLOOKUP(A212,'SegEnds_NonXtal_Prot#'!A:AL,28,FALSE)-VLOOKUP(A212,'SegEnds_NonXtal_Prot#'!A:AL,25,FALSE)</f>
        <v>21</v>
      </c>
      <c r="AH212" s="1">
        <f>VLOOKUP(A212,'SegEnds_NonXtal_Prot#'!A:AL,28,FALSE)-VLOOKUP(A212,'SegEnds_NonXtal_Prot#'!A:AL,22,FALSE)</f>
        <v>46</v>
      </c>
      <c r="AI212" s="1">
        <f>VLOOKUP(A212,'SegEnds_NonXtal_Prot#'!A:AL,31,FALSE)-VLOOKUP(A212,'SegEnds_NonXtal_Prot#'!A:AL,28,FALSE)</f>
        <v>64</v>
      </c>
      <c r="AJ212" s="1">
        <f>VLOOKUP(A212,'SegEnds_NonXtal_Prot#'!A:AL,34,FALSE)-VLOOKUP(A212,'SegEnds_NonXtal_Prot#'!A:AL,31,FALSE)</f>
        <v>36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232</v>
      </c>
      <c r="B213" s="1" t="str">
        <f>VLOOKUP(A213,Xtal_Templ!A:B,2,FALSE)</f>
        <v>ox1r_human</v>
      </c>
      <c r="C213" s="5">
        <f>VLOOKUP($B213&amp;"__wt",'SegEnds_Xtal_BW#'!$A:$Z,3,FALSE)</f>
        <v>32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67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56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32</v>
      </c>
      <c r="T213" s="1">
        <f t="array" ref="T213">INDEX(ICL3_classA!$G$2:$G$37,MATCH(MIN(ABS(AI213-ICL3_classA!$F$2:$F$37)),ABS(AI213-ICL3_classA!$F$2:$F$37),0))</f>
        <v>74</v>
      </c>
      <c r="U213" s="1">
        <f t="array" ref="U213">INDEX(ICL3_classA!$H$2:$H$37,MATCH(MIN(ABS(AI213-ICL3_classA!$F$2:$F$37)),ABS(AI213-ICL3_classA!$F$2:$F$37),0))</f>
        <v>21</v>
      </c>
      <c r="V213" s="1">
        <v>61</v>
      </c>
      <c r="W213" s="1">
        <v>31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58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22</v>
      </c>
      <c r="AE213" s="1">
        <f>VLOOKUP(A213,'SegEnds_NonXtal_Prot#'!A:AL,16,FALSE)-VLOOKUP(A213,'SegEnds_NonXtal_Prot#'!A:AL,10,FALSE)</f>
        <v>55</v>
      </c>
      <c r="AF213" s="1" t="e">
        <f>VLOOKUP(A213,'SegEnds_NonXtal_Prot#'!A:AL,22,FALSE)-VLOOKUP(A213,'SegEnds_NonXtal_Prot#'!A:AL,19,FALSE)</f>
        <v>#VALUE!</v>
      </c>
      <c r="AG213" s="1">
        <f>VLOOKUP(A213,'SegEnds_NonXtal_Prot#'!A:AL,28,FALSE)-VLOOKUP(A213,'SegEnds_NonXtal_Prot#'!A:AL,25,FALSE)</f>
        <v>25</v>
      </c>
      <c r="AH213" s="1">
        <f>VLOOKUP(A213,'SegEnds_NonXtal_Prot#'!A:AL,28,FALSE)-VLOOKUP(A213,'SegEnds_NonXtal_Prot#'!A:AL,22,FALSE)</f>
        <v>50</v>
      </c>
      <c r="AI213" s="1">
        <f>VLOOKUP(A213,'SegEnds_NonXtal_Prot#'!A:AL,31,FALSE)-VLOOKUP(A213,'SegEnds_NonXtal_Prot#'!A:AL,28,FALSE)</f>
        <v>64</v>
      </c>
      <c r="AJ213" s="1">
        <f>VLOOKUP(A213,'SegEnds_NonXtal_Prot#'!A:AL,34,FALSE)-VLOOKUP(A213,'SegEnds_NonXtal_Prot#'!A:AL,31,FALSE)</f>
        <v>36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333</v>
      </c>
      <c r="B214" s="1" t="str">
        <f>VLOOKUP(A214,Xtal_Templ!A:B,2,FALSE)</f>
        <v>opsd_human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62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34</v>
      </c>
      <c r="T214" s="1">
        <f t="array" ref="T214">INDEX(ICL3_classA!$G$2:$G$37,MATCH(MIN(ABS(AI214-ICL3_classA!$F$2:$F$37)),ABS(AI214-ICL3_classA!$F$2:$F$37),0))</f>
        <v>74</v>
      </c>
      <c r="U214" s="1">
        <f t="array" ref="U214">INDEX(ICL3_classA!$H$2:$H$37,MATCH(MIN(ABS(AI214-ICL3_classA!$F$2:$F$37)),ABS(AI214-ICL3_classA!$F$2:$F$37),0))</f>
        <v>21</v>
      </c>
      <c r="V214" s="1">
        <v>61</v>
      </c>
      <c r="W214" s="1">
        <v>31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26</v>
      </c>
      <c r="AH214" s="1">
        <f>VLOOKUP(A214,'SegEnds_NonXtal_Prot#'!A:AL,28,FALSE)-VLOOKUP(A214,'SegEnds_NonXtal_Prot#'!A:AL,22,FALSE)</f>
        <v>52</v>
      </c>
      <c r="AI214" s="1">
        <f>VLOOKUP(A214,'SegEnds_NonXtal_Prot#'!A:AL,31,FALSE)-VLOOKUP(A214,'SegEnds_NonXtal_Prot#'!A:AL,28,FALSE)</f>
        <v>64</v>
      </c>
      <c r="AJ214" s="1">
        <f>VLOOKUP(A214,'SegEnds_NonXtal_Prot#'!A:AL,34,FALSE)-VLOOKUP(A214,'SegEnds_NonXtal_Prot#'!A:AL,31,FALSE)</f>
        <v>36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921</v>
      </c>
      <c r="B215" s="1" t="str">
        <f>VLOOKUP(A215,Xtal_Templ!A:B,2,FALSE)</f>
        <v>opsd_todpa</v>
      </c>
      <c r="C215" s="5">
        <f>VLOOKUP($B215&amp;"__wt",'SegEnds_Xtal_BW#'!$A:$Z,3,FALSE)</f>
        <v>29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69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57</v>
      </c>
      <c r="O215" s="87">
        <f>VLOOKUP($B215&amp;"__wt",'SegEnds_Xtal_BW#'!$A:$Z,15,FALSE)</f>
        <v>38</v>
      </c>
      <c r="P215" s="1">
        <f>VLOOKUP($B215&amp;"__wt",'SegEnds_Xtal_BW#'!$A:$Z,16,FALSE)</f>
        <v>62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INDEX(ICL3_classA!$G$2:$G$37,MATCH(MIN(ABS(AI215-ICL3_classA!$F$2:$F$37)),ABS(AI215-ICL3_classA!$F$2:$F$37),0))</f>
        <v>74</v>
      </c>
      <c r="U215" s="1">
        <f t="array" ref="U215">INDEX(ICL3_classA!$H$2:$H$37,MATCH(MIN(ABS(AI215-ICL3_classA!$F$2:$F$37)),ABS(AI215-ICL3_classA!$F$2:$F$37),0))</f>
        <v>21</v>
      </c>
      <c r="V215" s="1">
        <v>61</v>
      </c>
      <c r="W215" s="1">
        <v>31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58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21</v>
      </c>
      <c r="AE215" s="1">
        <f>VLOOKUP(A215,'SegEnds_NonXtal_Prot#'!A:AL,16,FALSE)-VLOOKUP(A215,'SegEnds_NonXtal_Prot#'!A:AL,10,FALSE)</f>
        <v>53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26</v>
      </c>
      <c r="AH215" s="1">
        <f>VLOOKUP(A215,'SegEnds_NonXtal_Prot#'!A:AL,28,FALSE)-VLOOKUP(A215,'SegEnds_NonXtal_Prot#'!A:AL,22,FALSE)</f>
        <v>52</v>
      </c>
      <c r="AI215" s="1">
        <f>VLOOKUP(A215,'SegEnds_NonXtal_Prot#'!A:AL,31,FALSE)-VLOOKUP(A215,'SegEnds_NonXtal_Prot#'!A:AL,28,FALSE)</f>
        <v>64</v>
      </c>
      <c r="AJ215" s="1">
        <f>VLOOKUP(A215,'SegEnds_NonXtal_Prot#'!A:AL,34,FALSE)-VLOOKUP(A215,'SegEnds_NonXtal_Prot#'!A:AL,31,FALSE)</f>
        <v>36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Xtal</v>
      </c>
    </row>
    <row r="216" spans="1:38" x14ac:dyDescent="0.2">
      <c r="A216" s="1" t="s">
        <v>387</v>
      </c>
      <c r="B216" s="1" t="str">
        <f>VLOOKUP(A216,Xtal_Templ!A:B,2,FALSE)</f>
        <v>drd2_human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68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7">
        <v>38</v>
      </c>
      <c r="P216" s="1">
        <f>VLOOKUP($B216&amp;"__wt",'SegEnds_Xtal_BW#'!$A:$Z,16,FALSE)</f>
        <v>62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v>35</v>
      </c>
      <c r="T216" s="1">
        <f t="array" ref="T216">INDEX(ICL3_classA!$G$2:$G$37,MATCH(MIN(ABS(AI216-ICL3_classA!$F$2:$F$37)),ABS(AI216-ICL3_classA!$F$2:$F$37),0))</f>
        <v>74</v>
      </c>
      <c r="U216" s="1">
        <f t="array" ref="U216">INDEX(ICL3_classA!$H$2:$H$37,MATCH(MIN(ABS(AI216-ICL3_classA!$F$2:$F$37)),ABS(AI216-ICL3_classA!$F$2:$F$37),0))</f>
        <v>21</v>
      </c>
      <c r="V216" s="1">
        <v>61</v>
      </c>
      <c r="W216" s="1">
        <v>31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59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20</v>
      </c>
      <c r="AG216" s="1">
        <f>VLOOKUP(A216,'SegEnds_NonXtal_Prot#'!A:AL,28,FALSE)-VLOOKUP(A216,'SegEnds_NonXtal_Prot#'!A:AL,25,FALSE)</f>
        <v>20</v>
      </c>
      <c r="AH216" s="1">
        <f>VLOOKUP(A216,'SegEnds_NonXtal_Prot#'!A:AL,28,FALSE)-VLOOKUP(A216,'SegEnds_NonXtal_Prot#'!A:AL,22,FALSE)</f>
        <v>54</v>
      </c>
      <c r="AI216" s="1">
        <f>VLOOKUP(A216,'SegEnds_NonXtal_Prot#'!A:AL,31,FALSE)-VLOOKUP(A216,'SegEnds_NonXtal_Prot#'!A:AL,28,FALSE)</f>
        <v>64</v>
      </c>
      <c r="AJ216" s="1">
        <f>VLOOKUP(A216,'SegEnds_NonXtal_Prot#'!A:AL,34,FALSE)-VLOOKUP(A216,'SegEnds_NonXtal_Prot#'!A:AL,31,FALSE)</f>
        <v>35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NoXtal</v>
      </c>
    </row>
    <row r="217" spans="1:38" x14ac:dyDescent="0.2">
      <c r="A217" s="1" t="s">
        <v>391</v>
      </c>
      <c r="B217" s="1" t="str">
        <f>VLOOKUP(A217,Xtal_Templ!A:B,2,FALSE)</f>
        <v>5ht1b_human</v>
      </c>
      <c r="C217" s="5">
        <f>VLOOKUP($B217&amp;"__wt",'SegEnds_Xtal_BW#'!$A:$Z,3,FALSE)</f>
        <v>28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68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7">
        <v>38</v>
      </c>
      <c r="P217" s="1">
        <f>VLOOKUP($B217&amp;"__wt",'SegEnds_Xtal_BW#'!$A:$Z,16,FALSE)</f>
        <v>63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v>35</v>
      </c>
      <c r="T217" s="1">
        <f t="array" ref="T217">INDEX(ICL3_classA!$G$2:$G$37,MATCH(MIN(ABS(AI217-ICL3_classA!$F$2:$F$37)),ABS(AI217-ICL3_classA!$F$2:$F$37),0))</f>
        <v>74</v>
      </c>
      <c r="U217" s="1">
        <f t="array" ref="U217">INDEX(ICL3_classA!$H$2:$H$37,MATCH(MIN(ABS(AI217-ICL3_classA!$F$2:$F$37)),ABS(AI217-ICL3_classA!$F$2:$F$37),0))</f>
        <v>21</v>
      </c>
      <c r="V217" s="1">
        <v>61</v>
      </c>
      <c r="W217" s="1">
        <v>31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>
        <f>VLOOKUP(A217,'SegEnds_NonXtal_Prot#'!A:AL,10,FALSE)-VLOOKUP(A217,'SegEnds_NonXtal_Prot#'!A:AL,7,FALSE)</f>
        <v>15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19</v>
      </c>
      <c r="AH217" s="1">
        <f>VLOOKUP(A217,'SegEnds_NonXtal_Prot#'!A:AL,28,FALSE)-VLOOKUP(A217,'SegEnds_NonXtal_Prot#'!A:AL,22,FALSE)</f>
        <v>52</v>
      </c>
      <c r="AI217" s="1">
        <f>VLOOKUP(A217,'SegEnds_NonXtal_Prot#'!A:AL,31,FALSE)-VLOOKUP(A217,'SegEnds_NonXtal_Prot#'!A:AL,28,FALSE)</f>
        <v>64</v>
      </c>
      <c r="AJ217" s="1">
        <f>VLOOKUP(A217,'SegEnds_NonXtal_Prot#'!A:AL,34,FALSE)-VLOOKUP(A217,'SegEnds_NonXtal_Prot#'!A:AL,31,FALSE)</f>
        <v>35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NoXtal</v>
      </c>
    </row>
    <row r="218" spans="1:38" x14ac:dyDescent="0.2">
      <c r="A218" s="1" t="s">
        <v>392</v>
      </c>
      <c r="B218" s="1" t="str">
        <f>VLOOKUP(A218,Xtal_Templ!A:B,2,FALSE)</f>
        <v>5ht1b_human</v>
      </c>
      <c r="C218" s="5">
        <f>VLOOKUP($B218&amp;"__wt",'SegEnds_Xtal_BW#'!$A:$Z,3,FALSE)</f>
        <v>28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68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v>38</v>
      </c>
      <c r="P218" s="1">
        <f>VLOOKUP($B218&amp;"__wt",'SegEnds_Xtal_BW#'!$A:$Z,16,FALSE)</f>
        <v>63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v>35</v>
      </c>
      <c r="T218" s="1">
        <f t="array" ref="T218">INDEX(ICL3_classA!$G$2:$G$37,MATCH(MIN(ABS(AI218-ICL3_classA!$F$2:$F$37)),ABS(AI218-ICL3_classA!$F$2:$F$37),0))</f>
        <v>74</v>
      </c>
      <c r="U218" s="1">
        <f t="array" ref="U218">INDEX(ICL3_classA!$H$2:$H$37,MATCH(MIN(ABS(AI218-ICL3_classA!$F$2:$F$37)),ABS(AI218-ICL3_classA!$F$2:$F$37),0))</f>
        <v>21</v>
      </c>
      <c r="V218" s="1">
        <v>61</v>
      </c>
      <c r="W218" s="1">
        <v>31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58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19</v>
      </c>
      <c r="AH218" s="1">
        <f>VLOOKUP(A218,'SegEnds_NonXtal_Prot#'!A:AL,28,FALSE)-VLOOKUP(A218,'SegEnds_NonXtal_Prot#'!A:AL,22,FALSE)</f>
        <v>52</v>
      </c>
      <c r="AI218" s="1">
        <f>VLOOKUP(A218,'SegEnds_NonXtal_Prot#'!A:AL,31,FALSE)-VLOOKUP(A218,'SegEnds_NonXtal_Prot#'!A:AL,28,FALSE)</f>
        <v>64</v>
      </c>
      <c r="AJ218" s="1">
        <f>VLOOKUP(A218,'SegEnds_NonXtal_Prot#'!A:AL,34,FALSE)-VLOOKUP(A218,'SegEnds_NonXtal_Prot#'!A:AL,31,FALSE)</f>
        <v>35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393</v>
      </c>
      <c r="B219" s="1" t="str">
        <f>VLOOKUP(A219,Xtal_Templ!A:B,2,FALSE)</f>
        <v>5ht1b_human</v>
      </c>
      <c r="C219" s="5">
        <f>VLOOKUP($B219&amp;"__wt",'SegEnds_Xtal_BW#'!$A:$Z,3,FALSE)</f>
        <v>28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68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7">
        <v>38</v>
      </c>
      <c r="P219" s="1">
        <f>VLOOKUP($B219&amp;"__wt",'SegEnds_Xtal_BW#'!$A:$Z,16,FALSE)</f>
        <v>63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v>35</v>
      </c>
      <c r="T219" s="1">
        <f t="array" ref="T219">INDEX(ICL3_classA!$G$2:$G$37,MATCH(MIN(ABS(AI219-ICL3_classA!$F$2:$F$37)),ABS(AI219-ICL3_classA!$F$2:$F$37),0))</f>
        <v>74</v>
      </c>
      <c r="U219" s="1">
        <f t="array" ref="U219">INDEX(ICL3_classA!$H$2:$H$37,MATCH(MIN(ABS(AI219-ICL3_classA!$F$2:$F$37)),ABS(AI219-ICL3_classA!$F$2:$F$37),0))</f>
        <v>21</v>
      </c>
      <c r="V219" s="1">
        <v>61</v>
      </c>
      <c r="W219" s="1">
        <v>31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58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15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19</v>
      </c>
      <c r="AH219" s="1">
        <f>VLOOKUP(A219,'SegEnds_NonXtal_Prot#'!A:AL,28,FALSE)-VLOOKUP(A219,'SegEnds_NonXtal_Prot#'!A:AL,22,FALSE)</f>
        <v>52</v>
      </c>
      <c r="AI219" s="1">
        <f>VLOOKUP(A219,'SegEnds_NonXtal_Prot#'!A:AL,31,FALSE)-VLOOKUP(A219,'SegEnds_NonXtal_Prot#'!A:AL,28,FALSE)</f>
        <v>64</v>
      </c>
      <c r="AJ219" s="1">
        <f>VLOOKUP(A219,'SegEnds_NonXtal_Prot#'!A:AL,34,FALSE)-VLOOKUP(A219,'SegEnds_NonXtal_Prot#'!A:AL,31,FALSE)</f>
        <v>35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244</v>
      </c>
      <c r="B220" s="1" t="str">
        <f>VLOOKUP(A220,Xtal_Templ!A:B,2,FALSE)</f>
        <v>5ht2b_human</v>
      </c>
      <c r="C220" s="5">
        <f>VLOOKUP($B220&amp;"__wt",'SegEnds_Xtal_BW#'!$A:$Z,3,FALSE)</f>
        <v>31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08"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7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v>35</v>
      </c>
      <c r="T220" s="1">
        <f t="array" ref="T220">INDEX(ICL3_classA!$G$2:$G$37,MATCH(MIN(ABS(AI220-ICL3_classA!$F$2:$F$37)),ABS(AI220-ICL3_classA!$F$2:$F$37),0))</f>
        <v>74</v>
      </c>
      <c r="U220" s="1">
        <f t="array" ref="U220">INDEX(ICL3_classA!$H$2:$H$37,MATCH(MIN(ABS(AI220-ICL3_classA!$F$2:$F$37)),ABS(AI220-ICL3_classA!$F$2:$F$37),0))</f>
        <v>21</v>
      </c>
      <c r="V220" s="1">
        <v>61</v>
      </c>
      <c r="W220" s="1">
        <v>32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58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29</v>
      </c>
      <c r="AC220" s="1">
        <f>VLOOKUP(A220,'SegEnds_NonXtal_Prot#'!A:AL,10,FALSE)-VLOOKUP(A220,'SegEnds_NonXtal_Prot#'!A:AL,7,FALSE)</f>
        <v>16</v>
      </c>
      <c r="AD220" s="1" t="e">
        <f>VLOOKUP(A220,'SegEnds_NonXtal_Prot#'!A:AL,13,FALSE)-VLOOKUP(A220,'SegEnds_NonXtal_Prot#'!A:AL,10,FALSE)</f>
        <v>#VALUE!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21</v>
      </c>
      <c r="AH220" s="1">
        <f>VLOOKUP(A220,'SegEnds_NonXtal_Prot#'!A:AL,28,FALSE)-VLOOKUP(A220,'SegEnds_NonXtal_Prot#'!A:AL,22,FALSE)</f>
        <v>48</v>
      </c>
      <c r="AI220" s="1">
        <f>VLOOKUP(A220,'SegEnds_NonXtal_Prot#'!A:AL,31,FALSE)-VLOOKUP(A220,'SegEnds_NonXtal_Prot#'!A:AL,28,FALSE)</f>
        <v>65</v>
      </c>
      <c r="AJ220" s="1">
        <f>VLOOKUP(A220,'SegEnds_NonXtal_Prot#'!A:AL,34,FALSE)-VLOOKUP(A220,'SegEnds_NonXtal_Prot#'!A:AL,31,FALSE)</f>
        <v>34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222</v>
      </c>
      <c r="B221" s="1" t="str">
        <f>VLOOKUP(A221,Xtal_Templ!A:B,2,FALSE)</f>
        <v>ox2r_human</v>
      </c>
      <c r="C221" s="5">
        <f>VLOOKUP($B221&amp;"__wt",'SegEnds_Xtal_BW#'!$A:$Z,3,FALSE)</f>
        <v>31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68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53</v>
      </c>
      <c r="O221" s="87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33</v>
      </c>
      <c r="T221" s="1">
        <f t="array" ref="T221">INDEX(ICL3_classA!$G$2:$G$37,MATCH(MIN(ABS(AI221-ICL3_classA!$F$2:$F$37)),ABS(AI221-ICL3_classA!$F$2:$F$37),0))</f>
        <v>74</v>
      </c>
      <c r="U221" s="1">
        <f t="array" ref="U221">INDEX(ICL3_classA!$H$2:$H$37,MATCH(MIN(ABS(AI221-ICL3_classA!$F$2:$F$37)),ABS(AI221-ICL3_classA!$F$2:$F$37),0))</f>
        <v>21</v>
      </c>
      <c r="V221" s="1">
        <v>61</v>
      </c>
      <c r="W221" s="132">
        <f>VLOOKUP($B221&amp;"__wt",'SegEnds_Xtal_BW#'!$A:$Z,23,FALSE)</f>
        <v>27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58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33</v>
      </c>
      <c r="AC221" s="1" t="e">
        <f>VLOOKUP(A221,'SegEnds_NonXtal_Prot#'!A:AL,10,FALSE)-VLOOKUP(A221,'SegEnds_NonXtal_Prot#'!A:AL,7,FALSE)</f>
        <v>#VALUE!</v>
      </c>
      <c r="AD221" s="1" t="e">
        <f>VLOOKUP(A221,'SegEnds_NonXtal_Prot#'!A:AL,13,FALSE)-VLOOKUP(A221,'SegEnds_NonXtal_Prot#'!A:AL,10,FALSE)</f>
        <v>#VALUE!</v>
      </c>
      <c r="AE221" s="1">
        <f>VLOOKUP(A221,'SegEnds_NonXtal_Prot#'!A:AL,16,FALSE)-VLOOKUP(A221,'SegEnds_NonXtal_Prot#'!A:AL,10,FALSE)</f>
        <v>54</v>
      </c>
      <c r="AF221" s="1" t="e">
        <f>VLOOKUP(A221,'SegEnds_NonXtal_Prot#'!A:AL,22,FALSE)-VLOOKUP(A221,'SegEnds_NonXtal_Prot#'!A:AL,19,FALSE)</f>
        <v>#VALUE!</v>
      </c>
      <c r="AG221" s="1">
        <f>VLOOKUP(A221,'SegEnds_NonXtal_Prot#'!A:AL,28,FALSE)-VLOOKUP(A221,'SegEnds_NonXtal_Prot#'!A:AL,25,FALSE)</f>
        <v>27</v>
      </c>
      <c r="AH221" s="1">
        <f>VLOOKUP(A221,'SegEnds_NonXtal_Prot#'!A:AL,28,FALSE)-VLOOKUP(A221,'SegEnds_NonXtal_Prot#'!A:AL,22,FALSE)</f>
        <v>75</v>
      </c>
      <c r="AI221" s="1">
        <f>VLOOKUP(A221,'SegEnds_NonXtal_Prot#'!A:AL,31,FALSE)-VLOOKUP(A221,'SegEnds_NonXtal_Prot#'!A:AL,28,FALSE)</f>
        <v>66</v>
      </c>
      <c r="AJ221" s="1">
        <f>VLOOKUP(A221,'SegEnds_NonXtal_Prot#'!A:AL,34,FALSE)-VLOOKUP(A221,'SegEnds_NonXtal_Prot#'!A:AL,31,FALSE)</f>
        <v>39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230</v>
      </c>
      <c r="B222" s="1" t="str">
        <f>VLOOKUP(A222,Xtal_Templ!A:B,2,FALSE)</f>
        <v>5ht2a_human</v>
      </c>
      <c r="C222" s="5">
        <f>VLOOKUP($B222&amp;"__wt",'SegEnds_Xtal_BW#'!$A:$Z,3,FALSE)</f>
        <v>27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68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7">
        <f>VLOOKUP($B222&amp;"__wt",'SegEnds_Xtal_BW#'!$A:$Z,15,FALSE)</f>
        <v>38</v>
      </c>
      <c r="P222" s="1">
        <f>VLOOKUP($B222&amp;"__wt",'SegEnds_Xtal_BW#'!$A:$Z,16,FALSE)</f>
        <v>67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v>35</v>
      </c>
      <c r="T222" s="1">
        <f t="array" ref="T222">INDEX(ICL3_classA!$G$2:$G$37,MATCH(MIN(ABS(AI222-ICL3_classA!$F$2:$F$37)),ABS(AI222-ICL3_classA!$F$2:$F$37),0))</f>
        <v>74</v>
      </c>
      <c r="U222" s="1">
        <f t="array" ref="U222">INDEX(ICL3_classA!$H$2:$H$37,MATCH(MIN(ABS(AI222-ICL3_classA!$F$2:$F$37)),ABS(AI222-ICL3_classA!$F$2:$F$37),0))</f>
        <v>21</v>
      </c>
      <c r="V222" s="1">
        <v>61</v>
      </c>
      <c r="W222" s="1">
        <v>31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60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>
        <f>VLOOKUP(A222,'SegEnds_NonXtal_Prot#'!A:AL,13,FALSE)-VLOOKUP(A222,'SegEnds_NonXtal_Prot#'!A:AL,10,FALSE)</f>
        <v>21</v>
      </c>
      <c r="AE222" s="1">
        <f>VLOOKUP(A222,'SegEnds_NonXtal_Prot#'!A:AL,16,FALSE)-VLOOKUP(A222,'SegEnds_NonXtal_Prot#'!A:AL,10,FALSE)</f>
        <v>53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61</v>
      </c>
      <c r="AH222" s="1">
        <f>VLOOKUP(A222,'SegEnds_NonXtal_Prot#'!A:AL,28,FALSE)-VLOOKUP(A222,'SegEnds_NonXtal_Prot#'!A:AL,22,FALSE)</f>
        <v>87</v>
      </c>
      <c r="AI222" s="1">
        <f>VLOOKUP(A222,'SegEnds_NonXtal_Prot#'!A:AL,31,FALSE)-VLOOKUP(A222,'SegEnds_NonXtal_Prot#'!A:AL,28,FALSE)</f>
        <v>66</v>
      </c>
      <c r="AJ222" s="1">
        <f>VLOOKUP(A222,'SegEnds_NonXtal_Prot#'!A:AL,34,FALSE)-VLOOKUP(A222,'SegEnds_NonXtal_Prot#'!A:AL,31,FALSE)</f>
        <v>36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260</v>
      </c>
      <c r="B223" s="1" t="str">
        <f>VLOOKUP(A223,Xtal_Templ!A:B,2,FALSE)</f>
        <v>5ht2a_human</v>
      </c>
      <c r="C223" s="5">
        <f>VLOOKUP($B223&amp;"__wt",'SegEnds_Xtal_BW#'!$A:$Z,3,FALSE)</f>
        <v>27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08"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7">
        <v>38</v>
      </c>
      <c r="P223" s="1">
        <f>VLOOKUP($B223&amp;"__wt",'SegEnds_Xtal_BW#'!$A:$Z,16,FALSE)</f>
        <v>67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v>35</v>
      </c>
      <c r="T223" s="1">
        <f t="array" ref="T223">INDEX(ICL3_classA!$G$2:$G$37,MATCH(MIN(ABS(AI223-ICL3_classA!$F$2:$F$37)),ABS(AI223-ICL3_classA!$F$2:$F$37),0))</f>
        <v>74</v>
      </c>
      <c r="U223" s="1">
        <f t="array" ref="U223">INDEX(ICL3_classA!$H$2:$H$37,MATCH(MIN(ABS(AI223-ICL3_classA!$F$2:$F$37)),ABS(AI223-ICL3_classA!$F$2:$F$37),0))</f>
        <v>21</v>
      </c>
      <c r="V223" s="1">
        <v>61</v>
      </c>
      <c r="W223" s="1">
        <v>32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60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29</v>
      </c>
      <c r="AC223" s="1">
        <f>VLOOKUP(A223,'SegEnds_NonXtal_Prot#'!A:AL,10,FALSE)-VLOOKUP(A223,'SegEnds_NonXtal_Prot#'!A:AL,7,FALSE)</f>
        <v>16</v>
      </c>
      <c r="AD223" s="1" t="e">
        <f>VLOOKUP(A223,'SegEnds_NonXtal_Prot#'!A:AL,13,FALSE)-VLOOKUP(A223,'SegEnds_NonXtal_Prot#'!A:AL,10,FALSE)</f>
        <v>#VALUE!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21</v>
      </c>
      <c r="AH223" s="1">
        <f>VLOOKUP(A223,'SegEnds_NonXtal_Prot#'!A:AL,28,FALSE)-VLOOKUP(A223,'SegEnds_NonXtal_Prot#'!A:AL,22,FALSE)</f>
        <v>48</v>
      </c>
      <c r="AI223" s="1">
        <f>VLOOKUP(A223,'SegEnds_NonXtal_Prot#'!A:AL,31,FALSE)-VLOOKUP(A223,'SegEnds_NonXtal_Prot#'!A:AL,28,FALSE)</f>
        <v>66</v>
      </c>
      <c r="AJ223" s="1">
        <f>VLOOKUP(A223,'SegEnds_NonXtal_Prot#'!A:AL,34,FALSE)-VLOOKUP(A223,'SegEnds_NonXtal_Prot#'!A:AL,31,FALSE)</f>
        <v>34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INDEX(ICL3_classA!$G$2:$G$37,MATCH(MIN(ABS(AI224-ICL3_classA!$F$2:$F$37)),ABS(AI224-ICL3_classA!$F$2:$F$37),0))</f>
        <v>76</v>
      </c>
      <c r="U224" s="1">
        <f t="array" ref="U224">INDEX(ICL3_classA!$H$2:$H$37,MATCH(MIN(ABS(AI224-ICL3_classA!$F$2:$F$37)),ABS(AI224-ICL3_classA!$F$2:$F$37),0))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62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31</v>
      </c>
      <c r="AC224" s="1" t="e">
        <f>VLOOKUP(A224,'SegEnds_NonXtal_Prot#'!A:AL,10,FALSE)-VLOOKUP(A224,'SegEnds_NonXtal_Prot#'!A:AL,7,FALSE)</f>
        <v>#VALUE!</v>
      </c>
      <c r="AD224" s="1" t="e">
        <f>VLOOKUP(A224,'SegEnds_NonXtal_Prot#'!A:AL,13,FALSE)-VLOOKUP(A224,'SegEnds_NonXtal_Prot#'!A:AL,10,FALSE)</f>
        <v>#VALUE!</v>
      </c>
      <c r="AE224" s="1">
        <f>VLOOKUP(A224,'SegEnds_NonXtal_Prot#'!A:AL,16,FALSE)-VLOOKUP(A224,'SegEnds_NonXtal_Prot#'!A:AL,10,FALSE)</f>
        <v>54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21</v>
      </c>
      <c r="AH224" s="1">
        <f>VLOOKUP(A224,'SegEnds_NonXtal_Prot#'!A:AL,28,FALSE)-VLOOKUP(A224,'SegEnds_NonXtal_Prot#'!A:AL,22,FALSE)</f>
        <v>71</v>
      </c>
      <c r="AI224" s="1">
        <f>VLOOKUP(A224,'SegEnds_NonXtal_Prot#'!A:AL,31,FALSE)-VLOOKUP(A224,'SegEnds_NonXtal_Prot#'!A:AL,28,FALSE)</f>
        <v>67</v>
      </c>
      <c r="AJ224" s="1">
        <f>VLOOKUP(A224,'SegEnds_NonXtal_Prot#'!A:AL,34,FALSE)-VLOOKUP(A224,'SegEnds_NonXtal_Prot#'!A:AL,31,FALSE)</f>
        <v>43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271</v>
      </c>
      <c r="B225" s="1" t="str">
        <f>VLOOKUP(A225,Xtal_Templ!A:B,2,FALSE)</f>
        <v>5ht2c_human</v>
      </c>
      <c r="C225" s="5">
        <f>VLOOKUP($B225&amp;"__wt",'SegEnds_Xtal_BW#'!$A:$Z,3,FALSE)</f>
        <v>33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7">
        <f>VLOOKUP($B225&amp;"__wt",'SegEnds_Xtal_BW#'!$A:$Z,15,FALSE)</f>
        <v>38</v>
      </c>
      <c r="P225" s="1">
        <f>VLOOKUP($B225&amp;"__wt",'SegEnds_Xtal_BW#'!$A:$Z,16,FALSE)</f>
        <v>67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v>35</v>
      </c>
      <c r="T225" s="1">
        <f t="array" ref="T225">INDEX(ICL3_classA!$G$2:$G$37,MATCH(MIN(ABS(AI225-ICL3_classA!$F$2:$F$37)),ABS(AI225-ICL3_classA!$F$2:$F$37),0))</f>
        <v>76</v>
      </c>
      <c r="U225" s="1">
        <f t="array" ref="U225">INDEX(ICL3_classA!$H$2:$H$37,MATCH(MIN(ABS(AI225-ICL3_classA!$F$2:$F$37)),ABS(AI225-ICL3_classA!$F$2:$F$37),0))</f>
        <v>24</v>
      </c>
      <c r="V225" s="1">
        <v>61</v>
      </c>
      <c r="W225" s="1">
        <v>31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60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28</v>
      </c>
      <c r="AC225" s="1">
        <f>VLOOKUP(A225,'SegEnds_NonXtal_Prot#'!A:AL,10,FALSE)-VLOOKUP(A225,'SegEnds_NonXtal_Prot#'!A:AL,7,FALSE)</f>
        <v>15</v>
      </c>
      <c r="AD225" s="1">
        <f>VLOOKUP(A225,'SegEnds_NonXtal_Prot#'!A:AL,13,FALSE)-VLOOKUP(A225,'SegEnds_NonXtal_Prot#'!A:AL,10,FALSE)</f>
        <v>21</v>
      </c>
      <c r="AE225" s="1">
        <f>VLOOKUP(A225,'SegEnds_NonXtal_Prot#'!A:AL,16,FALSE)-VLOOKUP(A225,'SegEnds_NonXtal_Prot#'!A:AL,10,FALSE)</f>
        <v>53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61</v>
      </c>
      <c r="AH225" s="1">
        <f>VLOOKUP(A225,'SegEnds_NonXtal_Prot#'!A:AL,28,FALSE)-VLOOKUP(A225,'SegEnds_NonXtal_Prot#'!A:AL,22,FALSE)</f>
        <v>87</v>
      </c>
      <c r="AI225" s="1">
        <f>VLOOKUP(A225,'SegEnds_NonXtal_Prot#'!A:AL,31,FALSE)-VLOOKUP(A225,'SegEnds_NonXtal_Prot#'!A:AL,28,FALSE)</f>
        <v>67</v>
      </c>
      <c r="AJ225" s="1">
        <f>VLOOKUP(A225,'SegEnds_NonXtal_Prot#'!A:AL,34,FALSE)-VLOOKUP(A225,'SegEnds_NonXtal_Prot#'!A:AL,31,FALSE)</f>
        <v>36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324</v>
      </c>
      <c r="B226" s="1" t="str">
        <f>VLOOKUP(A226,Xtal_Templ!A:B,2,FALSE)</f>
        <v>5ht2c_human</v>
      </c>
      <c r="C226" s="5">
        <f>VLOOKUP($B226&amp;"__wt",'SegEnds_Xtal_BW#'!$A:$Z,3,FALSE)</f>
        <v>33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v>53</v>
      </c>
      <c r="O226" s="87">
        <v>38</v>
      </c>
      <c r="P226" s="1">
        <f>VLOOKUP($B226&amp;"__wt",'SegEnds_Xtal_BW#'!$A:$Z,16,FALSE)</f>
        <v>67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35</v>
      </c>
      <c r="T226" s="1">
        <f t="array" ref="T226">INDEX(ICL3_classA!$G$2:$G$37,MATCH(MIN(ABS(AI226-ICL3_classA!$F$2:$F$37)),ABS(AI226-ICL3_classA!$F$2:$F$37),0))</f>
        <v>76</v>
      </c>
      <c r="U226" s="1">
        <f t="array" ref="U226">INDEX(ICL3_classA!$H$2:$H$37,MATCH(MIN(ABS(AI226-ICL3_classA!$F$2:$F$37)),ABS(AI226-ICL3_classA!$F$2:$F$37),0))</f>
        <v>24</v>
      </c>
      <c r="V226" s="1">
        <v>61</v>
      </c>
      <c r="W226" s="132">
        <f>VLOOKUP($B226&amp;"__wt",'SegEnds_Xtal_BW#'!$A:$Z,23,FALSE)</f>
        <v>27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60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27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18</v>
      </c>
      <c r="AG226" s="1">
        <f>VLOOKUP(A226,'SegEnds_NonXtal_Prot#'!A:AL,28,FALSE)-VLOOKUP(A226,'SegEnds_NonXtal_Prot#'!A:AL,25,FALSE)</f>
        <v>25</v>
      </c>
      <c r="AH226" s="1">
        <f>VLOOKUP(A226,'SegEnds_NonXtal_Prot#'!A:AL,28,FALSE)-VLOOKUP(A226,'SegEnds_NonXtal_Prot#'!A:AL,22,FALSE)</f>
        <v>51</v>
      </c>
      <c r="AI226" s="1">
        <f>VLOOKUP(A226,'SegEnds_NonXtal_Prot#'!A:AL,31,FALSE)-VLOOKUP(A226,'SegEnds_NonXtal_Prot#'!A:AL,28,FALSE)</f>
        <v>67</v>
      </c>
      <c r="AJ226" s="1">
        <f>VLOOKUP(A226,'SegEnds_NonXtal_Prot#'!A:AL,34,FALSE)-VLOOKUP(A226,'SegEnds_NonXtal_Prot#'!A:AL,31,FALSE)</f>
        <v>38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NoXtal</v>
      </c>
    </row>
    <row r="227" spans="1:38" x14ac:dyDescent="0.2">
      <c r="A227" s="1" t="s">
        <v>220</v>
      </c>
      <c r="B227" s="1" t="str">
        <f>VLOOKUP(A227,Xtal_Templ!A:B,2,FALSE)</f>
        <v>aa1r_human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v>66</v>
      </c>
      <c r="I227" s="1">
        <f>VLOOKUP($B227&amp;"__wt",'SegEnds_Xtal_BW#'!$A:$Z,9,FALSE)</f>
        <v>50</v>
      </c>
      <c r="J227" s="1">
        <f>VLOOKUP($B227&amp;"__wt",'SegEnds_Xtal_BW#'!$A:$Z,10,FALSE)</f>
        <v>52</v>
      </c>
      <c r="K227" s="12">
        <v>24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7">
        <v>38</v>
      </c>
      <c r="P227" s="1">
        <f>VLOOKUP($B227&amp;"__wt",'SegEnds_Xtal_BW#'!$A:$Z,16,FALSE)</f>
        <v>63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v>35</v>
      </c>
      <c r="T227" s="1">
        <f t="array" ref="T227">INDEX(ICL3_classA!$G$2:$G$37,MATCH(MIN(ABS(AI227-ICL3_classA!$F$2:$F$37)),ABS(AI227-ICL3_classA!$F$2:$F$37),0))</f>
        <v>76</v>
      </c>
      <c r="U227" s="1">
        <f t="array" ref="U227">INDEX(ICL3_classA!$H$2:$H$37,MATCH(MIN(ABS(AI227-ICL3_classA!$F$2:$F$37)),ABS(AI227-ICL3_classA!$F$2:$F$37),0))</f>
        <v>24</v>
      </c>
      <c r="V227" s="1">
        <v>58</v>
      </c>
      <c r="W227" s="1">
        <v>36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69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29</v>
      </c>
      <c r="AC227" s="1">
        <f>VLOOKUP(A227,'SegEnds_NonXtal_Prot#'!A:AL,10,FALSE)-VLOOKUP(A227,'SegEnds_NonXtal_Prot#'!A:AL,7,FALSE)</f>
        <v>16</v>
      </c>
      <c r="AD227" s="1">
        <f>VLOOKUP(A227,'SegEnds_NonXtal_Prot#'!A:AL,13,FALSE)-VLOOKUP(A227,'SegEnds_NonXtal_Prot#'!A:AL,10,FALSE)</f>
        <v>18</v>
      </c>
      <c r="AE227" s="1">
        <f>VLOOKUP(A227,'SegEnds_NonXtal_Prot#'!A:AL,16,FALSE)-VLOOKUP(A227,'SegEnds_NonXtal_Prot#'!A:AL,10,FALSE)</f>
        <v>50</v>
      </c>
      <c r="AF227" s="1">
        <f>VLOOKUP(A227,'SegEnds_NonXtal_Prot#'!A:AL,22,FALSE)-VLOOKUP(A227,'SegEnds_NonXtal_Prot#'!A:AL,19,FALSE)</f>
        <v>20</v>
      </c>
      <c r="AG227" s="1" t="e">
        <f>VLOOKUP(A227,'SegEnds_NonXtal_Prot#'!A:AL,28,FALSE)-VLOOKUP(A227,'SegEnds_NonXtal_Prot#'!A:AL,25,FALSE)</f>
        <v>#VALUE!</v>
      </c>
      <c r="AH227" s="1">
        <f>VLOOKUP(A227,'SegEnds_NonXtal_Prot#'!A:AL,28,FALSE)-VLOOKUP(A227,'SegEnds_NonXtal_Prot#'!A:AL,22,FALSE)</f>
        <v>38</v>
      </c>
      <c r="AI227" s="1">
        <f>VLOOKUP(A227,'SegEnds_NonXtal_Prot#'!A:AL,31,FALSE)-VLOOKUP(A227,'SegEnds_NonXtal_Prot#'!A:AL,28,FALSE)</f>
        <v>68</v>
      </c>
      <c r="AJ227" s="1">
        <f>VLOOKUP(A227,'SegEnds_NonXtal_Prot#'!A:AL,34,FALSE)-VLOOKUP(A227,'SegEnds_NonXtal_Prot#'!A:AL,31,FALSE)</f>
        <v>30</v>
      </c>
      <c r="AK227" s="1">
        <f>VLOOKUP(A227,'SegEnds_NonXtal_Prot#'!A:AL,37,FALSE)-VLOOKUP(A227,'SegEnds_NonXtal_Prot#'!A:AL,34,FALSE)</f>
        <v>11</v>
      </c>
      <c r="AL227" s="1" t="str">
        <f>IF(ISERROR(MATCH(A227,'SegEnds_Xtal_Prot#'!B:B, 0)), "NoXtal", "Xtal")</f>
        <v>NoXtal</v>
      </c>
    </row>
    <row r="228" spans="1:38" x14ac:dyDescent="0.2">
      <c r="A228" s="1" t="s">
        <v>359</v>
      </c>
      <c r="B228" s="1" t="str">
        <f>VLOOKUP(A228,Xtal_Templ!A:B,2,FALSE)</f>
        <v>pe2r4_human</v>
      </c>
      <c r="C228" s="5">
        <f>VLOOKUP($B228&amp;"__wt",'SegEnds_Xtal_BW#'!$A:$Z,3,FALSE)</f>
        <v>33</v>
      </c>
      <c r="D228" s="1">
        <f>VLOOKUP($B228&amp;"__wt",'SegEnds_Xtal_BW#'!$A:$Z,4,FALSE)</f>
        <v>58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67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7">
        <f>VLOOKUP($B228&amp;"__wt",'SegEnds_Xtal_BW#'!$A:$Z,15,FALSE)</f>
        <v>38</v>
      </c>
      <c r="P228" s="1">
        <f>VLOOKUP($B228&amp;"__wt",'SegEnds_Xtal_BW#'!$A:$Z,16,FALSE)</f>
        <v>63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33</v>
      </c>
      <c r="T228" s="1">
        <f t="array" ref="T228">INDEX(ICL3_classA!$G$2:$G$37,MATCH(MIN(ABS(AI228-ICL3_classA!$F$2:$F$37)),ABS(AI228-ICL3_classA!$F$2:$F$37),0))</f>
        <v>76</v>
      </c>
      <c r="U228" s="1">
        <f t="array" ref="U228">INDEX(ICL3_classA!$H$2:$H$37,MATCH(MIN(ABS(AI228-ICL3_classA!$F$2:$F$37)),ABS(AI228-ICL3_classA!$F$2:$F$37),0))</f>
        <v>24</v>
      </c>
      <c r="V228" s="1">
        <v>61</v>
      </c>
      <c r="W228" s="1">
        <v>28</v>
      </c>
      <c r="X228" s="125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60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38</v>
      </c>
      <c r="AC228" s="1" t="e">
        <f>VLOOKUP(A228,'SegEnds_NonXtal_Prot#'!A:AL,10,FALSE)-VLOOKUP(A228,'SegEnds_NonXtal_Prot#'!A:AL,7,FALSE)</f>
        <v>#VALUE!</v>
      </c>
      <c r="AD228" s="1" t="e">
        <f>VLOOKUP(A228,'SegEnds_NonXtal_Prot#'!A:AL,13,FALSE)-VLOOKUP(A228,'SegEnds_NonXtal_Prot#'!A:AL,10,FALSE)</f>
        <v>#VALUE!</v>
      </c>
      <c r="AE228" s="1">
        <f>VLOOKUP(A228,'SegEnds_NonXtal_Prot#'!A:AL,16,FALSE)-VLOOKUP(A228,'SegEnds_NonXtal_Prot#'!A:AL,10,FALSE)</f>
        <v>58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29</v>
      </c>
      <c r="AH228" s="1">
        <f>VLOOKUP(A228,'SegEnds_NonXtal_Prot#'!A:AL,28,FALSE)-VLOOKUP(A228,'SegEnds_NonXtal_Prot#'!A:AL,22,FALSE)</f>
        <v>55</v>
      </c>
      <c r="AI228" s="1">
        <f>VLOOKUP(A228,'SegEnds_NonXtal_Prot#'!A:AL,31,FALSE)-VLOOKUP(A228,'SegEnds_NonXtal_Prot#'!A:AL,28,FALSE)</f>
        <v>68</v>
      </c>
      <c r="AJ228" s="1">
        <f>VLOOKUP(A228,'SegEnds_NonXtal_Prot#'!A:AL,34,FALSE)-VLOOKUP(A228,'SegEnds_NonXtal_Prot#'!A:AL,31,FALSE)</f>
        <v>40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NoXtal</v>
      </c>
    </row>
    <row r="229" spans="1:38" x14ac:dyDescent="0.2">
      <c r="A229" s="4" t="s">
        <v>318</v>
      </c>
      <c r="B229" s="4" t="str">
        <f>VLOOKUP(A229,Xtal_Templ!A:B,2,FALSE)</f>
        <v>ntr1_rat</v>
      </c>
      <c r="C229" s="5">
        <f>VLOOKUP($B229&amp;"__wt",'SegEnds_Xtal_BW#'!$A:$Z,3,FALSE)</f>
        <v>29</v>
      </c>
      <c r="D229" s="4">
        <f>VLOOKUP($B229&amp;"__wt",'SegEnds_Xtal_BW#'!$A:$Z,4,FALSE)</f>
        <v>60</v>
      </c>
      <c r="E229" s="4" t="str">
        <f>VLOOKUP($B229&amp;"__wt",'SegEnds_Xtal_BW#'!$A:$Z,5,FALSE)</f>
        <v>-</v>
      </c>
      <c r="F229" s="4" t="str">
        <f>VLOOKUP($B229&amp;"__wt",'SegEnds_Xtal_BW#'!$A:$Z,6,FALSE)</f>
        <v>-</v>
      </c>
      <c r="G229" s="4">
        <v>37</v>
      </c>
      <c r="H229" s="11">
        <v>66</v>
      </c>
      <c r="I229" s="4">
        <f>VLOOKUP($B229&amp;"__wt",'SegEnds_Xtal_BW#'!$A:$Z,9,FALSE)</f>
        <v>49</v>
      </c>
      <c r="J229" s="4">
        <f>VLOOKUP($B229&amp;"__wt",'SegEnds_Xtal_BW#'!$A:$Z,10,FALSE)</f>
        <v>52</v>
      </c>
      <c r="K229" s="11">
        <v>18</v>
      </c>
      <c r="L229" s="4">
        <f>VLOOKUP($B229&amp;"__wt",'SegEnds_Xtal_BW#'!$A:$Z,12,FALSE)</f>
        <v>56</v>
      </c>
      <c r="M229" s="4">
        <f>VLOOKUP($B229&amp;"__wt",'SegEnds_Xtal_BW#'!$A:$Z,13,FALSE)</f>
        <v>50</v>
      </c>
      <c r="N229" s="11">
        <v>57</v>
      </c>
      <c r="O229" s="87">
        <f>VLOOKUP($B229&amp;"__wt",'SegEnds_Xtal_BW#'!$A:$Z,15,FALSE)</f>
        <v>38</v>
      </c>
      <c r="P229" s="4">
        <f>VLOOKUP($B229&amp;"__wt",'SegEnds_Xtal_BW#'!$A:$Z,16,FALSE)</f>
        <v>64</v>
      </c>
      <c r="Q229" s="4">
        <f>VLOOKUP($B229&amp;"__wt",'SegEnds_Xtal_BW#'!$A:$Z,17,FALSE)</f>
        <v>50</v>
      </c>
      <c r="R229" s="4">
        <f>VLOOKUP($B229&amp;"__wt",'SegEnds_Xtal_BW#'!$A:$Z,18,FALSE)</f>
        <v>52</v>
      </c>
      <c r="S229" s="4">
        <f>VLOOKUP($B229&amp;"__wt",'SegEnds_Xtal_BW#'!$A:$Z,19,FALSE)</f>
        <v>32</v>
      </c>
      <c r="T229" s="4">
        <f t="array" ref="T229">INDEX(ICL3_classA!$G$2:$G$37,MATCH(MIN(ABS(AI229-ICL3_classA!$F$2:$F$37)),ABS(AI229-ICL3_classA!$F$2:$F$37),0))</f>
        <v>76</v>
      </c>
      <c r="U229" s="4">
        <f t="array" ref="U229">INDEX(ICL3_classA!$H$2:$H$37,MATCH(MIN(ABS(AI229-ICL3_classA!$F$2:$F$37)),ABS(AI229-ICL3_classA!$F$2:$F$37),0))</f>
        <v>24</v>
      </c>
      <c r="V229" s="4">
        <v>61</v>
      </c>
      <c r="W229" s="4">
        <v>28</v>
      </c>
      <c r="X229" s="4">
        <f>VLOOKUP($B229&amp;"__wt",'SegEnds_Xtal_BW#'!$A:$Z,24,FALSE)</f>
        <v>56</v>
      </c>
      <c r="Y229" s="4">
        <f>VLOOKUP($B229&amp;"__wt",'SegEnds_Xtal_BW#'!$A:$Z,25,FALSE)</f>
        <v>47</v>
      </c>
      <c r="Z229" s="4">
        <f>VLOOKUP($B229&amp;"__wt",'SegEnds_Xtal_BW#'!$A:$Z,26,FALSE)</f>
        <v>62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4">
        <f>VLOOKUP(A229,'SegEnds_NonXtal_Prot#'!A:AL,10,FALSE)-VLOOKUP(A229,'SegEnds_NonXtal_Prot#'!A:AL,7,FALSE)</f>
        <v>15</v>
      </c>
      <c r="AD229" s="4">
        <f>VLOOKUP(A229,'SegEnds_NonXtal_Prot#'!A:AL,13,FALSE)-VLOOKUP(A229,'SegEnds_NonXtal_Prot#'!A:AL,10,FALSE)</f>
        <v>19</v>
      </c>
      <c r="AE229" s="4">
        <f>VLOOKUP(A229,'SegEnds_NonXtal_Prot#'!A:AL,16,FALSE)-VLOOKUP(A229,'SegEnds_NonXtal_Prot#'!A:AL,10,FALSE)</f>
        <v>53</v>
      </c>
      <c r="AF229" s="1">
        <f>VLOOKUP(A229,'SegEnds_NonXtal_Prot#'!A:AL,22,FALSE)-VLOOKUP(A229,'SegEnds_NonXtal_Prot#'!A:AL,19,FALSE)</f>
        <v>20</v>
      </c>
      <c r="AG229" s="4">
        <f>VLOOKUP(A229,'SegEnds_NonXtal_Prot#'!A:AL,28,FALSE)-VLOOKUP(A229,'SegEnds_NonXtal_Prot#'!A:AL,25,FALSE)</f>
        <v>24</v>
      </c>
      <c r="AH229" s="1">
        <f>VLOOKUP(A229,'SegEnds_NonXtal_Prot#'!A:AL,28,FALSE)-VLOOKUP(A229,'SegEnds_NonXtal_Prot#'!A:AL,22,FALSE)</f>
        <v>57</v>
      </c>
      <c r="AI229" s="4">
        <f>VLOOKUP(A229,'SegEnds_NonXtal_Prot#'!A:AL,31,FALSE)-VLOOKUP(A229,'SegEnds_NonXtal_Prot#'!A:AL,28,FALSE)</f>
        <v>69</v>
      </c>
      <c r="AJ229" s="4">
        <f>VLOOKUP(A229,'SegEnds_NonXtal_Prot#'!A:AL,34,FALSE)-VLOOKUP(A229,'SegEnds_NonXtal_Prot#'!A:AL,31,FALSE)</f>
        <v>41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399</v>
      </c>
      <c r="B230" s="1" t="str">
        <f>VLOOKUP(A230,Xtal_Templ!A:B,2,FALSE)</f>
        <v>ntr1_rat</v>
      </c>
      <c r="C230" s="5">
        <f>VLOOKUP($B230&amp;"__wt",'SegEnds_Xtal_BW#'!$A:$Z,3,FALSE)</f>
        <v>29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08"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INDEX(ICL3_classA!$G$2:$G$37,MATCH(MIN(ABS(AI230-ICL3_classA!$F$2:$F$37)),ABS(AI230-ICL3_classA!$F$2:$F$37),0))</f>
        <v>76</v>
      </c>
      <c r="U230" s="1">
        <f t="array" ref="U230">INDEX(ICL3_classA!$H$2:$H$37,MATCH(MIN(ABS(AI230-ICL3_classA!$F$2:$F$37)),ABS(AI230-ICL3_classA!$F$2:$F$37),0))</f>
        <v>24</v>
      </c>
      <c r="V230" s="1">
        <v>61</v>
      </c>
      <c r="W230" s="1">
        <v>31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62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30</v>
      </c>
      <c r="AC230" s="1">
        <f>VLOOKUP(A230,'SegEnds_NonXtal_Prot#'!A:AL,10,FALSE)-VLOOKUP(A230,'SegEnds_NonXtal_Prot#'!A:AL,7,FALSE)</f>
        <v>16</v>
      </c>
      <c r="AD230" s="1">
        <f>VLOOKUP(A230,'SegEnds_NonXtal_Prot#'!A:AL,13,FALSE)-VLOOKUP(A230,'SegEnds_NonXtal_Prot#'!A:AL,10,FALSE)</f>
        <v>18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25</v>
      </c>
      <c r="AH230" s="1">
        <f>VLOOKUP(A230,'SegEnds_NonXtal_Prot#'!A:AL,28,FALSE)-VLOOKUP(A230,'SegEnds_NonXtal_Prot#'!A:AL,22,FALSE)</f>
        <v>53</v>
      </c>
      <c r="AI230" s="1">
        <f>VLOOKUP(A230,'SegEnds_NonXtal_Prot#'!A:AL,31,FALSE)-VLOOKUP(A230,'SegEnds_NonXtal_Prot#'!A:AL,28,FALSE)</f>
        <v>69</v>
      </c>
      <c r="AJ230" s="1">
        <f>VLOOKUP(A230,'SegEnds_NonXtal_Prot#'!A:AL,34,FALSE)-VLOOKUP(A230,'SegEnds_NonXtal_Prot#'!A:AL,31,FALSE)</f>
        <v>36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134</v>
      </c>
      <c r="B231" s="1" t="str">
        <f>VLOOKUP(A231,Xtal_Templ!A:B,2,FALSE)</f>
        <v>drd2_human</v>
      </c>
      <c r="C231" s="5">
        <f>VLOOKUP($B231&amp;"__wt",'SegEnds_Xtal_BW#'!$A:$Z,3,FALSE)</f>
        <v>29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68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7">
        <v>38</v>
      </c>
      <c r="P231" s="1">
        <f>VLOOKUP($B231&amp;"__wt",'SegEnds_Xtal_BW#'!$A:$Z,16,FALSE)</f>
        <v>62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35</v>
      </c>
      <c r="T231" s="1">
        <f t="array" ref="T231">INDEX(ICL3_classA!$G$2:$G$37,MATCH(MIN(ABS(AI231-ICL3_classA!$F$2:$F$37)),ABS(AI231-ICL3_classA!$F$2:$F$37),0))</f>
        <v>76</v>
      </c>
      <c r="U231" s="1">
        <f t="array" ref="U231">INDEX(ICL3_classA!$H$2:$H$37,MATCH(MIN(ABS(AI231-ICL3_classA!$F$2:$F$37)),ABS(AI231-ICL3_classA!$F$2:$F$37),0))</f>
        <v>24</v>
      </c>
      <c r="V231" s="1">
        <v>61</v>
      </c>
      <c r="W231" s="1">
        <v>31</v>
      </c>
      <c r="X231" s="126"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29</v>
      </c>
      <c r="AC231" s="1">
        <f>VLOOKUP(A231,'SegEnds_NonXtal_Prot#'!A:AL,10,FALSE)-VLOOKUP(A231,'SegEnds_NonXtal_Prot#'!A:AL,7,FALSE)</f>
        <v>16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20</v>
      </c>
      <c r="AH231" s="1">
        <f>VLOOKUP(A231,'SegEnds_NonXtal_Prot#'!A:AL,28,FALSE)-VLOOKUP(A231,'SegEnds_NonXtal_Prot#'!A:AL,22,FALSE)</f>
        <v>58</v>
      </c>
      <c r="AI231" s="1">
        <f>VLOOKUP(A231,'SegEnds_NonXtal_Prot#'!A:AL,31,FALSE)-VLOOKUP(A231,'SegEnds_NonXtal_Prot#'!A:AL,28,FALSE)</f>
        <v>70</v>
      </c>
      <c r="AJ231" s="1">
        <f>VLOOKUP(A231,'SegEnds_NonXtal_Prot#'!A:AL,34,FALSE)-VLOOKUP(A231,'SegEnds_NonXtal_Prot#'!A:AL,31,FALSE)</f>
        <v>35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1" t="s">
        <v>127</v>
      </c>
      <c r="B232" s="1" t="str">
        <f>VLOOKUP(A232,Xtal_Templ!A:B,2,FALSE)</f>
        <v>ntr1_human</v>
      </c>
      <c r="C232" s="5">
        <f>VLOOKUP($B232&amp;"__wt",'SegEnds_Xtal_BW#'!$A:$Z,3,FALSE)</f>
        <v>28</v>
      </c>
      <c r="D232" s="1">
        <f>VLOOKUP($B232&amp;"__wt",'SegEnds_Xtal_BW#'!$A:$Z,4,FALSE)</f>
        <v>60</v>
      </c>
      <c r="E232" s="1" t="str">
        <f>VLOOKUP($B232&amp;"__wt",'SegEnds_Xtal_BW#'!$A:$Z,5,FALSE)</f>
        <v>-</v>
      </c>
      <c r="F232" s="1" t="str">
        <f>VLOOKUP($B232&amp;"__wt",'SegEnds_Xtal_BW#'!$A:$Z,6,FALSE)</f>
        <v>-</v>
      </c>
      <c r="G232" s="1">
        <v>37</v>
      </c>
      <c r="H232" s="12">
        <f>VLOOKUP($B232&amp;"__wt",'SegEnds_Xtal_BW#'!$A:$Z,8,FALSE)</f>
        <v>68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f>VLOOKUP($B232&amp;"__wt",'SegEnds_Xtal_BW#'!$A:$Z,14,FALSE)</f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INDEX(ICL3_classA!$G$2:$G$37,MATCH(MIN(ABS(AI232-ICL3_classA!$F$2:$F$37)),ABS(AI232-ICL3_classA!$F$2:$F$37),0))</f>
        <v>76</v>
      </c>
      <c r="U232" s="1">
        <f t="array" ref="U232">INDEX(ICL3_classA!$H$2:$H$37,MATCH(MIN(ABS(AI232-ICL3_classA!$F$2:$F$37)),ABS(AI232-ICL3_classA!$F$2:$F$37),0))</f>
        <v>24</v>
      </c>
      <c r="V232" s="1">
        <v>61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62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31</v>
      </c>
      <c r="AC232" s="1" t="e">
        <f>VLOOKUP(A232,'SegEnds_NonXtal_Prot#'!A:AL,10,FALSE)-VLOOKUP(A232,'SegEnds_NonXtal_Prot#'!A:AL,7,FALSE)</f>
        <v>#VALUE!</v>
      </c>
      <c r="AD232" s="1">
        <f>VLOOKUP(A232,'SegEnds_NonXtal_Prot#'!A:AL,13,FALSE)-VLOOKUP(A232,'SegEnds_NonXtal_Prot#'!A:AL,10,FALSE)</f>
        <v>22</v>
      </c>
      <c r="AE232" s="1">
        <f>VLOOKUP(A232,'SegEnds_NonXtal_Prot#'!A:AL,16,FALSE)-VLOOKUP(A232,'SegEnds_NonXtal_Prot#'!A:AL,10,FALSE)</f>
        <v>54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24</v>
      </c>
      <c r="AH232" s="1">
        <f>VLOOKUP(A232,'SegEnds_NonXtal_Prot#'!A:AL,28,FALSE)-VLOOKUP(A232,'SegEnds_NonXtal_Prot#'!A:AL,22,FALSE)</f>
        <v>55</v>
      </c>
      <c r="AI232" s="1">
        <f>VLOOKUP(A232,'SegEnds_NonXtal_Prot#'!A:AL,31,FALSE)-VLOOKUP(A232,'SegEnds_NonXtal_Prot#'!A:AL,28,FALSE)</f>
        <v>70</v>
      </c>
      <c r="AJ232" s="1">
        <f>VLOOKUP(A232,'SegEnds_NonXtal_Prot#'!A:AL,34,FALSE)-VLOOKUP(A232,'SegEnds_NonXtal_Prot#'!A:AL,31,FALSE)</f>
        <v>43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Xtal</v>
      </c>
    </row>
    <row r="233" spans="1:38" x14ac:dyDescent="0.2">
      <c r="A233" s="1" t="s">
        <v>362</v>
      </c>
      <c r="B233" s="1" t="str">
        <f>VLOOKUP(A233,Xtal_Templ!A:B,2,FALSE)</f>
        <v>pe2r4_human</v>
      </c>
      <c r="C233" s="5">
        <f>VLOOKUP($B233&amp;"__wt",'SegEnds_Xtal_BW#'!$A:$Z,3,FALSE)</f>
        <v>33</v>
      </c>
      <c r="D233" s="1">
        <f>VLOOKUP($B233&amp;"__wt",'SegEnds_Xtal_BW#'!$A:$Z,4,FALSE)</f>
        <v>58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">
        <v>37</v>
      </c>
      <c r="H233" s="12">
        <f>VLOOKUP($B233&amp;"__wt",'SegEnds_Xtal_BW#'!$A:$Z,8,FALSE)</f>
        <v>67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7">
        <f>VLOOKUP($B233&amp;"__wt",'SegEnds_Xtal_BW#'!$A:$Z,15,FALSE)</f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INDEX(ICL3_classA!$G$2:$G$37,MATCH(MIN(ABS(AI233-ICL3_classA!$F$2:$F$37)),ABS(AI233-ICL3_classA!$F$2:$F$37),0))</f>
        <v>76</v>
      </c>
      <c r="U233" s="1">
        <f t="array" ref="U233">INDEX(ICL3_classA!$H$2:$H$37,MATCH(MIN(ABS(AI233-ICL3_classA!$F$2:$F$37)),ABS(AI233-ICL3_classA!$F$2:$F$37),0))</f>
        <v>24</v>
      </c>
      <c r="V233" s="1">
        <v>61</v>
      </c>
      <c r="W233" s="1">
        <v>33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60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39</v>
      </c>
      <c r="AC233" s="1">
        <f>VLOOKUP(A233,'SegEnds_NonXtal_Prot#'!A:AL,10,FALSE)-VLOOKUP(A233,'SegEnds_NonXtal_Prot#'!A:AL,7,FALSE)</f>
        <v>20</v>
      </c>
      <c r="AD233" s="1" t="e">
        <f>VLOOKUP(A233,'SegEnds_NonXtal_Prot#'!A:AL,13,FALSE)-VLOOKUP(A233,'SegEnds_NonXtal_Prot#'!A:AL,10,FALSE)</f>
        <v>#VALUE!</v>
      </c>
      <c r="AE233" s="1">
        <f>VLOOKUP(A233,'SegEnds_NonXtal_Prot#'!A:AL,16,FALSE)-VLOOKUP(A233,'SegEnds_NonXtal_Prot#'!A:AL,10,FALSE)</f>
        <v>56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22</v>
      </c>
      <c r="AH233" s="1">
        <f>VLOOKUP(A233,'SegEnds_NonXtal_Prot#'!A:AL,28,FALSE)-VLOOKUP(A233,'SegEnds_NonXtal_Prot#'!A:AL,22,FALSE)</f>
        <v>48</v>
      </c>
      <c r="AI233" s="1">
        <f>VLOOKUP(A233,'SegEnds_NonXtal_Prot#'!A:AL,31,FALSE)-VLOOKUP(A233,'SegEnds_NonXtal_Prot#'!A:AL,28,FALSE)</f>
        <v>70</v>
      </c>
      <c r="AJ233" s="1">
        <f>VLOOKUP(A233,'SegEnds_NonXtal_Prot#'!A:AL,34,FALSE)-VLOOKUP(A233,'SegEnds_NonXtal_Prot#'!A:AL,31,FALSE)</f>
        <v>33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182</v>
      </c>
      <c r="B234" s="1" t="str">
        <f>VLOOKUP(A234,Xtal_Templ!A:B,2,FALSE)</f>
        <v>cnr1_human</v>
      </c>
      <c r="C234" s="5">
        <f>VLOOKUP($B234&amp;"__wt",'SegEnds_Xtal_BW#'!$A:$Z,3,FALSE)</f>
        <v>28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f>VLOOKUP($B234&amp;"__wt",'SegEnds_Xtal_BW#'!$A:$Z,7,FALSE)</f>
        <v>37</v>
      </c>
      <c r="H234" s="12">
        <f>VLOOKUP($B234&amp;"__wt",'SegEnds_Xtal_BW#'!$A:$Z,8,FALSE)</f>
        <v>66</v>
      </c>
      <c r="I234" s="1" t="str">
        <f>VLOOKUP($B234&amp;"__wt",'SegEnds_Xtal_BW#'!$A:$Z,9,FALSE)</f>
        <v>-</v>
      </c>
      <c r="J234" s="1" t="str">
        <f>VLOOKUP($B234&amp;"__wt",'SegEnds_Xtal_BW#'!$A:$Z,10,FALSE)</f>
        <v>-</v>
      </c>
      <c r="K234" s="12">
        <f>VLOOKUP($B234&amp;"__wt",'SegEnds_Xtal_BW#'!$A:$Z,11,FALSE)</f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f>VLOOKUP($B234&amp;"__wt",'SegEnds_Xtal_BW#'!$A:$Z,15,FALSE)</f>
        <v>38</v>
      </c>
      <c r="P234" s="1">
        <f>VLOOKUP($B234&amp;"__wt",'SegEnds_Xtal_BW#'!$A:$Z,16,FALSE)</f>
        <v>63</v>
      </c>
      <c r="Q234" s="1" t="str">
        <f>VLOOKUP($B234&amp;"__wt",'SegEnds_Xtal_BW#'!$A:$Z,17,FALSE)</f>
        <v>-</v>
      </c>
      <c r="R234" s="1" t="str">
        <f>VLOOKUP($B234&amp;"__wt",'SegEnds_Xtal_BW#'!$A:$Z,18,FALSE)</f>
        <v>-</v>
      </c>
      <c r="S234" s="1">
        <f>VLOOKUP($B234&amp;"__wt",'SegEnds_Xtal_BW#'!$A:$Z,19,FALSE)</f>
        <v>36</v>
      </c>
      <c r="T234" s="1">
        <f t="array" ref="T234">INDEX(ICL3_classA!$G$2:$G$37,MATCH(MIN(ABS(AI234-ICL3_classA!$F$2:$F$37)),ABS(AI234-ICL3_classA!$F$2:$F$37),0))</f>
        <v>76</v>
      </c>
      <c r="U234" s="1">
        <f t="array" ref="U234">INDEX(ICL3_classA!$H$2:$H$37,MATCH(MIN(ABS(AI234-ICL3_classA!$F$2:$F$37)),ABS(AI234-ICL3_classA!$F$2:$F$37),0))</f>
        <v>24</v>
      </c>
      <c r="V234" s="1">
        <f>VLOOKUP($B234&amp;"__wt",'SegEnds_Xtal_BW#'!$A:$Z,22,FALSE)</f>
        <v>61</v>
      </c>
      <c r="W234" s="1">
        <f>VLOOKUP($B234&amp;"__wt",'SegEnds_Xtal_BW#'!$A:$Z,23,FALSE)</f>
        <v>28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29</v>
      </c>
      <c r="AC234" s="1">
        <f>VLOOKUP(A234,'SegEnds_NonXtal_Prot#'!A:AL,10,FALSE)-VLOOKUP(A234,'SegEnds_NonXtal_Prot#'!A:AL,7,FALSE)</f>
        <v>16</v>
      </c>
      <c r="AD234" s="1" t="e">
        <f>VLOOKUP(A234,'SegEnds_NonXtal_Prot#'!A:AL,13,FALSE)-VLOOKUP(A234,'SegEnds_NonXtal_Prot#'!A:AL,10,FALSE)</f>
        <v>#VALUE!</v>
      </c>
      <c r="AE234" s="1">
        <f>VLOOKUP(A234,'SegEnds_NonXtal_Prot#'!A:AL,16,FALSE)-VLOOKUP(A234,'SegEnds_NonXtal_Prot#'!A:AL,10,FALSE)</f>
        <v>51</v>
      </c>
      <c r="AF234" s="1">
        <f>VLOOKUP(A234,'SegEnds_NonXtal_Prot#'!A:AL,22,FALSE)-VLOOKUP(A234,'SegEnds_NonXtal_Prot#'!A:AL,19,FALSE)</f>
        <v>20</v>
      </c>
      <c r="AG234" s="1" t="e">
        <f>VLOOKUP(A234,'SegEnds_NonXtal_Prot#'!A:AL,28,FALSE)-VLOOKUP(A234,'SegEnds_NonXtal_Prot#'!A:AL,25,FALSE)</f>
        <v>#VALUE!</v>
      </c>
      <c r="AH234" s="1">
        <f>VLOOKUP(A234,'SegEnds_NonXtal_Prot#'!A:AL,28,FALSE)-VLOOKUP(A234,'SegEnds_NonXtal_Prot#'!A:AL,22,FALSE)</f>
        <v>45</v>
      </c>
      <c r="AI234" s="1">
        <f>VLOOKUP(A234,'SegEnds_NonXtal_Prot#'!A:AL,31,FALSE)-VLOOKUP(A234,'SegEnds_NonXtal_Prot#'!A:AL,28,FALSE)</f>
        <v>72</v>
      </c>
      <c r="AJ234" s="1">
        <f>VLOOKUP(A234,'SegEnds_NonXtal_Prot#'!A:AL,34,FALSE)-VLOOKUP(A234,'SegEnds_NonXtal_Prot#'!A:AL,31,FALSE)</f>
        <v>36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Xtal</v>
      </c>
    </row>
    <row r="235" spans="1:38" x14ac:dyDescent="0.2">
      <c r="A235" s="1" t="s">
        <v>247</v>
      </c>
      <c r="B235" s="1" t="str">
        <f>VLOOKUP(A235,Xtal_Templ!A:B,2,FALSE)</f>
        <v>drd2_human</v>
      </c>
      <c r="C235" s="5">
        <f>VLOOKUP($B235&amp;"__wt",'SegEnds_Xtal_BW#'!$A:$Z,3,FALSE)</f>
        <v>29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68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21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7">
        <v>38</v>
      </c>
      <c r="P235" s="1">
        <f>VLOOKUP($B235&amp;"__wt",'SegEnds_Xtal_BW#'!$A:$Z,16,FALSE)</f>
        <v>62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v>35</v>
      </c>
      <c r="T235" s="1">
        <f t="array" ref="T235">INDEX(ICL3_classA!$G$2:$G$37,MATCH(MIN(ABS(AI235-ICL3_classA!$F$2:$F$37)),ABS(AI235-ICL3_classA!$F$2:$F$37),0))</f>
        <v>76</v>
      </c>
      <c r="U235" s="1">
        <f t="array" ref="U235">INDEX(ICL3_classA!$H$2:$H$37,MATCH(MIN(ABS(AI235-ICL3_classA!$F$2:$F$37)),ABS(AI235-ICL3_classA!$F$2:$F$37),0))</f>
        <v>24</v>
      </c>
      <c r="V235" s="1">
        <v>61</v>
      </c>
      <c r="W235" s="1">
        <v>31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29</v>
      </c>
      <c r="AC235" s="1">
        <f>VLOOKUP(A235,'SegEnds_NonXtal_Prot#'!A:AL,10,FALSE)-VLOOKUP(A235,'SegEnds_NonXtal_Prot#'!A:AL,7,FALSE)</f>
        <v>16</v>
      </c>
      <c r="AD235" s="1" t="e">
        <f>VLOOKUP(A235,'SegEnds_NonXtal_Prot#'!A:AL,13,FALSE)-VLOOKUP(A235,'SegEnds_NonXtal_Prot#'!A:AL,10,FALSE)</f>
        <v>#VALUE!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20</v>
      </c>
      <c r="AG235" s="1">
        <f>VLOOKUP(A235,'SegEnds_NonXtal_Prot#'!A:AL,28,FALSE)-VLOOKUP(A235,'SegEnds_NonXtal_Prot#'!A:AL,25,FALSE)</f>
        <v>25</v>
      </c>
      <c r="AH235" s="1">
        <f>VLOOKUP(A235,'SegEnds_NonXtal_Prot#'!A:AL,28,FALSE)-VLOOKUP(A235,'SegEnds_NonXtal_Prot#'!A:AL,22,FALSE)</f>
        <v>53</v>
      </c>
      <c r="AI235" s="1">
        <f>VLOOKUP(A235,'SegEnds_NonXtal_Prot#'!A:AL,31,FALSE)-VLOOKUP(A235,'SegEnds_NonXtal_Prot#'!A:AL,28,FALSE)</f>
        <v>72</v>
      </c>
      <c r="AJ235" s="1">
        <f>VLOOKUP(A235,'SegEnds_NonXtal_Prot#'!A:AL,34,FALSE)-VLOOKUP(A235,'SegEnds_NonXtal_Prot#'!A:AL,31,FALSE)</f>
        <v>35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264</v>
      </c>
      <c r="B236" s="1" t="str">
        <f>VLOOKUP(A236,Xtal_Templ!A:B,2,FALSE)</f>
        <v>drd3_human</v>
      </c>
      <c r="C236" s="5">
        <f>VLOOKUP($B236&amp;"__wt",'SegEnds_Xtal_BW#'!$A:$Z,3,FALSE)</f>
        <v>29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67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f>VLOOKUP($B236&amp;"__wt",'SegEnds_Xtal_BW#'!$A:$Z,14,FALSE)</f>
        <v>58</v>
      </c>
      <c r="O236" s="87">
        <f>VLOOKUP($B236&amp;"__wt",'SegEnds_Xtal_BW#'!$A:$Z,15,FALSE)</f>
        <v>38</v>
      </c>
      <c r="P236" s="1">
        <f>VLOOKUP($B236&amp;"__wt",'SegEnds_Xtal_BW#'!$A:$Z,16,FALSE)</f>
        <v>63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v>35</v>
      </c>
      <c r="T236" s="1">
        <f t="array" ref="T236">INDEX(ICL3_classA!$G$2:$G$37,MATCH(MIN(ABS(AI236-ICL3_classA!$F$2:$F$37)),ABS(AI236-ICL3_classA!$F$2:$F$37),0))</f>
        <v>76</v>
      </c>
      <c r="U236" s="1">
        <f t="array" ref="U236">INDEX(ICL3_classA!$H$2:$H$37,MATCH(MIN(ABS(AI236-ICL3_classA!$F$2:$F$37)),ABS(AI236-ICL3_classA!$F$2:$F$37),0))</f>
        <v>24</v>
      </c>
      <c r="V236" s="1">
        <v>58</v>
      </c>
      <c r="W236" s="1">
        <v>35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26</v>
      </c>
      <c r="AC236" s="1" t="e">
        <f>VLOOKUP(A236,'SegEnds_NonXtal_Prot#'!A:AL,10,FALSE)-VLOOKUP(A236,'SegEnds_NonXtal_Prot#'!A:AL,7,FALSE)</f>
        <v>#VALUE!</v>
      </c>
      <c r="AD236" s="1" t="e">
        <f>VLOOKUP(A236,'SegEnds_NonXtal_Prot#'!A:AL,13,FALSE)-VLOOKUP(A236,'SegEnds_NonXtal_Prot#'!A:AL,10,FALSE)</f>
        <v>#VALUE!</v>
      </c>
      <c r="AE236" s="1">
        <f>VLOOKUP(A236,'SegEnds_NonXtal_Prot#'!A:AL,16,FALSE)-VLOOKUP(A236,'SegEnds_NonXtal_Prot#'!A:AL,10,FALSE)</f>
        <v>55</v>
      </c>
      <c r="AF236" s="1" t="e">
        <f>VLOOKUP(A236,'SegEnds_NonXtal_Prot#'!A:AL,22,FALSE)-VLOOKUP(A236,'SegEnds_NonXtal_Prot#'!A:AL,19,FALSE)</f>
        <v>#VALUE!</v>
      </c>
      <c r="AG236" s="1">
        <f>VLOOKUP(A236,'SegEnds_NonXtal_Prot#'!A:AL,28,FALSE)-VLOOKUP(A236,'SegEnds_NonXtal_Prot#'!A:AL,25,FALSE)</f>
        <v>22</v>
      </c>
      <c r="AH236" s="1">
        <f>VLOOKUP(A236,'SegEnds_NonXtal_Prot#'!A:AL,28,FALSE)-VLOOKUP(A236,'SegEnds_NonXtal_Prot#'!A:AL,22,FALSE)</f>
        <v>47</v>
      </c>
      <c r="AI236" s="1">
        <f>VLOOKUP(A236,'SegEnds_NonXtal_Prot#'!A:AL,31,FALSE)-VLOOKUP(A236,'SegEnds_NonXtal_Prot#'!A:AL,28,FALSE)</f>
        <v>72</v>
      </c>
      <c r="AJ236" s="1">
        <f>VLOOKUP(A236,'SegEnds_NonXtal_Prot#'!A:AL,34,FALSE)-VLOOKUP(A236,'SegEnds_NonXtal_Prot#'!A:AL,31,FALSE)</f>
        <v>31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267</v>
      </c>
      <c r="B237" s="1" t="str">
        <f>VLOOKUP(A237,Xtal_Templ!A:B,2,FALSE)</f>
        <v>drd2_human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62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35</v>
      </c>
      <c r="T237" s="1">
        <f t="array" ref="T237">INDEX(ICL3_classA!$G$2:$G$37,MATCH(MIN(ABS(AI237-ICL3_classA!$F$2:$F$37)),ABS(AI237-ICL3_classA!$F$2:$F$37),0))</f>
        <v>76</v>
      </c>
      <c r="U237" s="1">
        <f t="array" ref="U237">INDEX(ICL3_classA!$H$2:$H$37,MATCH(MIN(ABS(AI237-ICL3_classA!$F$2:$F$37)),ABS(AI237-ICL3_classA!$F$2:$F$37),0))</f>
        <v>24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29</v>
      </c>
      <c r="AC237" s="1">
        <f>VLOOKUP(A237,'SegEnds_NonXtal_Prot#'!A:AL,10,FALSE)-VLOOKUP(A237,'SegEnds_NonXtal_Prot#'!A:AL,7,FALSE)</f>
        <v>16</v>
      </c>
      <c r="AD237" s="1" t="e">
        <f>VLOOKUP(A237,'SegEnds_NonXtal_Prot#'!A:AL,13,FALSE)-VLOOKUP(A237,'SegEnds_NonXtal_Prot#'!A:AL,10,FALSE)</f>
        <v>#VALUE!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28</v>
      </c>
      <c r="AH237" s="1">
        <f>VLOOKUP(A237,'SegEnds_NonXtal_Prot#'!A:AL,28,FALSE)-VLOOKUP(A237,'SegEnds_NonXtal_Prot#'!A:AL,22,FALSE)</f>
        <v>53</v>
      </c>
      <c r="AI237" s="1">
        <f>VLOOKUP(A237,'SegEnds_NonXtal_Prot#'!A:AL,31,FALSE)-VLOOKUP(A237,'SegEnds_NonXtal_Prot#'!A:AL,28,FALSE)</f>
        <v>72</v>
      </c>
      <c r="AJ237" s="1">
        <f>VLOOKUP(A237,'SegEnds_NonXtal_Prot#'!A:AL,34,FALSE)-VLOOKUP(A237,'SegEnds_NonXtal_Prot#'!A:AL,31,FALSE)</f>
        <v>35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194</v>
      </c>
      <c r="B238" s="1" t="str">
        <f>VLOOKUP(A238,Xtal_Templ!A:B,2,FALSE)</f>
        <v>adrb2_human</v>
      </c>
      <c r="C238" s="5">
        <f>VLOOKUP($B238&amp;"__wt",'SegEnds_Xtal_BW#'!$A:$Z,3,FALSE)</f>
        <v>25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21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INDEX(ICL3_classA!$G$2:$G$37,MATCH(MIN(ABS(AI238-ICL3_classA!$F$2:$F$37)),ABS(AI238-ICL3_classA!$F$2:$F$37),0))</f>
        <v>76</v>
      </c>
      <c r="U238" s="1">
        <f t="array" ref="U238">INDEX(ICL3_classA!$H$2:$H$37,MATCH(MIN(ABS(AI238-ICL3_classA!$F$2:$F$37)),ABS(AI238-ICL3_classA!$F$2:$F$37),0))</f>
        <v>24</v>
      </c>
      <c r="V238" s="1">
        <v>64</v>
      </c>
      <c r="W238" s="1">
        <v>24</v>
      </c>
      <c r="X238" s="126"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29</v>
      </c>
      <c r="AC238" s="1">
        <f>VLOOKUP(A238,'SegEnds_NonXtal_Prot#'!A:AL,10,FALSE)-VLOOKUP(A238,'SegEnds_NonXtal_Prot#'!A:AL,7,FALSE)</f>
        <v>16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20</v>
      </c>
      <c r="AH238" s="1">
        <f>VLOOKUP(A238,'SegEnds_NonXtal_Prot#'!A:AL,28,FALSE)-VLOOKUP(A238,'SegEnds_NonXtal_Prot#'!A:AL,22,FALSE)</f>
        <v>72</v>
      </c>
      <c r="AI238" s="1">
        <f>VLOOKUP(A238,'SegEnds_NonXtal_Prot#'!A:AL,31,FALSE)-VLOOKUP(A238,'SegEnds_NonXtal_Prot#'!A:AL,28,FALSE)</f>
        <v>74</v>
      </c>
      <c r="AJ238" s="1">
        <f>VLOOKUP(A238,'SegEnds_NonXtal_Prot#'!A:AL,34,FALSE)-VLOOKUP(A238,'SegEnds_NonXtal_Prot#'!A:AL,31,FALSE)</f>
        <v>45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913</v>
      </c>
      <c r="B239" s="1" t="str">
        <f>VLOOKUP(A239,Xtal_Templ!A:B,2,FALSE)</f>
        <v>ntr1_rat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">
        <v>37</v>
      </c>
      <c r="H239" s="12">
        <f>VLOOKUP($B239&amp;"__wt",'SegEnds_Xtal_BW#'!$A:$Z,8,FALSE)</f>
        <v>68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f>VLOOKUP($B239&amp;"__wt",'SegEnds_Xtal_BW#'!$A:$Z,14,FALSE)</f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32</v>
      </c>
      <c r="T239" s="1">
        <f t="array" ref="T239">INDEX(ICL3_classA!$G$2:$G$37,MATCH(MIN(ABS(AI239-ICL3_classA!$F$2:$F$37)),ABS(AI239-ICL3_classA!$F$2:$F$37),0))</f>
        <v>76</v>
      </c>
      <c r="U239" s="1">
        <f t="array" ref="U239">INDEX(ICL3_classA!$H$2:$H$37,MATCH(MIN(ABS(AI239-ICL3_classA!$F$2:$F$37)),ABS(AI239-ICL3_classA!$F$2:$F$37),0))</f>
        <v>24</v>
      </c>
      <c r="V239" s="1">
        <v>61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62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31</v>
      </c>
      <c r="AC239" s="1" t="e">
        <f>VLOOKUP(A239,'SegEnds_NonXtal_Prot#'!A:AL,10,FALSE)-VLOOKUP(A239,'SegEnds_NonXtal_Prot#'!A:AL,7,FALSE)</f>
        <v>#VALUE!</v>
      </c>
      <c r="AD239" s="1">
        <f>VLOOKUP(A239,'SegEnds_NonXtal_Prot#'!A:AL,13,FALSE)-VLOOKUP(A239,'SegEnds_NonXtal_Prot#'!A:AL,10,FALSE)</f>
        <v>22</v>
      </c>
      <c r="AE239" s="1">
        <f>VLOOKUP(A239,'SegEnds_NonXtal_Prot#'!A:AL,16,FALSE)-VLOOKUP(A239,'SegEnds_NonXtal_Prot#'!A:AL,10,FALSE)</f>
        <v>54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24</v>
      </c>
      <c r="AH239" s="1">
        <f>VLOOKUP(A239,'SegEnds_NonXtal_Prot#'!A:AL,28,FALSE)-VLOOKUP(A239,'SegEnds_NonXtal_Prot#'!A:AL,22,FALSE)</f>
        <v>55</v>
      </c>
      <c r="AI239" s="1">
        <f>VLOOKUP(A239,'SegEnds_NonXtal_Prot#'!A:AL,31,FALSE)-VLOOKUP(A239,'SegEnds_NonXtal_Prot#'!A:AL,28,FALSE)</f>
        <v>74</v>
      </c>
      <c r="AJ239" s="1">
        <f>VLOOKUP(A239,'SegEnds_NonXtal_Prot#'!A:AL,34,FALSE)-VLOOKUP(A239,'SegEnds_NonXtal_Prot#'!A:AL,31,FALSE)</f>
        <v>43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Xtal</v>
      </c>
    </row>
    <row r="240" spans="1:38" x14ac:dyDescent="0.2">
      <c r="A240" s="1" t="s">
        <v>259</v>
      </c>
      <c r="B240" s="1" t="str">
        <f>VLOOKUP(A240,Xtal_Templ!A:B,2,FALSE)</f>
        <v>drd2_human</v>
      </c>
      <c r="C240" s="5">
        <f>VLOOKUP($B240&amp;"__wt",'SegEnds_Xtal_BW#'!$A:$Z,3,FALSE)</f>
        <v>29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68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f>VLOOKUP($B240&amp;"__wt",'SegEnds_Xtal_BW#'!$A:$Z,14,FALSE)</f>
        <v>58</v>
      </c>
      <c r="O240" s="87">
        <v>38</v>
      </c>
      <c r="P240" s="1">
        <f>VLOOKUP($B240&amp;"__wt",'SegEnds_Xtal_BW#'!$A:$Z,16,FALSE)</f>
        <v>62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v>35</v>
      </c>
      <c r="T240" s="1">
        <f t="array" ref="T240">INDEX(ICL3_classA!$G$2:$G$37,MATCH(MIN(ABS(AI240-ICL3_classA!$F$2:$F$37)),ABS(AI240-ICL3_classA!$F$2:$F$37),0))</f>
        <v>76</v>
      </c>
      <c r="U240" s="1">
        <f t="array" ref="U240">INDEX(ICL3_classA!$H$2:$H$37,MATCH(MIN(ABS(AI240-ICL3_classA!$F$2:$F$37)),ABS(AI240-ICL3_classA!$F$2:$F$37),0))</f>
        <v>24</v>
      </c>
      <c r="V240" s="1">
        <v>61</v>
      </c>
      <c r="W240" s="132">
        <f>VLOOKUP($B240&amp;"__wt",'SegEnds_Xtal_BW#'!$A:$Z,23,FALSE)</f>
        <v>31</v>
      </c>
      <c r="X240" s="125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 t="e">
        <f>VLOOKUP(A240,'SegEnds_NonXtal_Prot#'!A:AL,22,FALSE)-VLOOKUP(A240,'SegEnds_NonXtal_Prot#'!A:AL,19,FALSE)</f>
        <v>#VALUE!</v>
      </c>
      <c r="AG240" s="1">
        <f>VLOOKUP(A240,'SegEnds_NonXtal_Prot#'!A:AL,28,FALSE)-VLOOKUP(A240,'SegEnds_NonXtal_Prot#'!A:AL,25,FALSE)</f>
        <v>25</v>
      </c>
      <c r="AH240" s="1">
        <f>VLOOKUP(A240,'SegEnds_NonXtal_Prot#'!A:AL,28,FALSE)-VLOOKUP(A240,'SegEnds_NonXtal_Prot#'!A:AL,22,FALSE)</f>
        <v>51</v>
      </c>
      <c r="AI240" s="1">
        <f>VLOOKUP(A240,'SegEnds_NonXtal_Prot#'!A:AL,31,FALSE)-VLOOKUP(A240,'SegEnds_NonXtal_Prot#'!A:AL,28,FALSE)</f>
        <v>75</v>
      </c>
      <c r="AJ240" s="1">
        <f>VLOOKUP(A240,'SegEnds_NonXtal_Prot#'!A:AL,34,FALSE)-VLOOKUP(A240,'SegEnds_NonXtal_Prot#'!A:AL,31,FALSE)</f>
        <v>39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265</v>
      </c>
      <c r="B241" s="1" t="str">
        <f>VLOOKUP(A241,Xtal_Templ!A:B,2,FALSE)</f>
        <v>5ht2c_human</v>
      </c>
      <c r="C241" s="5">
        <f>VLOOKUP($B241&amp;"__wt",'SegEnds_Xtal_BW#'!$A:$Z,3,FALSE)</f>
        <v>33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68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7">
        <v>38</v>
      </c>
      <c r="P241" s="1">
        <f>VLOOKUP($B241&amp;"__wt",'SegEnds_Xtal_BW#'!$A:$Z,16,FALSE)</f>
        <v>67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v>35</v>
      </c>
      <c r="T241" s="1">
        <f t="array" ref="T241">INDEX(ICL3_classA!$G$2:$G$37,MATCH(MIN(ABS(AI241-ICL3_classA!$F$2:$F$37)),ABS(AI241-ICL3_classA!$F$2:$F$37),0))</f>
        <v>76</v>
      </c>
      <c r="U241" s="1">
        <f t="array" ref="U241">INDEX(ICL3_classA!$H$2:$H$37,MATCH(MIN(ABS(AI241-ICL3_classA!$F$2:$F$37)),ABS(AI241-ICL3_classA!$F$2:$F$37),0))</f>
        <v>24</v>
      </c>
      <c r="V241" s="1">
        <v>61</v>
      </c>
      <c r="W241" s="132">
        <f>VLOOKUP($B241&amp;"__wt",'SegEnds_Xtal_BW#'!$A:$Z,23,FALSE)</f>
        <v>27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60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 t="e">
        <f>VLOOKUP(A241,'SegEnds_NonXtal_Prot#'!A:AL,22,FALSE)-VLOOKUP(A241,'SegEnds_NonXtal_Prot#'!A:AL,19,FALSE)</f>
        <v>#VALUE!</v>
      </c>
      <c r="AG241" s="1">
        <f>VLOOKUP(A241,'SegEnds_NonXtal_Prot#'!A:AL,28,FALSE)-VLOOKUP(A241,'SegEnds_NonXtal_Prot#'!A:AL,25,FALSE)</f>
        <v>25</v>
      </c>
      <c r="AH241" s="1">
        <f>VLOOKUP(A241,'SegEnds_NonXtal_Prot#'!A:AL,28,FALSE)-VLOOKUP(A241,'SegEnds_NonXtal_Prot#'!A:AL,22,FALSE)</f>
        <v>51</v>
      </c>
      <c r="AI241" s="1">
        <f>VLOOKUP(A241,'SegEnds_NonXtal_Prot#'!A:AL,31,FALSE)-VLOOKUP(A241,'SegEnds_NonXtal_Prot#'!A:AL,28,FALSE)</f>
        <v>75</v>
      </c>
      <c r="AJ241" s="1">
        <f>VLOOKUP(A241,'SegEnds_NonXtal_Prot#'!A:AL,34,FALSE)-VLOOKUP(A241,'SegEnds_NonXtal_Prot#'!A:AL,31,FALSE)</f>
        <v>39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4" t="s">
        <v>200</v>
      </c>
      <c r="B242" s="4" t="str">
        <f>VLOOKUP(A242,Xtal_Templ!A:B,2,FALSE)</f>
        <v>ox2r_human</v>
      </c>
      <c r="C242" s="5">
        <f>VLOOKUP($B242&amp;"__wt",'SegEnds_Xtal_BW#'!$A:$Z,3,FALSE)</f>
        <v>31</v>
      </c>
      <c r="D242" s="4">
        <f>VLOOKUP($B242&amp;"__wt",'SegEnds_Xtal_BW#'!$A:$Z,4,FALSE)</f>
        <v>60</v>
      </c>
      <c r="E242" s="4">
        <f>VLOOKUP($B242&amp;"__wt",'SegEnds_Xtal_BW#'!$A:$Z,5,FALSE)</f>
        <v>48</v>
      </c>
      <c r="F242" s="4">
        <f>VLOOKUP($B242&amp;"__wt",'SegEnds_Xtal_BW#'!$A:$Z,6,FALSE)</f>
        <v>51</v>
      </c>
      <c r="G242" s="4">
        <v>37</v>
      </c>
      <c r="H242" s="11">
        <v>66</v>
      </c>
      <c r="I242" s="4">
        <f>VLOOKUP($B242&amp;"__wt",'SegEnds_Xtal_BW#'!$A:$Z,9,FALSE)</f>
        <v>49</v>
      </c>
      <c r="J242" s="4">
        <f>VLOOKUP($B242&amp;"__wt",'SegEnds_Xtal_BW#'!$A:$Z,10,FALSE)</f>
        <v>52</v>
      </c>
      <c r="K242" s="11">
        <v>21</v>
      </c>
      <c r="L242" s="4">
        <f>VLOOKUP($B242&amp;"__wt",'SegEnds_Xtal_BW#'!$A:$Z,12,FALSE)</f>
        <v>56</v>
      </c>
      <c r="M242" s="4">
        <f>VLOOKUP($B242&amp;"__wt",'SegEnds_Xtal_BW#'!$A:$Z,13,FALSE)</f>
        <v>50</v>
      </c>
      <c r="N242" s="11">
        <v>57</v>
      </c>
      <c r="O242" s="87">
        <f>VLOOKUP($B242&amp;"__wt",'SegEnds_Xtal_BW#'!$A:$Z,15,FALSE)</f>
        <v>38</v>
      </c>
      <c r="P242" s="4">
        <f>VLOOKUP($B242&amp;"__wt",'SegEnds_Xtal_BW#'!$A:$Z,16,FALSE)</f>
        <v>64</v>
      </c>
      <c r="Q242" s="4">
        <f>VLOOKUP($B242&amp;"__wt",'SegEnds_Xtal_BW#'!$A:$Z,17,FALSE)</f>
        <v>50</v>
      </c>
      <c r="R242" s="4">
        <f>VLOOKUP($B242&amp;"__wt",'SegEnds_Xtal_BW#'!$A:$Z,18,FALSE)</f>
        <v>52</v>
      </c>
      <c r="S242" s="4">
        <f>VLOOKUP($B242&amp;"__wt",'SegEnds_Xtal_BW#'!$A:$Z,19,FALSE)</f>
        <v>33</v>
      </c>
      <c r="T242" s="4">
        <f t="array" ref="T242">INDEX(ICL3_classA!$G$2:$G$37,MATCH(MIN(ABS(AI242-ICL3_classA!$F$2:$F$37)),ABS(AI242-ICL3_classA!$F$2:$F$37),0))</f>
        <v>76</v>
      </c>
      <c r="U242" s="4">
        <f t="array" ref="U242">INDEX(ICL3_classA!$H$2:$H$37,MATCH(MIN(ABS(AI242-ICL3_classA!$F$2:$F$37)),ABS(AI242-ICL3_classA!$F$2:$F$37),0))</f>
        <v>24</v>
      </c>
      <c r="V242" s="4">
        <v>61</v>
      </c>
      <c r="W242" s="132">
        <f>VLOOKUP($B242&amp;"__wt",'SegEnds_Xtal_BW#'!$A:$Z,23,FALSE)</f>
        <v>27</v>
      </c>
      <c r="X242" s="4">
        <f>VLOOKUP($B242&amp;"__wt",'SegEnds_Xtal_BW#'!$A:$Z,24,FALSE)</f>
        <v>56</v>
      </c>
      <c r="Y242" s="4">
        <f>VLOOKUP($B242&amp;"__wt",'SegEnds_Xtal_BW#'!$A:$Z,25,FALSE)</f>
        <v>47</v>
      </c>
      <c r="Z242" s="4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27</v>
      </c>
      <c r="AC242" s="4" t="e">
        <f>VLOOKUP(A242,'SegEnds_NonXtal_Prot#'!A:AL,10,FALSE)-VLOOKUP(A242,'SegEnds_NonXtal_Prot#'!A:AL,7,FALSE)</f>
        <v>#VALUE!</v>
      </c>
      <c r="AD242" s="4">
        <f>VLOOKUP(A242,'SegEnds_NonXtal_Prot#'!A:AL,13,FALSE)-VLOOKUP(A242,'SegEnds_NonXtal_Prot#'!A:AL,10,FALSE)</f>
        <v>19</v>
      </c>
      <c r="AE242" s="4">
        <f>VLOOKUP(A242,'SegEnds_NonXtal_Prot#'!A:AL,16,FALSE)-VLOOKUP(A242,'SegEnds_NonXtal_Prot#'!A:AL,10,FALSE)</f>
        <v>51</v>
      </c>
      <c r="AF242" s="1">
        <f>VLOOKUP(A242,'SegEnds_NonXtal_Prot#'!A:AL,22,FALSE)-VLOOKUP(A242,'SegEnds_NonXtal_Prot#'!A:AL,19,FALSE)</f>
        <v>20</v>
      </c>
      <c r="AG242" s="4">
        <f>VLOOKUP(A242,'SegEnds_NonXtal_Prot#'!A:AL,28,FALSE)-VLOOKUP(A242,'SegEnds_NonXtal_Prot#'!A:AL,25,FALSE)</f>
        <v>25</v>
      </c>
      <c r="AH242" s="1">
        <f>VLOOKUP(A242,'SegEnds_NonXtal_Prot#'!A:AL,28,FALSE)-VLOOKUP(A242,'SegEnds_NonXtal_Prot#'!A:AL,22,FALSE)</f>
        <v>56</v>
      </c>
      <c r="AI242" s="4">
        <f>VLOOKUP(A242,'SegEnds_NonXtal_Prot#'!A:AL,31,FALSE)-VLOOKUP(A242,'SegEnds_NonXtal_Prot#'!A:AL,28,FALSE)</f>
        <v>76</v>
      </c>
      <c r="AJ242" s="4">
        <f>VLOOKUP(A242,'SegEnds_NonXtal_Prot#'!A:AL,34,FALSE)-VLOOKUP(A242,'SegEnds_NonXtal_Prot#'!A:AL,31,FALSE)</f>
        <v>39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225</v>
      </c>
      <c r="B243" s="1" t="str">
        <f>VLOOKUP(A243,Xtal_Templ!A:B,2,FALSE)</f>
        <v>drd4_human</v>
      </c>
      <c r="C243" s="5">
        <f>VLOOKUP($B243&amp;"__wt",'SegEnds_Xtal_BW#'!$A:$Z,3,FALSE)</f>
        <v>29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67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f>VLOOKUP($B243&amp;"__wt",'SegEnds_Xtal_BW#'!$A:$Z,15,FALSE)</f>
        <v>38</v>
      </c>
      <c r="P243" s="1"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INDEX(ICL3_classA!$G$2:$G$37,MATCH(MIN(ABS(AI243-ICL3_classA!$F$2:$F$37)),ABS(AI243-ICL3_classA!$F$2:$F$37),0))</f>
        <v>76</v>
      </c>
      <c r="U243" s="1">
        <f t="array" ref="U243">INDEX(ICL3_classA!$H$2:$H$37,MATCH(MIN(ABS(AI243-ICL3_classA!$F$2:$F$37)),ABS(AI243-ICL3_classA!$F$2:$F$37),0))</f>
        <v>24</v>
      </c>
      <c r="V243" s="1">
        <v>61</v>
      </c>
      <c r="W243" s="1">
        <v>32</v>
      </c>
      <c r="X243" s="108">
        <v>55</v>
      </c>
      <c r="Y243" s="1">
        <f>VLOOKUP($B243&amp;"__wt",'SegEnds_Xtal_BW#'!$A:$Z,25,FALSE)</f>
        <v>47</v>
      </c>
      <c r="Z243" s="1">
        <f>VLOOKUP($B243&amp;"__wt",'SegEnds_Xtal_BW#'!$A:$Z,26,FALSE)</f>
        <v>59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27</v>
      </c>
      <c r="AC243" s="1">
        <f>VLOOKUP(A243,'SegEnds_NonXtal_Prot#'!A:AL,10,FALSE)-VLOOKUP(A243,'SegEnds_NonXtal_Prot#'!A:AL,7,FALSE)</f>
        <v>14</v>
      </c>
      <c r="AD243" s="1">
        <f>VLOOKUP(A243,'SegEnds_NonXtal_Prot#'!A:AL,13,FALSE)-VLOOKUP(A243,'SegEnds_NonXtal_Prot#'!A:AL,10,FALSE)</f>
        <v>24</v>
      </c>
      <c r="AE243" s="1">
        <f>VLOOKUP(A243,'SegEnds_NonXtal_Prot#'!A:AL,16,FALSE)-VLOOKUP(A243,'SegEnds_NonXtal_Prot#'!A:AL,10,FALSE)</f>
        <v>56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23</v>
      </c>
      <c r="AH243" s="1">
        <f>VLOOKUP(A243,'SegEnds_NonXtal_Prot#'!A:AL,28,FALSE)-VLOOKUP(A243,'SegEnds_NonXtal_Prot#'!A:AL,22,FALSE)</f>
        <v>49</v>
      </c>
      <c r="AI243" s="1">
        <f>VLOOKUP(A243,'SegEnds_NonXtal_Prot#'!A:AL,31,FALSE)-VLOOKUP(A243,'SegEnds_NonXtal_Prot#'!A:AL,28,FALSE)</f>
        <v>76</v>
      </c>
      <c r="AJ243" s="1">
        <f>VLOOKUP(A243,'SegEnds_NonXtal_Prot#'!A:AL,34,FALSE)-VLOOKUP(A243,'SegEnds_NonXtal_Prot#'!A:AL,31,FALSE)</f>
        <v>34</v>
      </c>
      <c r="AK243" s="1">
        <f>VLOOKUP(A243,'SegEnds_NonXtal_Prot#'!A:AL,37,FALSE)-VLOOKUP(A243,'SegEnds_NonXtal_Prot#'!A:AL,34,FALSE)</f>
        <v>9</v>
      </c>
      <c r="AL243" s="1" t="str">
        <f>IF(ISERROR(MATCH(A243,'SegEnds_Xtal_Prot#'!B:B, 0)), "NoXtal", "Xtal")</f>
        <v>NoXtal</v>
      </c>
    </row>
    <row r="244" spans="1:38" x14ac:dyDescent="0.2">
      <c r="A244" s="1" t="s">
        <v>126</v>
      </c>
      <c r="B244" s="1" t="str">
        <f>VLOOKUP(A244,Xtal_Templ!A:B,2,FALSE)</f>
        <v>adrb2_human</v>
      </c>
      <c r="C244" s="5">
        <f>VLOOKUP($B244&amp;"__wt",'SegEnds_Xtal_BW#'!$A:$Z,3,FALSE)</f>
        <v>25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57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35</v>
      </c>
      <c r="T244" s="1">
        <f t="array" ref="T244">INDEX(ICL3_classA!$G$2:$G$37,MATCH(MIN(ABS(AI244-ICL3_classA!$F$2:$F$37)),ABS(AI244-ICL3_classA!$F$2:$F$37),0))</f>
        <v>76</v>
      </c>
      <c r="U244" s="1">
        <f t="array" ref="U244">INDEX(ICL3_classA!$H$2:$H$37,MATCH(MIN(ABS(AI244-ICL3_classA!$F$2:$F$37)),ABS(AI244-ICL3_classA!$F$2:$F$37),0))</f>
        <v>24</v>
      </c>
      <c r="V244" s="1">
        <v>61</v>
      </c>
      <c r="W244" s="1">
        <v>31</v>
      </c>
      <c r="X244" s="1">
        <f>VLOOKUP($B244&amp;"__wt",'SegEnds_Xtal_BW#'!$A:$Z,24,FALSE)</f>
        <v>55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20</v>
      </c>
      <c r="AH244" s="1">
        <f>VLOOKUP(A244,'SegEnds_NonXtal_Prot#'!A:AL,28,FALSE)-VLOOKUP(A244,'SegEnds_NonXtal_Prot#'!A:AL,22,FALSE)</f>
        <v>53</v>
      </c>
      <c r="AI244" s="1">
        <f>VLOOKUP(A244,'SegEnds_NonXtal_Prot#'!A:AL,31,FALSE)-VLOOKUP(A244,'SegEnds_NonXtal_Prot#'!A:AL,28,FALSE)</f>
        <v>77</v>
      </c>
      <c r="AJ244" s="1">
        <f>VLOOKUP(A244,'SegEnds_NonXtal_Prot#'!A:AL,34,FALSE)-VLOOKUP(A244,'SegEnds_NonXtal_Prot#'!A:AL,31,FALSE)</f>
        <v>35</v>
      </c>
      <c r="AK244" s="1">
        <f>VLOOKUP(A244,'SegEnds_NonXtal_Prot#'!A:AL,37,FALSE)-VLOOKUP(A244,'SegEnds_NonXtal_Prot#'!A:AL,34,FALSE)</f>
        <v>9</v>
      </c>
      <c r="AL244" s="1" t="str">
        <f>IF(ISERROR(MATCH(A244,'SegEnds_Xtal_Prot#'!B:B, 0)), "NoXtal", "Xtal")</f>
        <v>Xtal</v>
      </c>
    </row>
    <row r="245" spans="1:38" x14ac:dyDescent="0.2">
      <c r="A245" s="4" t="s">
        <v>344</v>
      </c>
      <c r="B245" s="4" t="str">
        <f>VLOOKUP(A245,Xtal_Templ!A:B,2,FALSE)</f>
        <v>ox2r_human</v>
      </c>
      <c r="C245" s="5">
        <f>VLOOKUP($B245&amp;"__wt",'SegEnds_Xtal_BW#'!$A:$Z,3,FALSE)</f>
        <v>31</v>
      </c>
      <c r="D245" s="4">
        <f>VLOOKUP($B245&amp;"__wt",'SegEnds_Xtal_BW#'!$A:$Z,4,FALSE)</f>
        <v>60</v>
      </c>
      <c r="E245" s="4">
        <f>VLOOKUP($B245&amp;"__wt",'SegEnds_Xtal_BW#'!$A:$Z,5,FALSE)</f>
        <v>48</v>
      </c>
      <c r="F245" s="4">
        <f>VLOOKUP($B245&amp;"__wt",'SegEnds_Xtal_BW#'!$A:$Z,6,FALSE)</f>
        <v>51</v>
      </c>
      <c r="G245" s="4">
        <v>37</v>
      </c>
      <c r="H245" s="11">
        <v>66</v>
      </c>
      <c r="I245" s="4">
        <f>VLOOKUP($B245&amp;"__wt",'SegEnds_Xtal_BW#'!$A:$Z,9,FALSE)</f>
        <v>49</v>
      </c>
      <c r="J245" s="4">
        <f>VLOOKUP($B245&amp;"__wt",'SegEnds_Xtal_BW#'!$A:$Z,10,FALSE)</f>
        <v>52</v>
      </c>
      <c r="K245" s="11">
        <v>18</v>
      </c>
      <c r="L245" s="4">
        <f>VLOOKUP($B245&amp;"__wt",'SegEnds_Xtal_BW#'!$A:$Z,12,FALSE)</f>
        <v>56</v>
      </c>
      <c r="M245" s="4">
        <f>VLOOKUP($B245&amp;"__wt",'SegEnds_Xtal_BW#'!$A:$Z,13,FALSE)</f>
        <v>50</v>
      </c>
      <c r="N245" s="11">
        <v>55</v>
      </c>
      <c r="O245" s="88">
        <v>38</v>
      </c>
      <c r="P245" s="4">
        <f>VLOOKUP($B245&amp;"__wt",'SegEnds_Xtal_BW#'!$A:$Z,16,FALSE)</f>
        <v>64</v>
      </c>
      <c r="Q245" s="4">
        <f>VLOOKUP($B245&amp;"__wt",'SegEnds_Xtal_BW#'!$A:$Z,17,FALSE)</f>
        <v>50</v>
      </c>
      <c r="R245" s="4">
        <f>VLOOKUP($B245&amp;"__wt",'SegEnds_Xtal_BW#'!$A:$Z,18,FALSE)</f>
        <v>52</v>
      </c>
      <c r="S245" s="4">
        <f>VLOOKUP($B245&amp;"__wt",'SegEnds_Xtal_BW#'!$A:$Z,19,FALSE)</f>
        <v>33</v>
      </c>
      <c r="T245" s="4">
        <f t="array" ref="T245">INDEX(ICL3_classA!$G$2:$G$37,MATCH(MIN(ABS(AI245-ICL3_classA!$F$2:$F$37)),ABS(AI245-ICL3_classA!$F$2:$F$37),0))</f>
        <v>76</v>
      </c>
      <c r="U245" s="4">
        <f t="array" ref="U245">INDEX(ICL3_classA!$H$2:$H$37,MATCH(MIN(ABS(AI245-ICL3_classA!$F$2:$F$37)),ABS(AI245-ICL3_classA!$F$2:$F$37),0))</f>
        <v>24</v>
      </c>
      <c r="V245" s="4">
        <v>61</v>
      </c>
      <c r="W245" s="4">
        <v>31</v>
      </c>
      <c r="X245" s="4">
        <f>VLOOKUP($B245&amp;"__wt",'SegEnds_Xtal_BW#'!$A:$Z,24,FALSE)</f>
        <v>56</v>
      </c>
      <c r="Y245" s="4">
        <f>VLOOKUP($B245&amp;"__wt",'SegEnds_Xtal_BW#'!$A:$Z,25,FALSE)</f>
        <v>47</v>
      </c>
      <c r="Z245" s="4">
        <f>VLOOKUP($B245&amp;"__wt",'SegEnds_Xtal_BW#'!$A:$Z,26,FALSE)</f>
        <v>58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4">
        <f>VLOOKUP(A245,'SegEnds_NonXtal_Prot#'!A:AL,10,FALSE)-VLOOKUP(A245,'SegEnds_NonXtal_Prot#'!A:AL,7,FALSE)</f>
        <v>15</v>
      </c>
      <c r="AD245" s="4">
        <f>VLOOKUP(A245,'SegEnds_NonXtal_Prot#'!A:AL,13,FALSE)-VLOOKUP(A245,'SegEnds_NonXtal_Prot#'!A:AL,10,FALSE)</f>
        <v>18</v>
      </c>
      <c r="AE245" s="4">
        <f>VLOOKUP(A245,'SegEnds_NonXtal_Prot#'!A:AL,16,FALSE)-VLOOKUP(A245,'SegEnds_NonXtal_Prot#'!A:AL,10,FALSE)</f>
        <v>52</v>
      </c>
      <c r="AF245" s="1" t="e">
        <f>VLOOKUP(A245,'SegEnds_NonXtal_Prot#'!A:AL,22,FALSE)-VLOOKUP(A245,'SegEnds_NonXtal_Prot#'!A:AL,19,FALSE)</f>
        <v>#VALUE!</v>
      </c>
      <c r="AG245" s="4">
        <f>VLOOKUP(A245,'SegEnds_NonXtal_Prot#'!A:AL,28,FALSE)-VLOOKUP(A245,'SegEnds_NonXtal_Prot#'!A:AL,25,FALSE)</f>
        <v>25</v>
      </c>
      <c r="AH245" s="1">
        <f>VLOOKUP(A245,'SegEnds_NonXtal_Prot#'!A:AL,28,FALSE)-VLOOKUP(A245,'SegEnds_NonXtal_Prot#'!A:AL,22,FALSE)</f>
        <v>51</v>
      </c>
      <c r="AI245" s="4">
        <f>VLOOKUP(A245,'SegEnds_NonXtal_Prot#'!A:AL,31,FALSE)-VLOOKUP(A245,'SegEnds_NonXtal_Prot#'!A:AL,28,FALSE)</f>
        <v>78</v>
      </c>
      <c r="AJ245" s="4">
        <f>VLOOKUP(A245,'SegEnds_NonXtal_Prot#'!A:AL,34,FALSE)-VLOOKUP(A245,'SegEnds_NonXtal_Prot#'!A:AL,31,FALSE)</f>
        <v>36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394</v>
      </c>
      <c r="B246" s="1" t="str">
        <f>VLOOKUP(A246,Xtal_Templ!A:B,2,FALSE)</f>
        <v>oprx_human</v>
      </c>
      <c r="C246" s="5">
        <f>VLOOKUP($B246&amp;"__wt",'SegEnds_Xtal_BW#'!$A:$Z,3,FALSE)</f>
        <v>29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31</v>
      </c>
      <c r="T246" s="1">
        <f t="array" ref="T246">INDEX(ICL3_classA!$G$2:$G$37,MATCH(MIN(ABS(AI246-ICL3_classA!$F$2:$F$37)),ABS(AI246-ICL3_classA!$F$2:$F$37),0))</f>
        <v>76</v>
      </c>
      <c r="U246" s="1">
        <f t="array" ref="U246">INDEX(ICL3_classA!$H$2:$H$37,MATCH(MIN(ABS(AI246-ICL3_classA!$F$2:$F$37)),ABS(AI246-ICL3_classA!$F$2:$F$37),0))</f>
        <v>24</v>
      </c>
      <c r="V246" s="1">
        <v>61</v>
      </c>
      <c r="W246" s="1">
        <v>31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24</v>
      </c>
      <c r="AH246" s="1">
        <f>VLOOKUP(A246,'SegEnds_NonXtal_Prot#'!A:AL,28,FALSE)-VLOOKUP(A246,'SegEnds_NonXtal_Prot#'!A:AL,22,FALSE)</f>
        <v>53</v>
      </c>
      <c r="AI246" s="1">
        <f>VLOOKUP(A246,'SegEnds_NonXtal_Prot#'!A:AL,31,FALSE)-VLOOKUP(A246,'SegEnds_NonXtal_Prot#'!A:AL,28,FALSE)</f>
        <v>78</v>
      </c>
      <c r="AJ246" s="1">
        <f>VLOOKUP(A246,'SegEnds_NonXtal_Prot#'!A:AL,34,FALSE)-VLOOKUP(A246,'SegEnds_NonXtal_Prot#'!A:AL,31,FALSE)</f>
        <v>36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397</v>
      </c>
      <c r="B247" s="1" t="str">
        <f>VLOOKUP(A247,Xtal_Templ!A:B,2,FALSE)</f>
        <v>ox2r_human</v>
      </c>
      <c r="C247" s="5">
        <f>VLOOKUP($B247&amp;"__wt",'SegEnds_Xtal_BW#'!$A:$Z,3,FALSE)</f>
        <v>31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08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08">
        <v>56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33</v>
      </c>
      <c r="T247" s="1">
        <f t="array" ref="T247">INDEX(ICL3_classA!$G$2:$G$37,MATCH(MIN(ABS(AI247-ICL3_classA!$F$2:$F$37)),ABS(AI247-ICL3_classA!$F$2:$F$37),0))</f>
        <v>76</v>
      </c>
      <c r="U247" s="1">
        <f t="array" ref="U247">INDEX(ICL3_classA!$H$2:$H$37,MATCH(MIN(ABS(AI247-ICL3_classA!$F$2:$F$37)),ABS(AI247-ICL3_classA!$F$2:$F$37),0))</f>
        <v>24</v>
      </c>
      <c r="V247" s="1">
        <v>61</v>
      </c>
      <c r="W247" s="132">
        <f>VLOOKUP($B247&amp;"__wt",'SegEnds_Xtal_BW#'!$A:$Z,23,FALSE)</f>
        <v>27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>
        <f>VLOOKUP(A247,'SegEnds_NonXtal_Prot#'!A:AL,13,FALSE)-VLOOKUP(A247,'SegEnds_NonXtal_Prot#'!A:AL,10,FALSE)</f>
        <v>18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19</v>
      </c>
      <c r="AG247" s="1">
        <f>VLOOKUP(A247,'SegEnds_NonXtal_Prot#'!A:AL,28,FALSE)-VLOOKUP(A247,'SegEnds_NonXtal_Prot#'!A:AL,25,FALSE)</f>
        <v>25</v>
      </c>
      <c r="AH247" s="1">
        <f>VLOOKUP(A247,'SegEnds_NonXtal_Prot#'!A:AL,28,FALSE)-VLOOKUP(A247,'SegEnds_NonXtal_Prot#'!A:AL,22,FALSE)</f>
        <v>53</v>
      </c>
      <c r="AI247" s="1">
        <f>VLOOKUP(A247,'SegEnds_NonXtal_Prot#'!A:AL,31,FALSE)-VLOOKUP(A247,'SegEnds_NonXtal_Prot#'!A:AL,28,FALSE)</f>
        <v>78</v>
      </c>
      <c r="AJ247" s="1">
        <f>VLOOKUP(A247,'SegEnds_NonXtal_Prot#'!A:AL,34,FALSE)-VLOOKUP(A247,'SegEnds_NonXtal_Prot#'!A:AL,31,FALSE)</f>
        <v>39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190</v>
      </c>
      <c r="B248" s="1" t="str">
        <f>VLOOKUP(A248,Xtal_Templ!A:B,2,FALSE)</f>
        <v>adrb2_human</v>
      </c>
      <c r="C248" s="5">
        <f>VLOOKUP($B248&amp;"__wt",'SegEnds_Xtal_BW#'!$A:$Z,3,FALSE)</f>
        <v>25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21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INDEX(ICL3_classA!$G$2:$G$37,MATCH(MIN(ABS(AI248-ICL3_classA!$F$2:$F$37)),ABS(AI248-ICL3_classA!$F$2:$F$37),0))</f>
        <v>76</v>
      </c>
      <c r="U248" s="1">
        <f t="array" ref="U248">INDEX(ICL3_classA!$H$2:$H$37,MATCH(MIN(ABS(AI248-ICL3_classA!$F$2:$F$37)),ABS(AI248-ICL3_classA!$F$2:$F$37),0))</f>
        <v>24</v>
      </c>
      <c r="V248" s="1">
        <v>61</v>
      </c>
      <c r="W248" s="1">
        <v>28</v>
      </c>
      <c r="X248" s="1">
        <f>VLOOKUP($B248&amp;"__wt",'SegEnds_Xtal_BW#'!$A:$Z,24,FALSE)</f>
        <v>55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29</v>
      </c>
      <c r="AC248" s="1">
        <f>VLOOKUP(A248,'SegEnds_NonXtal_Prot#'!A:AL,10,FALSE)-VLOOKUP(A248,'SegEnds_NonXtal_Prot#'!A:AL,7,FALSE)</f>
        <v>16</v>
      </c>
      <c r="AD248" s="1">
        <f>VLOOKUP(A248,'SegEnds_NonXtal_Prot#'!A:AL,13,FALSE)-VLOOKUP(A248,'SegEnds_NonXtal_Prot#'!A:AL,10,FALSE)</f>
        <v>20</v>
      </c>
      <c r="AE248" s="1">
        <f>VLOOKUP(A248,'SegEnds_NonXtal_Prot#'!A:AL,16,FALSE)-VLOOKUP(A248,'SegEnds_NonXtal_Prot#'!A:AL,10,FALSE)</f>
        <v>51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20</v>
      </c>
      <c r="AH248" s="1">
        <f>VLOOKUP(A248,'SegEnds_NonXtal_Prot#'!A:AL,28,FALSE)-VLOOKUP(A248,'SegEnds_NonXtal_Prot#'!A:AL,22,FALSE)</f>
        <v>58</v>
      </c>
      <c r="AI248" s="1">
        <f>VLOOKUP(A248,'SegEnds_NonXtal_Prot#'!A:AL,31,FALSE)-VLOOKUP(A248,'SegEnds_NonXtal_Prot#'!A:AL,28,FALSE)</f>
        <v>81</v>
      </c>
      <c r="AJ248" s="1">
        <f>VLOOKUP(A248,'SegEnds_NonXtal_Prot#'!A:AL,34,FALSE)-VLOOKUP(A248,'SegEnds_NonXtal_Prot#'!A:AL,31,FALSE)</f>
        <v>41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263</v>
      </c>
      <c r="B249" s="1" t="str">
        <f>VLOOKUP(A249,Xtal_Templ!A:B,2,FALSE)</f>
        <v>ox2r_human</v>
      </c>
      <c r="C249" s="5">
        <f>VLOOKUP($B249&amp;"__wt",'SegEnds_Xtal_BW#'!$A:$Z,3,FALSE)</f>
        <v>31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68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INDEX(ICL3_classA!$G$2:$G$37,MATCH(MIN(ABS(AI249-ICL3_classA!$F$2:$F$37)),ABS(AI249-ICL3_classA!$F$2:$F$37),0))</f>
        <v>76</v>
      </c>
      <c r="U249" s="1">
        <f t="array" ref="U249">INDEX(ICL3_classA!$H$2:$H$37,MATCH(MIN(ABS(AI249-ICL3_classA!$F$2:$F$37)),ABS(AI249-ICL3_classA!$F$2:$F$37),0))</f>
        <v>24</v>
      </c>
      <c r="V249" s="1">
        <v>61</v>
      </c>
      <c r="W249" s="1">
        <v>31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58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26</v>
      </c>
      <c r="AC249" s="1" t="e">
        <f>VLOOKUP(A249,'SegEnds_NonXtal_Prot#'!A:AL,10,FALSE)-VLOOKUP(A249,'SegEnds_NonXtal_Prot#'!A:AL,7,FALSE)</f>
        <v>#VALUE!</v>
      </c>
      <c r="AD249" s="1">
        <f>VLOOKUP(A249,'SegEnds_NonXtal_Prot#'!A:AL,13,FALSE)-VLOOKUP(A249,'SegEnds_NonXtal_Prot#'!A:AL,10,FALSE)</f>
        <v>21</v>
      </c>
      <c r="AE249" s="1">
        <f>VLOOKUP(A249,'SegEnds_NonXtal_Prot#'!A:AL,16,FALSE)-VLOOKUP(A249,'SegEnds_NonXtal_Prot#'!A:AL,10,FALSE)</f>
        <v>54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25</v>
      </c>
      <c r="AH249" s="1">
        <f>VLOOKUP(A249,'SegEnds_NonXtal_Prot#'!A:AL,28,FALSE)-VLOOKUP(A249,'SegEnds_NonXtal_Prot#'!A:AL,22,FALSE)</f>
        <v>53</v>
      </c>
      <c r="AI249" s="1">
        <f>VLOOKUP(A249,'SegEnds_NonXtal_Prot#'!A:AL,31,FALSE)-VLOOKUP(A249,'SegEnds_NonXtal_Prot#'!A:AL,28,FALSE)</f>
        <v>82</v>
      </c>
      <c r="AJ249" s="1">
        <f>VLOOKUP(A249,'SegEnds_NonXtal_Prot#'!A:AL,34,FALSE)-VLOOKUP(A249,'SegEnds_NonXtal_Prot#'!A:AL,31,FALSE)</f>
        <v>36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136</v>
      </c>
      <c r="B250" s="1" t="str">
        <f>VLOOKUP(A250,Xtal_Templ!A:B,2,FALSE)</f>
        <v>5ht2c_human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f>VLOOKUP($B250&amp;"__wt",'SegEnds_Xtal_BW#'!$A:$Z,8,FALSE)</f>
        <v>68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v>38</v>
      </c>
      <c r="P250" s="1">
        <f>VLOOKUP($B250&amp;"__wt",'SegEnds_Xtal_BW#'!$A:$Z,16,FALSE)</f>
        <v>67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v>35</v>
      </c>
      <c r="T250" s="1">
        <f t="array" ref="T250">INDEX(ICL3_classA!$G$2:$G$37,MATCH(MIN(ABS(AI250-ICL3_classA!$F$2:$F$37)),ABS(AI250-ICL3_classA!$F$2:$F$37),0))</f>
        <v>76</v>
      </c>
      <c r="U250" s="1">
        <f t="array" ref="U250">INDEX(ICL3_classA!$H$2:$H$37,MATCH(MIN(ABS(AI250-ICL3_classA!$F$2:$F$37)),ABS(AI250-ICL3_classA!$F$2:$F$37),0))</f>
        <v>24</v>
      </c>
      <c r="V250" s="1">
        <v>61</v>
      </c>
      <c r="W250" s="1">
        <v>32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60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20</v>
      </c>
      <c r="AH250" s="1">
        <f>VLOOKUP(A250,'SegEnds_NonXtal_Prot#'!A:AL,28,FALSE)-VLOOKUP(A250,'SegEnds_NonXtal_Prot#'!A:AL,22,FALSE)</f>
        <v>49</v>
      </c>
      <c r="AI250" s="1">
        <f>VLOOKUP(A250,'SegEnds_NonXtal_Prot#'!A:AL,31,FALSE)-VLOOKUP(A250,'SegEnds_NonXtal_Prot#'!A:AL,28,FALSE)</f>
        <v>83</v>
      </c>
      <c r="AJ250" s="1">
        <f>VLOOKUP(A250,'SegEnds_NonXtal_Prot#'!A:AL,34,FALSE)-VLOOKUP(A250,'SegEnds_NonXtal_Prot#'!A:AL,31,FALSE)</f>
        <v>34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1175</v>
      </c>
      <c r="B251" s="1" t="str">
        <f>VLOOKUP(A251,Xtal_Templ!A:B,2,FALSE)</f>
        <v>ox2r_human</v>
      </c>
      <c r="C251" s="5">
        <f>VLOOKUP($B251&amp;"__wt",'SegEnds_Xtal_BW#'!$A:$Z,3,FALSE)</f>
        <v>31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f>VLOOKUP($B251&amp;"__wt",'SegEnds_Xtal_BW#'!$A:$Z,14,FALSE)</f>
        <v>53</v>
      </c>
      <c r="O251" s="87">
        <f>VLOOKUP($B251&amp;"__wt",'SegEnds_Xtal_BW#'!$A:$Z,15,FALSE)</f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33</v>
      </c>
      <c r="T251" s="1">
        <f t="array" ref="T251">INDEX(ICL3_classA!$G$2:$G$37,MATCH(MIN(ABS(AI251-ICL3_classA!$F$2:$F$37)),ABS(AI251-ICL3_classA!$F$2:$F$37),0))</f>
        <v>76</v>
      </c>
      <c r="U251" s="1">
        <v>20</v>
      </c>
      <c r="V251" s="1">
        <v>61</v>
      </c>
      <c r="W251" s="108">
        <v>27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20</v>
      </c>
      <c r="AE251" s="1">
        <f>VLOOKUP(A251,'SegEnds_NonXtal_Prot#'!A:AL,16,FALSE)-VLOOKUP(A251,'SegEnds_NonXtal_Prot#'!A:AL,10,FALSE)</f>
        <v>52</v>
      </c>
      <c r="AF251" s="1">
        <f>VLOOKUP(A251,'SegEnds_NonXtal_Prot#'!A:AL,22,FALSE)-VLOOKUP(A251,'SegEnds_NonXtal_Prot#'!A:AL,19,FALSE)</f>
        <v>18</v>
      </c>
      <c r="AG251" s="1">
        <f>VLOOKUP(A251,'SegEnds_NonXtal_Prot#'!A:AL,28,FALSE)-VLOOKUP(A251,'SegEnds_NonXtal_Prot#'!A:AL,25,FALSE)</f>
        <v>25</v>
      </c>
      <c r="AH251" s="1">
        <f>VLOOKUP(A251,'SegEnds_NonXtal_Prot#'!A:AL,28,FALSE)-VLOOKUP(A251,'SegEnds_NonXtal_Prot#'!A:AL,22,FALSE)</f>
        <v>58</v>
      </c>
      <c r="AI251" s="12">
        <f>VLOOKUP(A251,'SegEnds_NonXtal_Prot#'!A:AL,31,FALSE)-VLOOKUP(A251,'SegEnds_NonXtal_Prot#'!A:AL,28,FALSE)</f>
        <v>84</v>
      </c>
      <c r="AJ251" s="1">
        <f>VLOOKUP(A251,'SegEnds_NonXtal_Prot#'!A:AL,34,FALSE)-VLOOKUP(A251,'SegEnds_NonXtal_Prot#'!A:AL,31,FALSE)</f>
        <v>42</v>
      </c>
      <c r="AK251" s="1">
        <f>VLOOKUP(A251,'SegEnds_NonXtal_Prot#'!A:AL,37,FALSE)-VLOOKUP(A251,'SegEnds_NonXtal_Prot#'!A:AL,34,FALSE)</f>
        <v>10</v>
      </c>
      <c r="AL251" s="12" t="str">
        <f>IF(ISERROR(MATCH(A251,'SegEnds_Xtal_Prot#'!B:B, 0)), "NoXtal", "Xtal")</f>
        <v>Xtal</v>
      </c>
    </row>
    <row r="252" spans="1:38" x14ac:dyDescent="0.2">
      <c r="A252" s="1" t="s">
        <v>227</v>
      </c>
      <c r="B252" s="1" t="str">
        <f>VLOOKUP(A252,Xtal_Templ!A:B,2,FALSE)</f>
        <v>5ht1b_human</v>
      </c>
      <c r="C252" s="5">
        <f>VLOOKUP($B252&amp;"__wt",'SegEnds_Xtal_BW#'!$A:$Z,3,FALSE)</f>
        <v>28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68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f>VLOOKUP($B252&amp;"__wt",'SegEnds_Xtal_BW#'!$A:$Z,14,FALSE)</f>
        <v>57</v>
      </c>
      <c r="O252" s="87">
        <v>38</v>
      </c>
      <c r="P252" s="1"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INDEX(ICL3_classA!$G$2:$G$37,MATCH(MIN(ABS(AI252-ICL3_classA!$F$2:$F$37)),ABS(AI252-ICL3_classA!$F$2:$F$37),0))</f>
        <v>76</v>
      </c>
      <c r="U252" s="1">
        <f t="array" ref="U252">INDEX(ICL3_classA!$H$2:$H$37,MATCH(MIN(ABS(AI252-ICL3_classA!$F$2:$F$37)),ABS(AI252-ICL3_classA!$F$2:$F$37),0))</f>
        <v>24</v>
      </c>
      <c r="V252" s="1">
        <v>61</v>
      </c>
      <c r="W252" s="1">
        <v>31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22</v>
      </c>
      <c r="AH252" s="1">
        <f>VLOOKUP(A252,'SegEnds_NonXtal_Prot#'!A:AL,28,FALSE)-VLOOKUP(A252,'SegEnds_NonXtal_Prot#'!A:AL,22,FALSE)</f>
        <v>48</v>
      </c>
      <c r="AI252" s="1">
        <f>VLOOKUP(A252,'SegEnds_NonXtal_Prot#'!A:AL,31,FALSE)-VLOOKUP(A252,'SegEnds_NonXtal_Prot#'!A:AL,28,FALSE)</f>
        <v>85</v>
      </c>
      <c r="AJ252" s="1">
        <f>VLOOKUP(A252,'SegEnds_NonXtal_Prot#'!A:AL,34,FALSE)-VLOOKUP(A252,'SegEnds_NonXtal_Prot#'!A:AL,31,FALSE)</f>
        <v>36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398</v>
      </c>
      <c r="B253" s="1" t="str">
        <f>VLOOKUP(A253,Xtal_Templ!A:B,2,FALSE)</f>
        <v>ntr1_human</v>
      </c>
      <c r="C253" s="5">
        <f>VLOOKUP($B253&amp;"__wt",'SegEnds_Xtal_BW#'!$A:$Z,3,FALSE)</f>
        <v>28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08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08">
        <v>56</v>
      </c>
      <c r="O253" s="87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31</v>
      </c>
      <c r="T253" s="1">
        <f t="array" ref="T253">INDEX(ICL3_classA!$G$2:$G$37,MATCH(MIN(ABS(AI253-ICL3_classA!$F$2:$F$37)),ABS(AI253-ICL3_classA!$F$2:$F$37),0))</f>
        <v>76</v>
      </c>
      <c r="U253" s="1">
        <f t="array" ref="U253">INDEX(ICL3_classA!$H$2:$H$37,MATCH(MIN(ABS(AI253-ICL3_classA!$F$2:$F$37)),ABS(AI253-ICL3_classA!$F$2:$F$37),0))</f>
        <v>24</v>
      </c>
      <c r="V253" s="1">
        <v>61</v>
      </c>
      <c r="W253" s="132">
        <f>VLOOKUP($B253&amp;"__wt",'SegEnds_Xtal_BW#'!$A:$Z,23,FALSE)</f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62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18</v>
      </c>
      <c r="AE253" s="1">
        <f>VLOOKUP(A253,'SegEnds_NonXtal_Prot#'!A:AL,16,FALSE)-VLOOKUP(A253,'SegEnds_NonXtal_Prot#'!A:AL,10,FALSE)</f>
        <v>52</v>
      </c>
      <c r="AF253" s="1">
        <f>VLOOKUP(A253,'SegEnds_NonXtal_Prot#'!A:AL,22,FALSE)-VLOOKUP(A253,'SegEnds_NonXtal_Prot#'!A:AL,19,FALSE)</f>
        <v>19</v>
      </c>
      <c r="AG253" s="1">
        <f>VLOOKUP(A253,'SegEnds_NonXtal_Prot#'!A:AL,28,FALSE)-VLOOKUP(A253,'SegEnds_NonXtal_Prot#'!A:AL,25,FALSE)</f>
        <v>25</v>
      </c>
      <c r="AH253" s="1">
        <f>VLOOKUP(A253,'SegEnds_NonXtal_Prot#'!A:AL,28,FALSE)-VLOOKUP(A253,'SegEnds_NonXtal_Prot#'!A:AL,22,FALSE)</f>
        <v>53</v>
      </c>
      <c r="AI253" s="1">
        <f>VLOOKUP(A253,'SegEnds_NonXtal_Prot#'!A:AL,31,FALSE)-VLOOKUP(A253,'SegEnds_NonXtal_Prot#'!A:AL,28,FALSE)</f>
        <v>85</v>
      </c>
      <c r="AJ253" s="1">
        <f>VLOOKUP(A253,'SegEnds_NonXtal_Prot#'!A:AL,34,FALSE)-VLOOKUP(A253,'SegEnds_NonXtal_Prot#'!A:AL,31,FALSE)</f>
        <v>39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1" t="s">
        <v>911</v>
      </c>
      <c r="B254" s="1" t="str">
        <f>VLOOKUP(A254,Xtal_Templ!A:B,2,FALSE)</f>
        <v>adrb1_melga</v>
      </c>
      <c r="C254" s="5">
        <f>VLOOKUP($B254&amp;"__wt",'SegEnds_Xtal_BW#'!$A:$Z,3,FALSE)</f>
        <v>24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67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f>VLOOKUP($B254&amp;"__wt",'SegEnds_Xtal_BW#'!$A:$Z,14,FALSE)</f>
        <v>57</v>
      </c>
      <c r="O254" s="87">
        <f>VLOOKUP($B254&amp;"__wt",'SegEnds_Xtal_BW#'!$A:$Z,15,FALSE)</f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35</v>
      </c>
      <c r="T254" s="1">
        <f t="array" ref="T254">INDEX(ICL3_classA!$G$2:$G$37,MATCH(MIN(ABS(AI254-ICL3_classA!$F$2:$F$37)),ABS(AI254-ICL3_classA!$F$2:$F$37),0))</f>
        <v>76</v>
      </c>
      <c r="U254" s="1">
        <v>20</v>
      </c>
      <c r="V254" s="1">
        <v>61</v>
      </c>
      <c r="W254" s="1">
        <v>31</v>
      </c>
      <c r="X254" s="1">
        <f>VLOOKUP($B254&amp;"__wt",'SegEnds_Xtal_BW#'!$A:$Z,24,FALSE)</f>
        <v>55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1">
        <f>VLOOKUP(A254,'SegEnds_NonXtal_Prot#'!A:AL,10,FALSE)-VLOOKUP(A254,'SegEnds_NonXtal_Prot#'!A:AL,7,FALSE)</f>
        <v>15</v>
      </c>
      <c r="AD254" s="1">
        <f>VLOOKUP(A254,'SegEnds_NonXtal_Prot#'!A:AL,13,FALSE)-VLOOKUP(A254,'SegEnds_NonXtal_Prot#'!A:AL,10,FALSE)</f>
        <v>20</v>
      </c>
      <c r="AE254" s="1">
        <f>VLOOKUP(A254,'SegEnds_NonXtal_Prot#'!A:AL,16,FALSE)-VLOOKUP(A254,'SegEnds_NonXtal_Prot#'!A:AL,10,FALSE)</f>
        <v>52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20</v>
      </c>
      <c r="AH254" s="1">
        <f>VLOOKUP(A254,'SegEnds_NonXtal_Prot#'!A:AL,28,FALSE)-VLOOKUP(A254,'SegEnds_NonXtal_Prot#'!A:AL,22,FALSE)</f>
        <v>53</v>
      </c>
      <c r="AI254" s="1">
        <f>VLOOKUP(A254,'SegEnds_NonXtal_Prot#'!A:AL,31,FALSE)-VLOOKUP(A254,'SegEnds_NonXtal_Prot#'!A:AL,28,FALSE)</f>
        <v>86</v>
      </c>
      <c r="AJ254" s="1">
        <f>VLOOKUP(A254,'SegEnds_NonXtal_Prot#'!A:AL,34,FALSE)-VLOOKUP(A254,'SegEnds_NonXtal_Prot#'!A:AL,31,FALSE)</f>
        <v>35</v>
      </c>
      <c r="AK254" s="1">
        <f>VLOOKUP(A254,'SegEnds_NonXtal_Prot#'!A:AL,37,FALSE)-VLOOKUP(A254,'SegEnds_NonXtal_Prot#'!A:AL,34,FALSE)</f>
        <v>9</v>
      </c>
      <c r="AL254" s="1" t="str">
        <f>IF(ISERROR(MATCH(A254,'SegEnds_Xtal_Prot#'!B:B, 0)), "NoXtal", "Xtal")</f>
        <v>Xtal</v>
      </c>
    </row>
    <row r="255" spans="1:38" x14ac:dyDescent="0.2">
      <c r="A255" s="1" t="s">
        <v>1174</v>
      </c>
      <c r="B255" s="1" t="str">
        <f>VLOOKUP(A255,Xtal_Templ!A:B,2,FALSE)</f>
        <v>ox1r_human</v>
      </c>
      <c r="C255" s="5">
        <f>VLOOKUP($B255&amp;"__wt",'SegEnds_Xtal_BW#'!$A:$Z,3,FALSE)</f>
        <v>32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f>VLOOKUP($B255&amp;"__wt",'SegEnds_Xtal_BW#'!$A:$Z,8,FALSE)</f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f>VLOOKUP($B255&amp;"__wt",'SegEnds_Xtal_BW#'!$A:$Z,14,FALSE)</f>
        <v>53</v>
      </c>
      <c r="O255" s="87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INDEX(ICL3_classA!$G$2:$G$37,MATCH(MIN(ABS(AI255-ICL3_classA!$F$2:$F$37)),ABS(AI255-ICL3_classA!$F$2:$F$37),0))</f>
        <v>76</v>
      </c>
      <c r="U255" s="1">
        <v>20</v>
      </c>
      <c r="V255" s="1">
        <v>61</v>
      </c>
      <c r="W255" s="1">
        <v>28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58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20</v>
      </c>
      <c r="AE255" s="1">
        <f>VLOOKUP(A255,'SegEnds_NonXtal_Prot#'!A:AL,16,FALSE)-VLOOKUP(A255,'SegEnds_NonXtal_Prot#'!A:AL,10,FALSE)</f>
        <v>52</v>
      </c>
      <c r="AF255" s="1">
        <f>VLOOKUP(A255,'SegEnds_NonXtal_Prot#'!A:AL,22,FALSE)-VLOOKUP(A255,'SegEnds_NonXtal_Prot#'!A:AL,19,FALSE)</f>
        <v>18</v>
      </c>
      <c r="AG255" s="1">
        <f>VLOOKUP(A255,'SegEnds_NonXtal_Prot#'!A:AL,28,FALSE)-VLOOKUP(A255,'SegEnds_NonXtal_Prot#'!A:AL,25,FALSE)</f>
        <v>25</v>
      </c>
      <c r="AH255" s="1">
        <f>VLOOKUP(A255,'SegEnds_NonXtal_Prot#'!A:AL,28,FALSE)-VLOOKUP(A255,'SegEnds_NonXtal_Prot#'!A:AL,22,FALSE)</f>
        <v>58</v>
      </c>
      <c r="AI255" s="12">
        <f>VLOOKUP(A255,'SegEnds_NonXtal_Prot#'!A:AL,31,FALSE)-VLOOKUP(A255,'SegEnds_NonXtal_Prot#'!A:AL,28,FALSE)</f>
        <v>86</v>
      </c>
      <c r="AJ255" s="1">
        <f>VLOOKUP(A255,'SegEnds_NonXtal_Prot#'!A:AL,34,FALSE)-VLOOKUP(A255,'SegEnds_NonXtal_Prot#'!A:AL,31,FALSE)</f>
        <v>42</v>
      </c>
      <c r="AK255" s="1">
        <f>VLOOKUP(A255,'SegEnds_NonXtal_Prot#'!A:AL,37,FALSE)-VLOOKUP(A255,'SegEnds_NonXtal_Prot#'!A:AL,34,FALSE)</f>
        <v>10</v>
      </c>
      <c r="AL255" s="12" t="str">
        <f>IF(ISERROR(MATCH(A255,'SegEnds_Xtal_Prot#'!B:B, 0)), "NoXtal", "Xtal")</f>
        <v>Xtal</v>
      </c>
    </row>
    <row r="256" spans="1:38" x14ac:dyDescent="0.2">
      <c r="A256" s="1" t="s">
        <v>135</v>
      </c>
      <c r="B256" s="1" t="str">
        <f>VLOOKUP(A256,Xtal_Templ!A:B,2,FALSE)</f>
        <v>5ht1b_human</v>
      </c>
      <c r="C256" s="5">
        <f>VLOOKUP($B256&amp;"__wt",'SegEnds_Xtal_BW#'!$A:$Z,3,FALSE)</f>
        <v>28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2">
        <f>VLOOKUP($B256&amp;"__wt",'SegEnds_Xtal_BW#'!$A:$Z,8,FALSE)</f>
        <v>68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f>VLOOKUP($B256&amp;"__wt",'SegEnds_Xtal_BW#'!$A:$Z,14,FALSE)</f>
        <v>57</v>
      </c>
      <c r="O256" s="87">
        <f>VLOOKUP($B256&amp;"__wt",'SegEnds_Xtal_BW#'!$A:$Z,15,FALSE)</f>
        <v>38</v>
      </c>
      <c r="P256" s="1">
        <f>VLOOKUP($B256&amp;"__wt",'SegEnds_Xtal_BW#'!$A:$Z,16,FALSE)</f>
        <v>63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35</v>
      </c>
      <c r="T256" s="1">
        <f t="array" ref="T256">INDEX(ICL3_classA!$G$2:$G$37,MATCH(MIN(ABS(AI256-ICL3_classA!$F$2:$F$37)),ABS(AI256-ICL3_classA!$F$2:$F$37),0))</f>
        <v>76</v>
      </c>
      <c r="U256" s="1">
        <f t="array" ref="U256">INDEX(ICL3_classA!$H$2:$H$37,MATCH(MIN(ABS(AI256-ICL3_classA!$F$2:$F$37)),ABS(AI256-ICL3_classA!$F$2:$F$37),0))</f>
        <v>24</v>
      </c>
      <c r="V256" s="1">
        <v>61</v>
      </c>
      <c r="W256" s="1">
        <v>31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58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>
        <f>VLOOKUP(A256,'SegEnds_NonXtal_Prot#'!A:AL,10,FALSE)-VLOOKUP(A256,'SegEnds_NonXtal_Prot#'!A:AL,7,FALSE)</f>
        <v>15</v>
      </c>
      <c r="AD256" s="1">
        <f>VLOOKUP(A256,'SegEnds_NonXtal_Prot#'!A:AL,13,FALSE)-VLOOKUP(A256,'SegEnds_NonXtal_Prot#'!A:AL,10,FALSE)</f>
        <v>21</v>
      </c>
      <c r="AE256" s="1">
        <f>VLOOKUP(A256,'SegEnds_NonXtal_Prot#'!A:AL,16,FALSE)-VLOOKUP(A256,'SegEnds_NonXtal_Prot#'!A:AL,10,FALSE)</f>
        <v>53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20</v>
      </c>
      <c r="AH256" s="1">
        <f>VLOOKUP(A256,'SegEnds_NonXtal_Prot#'!A:AL,28,FALSE)-VLOOKUP(A256,'SegEnds_NonXtal_Prot#'!A:AL,22,FALSE)</f>
        <v>46</v>
      </c>
      <c r="AI256" s="1">
        <f>VLOOKUP(A256,'SegEnds_NonXtal_Prot#'!A:AL,31,FALSE)-VLOOKUP(A256,'SegEnds_NonXtal_Prot#'!A:AL,28,FALSE)</f>
        <v>88</v>
      </c>
      <c r="AJ256" s="1">
        <f>VLOOKUP(A256,'SegEnds_NonXtal_Prot#'!A:AL,34,FALSE)-VLOOKUP(A256,'SegEnds_NonXtal_Prot#'!A:AL,31,FALSE)</f>
        <v>35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137</v>
      </c>
      <c r="B257" s="1" t="str">
        <f>VLOOKUP(A257,Xtal_Templ!A:B,2,FALSE)</f>
        <v>5ht1b_human</v>
      </c>
      <c r="C257" s="5">
        <f>VLOOKUP($B257&amp;"__wt",'SegEnds_Xtal_BW#'!$A:$Z,3,FALSE)</f>
        <v>28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f>VLOOKUP($B257&amp;"__wt",'SegEnds_Xtal_BW#'!$A:$Z,8,FALSE)</f>
        <v>68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7">
        <f>VLOOKUP($B257&amp;"__wt",'SegEnds_Xtal_BW#'!$A:$Z,15,FALSE)</f>
        <v>38</v>
      </c>
      <c r="P257" s="1">
        <f>VLOOKUP($B257&amp;"__wt",'SegEnds_Xtal_BW#'!$A:$Z,16,FALSE)</f>
        <v>63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v>35</v>
      </c>
      <c r="T257" s="1">
        <f t="array" ref="T257">INDEX(ICL3_classA!$G$2:$G$37,MATCH(MIN(ABS(AI257-ICL3_classA!$F$2:$F$37)),ABS(AI257-ICL3_classA!$F$2:$F$37),0))</f>
        <v>76</v>
      </c>
      <c r="U257" s="1">
        <f t="array" ref="U257">INDEX(ICL3_classA!$H$2:$H$37,MATCH(MIN(ABS(AI257-ICL3_classA!$F$2:$F$37)),ABS(AI257-ICL3_classA!$F$2:$F$37),0))</f>
        <v>24</v>
      </c>
      <c r="V257" s="1">
        <v>61</v>
      </c>
      <c r="W257" s="132">
        <v>27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58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21</v>
      </c>
      <c r="AE257" s="1">
        <f>VLOOKUP(A257,'SegEnds_NonXtal_Prot#'!A:AL,16,FALSE)-VLOOKUP(A257,'SegEnds_NonXtal_Prot#'!A:AL,10,FALSE)</f>
        <v>53</v>
      </c>
      <c r="AF257" s="1">
        <f>VLOOKUP(A257,'SegEnds_NonXtal_Prot#'!A:AL,22,FALSE)-VLOOKUP(A257,'SegEnds_NonXtal_Prot#'!A:AL,19,FALSE)</f>
        <v>20</v>
      </c>
      <c r="AG257" s="1">
        <f>VLOOKUP(A257,'SegEnds_NonXtal_Prot#'!A:AL,28,FALSE)-VLOOKUP(A257,'SegEnds_NonXtal_Prot#'!A:AL,25,FALSE)</f>
        <v>20</v>
      </c>
      <c r="AH257" s="1">
        <f>VLOOKUP(A257,'SegEnds_NonXtal_Prot#'!A:AL,28,FALSE)-VLOOKUP(A257,'SegEnds_NonXtal_Prot#'!A:AL,22,FALSE)</f>
        <v>44</v>
      </c>
      <c r="AI257" s="1">
        <f>VLOOKUP(A257,'SegEnds_NonXtal_Prot#'!A:AL,31,FALSE)-VLOOKUP(A257,'SegEnds_NonXtal_Prot#'!A:AL,28,FALSE)</f>
        <v>91</v>
      </c>
      <c r="AJ257" s="1">
        <f>VLOOKUP(A257,'SegEnds_NonXtal_Prot#'!A:AL,34,FALSE)-VLOOKUP(A257,'SegEnds_NonXtal_Prot#'!A:AL,31,FALSE)</f>
        <v>39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152</v>
      </c>
      <c r="B258" s="1" t="str">
        <f>VLOOKUP(A258,Xtal_Templ!A:B,2,FALSE)</f>
        <v>drd2_human</v>
      </c>
      <c r="C258" s="5">
        <f>VLOOKUP($B258&amp;"__wt",'SegEnds_Xtal_BW#'!$A:$Z,3,FALSE)</f>
        <v>29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v>38</v>
      </c>
      <c r="P258" s="1">
        <f>VLOOKUP($B258&amp;"__wt",'SegEnds_Xtal_BW#'!$A:$Z,16,FALSE)</f>
        <v>62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v>35</v>
      </c>
      <c r="T258" s="1">
        <f t="array" ref="T258">INDEX(ICL3_classA!$G$2:$G$37,MATCH(MIN(ABS(AI258-ICL3_classA!$F$2:$F$37)),ABS(AI258-ICL3_classA!$F$2:$F$37),0))</f>
        <v>76</v>
      </c>
      <c r="U258" s="1">
        <f t="array" ref="U258">INDEX(ICL3_classA!$H$2:$H$37,MATCH(MIN(ABS(AI258-ICL3_classA!$F$2:$F$37)),ABS(AI258-ICL3_classA!$F$2:$F$37),0))</f>
        <v>24</v>
      </c>
      <c r="V258" s="1">
        <v>61</v>
      </c>
      <c r="W258" s="1">
        <v>31</v>
      </c>
      <c r="X258" s="108">
        <v>56</v>
      </c>
      <c r="Y258" s="1">
        <f>VLOOKUP($B258&amp;"__wt",'SegEnds_Xtal_BW#'!$A:$Z,25,FALSE)</f>
        <v>47</v>
      </c>
      <c r="Z258" s="1">
        <f>VLOOKUP($B258&amp;"__wt",'SegEnds_Xtal_BW#'!$A:$Z,26,FALSE)</f>
        <v>59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20</v>
      </c>
      <c r="AE258" s="1">
        <f>VLOOKUP(A258,'SegEnds_NonXtal_Prot#'!A:AL,16,FALSE)-VLOOKUP(A258,'SegEnds_NonXtal_Prot#'!A:AL,10,FALSE)</f>
        <v>52</v>
      </c>
      <c r="AF258" s="1">
        <f>VLOOKUP(A258,'SegEnds_NonXtal_Prot#'!A:AL,22,FALSE)-VLOOKUP(A258,'SegEnds_NonXtal_Prot#'!A:AL,19,FALSE)</f>
        <v>20</v>
      </c>
      <c r="AG258" s="1">
        <f>VLOOKUP(A258,'SegEnds_NonXtal_Prot#'!A:AL,28,FALSE)-VLOOKUP(A258,'SegEnds_NonXtal_Prot#'!A:AL,25,FALSE)</f>
        <v>20</v>
      </c>
      <c r="AH258" s="1">
        <f>VLOOKUP(A258,'SegEnds_NonXtal_Prot#'!A:AL,28,FALSE)-VLOOKUP(A258,'SegEnds_NonXtal_Prot#'!A:AL,22,FALSE)</f>
        <v>45</v>
      </c>
      <c r="AI258" s="1">
        <f>VLOOKUP(A258,'SegEnds_NonXtal_Prot#'!A:AL,31,FALSE)-VLOOKUP(A258,'SegEnds_NonXtal_Prot#'!A:AL,28,FALSE)</f>
        <v>91</v>
      </c>
      <c r="AJ258" s="1">
        <f>VLOOKUP(A258,'SegEnds_NonXtal_Prot#'!A:AL,34,FALSE)-VLOOKUP(A258,'SegEnds_NonXtal_Prot#'!A:AL,31,FALSE)</f>
        <v>36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102</v>
      </c>
      <c r="B259" s="1" t="str">
        <f>VLOOKUP(A259,Xtal_Templ!A:B,2,FALSE)</f>
        <v>adrb2_human</v>
      </c>
      <c r="C259" s="5">
        <f>VLOOKUP($B259&amp;"__wt",'SegEnds_Xtal_BW#'!$A:$Z,3,FALSE)</f>
        <v>25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7"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v>35</v>
      </c>
      <c r="T259" s="1">
        <f t="array" ref="T259">INDEX(ICL3_classA!$G$2:$G$37,MATCH(MIN(ABS(AI259-ICL3_classA!$F$2:$F$37)),ABS(AI259-ICL3_classA!$F$2:$F$37),0))</f>
        <v>76</v>
      </c>
      <c r="U259" s="1">
        <f t="array" ref="U259">INDEX(ICL3_classA!$H$2:$H$37,MATCH(MIN(ABS(AI259-ICL3_classA!$F$2:$F$37)),ABS(AI259-ICL3_classA!$F$2:$F$37),0))</f>
        <v>24</v>
      </c>
      <c r="V259" s="1">
        <v>61</v>
      </c>
      <c r="W259" s="1">
        <v>31</v>
      </c>
      <c r="X259" s="125">
        <f>VLOOKUP($B259&amp;"__wt",'SegEnds_Xtal_BW#'!$A:$Z,24,FALSE)</f>
        <v>55</v>
      </c>
      <c r="Y259" s="1">
        <f>VLOOKUP($B259&amp;"__wt",'SegEnds_Xtal_BW#'!$A:$Z,25,FALSE)</f>
        <v>47</v>
      </c>
      <c r="Z259" s="1">
        <f>VLOOKUP($B259&amp;"__wt",'SegEnds_Xtal_BW#'!$A:$Z,26,FALSE)</f>
        <v>59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28</v>
      </c>
      <c r="AC259" s="1">
        <f>VLOOKUP(A259,'SegEnds_NonXtal_Prot#'!A:AL,10,FALSE)-VLOOKUP(A259,'SegEnds_NonXtal_Prot#'!A:AL,7,FALSE)</f>
        <v>15</v>
      </c>
      <c r="AD259" s="1">
        <f>VLOOKUP(A259,'SegEnds_NonXtal_Prot#'!A:AL,13,FALSE)-VLOOKUP(A259,'SegEnds_NonXtal_Prot#'!A:AL,10,FALSE)</f>
        <v>20</v>
      </c>
      <c r="AE259" s="1">
        <f>VLOOKUP(A259,'SegEnds_NonXtal_Prot#'!A:AL,16,FALSE)-VLOOKUP(A259,'SegEnds_NonXtal_Prot#'!A:AL,10,FALSE)</f>
        <v>52</v>
      </c>
      <c r="AF259" s="1">
        <f>VLOOKUP(A259,'SegEnds_NonXtal_Prot#'!A:AL,22,FALSE)-VLOOKUP(A259,'SegEnds_NonXtal_Prot#'!A:AL,19,FALSE)</f>
        <v>20</v>
      </c>
      <c r="AG259" s="1">
        <f>VLOOKUP(A259,'SegEnds_NonXtal_Prot#'!A:AL,28,FALSE)-VLOOKUP(A259,'SegEnds_NonXtal_Prot#'!A:AL,25,FALSE)</f>
        <v>20</v>
      </c>
      <c r="AH259" s="1">
        <f>VLOOKUP(A259,'SegEnds_NonXtal_Prot#'!A:AL,28,FALSE)-VLOOKUP(A259,'SegEnds_NonXtal_Prot#'!A:AL,22,FALSE)</f>
        <v>54</v>
      </c>
      <c r="AI259" s="1">
        <f>VLOOKUP(A259,'SegEnds_NonXtal_Prot#'!A:AL,31,FALSE)-VLOOKUP(A259,'SegEnds_NonXtal_Prot#'!A:AL,28,FALSE)</f>
        <v>91</v>
      </c>
      <c r="AJ259" s="1">
        <f>VLOOKUP(A259,'SegEnds_NonXtal_Prot#'!A:AL,34,FALSE)-VLOOKUP(A259,'SegEnds_NonXtal_Prot#'!A:AL,31,FALSE)</f>
        <v>36</v>
      </c>
      <c r="AK259" s="1">
        <f>VLOOKUP(A259,'SegEnds_NonXtal_Prot#'!A:AL,37,FALSE)-VLOOKUP(A259,'SegEnds_NonXtal_Prot#'!A:AL,34,FALSE)</f>
        <v>9</v>
      </c>
      <c r="AL259" s="1" t="str">
        <f>IF(ISERROR(MATCH(A259,'SegEnds_Xtal_Prot#'!B:B, 0)), "NoXtal", "Xtal")</f>
        <v>NoXtal</v>
      </c>
    </row>
    <row r="260" spans="1:38" x14ac:dyDescent="0.2">
      <c r="A260" s="1" t="s">
        <v>132</v>
      </c>
      <c r="B260" s="1" t="str">
        <f>VLOOKUP(A260,Xtal_Templ!A:B,2,FALSE)</f>
        <v>5ht2a_human</v>
      </c>
      <c r="C260" s="5">
        <f>VLOOKUP($B260&amp;"__wt",'SegEnds_Xtal_BW#'!$A:$Z,3,FALSE)</f>
        <v>27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67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v>35</v>
      </c>
      <c r="T260" s="1">
        <f t="array" ref="T260">INDEX(ICL3_classA!$G$2:$G$37,MATCH(MIN(ABS(AI260-ICL3_classA!$F$2:$F$37)),ABS(AI260-ICL3_classA!$F$2:$F$37),0))</f>
        <v>76</v>
      </c>
      <c r="U260" s="1">
        <f t="array" ref="U260">INDEX(ICL3_classA!$H$2:$H$37,MATCH(MIN(ABS(AI260-ICL3_classA!$F$2:$F$37)),ABS(AI260-ICL3_classA!$F$2:$F$37),0))</f>
        <v>24</v>
      </c>
      <c r="V260" s="1">
        <v>61</v>
      </c>
      <c r="W260" s="132">
        <v>27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60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21</v>
      </c>
      <c r="AE260" s="1">
        <f>VLOOKUP(A260,'SegEnds_NonXtal_Prot#'!A:AL,16,FALSE)-VLOOKUP(A260,'SegEnds_NonXtal_Prot#'!A:AL,10,FALSE)</f>
        <v>53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19</v>
      </c>
      <c r="AH260" s="1">
        <f>VLOOKUP(A260,'SegEnds_NonXtal_Prot#'!A:AL,28,FALSE)-VLOOKUP(A260,'SegEnds_NonXtal_Prot#'!A:AL,22,FALSE)</f>
        <v>46</v>
      </c>
      <c r="AI260" s="1">
        <f>VLOOKUP(A260,'SegEnds_NonXtal_Prot#'!A:AL,31,FALSE)-VLOOKUP(A260,'SegEnds_NonXtal_Prot#'!A:AL,28,FALSE)</f>
        <v>92</v>
      </c>
      <c r="AJ260" s="1">
        <f>VLOOKUP(A260,'SegEnds_NonXtal_Prot#'!A:AL,34,FALSE)-VLOOKUP(A260,'SegEnds_NonXtal_Prot#'!A:AL,31,FALSE)</f>
        <v>39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Xtal</v>
      </c>
    </row>
    <row r="261" spans="1:38" x14ac:dyDescent="0.2">
      <c r="A261" s="1" t="s">
        <v>364</v>
      </c>
      <c r="B261" s="1" t="str">
        <f>VLOOKUP(A261,Xtal_Templ!A:B,2,FALSE)</f>
        <v>pe2r4_human</v>
      </c>
      <c r="C261" s="5">
        <f>VLOOKUP($B261&amp;"__wt",'SegEnds_Xtal_BW#'!$A:$Z,3,FALSE)</f>
        <v>33</v>
      </c>
      <c r="D261" s="1">
        <f>VLOOKUP($B261&amp;"__wt",'SegEnds_Xtal_BW#'!$A:$Z,4,FALSE)</f>
        <v>58</v>
      </c>
      <c r="E261" s="1" t="str">
        <f>VLOOKUP($B261&amp;"__wt",'SegEnds_Xtal_BW#'!$A:$Z,5,FALSE)</f>
        <v>-</v>
      </c>
      <c r="F261" s="1" t="str">
        <f>VLOOKUP($B261&amp;"__wt",'SegEnds_Xtal_BW#'!$A:$Z,6,FALSE)</f>
        <v>-</v>
      </c>
      <c r="G261" s="1">
        <v>37</v>
      </c>
      <c r="H261" s="12">
        <f>VLOOKUP($B261&amp;"__wt",'SegEnds_Xtal_BW#'!$A:$Z,8,FALSE)</f>
        <v>67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21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f>VLOOKUP($B261&amp;"__wt",'SegEnds_Xtal_BW#'!$A:$Z,14,FALSE)</f>
        <v>57</v>
      </c>
      <c r="O261" s="87">
        <v>38</v>
      </c>
      <c r="P261" s="1">
        <f>VLOOKUP($B261&amp;"__wt",'SegEnds_Xtal_BW#'!$A:$Z,16,FALSE)</f>
        <v>63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33</v>
      </c>
      <c r="T261" s="1">
        <f t="array" ref="T261">INDEX(ICL3_classA!$G$2:$G$37,MATCH(MIN(ABS(AI261-ICL3_classA!$F$2:$F$37)),ABS(AI261-ICL3_classA!$F$2:$F$37),0))</f>
        <v>76</v>
      </c>
      <c r="U261" s="1">
        <f t="array" ref="U261">INDEX(ICL3_classA!$H$2:$H$37,MATCH(MIN(ABS(AI261-ICL3_classA!$F$2:$F$37)),ABS(AI261-ICL3_classA!$F$2:$F$37),0))</f>
        <v>24</v>
      </c>
      <c r="V261" s="1">
        <v>61</v>
      </c>
      <c r="W261" s="132">
        <f>VLOOKUP($B261&amp;"__wt",'SegEnds_Xtal_BW#'!$A:$Z,23,FALSE)</f>
        <v>33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60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30</v>
      </c>
      <c r="AC261" s="1" t="e">
        <f>VLOOKUP(A261,'SegEnds_NonXtal_Prot#'!A:AL,10,FALSE)-VLOOKUP(A261,'SegEnds_NonXtal_Prot#'!A:AL,7,FALSE)</f>
        <v>#VALUE!</v>
      </c>
      <c r="AD261" s="1">
        <f>VLOOKUP(A261,'SegEnds_NonXtal_Prot#'!A:AL,13,FALSE)-VLOOKUP(A261,'SegEnds_NonXtal_Prot#'!A:AL,10,FALSE)</f>
        <v>20</v>
      </c>
      <c r="AE261" s="1">
        <f>VLOOKUP(A261,'SegEnds_NonXtal_Prot#'!A:AL,16,FALSE)-VLOOKUP(A261,'SegEnds_NonXtal_Prot#'!A:AL,10,FALSE)</f>
        <v>52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25</v>
      </c>
      <c r="AH261" s="1">
        <f>VLOOKUP(A261,'SegEnds_NonXtal_Prot#'!A:AL,28,FALSE)-VLOOKUP(A261,'SegEnds_NonXtal_Prot#'!A:AL,22,FALSE)</f>
        <v>51</v>
      </c>
      <c r="AI261" s="1">
        <f>VLOOKUP(A261,'SegEnds_NonXtal_Prot#'!A:AL,31,FALSE)-VLOOKUP(A261,'SegEnds_NonXtal_Prot#'!A:AL,28,FALSE)</f>
        <v>92</v>
      </c>
      <c r="AJ261" s="1">
        <f>VLOOKUP(A261,'SegEnds_NonXtal_Prot#'!A:AL,34,FALSE)-VLOOKUP(A261,'SegEnds_NonXtal_Prot#'!A:AL,31,FALSE)</f>
        <v>39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Xtal</v>
      </c>
    </row>
    <row r="262" spans="1:38" x14ac:dyDescent="0.2">
      <c r="A262" s="1" t="s">
        <v>153</v>
      </c>
      <c r="B262" s="1" t="str">
        <f>VLOOKUP(A262,Xtal_Templ!A:B,2,FALSE)</f>
        <v>drd2_human</v>
      </c>
      <c r="C262" s="5">
        <f>VLOOKUP($B262&amp;"__wt",'SegEnds_Xtal_BW#'!$A:$Z,3,FALSE)</f>
        <v>29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68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57</v>
      </c>
      <c r="O262" s="87">
        <v>38</v>
      </c>
      <c r="P262" s="1">
        <f>VLOOKUP($B262&amp;"__wt",'SegEnds_Xtal_BW#'!$A:$Z,16,FALSE)</f>
        <v>62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INDEX(ICL3_classA!$G$2:$G$37,MATCH(MIN(ABS(AI262-ICL3_classA!$F$2:$F$37)),ABS(AI262-ICL3_classA!$F$2:$F$37),0))</f>
        <v>74</v>
      </c>
      <c r="U262" s="1">
        <f t="array" ref="U262">INDEX(ICL3_classA!$H$2:$H$37,MATCH(MIN(ABS(AI262-ICL3_classA!$F$2:$F$37)),ABS(AI262-ICL3_classA!$F$2:$F$37),0))</f>
        <v>24</v>
      </c>
      <c r="V262" s="1">
        <v>61</v>
      </c>
      <c r="W262" s="1">
        <v>31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59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1">
        <f>VLOOKUP(A262,'SegEnds_NonXtal_Prot#'!A:AL,10,FALSE)-VLOOKUP(A262,'SegEnds_NonXtal_Prot#'!A:AL,7,FALSE)</f>
        <v>15</v>
      </c>
      <c r="AD262" s="1">
        <f>VLOOKUP(A262,'SegEnds_NonXtal_Prot#'!A:AL,13,FALSE)-VLOOKUP(A262,'SegEnds_NonXtal_Prot#'!A:AL,10,FALSE)</f>
        <v>20</v>
      </c>
      <c r="AE262" s="1">
        <f>VLOOKUP(A262,'SegEnds_NonXtal_Prot#'!A:AL,16,FALSE)-VLOOKUP(A262,'SegEnds_NonXtal_Prot#'!A:AL,10,FALSE)</f>
        <v>52</v>
      </c>
      <c r="AF262" s="1">
        <f>VLOOKUP(A262,'SegEnds_NonXtal_Prot#'!A:AL,22,FALSE)-VLOOKUP(A262,'SegEnds_NonXtal_Prot#'!A:AL,19,FALSE)</f>
        <v>20</v>
      </c>
      <c r="AG262" s="1">
        <f>VLOOKUP(A262,'SegEnds_NonXtal_Prot#'!A:AL,28,FALSE)-VLOOKUP(A262,'SegEnds_NonXtal_Prot#'!A:AL,25,FALSE)</f>
        <v>20</v>
      </c>
      <c r="AH262" s="1">
        <f>VLOOKUP(A262,'SegEnds_NonXtal_Prot#'!A:AL,28,FALSE)-VLOOKUP(A262,'SegEnds_NonXtal_Prot#'!A:AL,22,FALSE)</f>
        <v>45</v>
      </c>
      <c r="AI262" s="1">
        <f>VLOOKUP(A262,'SegEnds_NonXtal_Prot#'!A:AL,31,FALSE)-VLOOKUP(A262,'SegEnds_NonXtal_Prot#'!A:AL,28,FALSE)</f>
        <v>94</v>
      </c>
      <c r="AJ262" s="1">
        <f>VLOOKUP(A262,'SegEnds_NonXtal_Prot#'!A:AL,34,FALSE)-VLOOKUP(A262,'SegEnds_NonXtal_Prot#'!A:AL,31,FALSE)</f>
        <v>36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330</v>
      </c>
      <c r="B263" s="1" t="str">
        <f>VLOOKUP(A263,Xtal_Templ!A:B,2,FALSE)</f>
        <v>ntr1_rat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 t="str">
        <f>VLOOKUP($B263&amp;"__wt",'SegEnds_Xtal_BW#'!$A:$Z,5,FALSE)</f>
        <v>-</v>
      </c>
      <c r="F263" s="1" t="str">
        <f>VLOOKUP($B263&amp;"__wt",'SegEnds_Xtal_BW#'!$A:$Z,6,FALSE)</f>
        <v>-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57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32</v>
      </c>
      <c r="T263" s="1">
        <f t="array" ref="T263">INDEX(ICL3_classA!$G$2:$G$37,MATCH(MIN(ABS(AI263-ICL3_classA!$F$2:$F$37)),ABS(AI263-ICL3_classA!$F$2:$F$37),0))</f>
        <v>74</v>
      </c>
      <c r="U263" s="1">
        <f t="array" ref="U263">INDEX(ICL3_classA!$H$2:$H$37,MATCH(MIN(ABS(AI263-ICL3_classA!$F$2:$F$37)),ABS(AI263-ICL3_classA!$F$2:$F$37),0))</f>
        <v>24</v>
      </c>
      <c r="V263" s="1">
        <v>61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62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29</v>
      </c>
      <c r="AC263" s="1" t="e">
        <f>VLOOKUP(A263,'SegEnds_NonXtal_Prot#'!A:AL,10,FALSE)-VLOOKUP(A263,'SegEnds_NonXtal_Prot#'!A:AL,7,FALSE)</f>
        <v>#VALUE!</v>
      </c>
      <c r="AD263" s="1">
        <f>VLOOKUP(A263,'SegEnds_NonXtal_Prot#'!A:AL,13,FALSE)-VLOOKUP(A263,'SegEnds_NonXtal_Prot#'!A:AL,10,FALSE)</f>
        <v>22</v>
      </c>
      <c r="AE263" s="1">
        <f>VLOOKUP(A263,'SegEnds_NonXtal_Prot#'!A:AL,16,FALSE)-VLOOKUP(A263,'SegEnds_NonXtal_Prot#'!A:AL,10,FALSE)</f>
        <v>54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24</v>
      </c>
      <c r="AH263" s="1">
        <f>VLOOKUP(A263,'SegEnds_NonXtal_Prot#'!A:AL,28,FALSE)-VLOOKUP(A263,'SegEnds_NonXtal_Prot#'!A:AL,22,FALSE)</f>
        <v>58</v>
      </c>
      <c r="AI263" s="1">
        <f>VLOOKUP(A263,'SegEnds_NonXtal_Prot#'!A:AL,31,FALSE)-VLOOKUP(A263,'SegEnds_NonXtal_Prot#'!A:AL,28,FALSE)</f>
        <v>94</v>
      </c>
      <c r="AJ263" s="1">
        <f>VLOOKUP(A263,'SegEnds_NonXtal_Prot#'!A:AL,34,FALSE)-VLOOKUP(A263,'SegEnds_NonXtal_Prot#'!A:AL,31,FALSE)</f>
        <v>43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228</v>
      </c>
      <c r="B264" s="1" t="str">
        <f>VLOOKUP(A264,Xtal_Templ!A:B,2,FALSE)</f>
        <v>npy1r_human</v>
      </c>
      <c r="C264" s="5">
        <f>VLOOKUP($B264&amp;"__wt",'SegEnds_Xtal_BW#'!$A:$Z,3,FALSE)</f>
        <v>28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68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08">
        <v>50</v>
      </c>
      <c r="N264" s="12"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v>35</v>
      </c>
      <c r="T264" s="1">
        <f t="array" ref="T264">INDEX(ICL3_classA!$G$2:$G$37,MATCH(MIN(ABS(AI264-ICL3_classA!$F$2:$F$37)),ABS(AI264-ICL3_classA!$F$2:$F$37),0))</f>
        <v>74</v>
      </c>
      <c r="U264" s="1">
        <f t="array" ref="U264">INDEX(ICL3_classA!$H$2:$H$37,MATCH(MIN(ABS(AI264-ICL3_classA!$F$2:$F$37)),ABS(AI264-ICL3_classA!$F$2:$F$37),0))</f>
        <v>24</v>
      </c>
      <c r="V264" s="1">
        <v>61</v>
      </c>
      <c r="W264" s="1">
        <v>32</v>
      </c>
      <c r="X264" s="108">
        <v>55</v>
      </c>
      <c r="Y264" s="1">
        <f>VLOOKUP($B264&amp;"__wt",'SegEnds_Xtal_BW#'!$A:$Z,25,FALSE)</f>
        <v>47</v>
      </c>
      <c r="Z264" s="1">
        <f>VLOOKUP($B264&amp;"__wt",'SegEnds_Xtal_BW#'!$A:$Z,26,FALSE)</f>
        <v>58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27</v>
      </c>
      <c r="AC264" s="1">
        <f>VLOOKUP(A264,'SegEnds_NonXtal_Prot#'!A:AL,10,FALSE)-VLOOKUP(A264,'SegEnds_NonXtal_Prot#'!A:AL,7,FALSE)</f>
        <v>14</v>
      </c>
      <c r="AD264" s="1">
        <f>VLOOKUP(A264,'SegEnds_NonXtal_Prot#'!A:AL,13,FALSE)-VLOOKUP(A264,'SegEnds_NonXtal_Prot#'!A:AL,10,FALSE)</f>
        <v>25</v>
      </c>
      <c r="AE264" s="1">
        <f>VLOOKUP(A264,'SegEnds_NonXtal_Prot#'!A:AL,16,FALSE)-VLOOKUP(A264,'SegEnds_NonXtal_Prot#'!A:AL,10,FALSE)</f>
        <v>57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23</v>
      </c>
      <c r="AH264" s="1">
        <f>VLOOKUP(A264,'SegEnds_NonXtal_Prot#'!A:AL,28,FALSE)-VLOOKUP(A264,'SegEnds_NonXtal_Prot#'!A:AL,22,FALSE)</f>
        <v>49</v>
      </c>
      <c r="AI264" s="1">
        <f>VLOOKUP(A264,'SegEnds_NonXtal_Prot#'!A:AL,31,FALSE)-VLOOKUP(A264,'SegEnds_NonXtal_Prot#'!A:AL,28,FALSE)</f>
        <v>96</v>
      </c>
      <c r="AJ264" s="1">
        <f>VLOOKUP(A264,'SegEnds_NonXtal_Prot#'!A:AL,34,FALSE)-VLOOKUP(A264,'SegEnds_NonXtal_Prot#'!A:AL,31,FALSE)</f>
        <v>34</v>
      </c>
      <c r="AK264" s="1">
        <f>VLOOKUP(A264,'SegEnds_NonXtal_Prot#'!A:AL,37,FALSE)-VLOOKUP(A264,'SegEnds_NonXtal_Prot#'!A:AL,34,FALSE)</f>
        <v>9</v>
      </c>
      <c r="AL264" s="1" t="str">
        <f>IF(ISERROR(MATCH(A264,'SegEnds_Xtal_Prot#'!B:B, 0)), "NoXtal", "Xtal")</f>
        <v>NoXtal</v>
      </c>
    </row>
    <row r="265" spans="1:38" x14ac:dyDescent="0.2">
      <c r="A265" s="1" t="s">
        <v>361</v>
      </c>
      <c r="B265" s="1" t="str">
        <f>VLOOKUP(A265,Xtal_Templ!A:B,2,FALSE)</f>
        <v>ta2r_human</v>
      </c>
      <c r="C265" s="5">
        <f>VLOOKUP($B265&amp;"__wt",'SegEnds_Xtal_BW#'!$A:$Z,3,FALSE)</f>
        <v>35</v>
      </c>
      <c r="D265" s="108">
        <v>61</v>
      </c>
      <c r="E265" s="1" t="str">
        <f>VLOOKUP($B265&amp;"__wt",'SegEnds_Xtal_BW#'!$A:$Z,5,FALSE)</f>
        <v>-</v>
      </c>
      <c r="F265" s="1" t="str">
        <f>VLOOKUP($B265&amp;"__wt",'SegEnds_Xtal_BW#'!$A:$Z,6,FALSE)</f>
        <v>-</v>
      </c>
      <c r="G265" s="1">
        <v>37</v>
      </c>
      <c r="H265" s="12">
        <v>66</v>
      </c>
      <c r="I265" s="1">
        <f>VLOOKUP($B265&amp;"__wt",'SegEnds_Xtal_BW#'!$A:$Z,9,FALSE)</f>
        <v>49</v>
      </c>
      <c r="J265" s="1">
        <f>VLOOKUP($B265&amp;"__wt",'SegEnds_Xtal_BW#'!$A:$Z,10,FALSE)</f>
        <v>53</v>
      </c>
      <c r="K265" s="12"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v>57</v>
      </c>
      <c r="O265" s="87">
        <f>VLOOKUP($B265&amp;"__wt",'SegEnds_Xtal_BW#'!$A:$Z,15,FALSE)</f>
        <v>38</v>
      </c>
      <c r="P265" s="1">
        <f>VLOOKUP($B265&amp;"__wt",'SegEnds_Xtal_BW#'!$A:$Z,16,FALSE)</f>
        <v>63</v>
      </c>
      <c r="Q265" s="108">
        <v>50</v>
      </c>
      <c r="R265" s="108">
        <v>52</v>
      </c>
      <c r="S265" s="108">
        <v>31</v>
      </c>
      <c r="T265" s="1">
        <f t="array" ref="T265">INDEX(ICL3_classA!$G$2:$G$37,MATCH(MIN(ABS(AI265-ICL3_classA!$F$2:$F$37)),ABS(AI265-ICL3_classA!$F$2:$F$37),0))</f>
        <v>74</v>
      </c>
      <c r="U265" s="1">
        <f t="array" ref="U265">INDEX(ICL3_classA!$H$2:$H$37,MATCH(MIN(ABS(AI265-ICL3_classA!$F$2:$F$37)),ABS(AI265-ICL3_classA!$F$2:$F$37),0))</f>
        <v>24</v>
      </c>
      <c r="V265" s="1">
        <v>61</v>
      </c>
      <c r="W265" s="1">
        <v>31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66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34</v>
      </c>
      <c r="AC265" s="1">
        <f>VLOOKUP(A265,'SegEnds_NonXtal_Prot#'!A:AL,10,FALSE)-VLOOKUP(A265,'SegEnds_NonXtal_Prot#'!A:AL,7,FALSE)</f>
        <v>20</v>
      </c>
      <c r="AD265" s="1">
        <f>VLOOKUP(A265,'SegEnds_NonXtal_Prot#'!A:AL,13,FALSE)-VLOOKUP(A265,'SegEnds_NonXtal_Prot#'!A:AL,10,FALSE)</f>
        <v>20</v>
      </c>
      <c r="AE265" s="1">
        <f>VLOOKUP(A265,'SegEnds_NonXtal_Prot#'!A:AL,16,FALSE)-VLOOKUP(A265,'SegEnds_NonXtal_Prot#'!A:AL,10,FALSE)</f>
        <v>51</v>
      </c>
      <c r="AF265" s="1">
        <f>VLOOKUP(A265,'SegEnds_NonXtal_Prot#'!A:AL,22,FALSE)-VLOOKUP(A265,'SegEnds_NonXtal_Prot#'!A:AL,19,FALSE)</f>
        <v>20</v>
      </c>
      <c r="AG265" s="1">
        <f>VLOOKUP(A265,'SegEnds_NonXtal_Prot#'!A:AL,28,FALSE)-VLOOKUP(A265,'SegEnds_NonXtal_Prot#'!A:AL,25,FALSE)</f>
        <v>28</v>
      </c>
      <c r="AH265" s="1">
        <f>VLOOKUP(A265,'SegEnds_NonXtal_Prot#'!A:AL,28,FALSE)-VLOOKUP(A265,'SegEnds_NonXtal_Prot#'!A:AL,22,FALSE)</f>
        <v>54</v>
      </c>
      <c r="AI265" s="1">
        <f>VLOOKUP(A265,'SegEnds_NonXtal_Prot#'!A:AL,31,FALSE)-VLOOKUP(A265,'SegEnds_NonXtal_Prot#'!A:AL,28,FALSE)</f>
        <v>96</v>
      </c>
      <c r="AJ265" s="1">
        <f>VLOOKUP(A265,'SegEnds_NonXtal_Prot#'!A:AL,34,FALSE)-VLOOKUP(A265,'SegEnds_NonXtal_Prot#'!A:AL,31,FALSE)</f>
        <v>36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154</v>
      </c>
      <c r="B266" s="1" t="str">
        <f>VLOOKUP(A266,Xtal_Templ!A:B,2,FALSE)</f>
        <v>drd2_human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v>57</v>
      </c>
      <c r="O266" s="87">
        <v>38</v>
      </c>
      <c r="P266" s="1">
        <f>VLOOKUP($B266&amp;"__wt",'SegEnds_Xtal_BW#'!$A:$Z,16,FALSE)</f>
        <v>62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v>35</v>
      </c>
      <c r="T266" s="1">
        <f t="array" ref="T266">INDEX(ICL3_classA!$G$2:$G$37,MATCH(MIN(ABS(AI266-ICL3_classA!$F$2:$F$37)),ABS(AI266-ICL3_classA!$F$2:$F$37),0))</f>
        <v>74</v>
      </c>
      <c r="U266" s="1">
        <f t="array" ref="U266">INDEX(ICL3_classA!$H$2:$H$37,MATCH(MIN(ABS(AI266-ICL3_classA!$F$2:$F$37)),ABS(AI266-ICL3_classA!$F$2:$F$37),0))</f>
        <v>24</v>
      </c>
      <c r="V266" s="1">
        <v>61</v>
      </c>
      <c r="W266" s="1">
        <v>31</v>
      </c>
      <c r="X266" s="108">
        <v>56</v>
      </c>
      <c r="Y266" s="1">
        <f>VLOOKUP($B266&amp;"__wt",'SegEnds_Xtal_BW#'!$A:$Z,25,FALSE)</f>
        <v>47</v>
      </c>
      <c r="Z266" s="1">
        <f>VLOOKUP($B266&amp;"__wt",'SegEnds_Xtal_BW#'!$A:$Z,26,FALSE)</f>
        <v>59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28</v>
      </c>
      <c r="AC266" s="1">
        <f>VLOOKUP(A266,'SegEnds_NonXtal_Prot#'!A:AL,10,FALSE)-VLOOKUP(A266,'SegEnds_NonXtal_Prot#'!A:AL,7,FALSE)</f>
        <v>15</v>
      </c>
      <c r="AD266" s="1">
        <f>VLOOKUP(A266,'SegEnds_NonXtal_Prot#'!A:AL,13,FALSE)-VLOOKUP(A266,'SegEnds_NonXtal_Prot#'!A:AL,10,FALSE)</f>
        <v>20</v>
      </c>
      <c r="AE266" s="1">
        <f>VLOOKUP(A266,'SegEnds_NonXtal_Prot#'!A:AL,16,FALSE)-VLOOKUP(A266,'SegEnds_NonXtal_Prot#'!A:AL,10,FALSE)</f>
        <v>52</v>
      </c>
      <c r="AF266" s="1">
        <f>VLOOKUP(A266,'SegEnds_NonXtal_Prot#'!A:AL,22,FALSE)-VLOOKUP(A266,'SegEnds_NonXtal_Prot#'!A:AL,19,FALSE)</f>
        <v>20</v>
      </c>
      <c r="AG266" s="1">
        <f>VLOOKUP(A266,'SegEnds_NonXtal_Prot#'!A:AL,28,FALSE)-VLOOKUP(A266,'SegEnds_NonXtal_Prot#'!A:AL,25,FALSE)</f>
        <v>20</v>
      </c>
      <c r="AH266" s="1">
        <f>VLOOKUP(A266,'SegEnds_NonXtal_Prot#'!A:AL,28,FALSE)-VLOOKUP(A266,'SegEnds_NonXtal_Prot#'!A:AL,22,FALSE)</f>
        <v>45</v>
      </c>
      <c r="AI266" s="1">
        <f>VLOOKUP(A266,'SegEnds_NonXtal_Prot#'!A:AL,31,FALSE)-VLOOKUP(A266,'SegEnds_NonXtal_Prot#'!A:AL,28,FALSE)</f>
        <v>97</v>
      </c>
      <c r="AJ266" s="1">
        <f>VLOOKUP(A266,'SegEnds_NonXtal_Prot#'!A:AL,34,FALSE)-VLOOKUP(A266,'SegEnds_NonXtal_Prot#'!A:AL,31,FALSE)</f>
        <v>36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270</v>
      </c>
      <c r="B267" s="1" t="str">
        <f>VLOOKUP(A267,Xtal_Templ!A:B,2,FALSE)</f>
        <v>5ht2a_human</v>
      </c>
      <c r="C267" s="5">
        <f>VLOOKUP($B267&amp;"__wt",'SegEnds_Xtal_BW#'!$A:$Z,3,FALSE)</f>
        <v>27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68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21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7">
        <v>38</v>
      </c>
      <c r="P267" s="1">
        <f>VLOOKUP($B267&amp;"__wt",'SegEnds_Xtal_BW#'!$A:$Z,16,FALSE)</f>
        <v>67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35</v>
      </c>
      <c r="T267" s="1">
        <f t="array" ref="T267">INDEX(ICL3_classA!$G$2:$G$37,MATCH(MIN(ABS(AI267-ICL3_classA!$F$2:$F$37)),ABS(AI267-ICL3_classA!$F$2:$F$37),0))</f>
        <v>74</v>
      </c>
      <c r="U267" s="1">
        <f t="array" ref="U267">INDEX(ICL3_classA!$H$2:$H$37,MATCH(MIN(ABS(AI267-ICL3_classA!$F$2:$F$37)),ABS(AI267-ICL3_classA!$F$2:$F$37),0))</f>
        <v>24</v>
      </c>
      <c r="V267" s="1">
        <v>61</v>
      </c>
      <c r="W267" s="1">
        <v>33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60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1">
        <f>VLOOKUP(A267,'SegEnds_NonXtal_Prot#'!A:AL,10,FALSE)-VLOOKUP(A267,'SegEnds_NonXtal_Prot#'!A:AL,7,FALSE)</f>
        <v>15</v>
      </c>
      <c r="AD267" s="1" t="e">
        <f>VLOOKUP(A267,'SegEnds_NonXtal_Prot#'!A:AL,13,FALSE)-VLOOKUP(A267,'SegEnds_NonXtal_Prot#'!A:AL,10,FALSE)</f>
        <v>#VALUE!</v>
      </c>
      <c r="AE267" s="1">
        <f>VLOOKUP(A267,'SegEnds_NonXtal_Prot#'!A:AL,16,FALSE)-VLOOKUP(A267,'SegEnds_NonXtal_Prot#'!A:AL,10,FALSE)</f>
        <v>52</v>
      </c>
      <c r="AF267" s="1">
        <f>VLOOKUP(A267,'SegEnds_NonXtal_Prot#'!A:AL,22,FALSE)-VLOOKUP(A267,'SegEnds_NonXtal_Prot#'!A:AL,19,FALSE)</f>
        <v>20</v>
      </c>
      <c r="AG267" s="1">
        <f>VLOOKUP(A267,'SegEnds_NonXtal_Prot#'!A:AL,28,FALSE)-VLOOKUP(A267,'SegEnds_NonXtal_Prot#'!A:AL,25,FALSE)</f>
        <v>67</v>
      </c>
      <c r="AH267" s="1">
        <f>VLOOKUP(A267,'SegEnds_NonXtal_Prot#'!A:AL,28,FALSE)-VLOOKUP(A267,'SegEnds_NonXtal_Prot#'!A:AL,22,FALSE)</f>
        <v>90</v>
      </c>
      <c r="AI267" s="1">
        <f>VLOOKUP(A267,'SegEnds_NonXtal_Prot#'!A:AL,31,FALSE)-VLOOKUP(A267,'SegEnds_NonXtal_Prot#'!A:AL,28,FALSE)</f>
        <v>99</v>
      </c>
      <c r="AJ267" s="1">
        <f>VLOOKUP(A267,'SegEnds_NonXtal_Prot#'!A:AL,34,FALSE)-VLOOKUP(A267,'SegEnds_NonXtal_Prot#'!A:AL,31,FALSE)</f>
        <v>33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133</v>
      </c>
      <c r="B268" s="1" t="str">
        <f>VLOOKUP(A268,Xtal_Templ!A:B,2,FALSE)</f>
        <v>5ht2c_human</v>
      </c>
      <c r="C268" s="5">
        <f>VLOOKUP($B268&amp;"__wt",'SegEnds_Xtal_BW#'!$A:$Z,3,FALSE)</f>
        <v>33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68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57</v>
      </c>
      <c r="O268" s="87">
        <f>VLOOKUP($B268&amp;"__wt",'SegEnds_Xtal_BW#'!$A:$Z,15,FALSE)</f>
        <v>38</v>
      </c>
      <c r="P268" s="1">
        <f>VLOOKUP($B268&amp;"__wt",'SegEnds_Xtal_BW#'!$A:$Z,16,FALSE)</f>
        <v>67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35</v>
      </c>
      <c r="T268" s="1">
        <f t="array" ref="T268">INDEX(ICL3_classA!$G$2:$G$37,MATCH(MIN(ABS(AI268-ICL3_classA!$F$2:$F$37)),ABS(AI268-ICL3_classA!$F$2:$F$37),0))</f>
        <v>74</v>
      </c>
      <c r="U268" s="1">
        <f t="array" ref="U268">INDEX(ICL3_classA!$H$2:$H$37,MATCH(MIN(ABS(AI268-ICL3_classA!$F$2:$F$37)),ABS(AI268-ICL3_classA!$F$2:$F$37),0))</f>
        <v>24</v>
      </c>
      <c r="V268" s="1">
        <v>61</v>
      </c>
      <c r="W268" s="132">
        <v>27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60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21</v>
      </c>
      <c r="AE268" s="1">
        <f>VLOOKUP(A268,'SegEnds_NonXtal_Prot#'!A:AL,16,FALSE)-VLOOKUP(A268,'SegEnds_NonXtal_Prot#'!A:AL,10,FALSE)</f>
        <v>53</v>
      </c>
      <c r="AF268" s="1">
        <f>VLOOKUP(A268,'SegEnds_NonXtal_Prot#'!A:AL,22,FALSE)-VLOOKUP(A268,'SegEnds_NonXtal_Prot#'!A:AL,19,FALSE)</f>
        <v>20</v>
      </c>
      <c r="AG268" s="1">
        <f>VLOOKUP(A268,'SegEnds_NonXtal_Prot#'!A:AL,28,FALSE)-VLOOKUP(A268,'SegEnds_NonXtal_Prot#'!A:AL,25,FALSE)</f>
        <v>19</v>
      </c>
      <c r="AH268" s="1">
        <f>VLOOKUP(A268,'SegEnds_NonXtal_Prot#'!A:AL,28,FALSE)-VLOOKUP(A268,'SegEnds_NonXtal_Prot#'!A:AL,22,FALSE)</f>
        <v>47</v>
      </c>
      <c r="AI268" s="1">
        <f>VLOOKUP(A268,'SegEnds_NonXtal_Prot#'!A:AL,31,FALSE)-VLOOKUP(A268,'SegEnds_NonXtal_Prot#'!A:AL,28,FALSE)</f>
        <v>100</v>
      </c>
      <c r="AJ268" s="1">
        <f>VLOOKUP(A268,'SegEnds_NonXtal_Prot#'!A:AL,34,FALSE)-VLOOKUP(A268,'SegEnds_NonXtal_Prot#'!A:AL,31,FALSE)</f>
        <v>39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Xtal</v>
      </c>
    </row>
    <row r="269" spans="1:38" x14ac:dyDescent="0.2">
      <c r="A269" s="1" t="s">
        <v>125</v>
      </c>
      <c r="B269" s="1" t="str">
        <f>VLOOKUP(A269,Xtal_Templ!A:B,2,FALSE)</f>
        <v>adrb2_human</v>
      </c>
      <c r="C269" s="5">
        <f>VLOOKUP($B269&amp;"__wt",'SegEnds_Xtal_BW#'!$A:$Z,3,FALSE)</f>
        <v>25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67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7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35</v>
      </c>
      <c r="T269" s="1">
        <f t="array" ref="T269">INDEX(ICL3_classA!$G$2:$G$37,MATCH(MIN(ABS(AI269-ICL3_classA!$F$2:$F$37)),ABS(AI269-ICL3_classA!$F$2:$F$37),0))</f>
        <v>74</v>
      </c>
      <c r="U269" s="1">
        <f t="array" ref="U269">INDEX(ICL3_classA!$H$2:$H$37,MATCH(MIN(ABS(AI269-ICL3_classA!$F$2:$F$37)),ABS(AI269-ICL3_classA!$F$2:$F$37),0))</f>
        <v>24</v>
      </c>
      <c r="V269" s="1">
        <v>61</v>
      </c>
      <c r="W269" s="1">
        <v>31</v>
      </c>
      <c r="X269" s="1">
        <f>VLOOKUP($B269&amp;"__wt",'SegEnds_Xtal_BW#'!$A:$Z,24,FALSE)</f>
        <v>55</v>
      </c>
      <c r="Y269" s="1">
        <f>VLOOKUP($B269&amp;"__wt",'SegEnds_Xtal_BW#'!$A:$Z,25,FALSE)</f>
        <v>47</v>
      </c>
      <c r="Z269" s="1">
        <f>VLOOKUP($B269&amp;"__wt",'SegEnds_Xtal_BW#'!$A:$Z,26,FALSE)</f>
        <v>59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">
        <f>VLOOKUP(A269,'SegEnds_NonXtal_Prot#'!A:AL,10,FALSE)-VLOOKUP(A269,'SegEnds_NonXtal_Prot#'!A:AL,7,FALSE)</f>
        <v>15</v>
      </c>
      <c r="AD269" s="1">
        <f>VLOOKUP(A269,'SegEnds_NonXtal_Prot#'!A:AL,13,FALSE)-VLOOKUP(A269,'SegEnds_NonXtal_Prot#'!A:AL,10,FALSE)</f>
        <v>20</v>
      </c>
      <c r="AE269" s="1">
        <f>VLOOKUP(A269,'SegEnds_NonXtal_Prot#'!A:AL,16,FALSE)-VLOOKUP(A269,'SegEnds_NonXtal_Prot#'!A:AL,10,FALSE)</f>
        <v>52</v>
      </c>
      <c r="AF269" s="1">
        <f>VLOOKUP(A269,'SegEnds_NonXtal_Prot#'!A:AL,22,FALSE)-VLOOKUP(A269,'SegEnds_NonXtal_Prot#'!A:AL,19,FALSE)</f>
        <v>20</v>
      </c>
      <c r="AG269" s="1">
        <f>VLOOKUP(A269,'SegEnds_NonXtal_Prot#'!A:AL,28,FALSE)-VLOOKUP(A269,'SegEnds_NonXtal_Prot#'!A:AL,25,FALSE)</f>
        <v>20</v>
      </c>
      <c r="AH269" s="1">
        <f>VLOOKUP(A269,'SegEnds_NonXtal_Prot#'!A:AL,28,FALSE)-VLOOKUP(A269,'SegEnds_NonXtal_Prot#'!A:AL,22,FALSE)</f>
        <v>53</v>
      </c>
      <c r="AI269" s="1">
        <f>VLOOKUP(A269,'SegEnds_NonXtal_Prot#'!A:AL,31,FALSE)-VLOOKUP(A269,'SegEnds_NonXtal_Prot#'!A:AL,28,FALSE)</f>
        <v>103</v>
      </c>
      <c r="AJ269" s="1">
        <f>VLOOKUP(A269,'SegEnds_NonXtal_Prot#'!A:AL,34,FALSE)-VLOOKUP(A269,'SegEnds_NonXtal_Prot#'!A:AL,31,FALSE)</f>
        <v>35</v>
      </c>
      <c r="AK269" s="1">
        <f>VLOOKUP(A269,'SegEnds_NonXtal_Prot#'!A:AL,37,FALSE)-VLOOKUP(A269,'SegEnds_NonXtal_Prot#'!A:AL,34,FALSE)</f>
        <v>9</v>
      </c>
      <c r="AL269" s="1" t="str">
        <f>IF(ISERROR(MATCH(A269,'SegEnds_Xtal_Prot#'!B:B, 0)), "NoXtal", "Xtal")</f>
        <v>NoXtal</v>
      </c>
    </row>
    <row r="270" spans="1:38" x14ac:dyDescent="0.2">
      <c r="A270" s="1" t="s">
        <v>245</v>
      </c>
      <c r="B270" s="1" t="str">
        <f>VLOOKUP(A270,Xtal_Templ!A:B,2,FALSE)</f>
        <v>hrh1_human</v>
      </c>
      <c r="C270" s="5">
        <f>VLOOKUP($B270&amp;"__wt",'SegEnds_Xtal_BW#'!$A:$Z,3,FALSE)</f>
        <v>34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67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21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53</v>
      </c>
      <c r="O270" s="87">
        <f>VLOOKUP($B270&amp;"__wt",'SegEnds_Xtal_BW#'!$A:$Z,15,FALSE)</f>
        <v>38</v>
      </c>
      <c r="P270" s="1">
        <v>63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v>35</v>
      </c>
      <c r="T270" s="1">
        <f t="array" ref="T270">INDEX(ICL3_classA!$G$2:$G$37,MATCH(MIN(ABS(AI270-ICL3_classA!$F$2:$F$37)),ABS(AI270-ICL3_classA!$F$2:$F$37),0))</f>
        <v>74</v>
      </c>
      <c r="U270" s="1">
        <f t="array" ref="U270">INDEX(ICL3_classA!$H$2:$H$37,MATCH(MIN(ABS(AI270-ICL3_classA!$F$2:$F$37)),ABS(AI270-ICL3_classA!$F$2:$F$37),0))</f>
        <v>24</v>
      </c>
      <c r="V270" s="1">
        <v>61</v>
      </c>
      <c r="W270" s="1">
        <v>31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29</v>
      </c>
      <c r="AC270" s="1">
        <f>VLOOKUP(A270,'SegEnds_NonXtal_Prot#'!A:AL,10,FALSE)-VLOOKUP(A270,'SegEnds_NonXtal_Prot#'!A:AL,7,FALSE)</f>
        <v>16</v>
      </c>
      <c r="AD270" s="1" t="e">
        <f>VLOOKUP(A270,'SegEnds_NonXtal_Prot#'!A:AL,13,FALSE)-VLOOKUP(A270,'SegEnds_NonXtal_Prot#'!A:AL,10,FALSE)</f>
        <v>#VALUE!</v>
      </c>
      <c r="AE270" s="1">
        <f>VLOOKUP(A270,'SegEnds_NonXtal_Prot#'!A:AL,16,FALSE)-VLOOKUP(A270,'SegEnds_NonXtal_Prot#'!A:AL,10,FALSE)</f>
        <v>52</v>
      </c>
      <c r="AF270" s="1">
        <f>VLOOKUP(A270,'SegEnds_NonXtal_Prot#'!A:AL,22,FALSE)-VLOOKUP(A270,'SegEnds_NonXtal_Prot#'!A:AL,19,FALSE)</f>
        <v>18</v>
      </c>
      <c r="AG270" s="1">
        <f>VLOOKUP(A270,'SegEnds_NonXtal_Prot#'!A:AL,28,FALSE)-VLOOKUP(A270,'SegEnds_NonXtal_Prot#'!A:AL,25,FALSE)</f>
        <v>26</v>
      </c>
      <c r="AH270" s="1">
        <f>VLOOKUP(A270,'SegEnds_NonXtal_Prot#'!A:AL,28,FALSE)-VLOOKUP(A270,'SegEnds_NonXtal_Prot#'!A:AL,22,FALSE)</f>
        <v>58</v>
      </c>
      <c r="AI270" s="1">
        <f>VLOOKUP(A270,'SegEnds_NonXtal_Prot#'!A:AL,31,FALSE)-VLOOKUP(A270,'SegEnds_NonXtal_Prot#'!A:AL,28,FALSE)</f>
        <v>105</v>
      </c>
      <c r="AJ270" s="1">
        <f>VLOOKUP(A270,'SegEnds_NonXtal_Prot#'!A:AL,34,FALSE)-VLOOKUP(A270,'SegEnds_NonXtal_Prot#'!A:AL,31,FALSE)</f>
        <v>36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129</v>
      </c>
      <c r="B271" s="1" t="str">
        <f>VLOOKUP(A271,Xtal_Templ!A:B,2,FALSE)</f>
        <v>5ht1b_human</v>
      </c>
      <c r="C271" s="5">
        <f>VLOOKUP($B271&amp;"__wt",'SegEnds_Xtal_BW#'!$A:$Z,3,FALSE)</f>
        <v>28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v>38</v>
      </c>
      <c r="P271" s="1">
        <f>VLOOKUP($B271&amp;"__wt",'SegEnds_Xtal_BW#'!$A:$Z,16,FALSE)</f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v>35</v>
      </c>
      <c r="T271" s="1">
        <f t="array" ref="T271">INDEX(ICL3_classA!$G$2:$G$37,MATCH(MIN(ABS(AI271-ICL3_classA!$F$2:$F$37)),ABS(AI271-ICL3_classA!$F$2:$F$37),0))</f>
        <v>74</v>
      </c>
      <c r="U271" s="1">
        <f t="array" ref="U271">INDEX(ICL3_classA!$H$2:$H$37,MATCH(MIN(ABS(AI271-ICL3_classA!$F$2:$F$37)),ABS(AI271-ICL3_classA!$F$2:$F$37),0))</f>
        <v>24</v>
      </c>
      <c r="V271" s="1">
        <v>60</v>
      </c>
      <c r="W271" s="1">
        <v>31</v>
      </c>
      <c r="X271" s="125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58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28</v>
      </c>
      <c r="AC271" s="1">
        <f>VLOOKUP(A271,'SegEnds_NonXtal_Prot#'!A:AL,10,FALSE)-VLOOKUP(A271,'SegEnds_NonXtal_Prot#'!A:AL,7,FALSE)</f>
        <v>15</v>
      </c>
      <c r="AD271" s="1">
        <f>VLOOKUP(A271,'SegEnds_NonXtal_Prot#'!A:AL,13,FALSE)-VLOOKUP(A271,'SegEnds_NonXtal_Prot#'!A:AL,10,FALSE)</f>
        <v>20</v>
      </c>
      <c r="AE271" s="1">
        <f>VLOOKUP(A271,'SegEnds_NonXtal_Prot#'!A:AL,16,FALSE)-VLOOKUP(A271,'SegEnds_NonXtal_Prot#'!A:AL,10,FALSE)</f>
        <v>52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21</v>
      </c>
      <c r="AH271" s="1">
        <f>VLOOKUP(A271,'SegEnds_NonXtal_Prot#'!A:AL,28,FALSE)-VLOOKUP(A271,'SegEnds_NonXtal_Prot#'!A:AL,22,FALSE)</f>
        <v>46</v>
      </c>
      <c r="AI271" s="1">
        <f>VLOOKUP(A271,'SegEnds_NonXtal_Prot#'!A:AL,31,FALSE)-VLOOKUP(A271,'SegEnds_NonXtal_Prot#'!A:AL,28,FALSE)</f>
        <v>107</v>
      </c>
      <c r="AJ271" s="1">
        <f>VLOOKUP(A271,'SegEnds_NonXtal_Prot#'!A:AL,34,FALSE)-VLOOKUP(A271,'SegEnds_NonXtal_Prot#'!A:AL,31,FALSE)</f>
        <v>37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167</v>
      </c>
      <c r="B272" s="1" t="str">
        <f>VLOOKUP(A272,Xtal_Templ!A:B,2,FALSE)</f>
        <v>ox1r_human</v>
      </c>
      <c r="C272" s="5">
        <f>VLOOKUP($B272&amp;"__wt",'SegEnds_Xtal_BW#'!$A:$Z,3,FALSE)</f>
        <v>32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67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INDEX(ICL3_classA!$G$2:$G$37,MATCH(MIN(ABS(AI272-ICL3_classA!$F$2:$F$37)),ABS(AI272-ICL3_classA!$F$2:$F$37),0))</f>
        <v>74</v>
      </c>
      <c r="U272" s="1">
        <f t="array" ref="U272">INDEX(ICL3_classA!$H$2:$H$37,MATCH(MIN(ABS(AI272-ICL3_classA!$F$2:$F$37)),ABS(AI272-ICL3_classA!$F$2:$F$37),0))</f>
        <v>24</v>
      </c>
      <c r="V272" s="1">
        <v>61</v>
      </c>
      <c r="W272" s="132">
        <f>VLOOKUP($B272&amp;"__wt",'SegEnds_Xtal_BW#'!$A:$Z,23,FALSE)</f>
        <v>28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58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">
        <f>VLOOKUP(A272,'SegEnds_NonXtal_Prot#'!A:AL,10,FALSE)-VLOOKUP(A272,'SegEnds_NonXtal_Prot#'!A:AL,7,FALSE)</f>
        <v>15</v>
      </c>
      <c r="AD272" s="1">
        <f>VLOOKUP(A272,'SegEnds_NonXtal_Prot#'!A:AL,13,FALSE)-VLOOKUP(A272,'SegEnds_NonXtal_Prot#'!A:AL,10,FALSE)</f>
        <v>20</v>
      </c>
      <c r="AE272" s="1">
        <f>VLOOKUP(A272,'SegEnds_NonXtal_Prot#'!A:AL,16,FALSE)-VLOOKUP(A272,'SegEnds_NonXtal_Prot#'!A:AL,10,FALSE)</f>
        <v>52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25</v>
      </c>
      <c r="AH272" s="1">
        <f>VLOOKUP(A272,'SegEnds_NonXtal_Prot#'!A:AL,28,FALSE)-VLOOKUP(A272,'SegEnds_NonXtal_Prot#'!A:AL,22,FALSE)</f>
        <v>55</v>
      </c>
      <c r="AI272" s="1">
        <f>VLOOKUP(A272,'SegEnds_NonXtal_Prot#'!A:AL,31,FALSE)-VLOOKUP(A272,'SegEnds_NonXtal_Prot#'!A:AL,28,FALSE)</f>
        <v>107</v>
      </c>
      <c r="AJ272" s="1">
        <f>VLOOKUP(A272,'SegEnds_NonXtal_Prot#'!A:AL,34,FALSE)-VLOOKUP(A272,'SegEnds_NonXtal_Prot#'!A:AL,31,FALSE)</f>
        <v>39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34</v>
      </c>
      <c r="B273" s="1" t="str">
        <f>VLOOKUP(A273,Xtal_Templ!A:B,2,FALSE)</f>
        <v>5ht1b_human</v>
      </c>
      <c r="C273" s="5">
        <f>VLOOKUP($B273&amp;"__wt",'SegEnds_Xtal_BW#'!$A:$Z,3,FALSE)</f>
        <v>28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68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57</v>
      </c>
      <c r="O273" s="87">
        <f>VLOOKUP($B273&amp;"__wt",'SegEnds_Xtal_BW#'!$A:$Z,15,FALSE)</f>
        <v>38</v>
      </c>
      <c r="P273" s="1">
        <f>VLOOKUP($B273&amp;"__wt",'SegEnds_Xtal_BW#'!$A:$Z,16,FALSE)</f>
        <v>63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v>35</v>
      </c>
      <c r="T273" s="1">
        <f t="array" ref="T273">INDEX(ICL3_classA!$G$2:$G$37,MATCH(MIN(ABS(AI273-ICL3_classA!$F$2:$F$37)),ABS(AI273-ICL3_classA!$F$2:$F$37),0))</f>
        <v>74</v>
      </c>
      <c r="U273" s="1">
        <f t="array" ref="U273">INDEX(ICL3_classA!$H$2:$H$37,MATCH(MIN(ABS(AI273-ICL3_classA!$F$2:$F$37)),ABS(AI273-ICL3_classA!$F$2:$F$37),0))</f>
        <v>24</v>
      </c>
      <c r="V273" s="1">
        <v>60</v>
      </c>
      <c r="W273" s="1">
        <v>31</v>
      </c>
      <c r="X273" s="125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58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20</v>
      </c>
      <c r="AE273" s="1">
        <f>VLOOKUP(A273,'SegEnds_NonXtal_Prot#'!A:AL,16,FALSE)-VLOOKUP(A273,'SegEnds_NonXtal_Prot#'!A:AL,10,FALSE)</f>
        <v>52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21</v>
      </c>
      <c r="AH273" s="1">
        <f>VLOOKUP(A273,'SegEnds_NonXtal_Prot#'!A:AL,28,FALSE)-VLOOKUP(A273,'SegEnds_NonXtal_Prot#'!A:AL,22,FALSE)</f>
        <v>46</v>
      </c>
      <c r="AI273" s="1">
        <f>VLOOKUP(A273,'SegEnds_NonXtal_Prot#'!A:AL,31,FALSE)-VLOOKUP(A273,'SegEnds_NonXtal_Prot#'!A:AL,28,FALSE)</f>
        <v>109</v>
      </c>
      <c r="AJ273" s="1">
        <f>VLOOKUP(A273,'SegEnds_NonXtal_Prot#'!A:AL,34,FALSE)-VLOOKUP(A273,'SegEnds_NonXtal_Prot#'!A:AL,31,FALSE)</f>
        <v>37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Xtal</v>
      </c>
    </row>
    <row r="274" spans="1:38" x14ac:dyDescent="0.2">
      <c r="A274" s="1" t="s">
        <v>35</v>
      </c>
      <c r="B274" s="1" t="str">
        <f>VLOOKUP(A274,Xtal_Templ!A:B,2,FALSE)</f>
        <v>5ht2b_human</v>
      </c>
      <c r="C274" s="5">
        <f>VLOOKUP($B274&amp;"__wt",'SegEnds_Xtal_BW#'!$A:$Z,3,FALSE)</f>
        <v>31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f>VLOOKUP($B274&amp;"__wt",'SegEnds_Xtal_BW#'!$A:$Z,14,FALSE)</f>
        <v>57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INDEX(ICL3_classA!$G$2:$G$37,MATCH(MIN(ABS(AI274-ICL3_classA!$F$2:$F$37)),ABS(AI274-ICL3_classA!$F$2:$F$37),0))</f>
        <v>76</v>
      </c>
      <c r="U274" s="1">
        <f t="array" ref="U274">INDEX(ICL3_classA!$H$2:$H$37,MATCH(MIN(ABS(AI274-ICL3_classA!$F$2:$F$37)),ABS(AI274-ICL3_classA!$F$2:$F$37),0))</f>
        <v>24</v>
      </c>
      <c r="V274" s="1">
        <v>61</v>
      </c>
      <c r="W274" s="132">
        <v>27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21</v>
      </c>
      <c r="AE274" s="1">
        <f>VLOOKUP(A274,'SegEnds_NonXtal_Prot#'!A:AL,16,FALSE)-VLOOKUP(A274,'SegEnds_NonXtal_Prot#'!A:AL,10,FALSE)</f>
        <v>53</v>
      </c>
      <c r="AF274" s="1">
        <f>VLOOKUP(A274,'SegEnds_NonXtal_Prot#'!A:AL,22,FALSE)-VLOOKUP(A274,'SegEnds_NonXtal_Prot#'!A:AL,19,FALSE)</f>
        <v>20</v>
      </c>
      <c r="AG274" s="1">
        <f>VLOOKUP(A274,'SegEnds_NonXtal_Prot#'!A:AL,28,FALSE)-VLOOKUP(A274,'SegEnds_NonXtal_Prot#'!A:AL,25,FALSE)</f>
        <v>22</v>
      </c>
      <c r="AH274" s="1">
        <f>VLOOKUP(A274,'SegEnds_NonXtal_Prot#'!A:AL,28,FALSE)-VLOOKUP(A274,'SegEnds_NonXtal_Prot#'!A:AL,22,FALSE)</f>
        <v>49</v>
      </c>
      <c r="AI274" s="1">
        <f>VLOOKUP(A274,'SegEnds_NonXtal_Prot#'!A:AL,31,FALSE)-VLOOKUP(A274,'SegEnds_NonXtal_Prot#'!A:AL,28,FALSE)</f>
        <v>110</v>
      </c>
      <c r="AJ274" s="1">
        <f>VLOOKUP(A274,'SegEnds_NonXtal_Prot#'!A:AL,34,FALSE)-VLOOKUP(A274,'SegEnds_NonXtal_Prot#'!A:AL,31,FALSE)</f>
        <v>38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Xtal</v>
      </c>
    </row>
    <row r="275" spans="1:38" s="12" customFormat="1" x14ac:dyDescent="0.2">
      <c r="A275" s="1" t="s">
        <v>248</v>
      </c>
      <c r="B275" s="1" t="str">
        <f>VLOOKUP(A275,Xtal_Templ!A:B,2,FALSE)</f>
        <v>ox1r_human</v>
      </c>
      <c r="C275" s="5">
        <f>VLOOKUP($B275&amp;"__wt",'SegEnds_Xtal_BW#'!$A:$Z,3,FALSE)</f>
        <v>32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58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v>35</v>
      </c>
      <c r="T275" s="1">
        <f t="array" ref="T275">INDEX(ICL3_classA!$G$2:$G$37,MATCH(MIN(ABS(AI275-ICL3_classA!$F$2:$F$37)),ABS(AI275-ICL3_classA!$F$2:$F$37),0))</f>
        <v>76</v>
      </c>
      <c r="U275" s="1">
        <f t="array" ref="U275">INDEX(ICL3_classA!$H$2:$H$37,MATCH(MIN(ABS(AI275-ICL3_classA!$F$2:$F$37)),ABS(AI275-ICL3_classA!$F$2:$F$37),0))</f>
        <v>24</v>
      </c>
      <c r="V275" s="1">
        <v>61</v>
      </c>
      <c r="W275" s="1">
        <v>31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58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 t="e">
        <f>VLOOKUP(A275,'SegEnds_NonXtal_Prot#'!A:AL,13,FALSE)-VLOOKUP(A275,'SegEnds_NonXtal_Prot#'!A:AL,10,FALSE)</f>
        <v>#VALUE!</v>
      </c>
      <c r="AE275" s="1">
        <f>VLOOKUP(A275,'SegEnds_NonXtal_Prot#'!A:AL,16,FALSE)-VLOOKUP(A275,'SegEnds_NonXtal_Prot#'!A:AL,10,FALSE)</f>
        <v>56</v>
      </c>
      <c r="AF275" s="1">
        <f>VLOOKUP(A275,'SegEnds_NonXtal_Prot#'!A:AL,22,FALSE)-VLOOKUP(A275,'SegEnds_NonXtal_Prot#'!A:AL,19,FALSE)</f>
        <v>21</v>
      </c>
      <c r="AG275" s="1">
        <f>VLOOKUP(A275,'SegEnds_NonXtal_Prot#'!A:AL,28,FALSE)-VLOOKUP(A275,'SegEnds_NonXtal_Prot#'!A:AL,25,FALSE)</f>
        <v>18</v>
      </c>
      <c r="AH275" s="1">
        <f>VLOOKUP(A275,'SegEnds_NonXtal_Prot#'!A:AL,28,FALSE)-VLOOKUP(A275,'SegEnds_NonXtal_Prot#'!A:AL,22,FALSE)</f>
        <v>41</v>
      </c>
      <c r="AI275" s="1">
        <f>VLOOKUP(A275,'SegEnds_NonXtal_Prot#'!A:AL,31,FALSE)-VLOOKUP(A275,'SegEnds_NonXtal_Prot#'!A:AL,28,FALSE)</f>
        <v>110</v>
      </c>
      <c r="AJ275" s="1">
        <f>VLOOKUP(A275,'SegEnds_NonXtal_Prot#'!A:AL,34,FALSE)-VLOOKUP(A275,'SegEnds_NonXtal_Prot#'!A:AL,31,FALSE)</f>
        <v>36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130</v>
      </c>
      <c r="B276" s="1" t="str">
        <f>VLOOKUP(A276,Xtal_Templ!A:B,2,FALSE)</f>
        <v>5ht1b_human</v>
      </c>
      <c r="C276" s="5">
        <f>VLOOKUP($B276&amp;"__wt",'SegEnds_Xtal_BW#'!$A:$Z,3,FALSE)</f>
        <v>28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68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7">
        <v>38</v>
      </c>
      <c r="P276" s="1">
        <f>VLOOKUP($B276&amp;"__wt",'SegEnds_Xtal_BW#'!$A:$Z,16,FALSE)</f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35</v>
      </c>
      <c r="T276" s="1">
        <f t="array" ref="T276">INDEX(ICL3_classA!$G$2:$G$37,MATCH(MIN(ABS(AI276-ICL3_classA!$F$2:$F$37)),ABS(AI276-ICL3_classA!$F$2:$F$37),0))</f>
        <v>76</v>
      </c>
      <c r="U276" s="1">
        <f t="array" ref="U276">INDEX(ICL3_classA!$H$2:$H$37,MATCH(MIN(ABS(AI276-ICL3_classA!$F$2:$F$37)),ABS(AI276-ICL3_classA!$F$2:$F$37),0))</f>
        <v>24</v>
      </c>
      <c r="V276" s="1">
        <v>61</v>
      </c>
      <c r="W276" s="1">
        <v>31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58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>
        <f>VLOOKUP(A276,'SegEnds_NonXtal_Prot#'!A:AL,13,FALSE)-VLOOKUP(A276,'SegEnds_NonXtal_Prot#'!A:AL,10,FALSE)</f>
        <v>20</v>
      </c>
      <c r="AE276" s="1">
        <f>VLOOKUP(A276,'SegEnds_NonXtal_Prot#'!A:AL,16,FALSE)-VLOOKUP(A276,'SegEnds_NonXtal_Prot#'!A:AL,10,FALSE)</f>
        <v>52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21</v>
      </c>
      <c r="AH276" s="1">
        <f>VLOOKUP(A276,'SegEnds_NonXtal_Prot#'!A:AL,28,FALSE)-VLOOKUP(A276,'SegEnds_NonXtal_Prot#'!A:AL,22,FALSE)</f>
        <v>47</v>
      </c>
      <c r="AI276" s="1">
        <f>VLOOKUP(A276,'SegEnds_NonXtal_Prot#'!A:AL,31,FALSE)-VLOOKUP(A276,'SegEnds_NonXtal_Prot#'!A:AL,28,FALSE)</f>
        <v>112</v>
      </c>
      <c r="AJ276" s="1">
        <f>VLOOKUP(A276,'SegEnds_NonXtal_Prot#'!A:AL,34,FALSE)-VLOOKUP(A276,'SegEnds_NonXtal_Prot#'!A:AL,31,FALSE)</f>
        <v>35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221</v>
      </c>
      <c r="B277" s="1" t="str">
        <f>VLOOKUP(A277,Xtal_Templ!A:B,2,FALSE)</f>
        <v>s1pr1_human</v>
      </c>
      <c r="C277" s="5">
        <f>VLOOKUP($B277&amp;"__wt",'SegEnds_Xtal_BW#'!$A:$Z,3,FALSE)</f>
        <v>29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67</v>
      </c>
      <c r="I277" s="1">
        <f>VLOOKUP($B277&amp;"__wt",'SegEnds_Xtal_BW#'!$A:$Z,9,FALSE)</f>
        <v>47</v>
      </c>
      <c r="J277" s="1">
        <f>VLOOKUP($B277&amp;"__wt",'SegEnds_Xtal_BW#'!$A:$Z,10,FALSE)</f>
        <v>53</v>
      </c>
      <c r="K277" s="12">
        <v>18</v>
      </c>
      <c r="L277" s="1">
        <f>VLOOKUP($B277&amp;"__wt",'SegEnds_Xtal_BW#'!$A:$Z,12,FALSE)</f>
        <v>56</v>
      </c>
      <c r="M277" s="108" t="s">
        <v>23</v>
      </c>
      <c r="N277" s="12" t="s">
        <v>23</v>
      </c>
      <c r="O277" s="87">
        <f>VLOOKUP($B277&amp;"__wt",'SegEnds_Xtal_BW#'!$A:$Z,15,FALSE)</f>
        <v>38</v>
      </c>
      <c r="P277" s="1">
        <f>VLOOKUP($B277&amp;"__wt",'SegEnds_Xtal_BW#'!$A:$Z,16,FALSE)</f>
        <v>63</v>
      </c>
      <c r="Q277" s="1" t="str">
        <f>VLOOKUP($B277&amp;"__wt",'SegEnds_Xtal_BW#'!$A:$Z,17,FALSE)</f>
        <v>-</v>
      </c>
      <c r="R277" s="1" t="str">
        <f>VLOOKUP($B277&amp;"__wt",'SegEnds_Xtal_BW#'!$A:$Z,18,FALSE)</f>
        <v>-</v>
      </c>
      <c r="S277" s="1">
        <f>VLOOKUP($B277&amp;"__wt",'SegEnds_Xtal_BW#'!$A:$Z,19,FALSE)</f>
        <v>36</v>
      </c>
      <c r="T277" s="1">
        <f t="array" ref="T277">INDEX(ICL3_classA!$G$2:$G$37,MATCH(MIN(ABS(AI277-ICL3_classA!$F$2:$F$37)),ABS(AI277-ICL3_classA!$F$2:$F$37),0))</f>
        <v>76</v>
      </c>
      <c r="U277" s="1">
        <f t="array" ref="U277">INDEX(ICL3_classA!$H$2:$H$37,MATCH(MIN(ABS(AI277-ICL3_classA!$F$2:$F$37)),ABS(AI277-ICL3_classA!$F$2:$F$37),0))</f>
        <v>24</v>
      </c>
      <c r="V277" s="1">
        <v>61</v>
      </c>
      <c r="W277" s="1">
        <v>32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29</v>
      </c>
      <c r="AC277" s="1" t="e">
        <f>VLOOKUP(A277,'SegEnds_NonXtal_Prot#'!A:AL,10,FALSE)-VLOOKUP(A277,'SegEnds_NonXtal_Prot#'!A:AL,7,FALSE)</f>
        <v>#VALUE!</v>
      </c>
      <c r="AD277" s="1">
        <f>VLOOKUP(A277,'SegEnds_NonXtal_Prot#'!A:AL,13,FALSE)-VLOOKUP(A277,'SegEnds_NonXtal_Prot#'!A:AL,10,FALSE)</f>
        <v>26</v>
      </c>
      <c r="AE277" s="1">
        <f>VLOOKUP(A277,'SegEnds_NonXtal_Prot#'!A:AL,16,FALSE)-VLOOKUP(A277,'SegEnds_NonXtal_Prot#'!A:AL,10,FALSE)</f>
        <v>69</v>
      </c>
      <c r="AF277" s="1" t="e">
        <f>VLOOKUP(A277,'SegEnds_NonXtal_Prot#'!A:AL,22,FALSE)-VLOOKUP(A277,'SegEnds_NonXtal_Prot#'!A:AL,19,FALSE)</f>
        <v>#VALUE!</v>
      </c>
      <c r="AG277" s="1" t="e">
        <f>VLOOKUP(A277,'SegEnds_NonXtal_Prot#'!A:AL,28,FALSE)-VLOOKUP(A277,'SegEnds_NonXtal_Prot#'!A:AL,25,FALSE)</f>
        <v>#VALUE!</v>
      </c>
      <c r="AH277" s="1">
        <f>VLOOKUP(A277,'SegEnds_NonXtal_Prot#'!A:AL,28,FALSE)-VLOOKUP(A277,'SegEnds_NonXtal_Prot#'!A:AL,22,FALSE)</f>
        <v>53</v>
      </c>
      <c r="AI277" s="1">
        <f>VLOOKUP(A277,'SegEnds_NonXtal_Prot#'!A:AL,31,FALSE)-VLOOKUP(A277,'SegEnds_NonXtal_Prot#'!A:AL,28,FALSE)</f>
        <v>114</v>
      </c>
      <c r="AJ277" s="1">
        <f>VLOOKUP(A277,'SegEnds_NonXtal_Prot#'!A:AL,34,FALSE)-VLOOKUP(A277,'SegEnds_NonXtal_Prot#'!A:AL,31,FALSE)</f>
        <v>34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131</v>
      </c>
      <c r="B278" s="1" t="str">
        <f>VLOOKUP(A278,Xtal_Templ!A:B,2,FALSE)</f>
        <v>5ht1b_human</v>
      </c>
      <c r="C278" s="5">
        <f>VLOOKUP($B278&amp;"__wt",'SegEnds_Xtal_BW#'!$A:$Z,3,FALSE)</f>
        <v>28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68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v>38</v>
      </c>
      <c r="P278" s="1">
        <f>VLOOKUP($B278&amp;"__wt",'SegEnds_Xtal_BW#'!$A:$Z,16,FALSE)</f>
        <v>63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v>35</v>
      </c>
      <c r="T278" s="1">
        <f t="array" ref="T278">INDEX(ICL3_classA!$G$2:$G$37,MATCH(MIN(ABS(AI278-ICL3_classA!$F$2:$F$37)),ABS(AI278-ICL3_classA!$F$2:$F$37),0))</f>
        <v>76</v>
      </c>
      <c r="U278" s="1">
        <f t="array" ref="U278">INDEX(ICL3_classA!$H$2:$H$37,MATCH(MIN(ABS(AI278-ICL3_classA!$F$2:$F$37)),ABS(AI278-ICL3_classA!$F$2:$F$37),0))</f>
        <v>24</v>
      </c>
      <c r="V278" s="1">
        <v>61</v>
      </c>
      <c r="W278" s="1">
        <v>31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58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>
        <f>VLOOKUP(A278,'SegEnds_NonXtal_Prot#'!A:AL,13,FALSE)-VLOOKUP(A278,'SegEnds_NonXtal_Prot#'!A:AL,10,FALSE)</f>
        <v>20</v>
      </c>
      <c r="AE278" s="1">
        <f>VLOOKUP(A278,'SegEnds_NonXtal_Prot#'!A:AL,16,FALSE)-VLOOKUP(A278,'SegEnds_NonXtal_Prot#'!A:AL,10,FALSE)</f>
        <v>52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21</v>
      </c>
      <c r="AH278" s="1">
        <f>VLOOKUP(A278,'SegEnds_NonXtal_Prot#'!A:AL,28,FALSE)-VLOOKUP(A278,'SegEnds_NonXtal_Prot#'!A:AL,22,FALSE)</f>
        <v>45</v>
      </c>
      <c r="AI278" s="1">
        <f>VLOOKUP(A278,'SegEnds_NonXtal_Prot#'!A:AL,31,FALSE)-VLOOKUP(A278,'SegEnds_NonXtal_Prot#'!A:AL,28,FALSE)</f>
        <v>115</v>
      </c>
      <c r="AJ278" s="1">
        <f>VLOOKUP(A278,'SegEnds_NonXtal_Prot#'!A:AL,34,FALSE)-VLOOKUP(A278,'SegEnds_NonXtal_Prot#'!A:AL,31,FALSE)</f>
        <v>36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208</v>
      </c>
      <c r="B279" s="1" t="str">
        <f>VLOOKUP(A279,Xtal_Templ!A:B,2,FALSE)</f>
        <v>ox2r_human</v>
      </c>
      <c r="C279" s="5">
        <f>VLOOKUP($B279&amp;"__wt",'SegEnds_Xtal_BW#'!$A:$Z,3,FALSE)</f>
        <v>31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33</v>
      </c>
      <c r="T279" s="1">
        <f t="array" ref="T279">INDEX(ICL3_classA!$G$2:$G$37,MATCH(MIN(ABS(AI279-ICL3_classA!$F$2:$F$37)),ABS(AI279-ICL3_classA!$F$2:$F$37),0))</f>
        <v>76</v>
      </c>
      <c r="U279" s="1">
        <f t="array" ref="U279">INDEX(ICL3_classA!$H$2:$H$37,MATCH(MIN(ABS(AI279-ICL3_classA!$F$2:$F$37)),ABS(AI279-ICL3_classA!$F$2:$F$37),0))</f>
        <v>24</v>
      </c>
      <c r="V279" s="1">
        <v>61</v>
      </c>
      <c r="W279" s="132">
        <f>VLOOKUP($B279&amp;"__wt",'SegEnds_Xtal_BW#'!$A:$Z,23,FALSE)</f>
        <v>27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58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>
        <f>VLOOKUP(A279,'SegEnds_NonXtal_Prot#'!A:AL,10,FALSE)-VLOOKUP(A279,'SegEnds_NonXtal_Prot#'!A:AL,7,FALSE)</f>
        <v>15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25</v>
      </c>
      <c r="AH279" s="1">
        <f>VLOOKUP(A279,'SegEnds_NonXtal_Prot#'!A:AL,28,FALSE)-VLOOKUP(A279,'SegEnds_NonXtal_Prot#'!A:AL,22,FALSE)</f>
        <v>51</v>
      </c>
      <c r="AI279" s="1">
        <f>VLOOKUP(A279,'SegEnds_NonXtal_Prot#'!A:AL,31,FALSE)-VLOOKUP(A279,'SegEnds_NonXtal_Prot#'!A:AL,28,FALSE)</f>
        <v>118</v>
      </c>
      <c r="AJ279" s="1">
        <f>VLOOKUP(A279,'SegEnds_NonXtal_Prot#'!A:AL,34,FALSE)-VLOOKUP(A279,'SegEnds_NonXtal_Prot#'!A:AL,31,FALSE)</f>
        <v>39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266</v>
      </c>
      <c r="B280" s="1" t="str">
        <f>VLOOKUP(A280,Xtal_Templ!A:B,2,FALSE)</f>
        <v>drd2_human</v>
      </c>
      <c r="C280" s="5">
        <f>VLOOKUP($B280&amp;"__wt",'SegEnds_Xtal_BW#'!$A:$Z,3,FALSE)</f>
        <v>29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f>VLOOKUP($B280&amp;"__wt",'SegEnds_Xtal_BW#'!$A:$Z,14,FALSE)</f>
        <v>58</v>
      </c>
      <c r="O280" s="87">
        <f>VLOOKUP($B280&amp;"__wt",'SegEnds_Xtal_BW#'!$A:$Z,15,FALSE)</f>
        <v>38</v>
      </c>
      <c r="P280" s="1">
        <f>VLOOKUP($B280&amp;"__wt",'SegEnds_Xtal_BW#'!$A:$Z,16,FALSE)</f>
        <v>62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35</v>
      </c>
      <c r="T280" s="1">
        <f t="array" ref="T280">INDEX(ICL3_classA!$G$2:$G$37,MATCH(MIN(ABS(AI280-ICL3_classA!$F$2:$F$37)),ABS(AI280-ICL3_classA!$F$2:$F$37),0))</f>
        <v>76</v>
      </c>
      <c r="U280" s="1">
        <f t="array" ref="U280">INDEX(ICL3_classA!$H$2:$H$37,MATCH(MIN(ABS(AI280-ICL3_classA!$F$2:$F$37)),ABS(AI280-ICL3_classA!$F$2:$F$37),0))</f>
        <v>24</v>
      </c>
      <c r="V280" s="1">
        <v>61</v>
      </c>
      <c r="W280" s="1">
        <v>31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30</v>
      </c>
      <c r="AC280" s="1">
        <f>VLOOKUP(A280,'SegEnds_NonXtal_Prot#'!A:AL,10,FALSE)-VLOOKUP(A280,'SegEnds_NonXtal_Prot#'!A:AL,7,FALSE)</f>
        <v>15</v>
      </c>
      <c r="AD280" s="1" t="e">
        <f>VLOOKUP(A280,'SegEnds_NonXtal_Prot#'!A:AL,13,FALSE)-VLOOKUP(A280,'SegEnds_NonXtal_Prot#'!A:AL,10,FALSE)</f>
        <v>#VALUE!</v>
      </c>
      <c r="AE280" s="1">
        <f>VLOOKUP(A280,'SegEnds_NonXtal_Prot#'!A:AL,16,FALSE)-VLOOKUP(A280,'SegEnds_NonXtal_Prot#'!A:AL,10,FALSE)</f>
        <v>53</v>
      </c>
      <c r="AF280" s="1" t="e">
        <f>VLOOKUP(A280,'SegEnds_NonXtal_Prot#'!A:AL,22,FALSE)-VLOOKUP(A280,'SegEnds_NonXtal_Prot#'!A:AL,19,FALSE)</f>
        <v>#VALUE!</v>
      </c>
      <c r="AG280" s="1">
        <f>VLOOKUP(A280,'SegEnds_NonXtal_Prot#'!A:AL,28,FALSE)-VLOOKUP(A280,'SegEnds_NonXtal_Prot#'!A:AL,25,FALSE)</f>
        <v>25</v>
      </c>
      <c r="AH280" s="1">
        <f>VLOOKUP(A280,'SegEnds_NonXtal_Prot#'!A:AL,28,FALSE)-VLOOKUP(A280,'SegEnds_NonXtal_Prot#'!A:AL,22,FALSE)</f>
        <v>45</v>
      </c>
      <c r="AI280" s="1">
        <f>VLOOKUP(A280,'SegEnds_NonXtal_Prot#'!A:AL,31,FALSE)-VLOOKUP(A280,'SegEnds_NonXtal_Prot#'!A:AL,28,FALSE)</f>
        <v>122</v>
      </c>
      <c r="AJ280" s="1">
        <f>VLOOKUP(A280,'SegEnds_NonXtal_Prot#'!A:AL,34,FALSE)-VLOOKUP(A280,'SegEnds_NonXtal_Prot#'!A:AL,31,FALSE)</f>
        <v>37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281</v>
      </c>
      <c r="B281" s="1" t="str">
        <f>VLOOKUP(A281,Xtal_Templ!A:B,2,FALSE)</f>
        <v>acm3_rat</v>
      </c>
      <c r="C281" s="5">
        <f>VLOOKUP($B281&amp;"__wt",'SegEnds_Xtal_BW#'!$A:$Z,3,FALSE)</f>
        <v>28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21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58</v>
      </c>
      <c r="O281" s="87">
        <v>38</v>
      </c>
      <c r="P281" s="1">
        <v>63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v>35</v>
      </c>
      <c r="T281" s="1">
        <f t="array" ref="T281">INDEX(ICL3_classA!$G$2:$G$37,MATCH(MIN(ABS(AI281-ICL3_classA!$F$2:$F$37)),ABS(AI281-ICL3_classA!$F$2:$F$37),0))</f>
        <v>76</v>
      </c>
      <c r="U281" s="1">
        <f t="array" ref="U281">INDEX(ICL3_classA!$H$2:$H$37,MATCH(MIN(ABS(AI281-ICL3_classA!$F$2:$F$37)),ABS(AI281-ICL3_classA!$F$2:$F$37),0))</f>
        <v>24</v>
      </c>
      <c r="V281" s="1">
        <v>61</v>
      </c>
      <c r="W281" s="1">
        <v>31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60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19</v>
      </c>
      <c r="AE281" s="1">
        <f>VLOOKUP(A281,'SegEnds_NonXtal_Prot#'!A:AL,16,FALSE)-VLOOKUP(A281,'SegEnds_NonXtal_Prot#'!A:AL,10,FALSE)</f>
        <v>51</v>
      </c>
      <c r="AF281" s="1">
        <f>VLOOKUP(A281,'SegEnds_NonXtal_Prot#'!A:AL,22,FALSE)-VLOOKUP(A281,'SegEnds_NonXtal_Prot#'!A:AL,19,FALSE)</f>
        <v>21</v>
      </c>
      <c r="AG281" s="1">
        <f>VLOOKUP(A281,'SegEnds_NonXtal_Prot#'!A:AL,28,FALSE)-VLOOKUP(A281,'SegEnds_NonXtal_Prot#'!A:AL,25,FALSE)</f>
        <v>22</v>
      </c>
      <c r="AH281" s="1">
        <f>VLOOKUP(A281,'SegEnds_NonXtal_Prot#'!A:AL,28,FALSE)-VLOOKUP(A281,'SegEnds_NonXtal_Prot#'!A:AL,22,FALSE)</f>
        <v>46</v>
      </c>
      <c r="AI281" s="1">
        <f>VLOOKUP(A281,'SegEnds_NonXtal_Prot#'!A:AL,31,FALSE)-VLOOKUP(A281,'SegEnds_NonXtal_Prot#'!A:AL,28,FALSE)</f>
        <v>132</v>
      </c>
      <c r="AJ281" s="1">
        <f>VLOOKUP(A281,'SegEnds_NonXtal_Prot#'!A:AL,34,FALSE)-VLOOKUP(A281,'SegEnds_NonXtal_Prot#'!A:AL,31,FALSE)</f>
        <v>37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192</v>
      </c>
      <c r="B282" s="1" t="str">
        <f>VLOOKUP(A282,Xtal_Templ!A:B,2,FALSE)</f>
        <v>drd3_human</v>
      </c>
      <c r="C282" s="5">
        <f>VLOOKUP($B282&amp;"__wt",'SegEnds_Xtal_BW#'!$A:$Z,3,FALSE)</f>
        <v>29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67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f>VLOOKUP($B282&amp;"__wt",'SegEnds_Xtal_BW#'!$A:$Z,14,FALSE)</f>
        <v>58</v>
      </c>
      <c r="O282" s="87">
        <f>VLOOKUP($B282&amp;"__wt",'SegEnds_Xtal_BW#'!$A:$Z,15,FALSE)</f>
        <v>38</v>
      </c>
      <c r="P282" s="1">
        <f>VLOOKUP($B282&amp;"__wt",'SegEnds_Xtal_BW#'!$A:$Z,16,FALSE)</f>
        <v>63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v>35</v>
      </c>
      <c r="T282" s="1">
        <f t="array" ref="T282">INDEX(ICL3_classA!$G$2:$G$37,MATCH(MIN(ABS(AI282-ICL3_classA!$F$2:$F$37)),ABS(AI282-ICL3_classA!$F$2:$F$37),0))</f>
        <v>76</v>
      </c>
      <c r="U282" s="1">
        <f t="array" ref="U282">INDEX(ICL3_classA!$H$2:$H$37,MATCH(MIN(ABS(AI282-ICL3_classA!$F$2:$F$37)),ABS(AI282-ICL3_classA!$F$2:$F$37),0))</f>
        <v>24</v>
      </c>
      <c r="V282" s="1">
        <f>VLOOKUP($B282&amp;"__wt",'SegEnds_Xtal_BW#'!$A:$Z,22,FALSE)</f>
        <v>60</v>
      </c>
      <c r="W282" s="1">
        <v>31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28</v>
      </c>
      <c r="AC282" s="1">
        <f>VLOOKUP(A282,'SegEnds_NonXtal_Prot#'!A:AL,10,FALSE)-VLOOKUP(A282,'SegEnds_NonXtal_Prot#'!A:AL,7,FALSE)</f>
        <v>15</v>
      </c>
      <c r="AD282" s="1">
        <f>VLOOKUP(A282,'SegEnds_NonXtal_Prot#'!A:AL,13,FALSE)-VLOOKUP(A282,'SegEnds_NonXtal_Prot#'!A:AL,10,FALSE)</f>
        <v>21</v>
      </c>
      <c r="AE282" s="1">
        <f>VLOOKUP(A282,'SegEnds_NonXtal_Prot#'!A:AL,16,FALSE)-VLOOKUP(A282,'SegEnds_NonXtal_Prot#'!A:AL,10,FALSE)</f>
        <v>53</v>
      </c>
      <c r="AF282" s="1">
        <f>VLOOKUP(A282,'SegEnds_NonXtal_Prot#'!A:AL,22,FALSE)-VLOOKUP(A282,'SegEnds_NonXtal_Prot#'!A:AL,19,FALSE)</f>
        <v>23</v>
      </c>
      <c r="AG282" s="1">
        <f>VLOOKUP(A282,'SegEnds_NonXtal_Prot#'!A:AL,28,FALSE)-VLOOKUP(A282,'SegEnds_NonXtal_Prot#'!A:AL,25,FALSE)</f>
        <v>19</v>
      </c>
      <c r="AH282" s="1">
        <f>VLOOKUP(A282,'SegEnds_NonXtal_Prot#'!A:AL,28,FALSE)-VLOOKUP(A282,'SegEnds_NonXtal_Prot#'!A:AL,22,FALSE)</f>
        <v>42</v>
      </c>
      <c r="AI282" s="1">
        <f>VLOOKUP(A282,'SegEnds_NonXtal_Prot#'!A:AL,31,FALSE)-VLOOKUP(A282,'SegEnds_NonXtal_Prot#'!A:AL,28,FALSE)</f>
        <v>144</v>
      </c>
      <c r="AJ282" s="1">
        <f>VLOOKUP(A282,'SegEnds_NonXtal_Prot#'!A:AL,34,FALSE)-VLOOKUP(A282,'SegEnds_NonXtal_Prot#'!A:AL,31,FALSE)</f>
        <v>36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Xtal</v>
      </c>
    </row>
    <row r="283" spans="1:38" x14ac:dyDescent="0.2">
      <c r="A283" s="1" t="s">
        <v>128</v>
      </c>
      <c r="B283" s="1" t="str">
        <f>VLOOKUP(A283,Xtal_Templ!A:B,2,FALSE)</f>
        <v>5ht1b_human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68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v>38</v>
      </c>
      <c r="P283" s="1">
        <f>VLOOKUP($B283&amp;"__wt",'SegEnds_Xtal_BW#'!$A:$Z,16,FALSE)</f>
        <v>63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v>35</v>
      </c>
      <c r="T283" s="1">
        <f t="array" ref="T283">INDEX(ICL3_classA!$G$2:$G$37,MATCH(MIN(ABS(AI283-ICL3_classA!$F$2:$F$37)),ABS(AI283-ICL3_classA!$F$2:$F$37),0))</f>
        <v>76</v>
      </c>
      <c r="U283" s="1">
        <f t="array" ref="U283">INDEX(ICL3_classA!$H$2:$H$37,MATCH(MIN(ABS(AI283-ICL3_classA!$F$2:$F$37)),ABS(AI283-ICL3_classA!$F$2:$F$37),0))</f>
        <v>24</v>
      </c>
      <c r="V283" s="1">
        <v>60</v>
      </c>
      <c r="W283" s="1">
        <v>31</v>
      </c>
      <c r="X283" s="125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58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>
        <f>VLOOKUP(A283,'SegEnds_NonXtal_Prot#'!A:AL,10,FALSE)-VLOOKUP(A283,'SegEnds_NonXtal_Prot#'!A:AL,7,FALSE)</f>
        <v>15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20</v>
      </c>
      <c r="AH283" s="1">
        <f>VLOOKUP(A283,'SegEnds_NonXtal_Prot#'!A:AL,28,FALSE)-VLOOKUP(A283,'SegEnds_NonXtal_Prot#'!A:AL,22,FALSE)</f>
        <v>46</v>
      </c>
      <c r="AI283" s="1">
        <f>VLOOKUP(A283,'SegEnds_NonXtal_Prot#'!A:AL,31,FALSE)-VLOOKUP(A283,'SegEnds_NonXtal_Prot#'!A:AL,28,FALSE)</f>
        <v>153</v>
      </c>
      <c r="AJ283" s="1">
        <f>VLOOKUP(A283,'SegEnds_NonXtal_Prot#'!A:AL,34,FALSE)-VLOOKUP(A283,'SegEnds_NonXtal_Prot#'!A:AL,31,FALSE)</f>
        <v>37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328</v>
      </c>
      <c r="B284" s="1" t="str">
        <f>VLOOKUP(A284,Xtal_Templ!A:B,2,FALSE)</f>
        <v>npy1r_human</v>
      </c>
      <c r="C284" s="5">
        <f>VLOOKUP($B284&amp;"__wt",'SegEnds_Xtal_BW#'!$A:$Z,3,FALSE)</f>
        <v>28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68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 t="str">
        <f>VLOOKUP($B284&amp;"__wt",'SegEnds_Xtal_BW#'!$A:$Z,13,FALSE)</f>
        <v>-</v>
      </c>
      <c r="N284" s="108" t="s">
        <v>23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31</v>
      </c>
      <c r="T284" s="1">
        <f t="array" ref="T284">INDEX(ICL3_classA!$G$2:$G$37,MATCH(MIN(ABS(AI284-ICL3_classA!$F$2:$F$37)),ABS(AI284-ICL3_classA!$F$2:$F$37),0))</f>
        <v>76</v>
      </c>
      <c r="U284" s="1">
        <f t="array" ref="U284">INDEX(ICL3_classA!$H$2:$H$37,MATCH(MIN(ABS(AI284-ICL3_classA!$F$2:$F$37)),ABS(AI284-ICL3_classA!$F$2:$F$37),0))</f>
        <v>24</v>
      </c>
      <c r="V284" s="1">
        <v>61</v>
      </c>
      <c r="W284" s="132">
        <f>VLOOKUP($B284&amp;"__wt",'SegEnds_Xtal_BW#'!$A:$Z,23,FALSE)</f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58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 t="e">
        <f>VLOOKUP(A284,'SegEnds_NonXtal_Prot#'!A:AL,22,FALSE)-VLOOKUP(A284,'SegEnds_NonXtal_Prot#'!A:AL,19,FALSE)</f>
        <v>#VALUE!</v>
      </c>
      <c r="AG284" s="1">
        <f>VLOOKUP(A284,'SegEnds_NonXtal_Prot#'!A:AL,28,FALSE)-VLOOKUP(A284,'SegEnds_NonXtal_Prot#'!A:AL,25,FALSE)</f>
        <v>25</v>
      </c>
      <c r="AH284" s="1">
        <f>VLOOKUP(A284,'SegEnds_NonXtal_Prot#'!A:AL,28,FALSE)-VLOOKUP(A284,'SegEnds_NonXtal_Prot#'!A:AL,22,FALSE)</f>
        <v>59</v>
      </c>
      <c r="AI284" s="1">
        <f>VLOOKUP(A284,'SegEnds_NonXtal_Prot#'!A:AL,31,FALSE)-VLOOKUP(A284,'SegEnds_NonXtal_Prot#'!A:AL,28,FALSE)</f>
        <v>160</v>
      </c>
      <c r="AJ284" s="1">
        <f>VLOOKUP(A284,'SegEnds_NonXtal_Prot#'!A:AL,34,FALSE)-VLOOKUP(A284,'SegEnds_NonXtal_Prot#'!A:AL,31,FALSE)</f>
        <v>39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280</v>
      </c>
      <c r="B285" s="1" t="str">
        <f>VLOOKUP(A285,Xtal_Templ!A:B,2,FALSE)</f>
        <v>hrh1_human</v>
      </c>
      <c r="C285" s="5">
        <f>VLOOKUP($B285&amp;"__wt",'SegEnds_Xtal_BW#'!$A:$Z,3,FALSE)</f>
        <v>34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58</v>
      </c>
      <c r="O285" s="87">
        <f>VLOOKUP($B285&amp;"__wt",'SegEnds_Xtal_BW#'!$A:$Z,15,FALSE)</f>
        <v>38</v>
      </c>
      <c r="P285" s="1">
        <v>63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v>35</v>
      </c>
      <c r="T285" s="1">
        <f t="array" ref="T285">INDEX(ICL3_classA!$G$2:$G$37,MATCH(MIN(ABS(AI285-ICL3_classA!$F$2:$F$37)),ABS(AI285-ICL3_classA!$F$2:$F$37),0))</f>
        <v>75</v>
      </c>
      <c r="U285" s="1">
        <f t="array" ref="U285">INDEX(ICL3_classA!$H$2:$H$37,MATCH(MIN(ABS(AI285-ICL3_classA!$F$2:$F$37)),ABS(AI285-ICL3_classA!$F$2:$F$37),0))</f>
        <v>24</v>
      </c>
      <c r="V285" s="1">
        <v>61</v>
      </c>
      <c r="W285" s="1">
        <v>31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>
        <f>VLOOKUP(A285,'SegEnds_NonXtal_Prot#'!A:AL,10,FALSE)-VLOOKUP(A285,'SegEnds_NonXtal_Prot#'!A:AL,7,FALSE)</f>
        <v>15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>
        <f>VLOOKUP(A285,'SegEnds_NonXtal_Prot#'!A:AL,22,FALSE)-VLOOKUP(A285,'SegEnds_NonXtal_Prot#'!A:AL,19,FALSE)</f>
        <v>21</v>
      </c>
      <c r="AG285" s="1">
        <f>VLOOKUP(A285,'SegEnds_NonXtal_Prot#'!A:AL,28,FALSE)-VLOOKUP(A285,'SegEnds_NonXtal_Prot#'!A:AL,25,FALSE)</f>
        <v>22</v>
      </c>
      <c r="AH285" s="1">
        <f>VLOOKUP(A285,'SegEnds_NonXtal_Prot#'!A:AL,28,FALSE)-VLOOKUP(A285,'SegEnds_NonXtal_Prot#'!A:AL,22,FALSE)</f>
        <v>50</v>
      </c>
      <c r="AI285" s="1">
        <f>VLOOKUP(A285,'SegEnds_NonXtal_Prot#'!A:AL,31,FALSE)-VLOOKUP(A285,'SegEnds_NonXtal_Prot#'!A:AL,28,FALSE)</f>
        <v>163</v>
      </c>
      <c r="AJ285" s="1">
        <f>VLOOKUP(A285,'SegEnds_NonXtal_Prot#'!A:AL,34,FALSE)-VLOOKUP(A285,'SegEnds_NonXtal_Prot#'!A:AL,31,FALSE)</f>
        <v>36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157</v>
      </c>
      <c r="B286" s="1" t="str">
        <f>VLOOKUP(A286,Xtal_Templ!A:B,2,FALSE)</f>
        <v>drd2_human</v>
      </c>
      <c r="C286" s="5">
        <f>VLOOKUP($B286&amp;"__wt",'SegEnds_Xtal_BW#'!$A:$Z,3,FALSE)</f>
        <v>29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68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v>38</v>
      </c>
      <c r="P286" s="1">
        <f>VLOOKUP($B286&amp;"__wt",'SegEnds_Xtal_BW#'!$A:$Z,16,FALSE)</f>
        <v>62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v>35</v>
      </c>
      <c r="T286" s="1">
        <f t="array" ref="T286">INDEX(ICL3_classA!$G$2:$G$37,MATCH(MIN(ABS(AI286-ICL3_classA!$F$2:$F$37)),ABS(AI286-ICL3_classA!$F$2:$F$37),0))</f>
        <v>75</v>
      </c>
      <c r="U286" s="1">
        <f t="array" ref="U286">INDEX(ICL3_classA!$H$2:$H$37,MATCH(MIN(ABS(AI286-ICL3_classA!$F$2:$F$37)),ABS(AI286-ICL3_classA!$F$2:$F$37),0))</f>
        <v>24</v>
      </c>
      <c r="V286" s="1">
        <v>61</v>
      </c>
      <c r="W286" s="1">
        <v>31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59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>
        <f>VLOOKUP(A286,'SegEnds_NonXtal_Prot#'!A:AL,13,FALSE)-VLOOKUP(A286,'SegEnds_NonXtal_Prot#'!A:AL,10,FALSE)</f>
        <v>20</v>
      </c>
      <c r="AE286" s="1">
        <f>VLOOKUP(A286,'SegEnds_NonXtal_Prot#'!A:AL,16,FALSE)-VLOOKUP(A286,'SegEnds_NonXtal_Prot#'!A:AL,10,FALSE)</f>
        <v>52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20</v>
      </c>
      <c r="AH286" s="1">
        <f>VLOOKUP(A286,'SegEnds_NonXtal_Prot#'!A:AL,28,FALSE)-VLOOKUP(A286,'SegEnds_NonXtal_Prot#'!A:AL,22,FALSE)</f>
        <v>46</v>
      </c>
      <c r="AI286" s="1">
        <f>VLOOKUP(A286,'SegEnds_NonXtal_Prot#'!A:AL,31,FALSE)-VLOOKUP(A286,'SegEnds_NonXtal_Prot#'!A:AL,28,FALSE)</f>
        <v>175</v>
      </c>
      <c r="AJ286" s="1">
        <f>VLOOKUP(A286,'SegEnds_NonXtal_Prot#'!A:AL,34,FALSE)-VLOOKUP(A286,'SegEnds_NonXtal_Prot#'!A:AL,31,FALSE)</f>
        <v>37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146</v>
      </c>
      <c r="B287" s="1" t="str">
        <f>VLOOKUP(A287,Xtal_Templ!A:B,2,FALSE)</f>
        <v>acm1_human</v>
      </c>
      <c r="C287" s="5">
        <f>VLOOKUP($B287&amp;"__wt",'SegEnds_Xtal_BW#'!$A:$Z,3,FALSE)</f>
        <v>29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68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f>VLOOKUP($B287&amp;"__wt",'SegEnds_Xtal_BW#'!$A:$Z,14,FALSE)</f>
        <v>57</v>
      </c>
      <c r="O287" s="87">
        <f>VLOOKUP($B287&amp;"__wt",'SegEnds_Xtal_BW#'!$A:$Z,15,FALSE)</f>
        <v>38</v>
      </c>
      <c r="P287" s="1">
        <f>VLOOKUP($B287&amp;"__wt",'SegEnds_Xtal_BW#'!$A:$Z,16,FALSE)</f>
        <v>69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35</v>
      </c>
      <c r="T287" s="1">
        <f t="array" ref="T287">INDEX(ICL3_classA!$G$2:$G$37,MATCH(MIN(ABS(AI287-ICL3_classA!$F$2:$F$37)),ABS(AI287-ICL3_classA!$F$2:$F$37),0))</f>
        <v>75</v>
      </c>
      <c r="U287" s="1">
        <f t="array" ref="U287">INDEX(ICL3_classA!$H$2:$H$37,MATCH(MIN(ABS(AI287-ICL3_classA!$F$2:$F$37)),ABS(AI287-ICL3_classA!$F$2:$F$37),0))</f>
        <v>24</v>
      </c>
      <c r="V287" s="1">
        <v>61</v>
      </c>
      <c r="W287" s="1">
        <v>31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59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>
        <f>VLOOKUP(A287,'SegEnds_NonXtal_Prot#'!A:AL,13,FALSE)-VLOOKUP(A287,'SegEnds_NonXtal_Prot#'!A:AL,10,FALSE)</f>
        <v>20</v>
      </c>
      <c r="AE287" s="1">
        <f>VLOOKUP(A287,'SegEnds_NonXtal_Prot#'!A:AL,16,FALSE)-VLOOKUP(A287,'SegEnds_NonXtal_Prot#'!A:AL,10,FALSE)</f>
        <v>52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22</v>
      </c>
      <c r="AH287" s="1">
        <f>VLOOKUP(A287,'SegEnds_NonXtal_Prot#'!A:AL,28,FALSE)-VLOOKUP(A287,'SegEnds_NonXtal_Prot#'!A:AL,22,FALSE)</f>
        <v>50</v>
      </c>
      <c r="AI287" s="1">
        <f>VLOOKUP(A287,'SegEnds_NonXtal_Prot#'!A:AL,31,FALSE)-VLOOKUP(A287,'SegEnds_NonXtal_Prot#'!A:AL,28,FALSE)</f>
        <v>180</v>
      </c>
      <c r="AJ287" s="1">
        <f>VLOOKUP(A287,'SegEnds_NonXtal_Prot#'!A:AL,34,FALSE)-VLOOKUP(A287,'SegEnds_NonXtal_Prot#'!A:AL,31,FALSE)</f>
        <v>35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155</v>
      </c>
      <c r="B288" s="1" t="str">
        <f>VLOOKUP(A288,Xtal_Templ!A:B,2,FALSE)</f>
        <v>drd2_human</v>
      </c>
      <c r="C288" s="5">
        <f>VLOOKUP($B288&amp;"__wt",'SegEnds_Xtal_BW#'!$A:$Z,3,FALSE)</f>
        <v>29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68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v>38</v>
      </c>
      <c r="P288" s="1">
        <f>VLOOKUP($B288&amp;"__wt",'SegEnds_Xtal_BW#'!$A:$Z,16,FALSE)</f>
        <v>62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v>35</v>
      </c>
      <c r="T288" s="1">
        <f t="array" ref="T288">INDEX(ICL3_classA!$G$2:$G$37,MATCH(MIN(ABS(AI288-ICL3_classA!$F$2:$F$37)),ABS(AI288-ICL3_classA!$F$2:$F$37),0))</f>
        <v>75</v>
      </c>
      <c r="U288" s="1">
        <f t="array" ref="U288">INDEX(ICL3_classA!$H$2:$H$37,MATCH(MIN(ABS(AI288-ICL3_classA!$F$2:$F$37)),ABS(AI288-ICL3_classA!$F$2:$F$37),0))</f>
        <v>24</v>
      </c>
      <c r="V288" s="1">
        <v>61</v>
      </c>
      <c r="W288" s="1">
        <v>32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59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>
        <f>VLOOKUP(A288,'SegEnds_NonXtal_Prot#'!A:AL,13,FALSE)-VLOOKUP(A288,'SegEnds_NonXtal_Prot#'!A:AL,10,FALSE)</f>
        <v>20</v>
      </c>
      <c r="AE288" s="1">
        <f>VLOOKUP(A288,'SegEnds_NonXtal_Prot#'!A:AL,16,FALSE)-VLOOKUP(A288,'SegEnds_NonXtal_Prot#'!A:AL,10,FALSE)</f>
        <v>52</v>
      </c>
      <c r="AF288" s="1">
        <f>VLOOKUP(A288,'SegEnds_NonXtal_Prot#'!A:AL,22,FALSE)-VLOOKUP(A288,'SegEnds_NonXtal_Prot#'!A:AL,19,FALSE)</f>
        <v>20</v>
      </c>
      <c r="AG288" s="1">
        <f>VLOOKUP(A288,'SegEnds_NonXtal_Prot#'!A:AL,28,FALSE)-VLOOKUP(A288,'SegEnds_NonXtal_Prot#'!A:AL,25,FALSE)</f>
        <v>20</v>
      </c>
      <c r="AH288" s="1">
        <f>VLOOKUP(A288,'SegEnds_NonXtal_Prot#'!A:AL,28,FALSE)-VLOOKUP(A288,'SegEnds_NonXtal_Prot#'!A:AL,22,FALSE)</f>
        <v>50</v>
      </c>
      <c r="AI288" s="1">
        <f>VLOOKUP(A288,'SegEnds_NonXtal_Prot#'!A:AL,31,FALSE)-VLOOKUP(A288,'SegEnds_NonXtal_Prot#'!A:AL,28,FALSE)</f>
        <v>181</v>
      </c>
      <c r="AJ288" s="1">
        <f>VLOOKUP(A288,'SegEnds_NonXtal_Prot#'!A:AL,34,FALSE)-VLOOKUP(A288,'SegEnds_NonXtal_Prot#'!A:AL,31,FALSE)</f>
        <v>34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191</v>
      </c>
      <c r="B289" s="1" t="str">
        <f>VLOOKUP(A289,Xtal_Templ!A:B,2,FALSE)</f>
        <v>drd2_human</v>
      </c>
      <c r="C289" s="5">
        <f>VLOOKUP($B289&amp;"__wt",'SegEnds_Xtal_BW#'!$A:$Z,3,FALSE)</f>
        <v>29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68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f>VLOOKUP($B289&amp;"__wt",'SegEnds_Xtal_BW#'!$A:$Z,14,FALSE)</f>
        <v>58</v>
      </c>
      <c r="O289" s="87">
        <v>38</v>
      </c>
      <c r="P289" s="1">
        <f>VLOOKUP($B289&amp;"__wt",'SegEnds_Xtal_BW#'!$A:$Z,16,FALSE)</f>
        <v>62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35</v>
      </c>
      <c r="T289" s="1">
        <f t="array" ref="T289">INDEX(ICL3_classA!$G$2:$G$37,MATCH(MIN(ABS(AI289-ICL3_classA!$F$2:$F$37)),ABS(AI289-ICL3_classA!$F$2:$F$37),0))</f>
        <v>75</v>
      </c>
      <c r="U289" s="1">
        <f t="array" ref="U289">INDEX(ICL3_classA!$H$2:$H$37,MATCH(MIN(ABS(AI289-ICL3_classA!$F$2:$F$37)),ABS(AI289-ICL3_classA!$F$2:$F$37),0))</f>
        <v>24</v>
      </c>
      <c r="V289" s="1">
        <v>61</v>
      </c>
      <c r="W289" s="1"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20</v>
      </c>
      <c r="AE289" s="1">
        <f>VLOOKUP(A289,'SegEnds_NonXtal_Prot#'!A:AL,16,FALSE)-VLOOKUP(A289,'SegEnds_NonXtal_Prot#'!A:AL,10,FALSE)</f>
        <v>52</v>
      </c>
      <c r="AF289" s="1">
        <f>VLOOKUP(A289,'SegEnds_NonXtal_Prot#'!A:AL,22,FALSE)-VLOOKUP(A289,'SegEnds_NonXtal_Prot#'!A:AL,19,FALSE)</f>
        <v>21</v>
      </c>
      <c r="AG289" s="1">
        <f>VLOOKUP(A289,'SegEnds_NonXtal_Prot#'!A:AL,28,FALSE)-VLOOKUP(A289,'SegEnds_NonXtal_Prot#'!A:AL,25,FALSE)</f>
        <v>19</v>
      </c>
      <c r="AH289" s="1">
        <f>VLOOKUP(A289,'SegEnds_NonXtal_Prot#'!A:AL,28,FALSE)-VLOOKUP(A289,'SegEnds_NonXtal_Prot#'!A:AL,22,FALSE)</f>
        <v>41</v>
      </c>
      <c r="AI289" s="1">
        <f>VLOOKUP(A289,'SegEnds_NonXtal_Prot#'!A:AL,31,FALSE)-VLOOKUP(A289,'SegEnds_NonXtal_Prot#'!A:AL,28,FALSE)</f>
        <v>187</v>
      </c>
      <c r="AJ289" s="1">
        <f>VLOOKUP(A289,'SegEnds_NonXtal_Prot#'!A:AL,34,FALSE)-VLOOKUP(A289,'SegEnds_NonXtal_Prot#'!A:AL,31,FALSE)</f>
        <v>35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Xtal</v>
      </c>
    </row>
    <row r="290" spans="1:38" x14ac:dyDescent="0.2">
      <c r="A290" s="1" t="s">
        <v>156</v>
      </c>
      <c r="B290" s="1" t="str">
        <f>VLOOKUP(A290,Xtal_Templ!A:B,2,FALSE)</f>
        <v>drd2_human</v>
      </c>
      <c r="C290" s="5">
        <f>VLOOKUP($B290&amp;"__wt",'SegEnds_Xtal_BW#'!$A:$Z,3,FALSE)</f>
        <v>29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68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v>38</v>
      </c>
      <c r="P290" s="1">
        <f>VLOOKUP($B290&amp;"__wt",'SegEnds_Xtal_BW#'!$A:$Z,16,FALSE)</f>
        <v>62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v>35</v>
      </c>
      <c r="T290" s="1">
        <f t="array" ref="T290">INDEX(ICL3_classA!$G$2:$G$37,MATCH(MIN(ABS(AI290-ICL3_classA!$F$2:$F$37)),ABS(AI290-ICL3_classA!$F$2:$F$37),0))</f>
        <v>75</v>
      </c>
      <c r="U290" s="1">
        <f t="array" ref="U290">INDEX(ICL3_classA!$H$2:$H$37,MATCH(MIN(ABS(AI290-ICL3_classA!$F$2:$F$37)),ABS(AI290-ICL3_classA!$F$2:$F$37),0))</f>
        <v>24</v>
      </c>
      <c r="V290" s="1">
        <v>61</v>
      </c>
      <c r="W290" s="1">
        <v>31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>
        <f>VLOOKUP(A290,'SegEnds_NonXtal_Prot#'!A:AL,13,FALSE)-VLOOKUP(A290,'SegEnds_NonXtal_Prot#'!A:AL,10,FALSE)</f>
        <v>20</v>
      </c>
      <c r="AE290" s="1">
        <f>VLOOKUP(A290,'SegEnds_NonXtal_Prot#'!A:AL,16,FALSE)-VLOOKUP(A290,'SegEnds_NonXtal_Prot#'!A:AL,10,FALSE)</f>
        <v>52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20</v>
      </c>
      <c r="AH290" s="1">
        <f>VLOOKUP(A290,'SegEnds_NonXtal_Prot#'!A:AL,28,FALSE)-VLOOKUP(A290,'SegEnds_NonXtal_Prot#'!A:AL,22,FALSE)</f>
        <v>47</v>
      </c>
      <c r="AI290" s="1">
        <f>VLOOKUP(A290,'SegEnds_NonXtal_Prot#'!A:AL,31,FALSE)-VLOOKUP(A290,'SegEnds_NonXtal_Prot#'!A:AL,28,FALSE)</f>
        <v>199</v>
      </c>
      <c r="AJ290" s="1">
        <f>VLOOKUP(A290,'SegEnds_NonXtal_Prot#'!A:AL,34,FALSE)-VLOOKUP(A290,'SegEnds_NonXtal_Prot#'!A:AL,31,FALSE)</f>
        <v>37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147</v>
      </c>
      <c r="B291" s="1" t="str">
        <f>VLOOKUP(A291,Xtal_Templ!A:B,2,FALSE)</f>
        <v>acm2_human</v>
      </c>
      <c r="C291" s="5">
        <f>VLOOKUP($B291&amp;"__wt",'SegEnds_Xtal_BW#'!$A:$Z,3,FALSE)</f>
        <v>28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68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f>VLOOKUP($B291&amp;"__wt",'SegEnds_Xtal_BW#'!$A:$Z,14,FALSE)</f>
        <v>57</v>
      </c>
      <c r="O291" s="87">
        <f>VLOOKUP($B291&amp;"__wt",'SegEnds_Xtal_BW#'!$A:$Z,15,FALSE)</f>
        <v>38</v>
      </c>
      <c r="P291" s="1">
        <f>VLOOKUP($B291&amp;"__wt",'SegEnds_Xtal_BW#'!$A:$Z,16,FALSE)</f>
        <v>69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35</v>
      </c>
      <c r="T291" s="1">
        <f t="array" ref="T291">INDEX(ICL3_classA!$G$2:$G$37,MATCH(MIN(ABS(AI291-ICL3_classA!$F$2:$F$37)),ABS(AI291-ICL3_classA!$F$2:$F$37),0))</f>
        <v>75</v>
      </c>
      <c r="U291" s="1">
        <f t="array" ref="U291">INDEX(ICL3_classA!$H$2:$H$37,MATCH(MIN(ABS(AI291-ICL3_classA!$F$2:$F$37)),ABS(AI291-ICL3_classA!$F$2:$F$37),0))</f>
        <v>24</v>
      </c>
      <c r="V291" s="1">
        <v>61</v>
      </c>
      <c r="W291" s="1">
        <v>31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>
        <f>VLOOKUP(A291,'SegEnds_NonXtal_Prot#'!A:AL,13,FALSE)-VLOOKUP(A291,'SegEnds_NonXtal_Prot#'!A:AL,10,FALSE)</f>
        <v>20</v>
      </c>
      <c r="AE291" s="1">
        <f>VLOOKUP(A291,'SegEnds_NonXtal_Prot#'!A:AL,16,FALSE)-VLOOKUP(A291,'SegEnds_NonXtal_Prot#'!A:AL,10,FALSE)</f>
        <v>52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22</v>
      </c>
      <c r="AH291" s="1">
        <f>VLOOKUP(A291,'SegEnds_NonXtal_Prot#'!A:AL,28,FALSE)-VLOOKUP(A291,'SegEnds_NonXtal_Prot#'!A:AL,22,FALSE)</f>
        <v>50</v>
      </c>
      <c r="AI291" s="1">
        <f>VLOOKUP(A291,'SegEnds_NonXtal_Prot#'!A:AL,31,FALSE)-VLOOKUP(A291,'SegEnds_NonXtal_Prot#'!A:AL,28,FALSE)</f>
        <v>204</v>
      </c>
      <c r="AJ291" s="1">
        <f>VLOOKUP(A291,'SegEnds_NonXtal_Prot#'!A:AL,34,FALSE)-VLOOKUP(A291,'SegEnds_NonXtal_Prot#'!A:AL,31,FALSE)</f>
        <v>35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Xtal</v>
      </c>
    </row>
    <row r="292" spans="1:38" x14ac:dyDescent="0.2">
      <c r="A292" s="1" t="s">
        <v>193</v>
      </c>
      <c r="B292" s="1" t="str">
        <f>VLOOKUP(A292,Xtal_Templ!A:B,2,FALSE)</f>
        <v>drd4_human</v>
      </c>
      <c r="C292" s="5">
        <f>VLOOKUP($B292&amp;"__wt",'SegEnds_Xtal_BW#'!$A:$Z,3,FALSE)</f>
        <v>29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38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19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f>VLOOKUP($B292&amp;"__wt",'SegEnds_Xtal_BW#'!$A:$Z,14,FALSE)</f>
        <v>57</v>
      </c>
      <c r="O292" s="87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35</v>
      </c>
      <c r="T292" s="1">
        <f t="array" ref="T292">INDEX(ICL3_classA!$G$2:$G$37,MATCH(MIN(ABS(AI292-ICL3_classA!$F$2:$F$37)),ABS(AI292-ICL3_classA!$F$2:$F$37),0))</f>
        <v>75</v>
      </c>
      <c r="U292" s="1">
        <f t="array" ref="U292">INDEX(ICL3_classA!$H$2:$H$37,MATCH(MIN(ABS(AI292-ICL3_classA!$F$2:$F$37)),ABS(AI292-ICL3_classA!$F$2:$F$37),0))</f>
        <v>24</v>
      </c>
      <c r="V292" s="1">
        <f>VLOOKUP($B292&amp;"__wt",'SegEnds_Xtal_BW#'!$A:$Z,22,FALSE)</f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15</v>
      </c>
      <c r="AD292" s="1">
        <f>VLOOKUP(A292,'SegEnds_NonXtal_Prot#'!A:AL,13,FALSE)-VLOOKUP(A292,'SegEnds_NonXtal_Prot#'!A:AL,10,FALSE)</f>
        <v>21</v>
      </c>
      <c r="AE292" s="1">
        <f>VLOOKUP(A292,'SegEnds_NonXtal_Prot#'!A:AL,16,FALSE)-VLOOKUP(A292,'SegEnds_NonXtal_Prot#'!A:AL,10,FALSE)</f>
        <v>53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19</v>
      </c>
      <c r="AH292" s="1">
        <f>VLOOKUP(A292,'SegEnds_NonXtal_Prot#'!A:AL,28,FALSE)-VLOOKUP(A292,'SegEnds_NonXtal_Prot#'!A:AL,22,FALSE)</f>
        <v>44</v>
      </c>
      <c r="AI292" s="1">
        <f>VLOOKUP(A292,'SegEnds_NonXtal_Prot#'!A:AL,31,FALSE)-VLOOKUP(A292,'SegEnds_NonXtal_Prot#'!A:AL,28,FALSE)</f>
        <v>205</v>
      </c>
      <c r="AJ292" s="1">
        <f>VLOOKUP(A292,'SegEnds_NonXtal_Prot#'!A:AL,34,FALSE)-VLOOKUP(A292,'SegEnds_NonXtal_Prot#'!A:AL,31,FALSE)</f>
        <v>36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Xtal</v>
      </c>
    </row>
    <row r="293" spans="1:38" x14ac:dyDescent="0.2">
      <c r="A293" s="1" t="s">
        <v>149</v>
      </c>
      <c r="B293" s="1" t="str">
        <f>VLOOKUP(A293,Xtal_Templ!A:B,2,FALSE)</f>
        <v>acm4_human</v>
      </c>
      <c r="C293" s="5">
        <f>VLOOKUP($B293&amp;"__wt",'SegEnds_Xtal_BW#'!$A:$Z,3,FALSE)</f>
        <v>26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f>VLOOKUP($B293&amp;"__wt",'SegEnds_Xtal_BW#'!$A:$Z,14,FALSE)</f>
        <v>57</v>
      </c>
      <c r="O293" s="87">
        <f>VLOOKUP($B293&amp;"__wt",'SegEnds_Xtal_BW#'!$A:$Z,15,FALSE)</f>
        <v>38</v>
      </c>
      <c r="P293" s="1">
        <f>VLOOKUP($B293&amp;"__wt",'SegEnds_Xtal_BW#'!$A:$Z,16,FALSE)</f>
        <v>69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35</v>
      </c>
      <c r="T293" s="1">
        <f t="array" ref="T293">INDEX(ICL3_classA!$G$2:$G$37,MATCH(MIN(ABS(AI293-ICL3_classA!$F$2:$F$37)),ABS(AI293-ICL3_classA!$F$2:$F$37),0))</f>
        <v>75</v>
      </c>
      <c r="U293" s="1">
        <f t="array" ref="U293">INDEX(ICL3_classA!$H$2:$H$37,MATCH(MIN(ABS(AI293-ICL3_classA!$F$2:$F$37)),ABS(AI293-ICL3_classA!$F$2:$F$37),0))</f>
        <v>24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>
        <f>VLOOKUP(A293,'SegEnds_NonXtal_Prot#'!A:AL,10,FALSE)-VLOOKUP(A293,'SegEnds_NonXtal_Prot#'!A:AL,7,FALSE)</f>
        <v>15</v>
      </c>
      <c r="AD293" s="1">
        <f>VLOOKUP(A293,'SegEnds_NonXtal_Prot#'!A:AL,13,FALSE)-VLOOKUP(A293,'SegEnds_NonXtal_Prot#'!A:AL,10,FALSE)</f>
        <v>20</v>
      </c>
      <c r="AE293" s="1">
        <f>VLOOKUP(A293,'SegEnds_NonXtal_Prot#'!A:AL,16,FALSE)-VLOOKUP(A293,'SegEnds_NonXtal_Prot#'!A:AL,10,FALSE)</f>
        <v>52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22</v>
      </c>
      <c r="AH293" s="1">
        <f>VLOOKUP(A293,'SegEnds_NonXtal_Prot#'!A:AL,28,FALSE)-VLOOKUP(A293,'SegEnds_NonXtal_Prot#'!A:AL,22,FALSE)</f>
        <v>50</v>
      </c>
      <c r="AI293" s="1">
        <f>VLOOKUP(A293,'SegEnds_NonXtal_Prot#'!A:AL,31,FALSE)-VLOOKUP(A293,'SegEnds_NonXtal_Prot#'!A:AL,28,FALSE)</f>
        <v>208</v>
      </c>
      <c r="AJ293" s="1">
        <f>VLOOKUP(A293,'SegEnds_NonXtal_Prot#'!A:AL,34,FALSE)-VLOOKUP(A293,'SegEnds_NonXtal_Prot#'!A:AL,31,FALSE)</f>
        <v>35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Xtal</v>
      </c>
    </row>
    <row r="294" spans="1:38" x14ac:dyDescent="0.2">
      <c r="A294" s="1" t="s">
        <v>212</v>
      </c>
      <c r="B294" s="1" t="str">
        <f>VLOOKUP(A294,Xtal_Templ!A:B,2,FALSE)</f>
        <v>5ht2c_human</v>
      </c>
      <c r="C294" s="5">
        <f>VLOOKUP($B294&amp;"__wt",'SegEnds_Xtal_BW#'!$A:$Z,3,FALSE)</f>
        <v>33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68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v>38</v>
      </c>
      <c r="P294" s="1">
        <f>VLOOKUP($B294&amp;"__wt",'SegEnds_Xtal_BW#'!$A:$Z,16,FALSE)</f>
        <v>67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v>35</v>
      </c>
      <c r="T294" s="1">
        <f t="array" ref="T294">INDEX(ICL3_classA!$G$2:$G$37,MATCH(MIN(ABS(AI294-ICL3_classA!$F$2:$F$37)),ABS(AI294-ICL3_classA!$F$2:$F$37),0))</f>
        <v>75</v>
      </c>
      <c r="U294" s="1">
        <f t="array" ref="U294">INDEX(ICL3_classA!$H$2:$H$37,MATCH(MIN(ABS(AI294-ICL3_classA!$F$2:$F$37)),ABS(AI294-ICL3_classA!$F$2:$F$37),0))</f>
        <v>24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60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>
        <f>VLOOKUP(A294,'SegEnds_NonXtal_Prot#'!A:AL,10,FALSE)-VLOOKUP(A294,'SegEnds_NonXtal_Prot#'!A:AL,7,FALSE)</f>
        <v>15</v>
      </c>
      <c r="AD294" s="1">
        <f>VLOOKUP(A294,'SegEnds_NonXtal_Prot#'!A:AL,13,FALSE)-VLOOKUP(A294,'SegEnds_NonXtal_Prot#'!A:AL,10,FALSE)</f>
        <v>20</v>
      </c>
      <c r="AE294" s="1">
        <f>VLOOKUP(A294,'SegEnds_NonXtal_Prot#'!A:AL,16,FALSE)-VLOOKUP(A294,'SegEnds_NonXtal_Prot#'!A:AL,10,FALSE)</f>
        <v>52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22</v>
      </c>
      <c r="AH294" s="1">
        <f>VLOOKUP(A294,'SegEnds_NonXtal_Prot#'!A:AL,28,FALSE)-VLOOKUP(A294,'SegEnds_NonXtal_Prot#'!A:AL,22,FALSE)</f>
        <v>48</v>
      </c>
      <c r="AI294" s="1">
        <f>VLOOKUP(A294,'SegEnds_NonXtal_Prot#'!A:AL,31,FALSE)-VLOOKUP(A294,'SegEnds_NonXtal_Prot#'!A:AL,28,FALSE)</f>
        <v>210</v>
      </c>
      <c r="AJ294" s="1">
        <f>VLOOKUP(A294,'SegEnds_NonXtal_Prot#'!A:AL,34,FALSE)-VLOOKUP(A294,'SegEnds_NonXtal_Prot#'!A:AL,31,FALSE)</f>
        <v>37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278</v>
      </c>
      <c r="B295" s="1" t="str">
        <f>VLOOKUP(A295,Xtal_Templ!A:B,2,FALSE)</f>
        <v>hrh1_human</v>
      </c>
      <c r="C295" s="5">
        <f>VLOOKUP($B295&amp;"__wt",'SegEnds_Xtal_BW#'!$A:$Z,3,FALSE)</f>
        <v>34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f>VLOOKUP($B295&amp;"__wt",'SegEnds_Xtal_BW#'!$A:$Z,14,FALSE)</f>
        <v>57</v>
      </c>
      <c r="O295" s="87">
        <f>VLOOKUP($B295&amp;"__wt",'SegEnds_Xtal_BW#'!$A:$Z,15,FALSE)</f>
        <v>38</v>
      </c>
      <c r="P295" s="1">
        <f>VLOOKUP($B295&amp;"__wt",'SegEnds_Xtal_BW#'!$A:$Z,16,FALSE)</f>
        <v>62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v>35</v>
      </c>
      <c r="T295" s="1">
        <f t="array" ref="T295">INDEX(ICL3_classA!$G$2:$G$37,MATCH(MIN(ABS(AI295-ICL3_classA!$F$2:$F$37)),ABS(AI295-ICL3_classA!$F$2:$F$37),0))</f>
        <v>76</v>
      </c>
      <c r="U295" s="1">
        <f t="array" ref="U295">INDEX(ICL3_classA!$H$2:$H$37,MATCH(MIN(ABS(AI295-ICL3_classA!$F$2:$F$37)),ABS(AI295-ICL3_classA!$F$2:$F$37),0))</f>
        <v>24</v>
      </c>
      <c r="V295" s="1">
        <v>61</v>
      </c>
      <c r="W295" s="1">
        <v>31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20</v>
      </c>
      <c r="AE295" s="1">
        <f>VLOOKUP(A295,'SegEnds_NonXtal_Prot#'!A:AL,16,FALSE)-VLOOKUP(A295,'SegEnds_NonXtal_Prot#'!A:AL,10,FALSE)</f>
        <v>52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22</v>
      </c>
      <c r="AH295" s="1">
        <f>VLOOKUP(A295,'SegEnds_NonXtal_Prot#'!A:AL,28,FALSE)-VLOOKUP(A295,'SegEnds_NonXtal_Prot#'!A:AL,22,FALSE)</f>
        <v>50</v>
      </c>
      <c r="AI295" s="1">
        <f>VLOOKUP(A295,'SegEnds_NonXtal_Prot#'!A:AL,31,FALSE)-VLOOKUP(A295,'SegEnds_NonXtal_Prot#'!A:AL,28,FALSE)</f>
        <v>228</v>
      </c>
      <c r="AJ295" s="1">
        <f>VLOOKUP(A295,'SegEnds_NonXtal_Prot#'!A:AL,34,FALSE)-VLOOKUP(A295,'SegEnds_NonXtal_Prot#'!A:AL,31,FALSE)</f>
        <v>35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Xtal</v>
      </c>
    </row>
    <row r="296" spans="1:38" x14ac:dyDescent="0.2">
      <c r="A296" s="1" t="s">
        <v>150</v>
      </c>
      <c r="B296" s="1" t="str">
        <f>VLOOKUP(A296,Xtal_Templ!A:B,2,FALSE)</f>
        <v>acm3_rat</v>
      </c>
      <c r="C296" s="5">
        <f>VLOOKUP($B296&amp;"__wt",'SegEnds_Xtal_BW#'!$A:$Z,3,FALSE)</f>
        <v>28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67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v>38</v>
      </c>
      <c r="P296" s="1">
        <f>VLOOKUP($B296&amp;"__wt",'SegEnds_Xtal_BW#'!$A:$Z,16,FALSE)</f>
        <v>69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35</v>
      </c>
      <c r="T296" s="1">
        <f t="array" ref="T296">INDEX(ICL3_classA!$G$2:$G$37,MATCH(MIN(ABS(AI296-ICL3_classA!$F$2:$F$37)),ABS(AI296-ICL3_classA!$F$2:$F$37),0))</f>
        <v>75</v>
      </c>
      <c r="U296" s="1">
        <f t="array" ref="U296">INDEX(ICL3_classA!$H$2:$H$37,MATCH(MIN(ABS(AI296-ICL3_classA!$F$2:$F$37)),ABS(AI296-ICL3_classA!$F$2:$F$37),0))</f>
        <v>24</v>
      </c>
      <c r="V296" s="1">
        <v>61</v>
      </c>
      <c r="W296" s="1">
        <v>31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60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>
        <f>VLOOKUP(A296,'SegEnds_NonXtal_Prot#'!A:AL,10,FALSE)-VLOOKUP(A296,'SegEnds_NonXtal_Prot#'!A:AL,7,FALSE)</f>
        <v>15</v>
      </c>
      <c r="AD296" s="1">
        <f>VLOOKUP(A296,'SegEnds_NonXtal_Prot#'!A:AL,13,FALSE)-VLOOKUP(A296,'SegEnds_NonXtal_Prot#'!A:AL,10,FALSE)</f>
        <v>20</v>
      </c>
      <c r="AE296" s="1">
        <f>VLOOKUP(A296,'SegEnds_NonXtal_Prot#'!A:AL,16,FALSE)-VLOOKUP(A296,'SegEnds_NonXtal_Prot#'!A:AL,10,FALSE)</f>
        <v>52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22</v>
      </c>
      <c r="AH296" s="1">
        <f>VLOOKUP(A296,'SegEnds_NonXtal_Prot#'!A:AL,28,FALSE)-VLOOKUP(A296,'SegEnds_NonXtal_Prot#'!A:AL,22,FALSE)</f>
        <v>50</v>
      </c>
      <c r="AI296" s="1">
        <f>VLOOKUP(A296,'SegEnds_NonXtal_Prot#'!A:AL,31,FALSE)-VLOOKUP(A296,'SegEnds_NonXtal_Prot#'!A:AL,28,FALSE)</f>
        <v>252</v>
      </c>
      <c r="AJ296" s="1">
        <f>VLOOKUP(A296,'SegEnds_NonXtal_Prot#'!A:AL,34,FALSE)-VLOOKUP(A296,'SegEnds_NonXtal_Prot#'!A:AL,31,FALSE)</f>
        <v>35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148</v>
      </c>
      <c r="B297" s="1" t="str">
        <f>VLOOKUP(A297,Xtal_Templ!A:B,2,FALSE)</f>
        <v>acm3_rat</v>
      </c>
      <c r="C297" s="5">
        <f>VLOOKUP($B297&amp;"__wt",'SegEnds_Xtal_BW#'!$A:$Z,3,FALSE)</f>
        <v>28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67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v>38</v>
      </c>
      <c r="P297" s="1">
        <f>VLOOKUP($B297&amp;"__wt",'SegEnds_Xtal_BW#'!$A:$Z,16,FALSE)</f>
        <v>69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35</v>
      </c>
      <c r="T297" s="1">
        <f t="array" ref="T297">INDEX(ICL3_classA!$G$2:$G$37,MATCH(MIN(ABS(AI297-ICL3_classA!$F$2:$F$37)),ABS(AI297-ICL3_classA!$F$2:$F$37),0))</f>
        <v>75</v>
      </c>
      <c r="U297" s="1">
        <f t="array" ref="U297">INDEX(ICL3_classA!$H$2:$H$37,MATCH(MIN(ABS(AI297-ICL3_classA!$F$2:$F$37)),ABS(AI297-ICL3_classA!$F$2:$F$37),0))</f>
        <v>24</v>
      </c>
      <c r="V297" s="1">
        <v>61</v>
      </c>
      <c r="W297" s="1">
        <v>31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60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>
        <f>VLOOKUP(A297,'SegEnds_NonXtal_Prot#'!A:AL,10,FALSE)-VLOOKUP(A297,'SegEnds_NonXtal_Prot#'!A:AL,7,FALSE)</f>
        <v>15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22</v>
      </c>
      <c r="AH297" s="1">
        <f>VLOOKUP(A297,'SegEnds_NonXtal_Prot#'!A:AL,28,FALSE)-VLOOKUP(A297,'SegEnds_NonXtal_Prot#'!A:AL,22,FALSE)</f>
        <v>50</v>
      </c>
      <c r="AI297" s="1">
        <f>VLOOKUP(A297,'SegEnds_NonXtal_Prot#'!A:AL,31,FALSE)-VLOOKUP(A297,'SegEnds_NonXtal_Prot#'!A:AL,28,FALSE)</f>
        <v>263</v>
      </c>
      <c r="AJ297" s="1">
        <f>VLOOKUP(A297,'SegEnds_NonXtal_Prot#'!A:AL,34,FALSE)-VLOOKUP(A297,'SegEnds_NonXtal_Prot#'!A:AL,31,FALSE)</f>
        <v>35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4" t="s">
        <v>909</v>
      </c>
      <c r="B298" s="4" t="str">
        <f>VLOOKUP(A298,Xtal_Templ!A:B,2,FALSE)</f>
        <v>acm3_rat</v>
      </c>
      <c r="C298" s="5">
        <f>VLOOKUP($B298&amp;"__wt",'SegEnds_Xtal_BW#'!$A:$Z,3,FALSE)</f>
        <v>28</v>
      </c>
      <c r="D298" s="4">
        <f>VLOOKUP($B298&amp;"__wt",'SegEnds_Xtal_BW#'!$A:$Z,4,FALSE)</f>
        <v>60</v>
      </c>
      <c r="E298" s="4">
        <f>VLOOKUP($B298&amp;"__wt",'SegEnds_Xtal_BW#'!$A:$Z,5,FALSE)</f>
        <v>48</v>
      </c>
      <c r="F298" s="4">
        <f>VLOOKUP($B298&amp;"__wt",'SegEnds_Xtal_BW#'!$A:$Z,6,FALSE)</f>
        <v>51</v>
      </c>
      <c r="G298" s="4">
        <v>37</v>
      </c>
      <c r="H298" s="11">
        <f>VLOOKUP($B298&amp;"__wt",'SegEnds_Xtal_BW#'!$A:$Z,8,FALSE)</f>
        <v>67</v>
      </c>
      <c r="I298" s="4">
        <f>VLOOKUP($B298&amp;"__wt",'SegEnds_Xtal_BW#'!$A:$Z,9,FALSE)</f>
        <v>49</v>
      </c>
      <c r="J298" s="4">
        <f>VLOOKUP($B298&amp;"__wt",'SegEnds_Xtal_BW#'!$A:$Z,10,FALSE)</f>
        <v>52</v>
      </c>
      <c r="K298" s="11">
        <v>18</v>
      </c>
      <c r="L298" s="4">
        <f>VLOOKUP($B298&amp;"__wt",'SegEnds_Xtal_BW#'!$A:$Z,12,FALSE)</f>
        <v>56</v>
      </c>
      <c r="M298" s="4">
        <f>VLOOKUP($B298&amp;"__wt",'SegEnds_Xtal_BW#'!$A:$Z,13,FALSE)</f>
        <v>50</v>
      </c>
      <c r="N298" s="12">
        <f>VLOOKUP($B298&amp;"__wt",'SegEnds_Xtal_BW#'!$A:$Z,14,FALSE)</f>
        <v>57</v>
      </c>
      <c r="O298" s="87">
        <f>VLOOKUP($B298&amp;"__wt",'SegEnds_Xtal_BW#'!$A:$Z,15,FALSE)</f>
        <v>38</v>
      </c>
      <c r="P298" s="4">
        <f>VLOOKUP($B298&amp;"__wt",'SegEnds_Xtal_BW#'!$A:$Z,16,FALSE)</f>
        <v>69</v>
      </c>
      <c r="Q298" s="4">
        <f>VLOOKUP($B298&amp;"__wt",'SegEnds_Xtal_BW#'!$A:$Z,17,FALSE)</f>
        <v>50</v>
      </c>
      <c r="R298" s="4">
        <f>VLOOKUP($B298&amp;"__wt",'SegEnds_Xtal_BW#'!$A:$Z,18,FALSE)</f>
        <v>52</v>
      </c>
      <c r="S298" s="1">
        <f>VLOOKUP($B298&amp;"__wt",'SegEnds_Xtal_BW#'!$A:$Z,19,FALSE)</f>
        <v>35</v>
      </c>
      <c r="T298" s="4">
        <f t="array" ref="T298">INDEX(ICL3_classA!$G$2:$G$37,MATCH(MIN(ABS(AI298-ICL3_classA!$F$2:$F$37)),ABS(AI298-ICL3_classA!$F$2:$F$37),0))</f>
        <v>75</v>
      </c>
      <c r="U298" s="4">
        <f t="array" ref="U298">INDEX(ICL3_classA!$H$2:$H$37,MATCH(MIN(ABS(AI298-ICL3_classA!$F$2:$F$37)),ABS(AI298-ICL3_classA!$F$2:$F$37),0))</f>
        <v>24</v>
      </c>
      <c r="V298" s="4">
        <v>61</v>
      </c>
      <c r="W298" s="4">
        <v>31</v>
      </c>
      <c r="X298" s="4">
        <f>VLOOKUP($B298&amp;"__wt",'SegEnds_Xtal_BW#'!$A:$Z,24,FALSE)</f>
        <v>56</v>
      </c>
      <c r="Y298" s="4">
        <f>VLOOKUP($B298&amp;"__wt",'SegEnds_Xtal_BW#'!$A:$Z,25,FALSE)</f>
        <v>47</v>
      </c>
      <c r="Z298" s="4">
        <f>VLOOKUP($B298&amp;"__wt",'SegEnds_Xtal_BW#'!$A:$Z,26,FALSE)</f>
        <v>60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4">
        <f>VLOOKUP(A298,'SegEnds_NonXtal_Prot#'!A:AL,10,FALSE)-VLOOKUP(A298,'SegEnds_NonXtal_Prot#'!A:AL,7,FALSE)</f>
        <v>15</v>
      </c>
      <c r="AD298" s="4">
        <f>VLOOKUP(A298,'SegEnds_NonXtal_Prot#'!A:AL,13,FALSE)-VLOOKUP(A298,'SegEnds_NonXtal_Prot#'!A:AL,10,FALSE)</f>
        <v>20</v>
      </c>
      <c r="AE298" s="4">
        <f>VLOOKUP(A298,'SegEnds_NonXtal_Prot#'!A:AL,16,FALSE)-VLOOKUP(A298,'SegEnds_NonXtal_Prot#'!A:AL,10,FALSE)</f>
        <v>52</v>
      </c>
      <c r="AF298" s="1">
        <f>VLOOKUP(A298,'SegEnds_NonXtal_Prot#'!A:AL,22,FALSE)-VLOOKUP(A298,'SegEnds_NonXtal_Prot#'!A:AL,19,FALSE)</f>
        <v>20</v>
      </c>
      <c r="AG298" s="4">
        <f>VLOOKUP(A298,'SegEnds_NonXtal_Prot#'!A:AL,28,FALSE)-VLOOKUP(A298,'SegEnds_NonXtal_Prot#'!A:AL,25,FALSE)</f>
        <v>22</v>
      </c>
      <c r="AH298" s="1">
        <f>VLOOKUP(A298,'SegEnds_NonXtal_Prot#'!A:AL,28,FALSE)-VLOOKUP(A298,'SegEnds_NonXtal_Prot#'!A:AL,22,FALSE)</f>
        <v>50</v>
      </c>
      <c r="AI298" s="4">
        <f>VLOOKUP(A298,'SegEnds_NonXtal_Prot#'!A:AL,31,FALSE)-VLOOKUP(A298,'SegEnds_NonXtal_Prot#'!A:AL,28,FALSE)</f>
        <v>263</v>
      </c>
      <c r="AJ298" s="4">
        <f>VLOOKUP(A298,'SegEnds_NonXtal_Prot#'!A:AL,34,FALSE)-VLOOKUP(A298,'SegEnds_NonXtal_Prot#'!A:AL,31,FALSE)</f>
        <v>35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Xtal</v>
      </c>
    </row>
    <row r="299" spans="1:38" s="42" customFormat="1" x14ac:dyDescent="0.2">
      <c r="A299" s="42" t="s">
        <v>401</v>
      </c>
      <c r="B299" s="42" t="str">
        <f>VLOOKUP(A299,Xtal_Templ!A:B,2,FALSE)</f>
        <v>calcr_human</v>
      </c>
      <c r="C299" s="43">
        <f>VLOOKUP($B299&amp;"__wt",'SegEnds_Xtal_BW#'!$A:$Z,3,FALSE)</f>
        <v>19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16">
        <v>64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23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41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40</v>
      </c>
      <c r="T299" s="42">
        <f>VLOOKUP($B299&amp;"__wt",'SegEnds_Xtal_BW#'!$A:$Z,20,FALSE)</f>
        <v>70</v>
      </c>
      <c r="U299" s="42">
        <f>VLOOKUP($B299&amp;"__wt",'SegEnds_Xtal_BW#'!$A:$Z,21,FALSE)</f>
        <v>30</v>
      </c>
      <c r="V299" s="4">
        <f>VLOOKUP($B299&amp;"__wt",'SegEnds_Xtal_BW#'!$A:$Z,22,FALSE)</f>
        <v>53</v>
      </c>
      <c r="W299" s="116">
        <v>28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53</v>
      </c>
      <c r="AF299" s="1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19</v>
      </c>
      <c r="AH299" s="1">
        <f>VLOOKUP(A299,'SegEnds_NonXtal_Prot#'!A:AL,28,FALSE)-VLOOKUP(A299,'SegEnds_NonXtal_Prot#'!A:AL,22,FALSE)</f>
        <v>41</v>
      </c>
      <c r="AI299" s="42">
        <f>VLOOKUP(A299,'SegEnds_NonXtal_Prot#'!A:AL,31,FALSE)-VLOOKUP(A299,'SegEnds_NonXtal_Prot#'!A:AL,28,FALSE)</f>
        <v>50</v>
      </c>
      <c r="AJ299" s="42">
        <f>VLOOKUP(A299,'SegEnds_NonXtal_Prot#'!A:AL,34,FALSE)-VLOOKUP(A299,'SegEnds_NonXtal_Prot#'!A:AL,31,FALSE)</f>
        <v>30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Xtal</v>
      </c>
    </row>
    <row r="300" spans="1:38" x14ac:dyDescent="0.2">
      <c r="A300" s="1" t="s">
        <v>402</v>
      </c>
      <c r="B300" s="1" t="str">
        <f>VLOOKUP(A300,Xtal_Templ!A:B,2,FALSE)</f>
        <v>calrl_human</v>
      </c>
      <c r="C300" s="5">
        <f>VLOOKUP($B300&amp;"__wt",'SegEnds_Xtal_BW#'!$A:$Z,3,FALSE)</f>
        <v>24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15">
        <v>64</v>
      </c>
      <c r="I300" s="1" t="str">
        <f>VLOOKUP($B300&amp;"__wt",'SegEnds_Xtal_BW#'!$A:$Z,9,FALSE)</f>
        <v>-</v>
      </c>
      <c r="J300" s="1" t="str">
        <f>VLOOKUP($B300&amp;"__wt",'SegEnds_Xtal_BW#'!$A:$Z,10,FALSE)</f>
        <v>-</v>
      </c>
      <c r="K300" s="108">
        <v>23</v>
      </c>
      <c r="L300" s="1">
        <f>VLOOKUP($B300&amp;"__wt",'SegEnds_Xtal_BW#'!$A:$Z,12,FALSE)</f>
        <v>56</v>
      </c>
      <c r="M300" s="1" t="str">
        <f>VLOOKUP($B300&amp;"__wt",'SegEnds_Xtal_BW#'!$A:$Z,13,FALSE)</f>
        <v>-</v>
      </c>
      <c r="N300" s="12" t="str">
        <f>VLOOKUP($B300&amp;"__wt",'SegEnds_Xtal_BW#'!$A:$Z,14,FALSE)</f>
        <v>-</v>
      </c>
      <c r="O300" s="87">
        <f>VLOOKUP($B300&amp;"__wt",'SegEnds_Xtal_BW#'!$A:$Z,15,FALSE)</f>
        <v>41</v>
      </c>
      <c r="P300" s="1">
        <f>VLOOKUP($B300&amp;"__wt",'SegEnds_Xtal_BW#'!$A:$Z,16,FALSE)</f>
        <v>67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08">
        <v>39</v>
      </c>
      <c r="T300" s="1">
        <f>VLOOKUP($B300&amp;"__wt",'SegEnds_Xtal_BW#'!$A:$Z,20,FALSE)</f>
        <v>70</v>
      </c>
      <c r="U300" s="1">
        <f>VLOOKUP($B300&amp;"__wt",'SegEnds_Xtal_BW#'!$A:$Z,21,FALSE)</f>
        <v>30</v>
      </c>
      <c r="V300" s="1">
        <f>VLOOKUP($B300&amp;"__wt",'SegEnds_Xtal_BW#'!$A:$Z,22,FALSE)</f>
        <v>53</v>
      </c>
      <c r="W300" s="108">
        <v>28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 t="e">
        <f>VLOOKUP(A300,'SegEnds_NonXtal_Prot#'!A:AL,13,FALSE)-VLOOKUP(A300,'SegEnds_NonXtal_Prot#'!A:AL,10,FALSE)</f>
        <v>#VALUE!</v>
      </c>
      <c r="AE300" s="1">
        <f>VLOOKUP(A300,'SegEnds_NonXtal_Prot#'!A:AL,16,FALSE)-VLOOKUP(A300,'SegEnds_NonXtal_Prot#'!A:AL,10,FALSE)</f>
        <v>53</v>
      </c>
      <c r="AF300" s="1" t="e">
        <f>VLOOKUP(A300,'SegEnds_NonXtal_Prot#'!A:AL,22,FALSE)-VLOOKUP(A300,'SegEnds_NonXtal_Prot#'!A:AL,19,FALSE)</f>
        <v>#VALUE!</v>
      </c>
      <c r="AG300" s="1">
        <f>VLOOKUP(A300,'SegEnds_NonXtal_Prot#'!A:AL,28,FALSE)-VLOOKUP(A300,'SegEnds_NonXtal_Prot#'!A:AL,25,FALSE)</f>
        <v>19</v>
      </c>
      <c r="AH300" s="1">
        <f>VLOOKUP(A300,'SegEnds_NonXtal_Prot#'!A:AL,28,FALSE)-VLOOKUP(A300,'SegEnds_NonXtal_Prot#'!A:AL,22,FALSE)</f>
        <v>41</v>
      </c>
      <c r="AI300" s="1">
        <f>VLOOKUP(A300,'SegEnds_NonXtal_Prot#'!A:AL,31,FALSE)-VLOOKUP(A300,'SegEnds_NonXtal_Prot#'!A:AL,28,FALSE)</f>
        <v>50</v>
      </c>
      <c r="AJ300" s="1">
        <f>VLOOKUP(A300,'SegEnds_NonXtal_Prot#'!A:AL,34,FALSE)-VLOOKUP(A300,'SegEnds_NonXtal_Prot#'!A:AL,31,FALSE)</f>
        <v>30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Xtal</v>
      </c>
    </row>
    <row r="301" spans="1:38" x14ac:dyDescent="0.2">
      <c r="A301" s="4" t="s">
        <v>38</v>
      </c>
      <c r="B301" s="4" t="str">
        <f>VLOOKUP(A301,Xtal_Templ!A:B,2,FALSE)</f>
        <v>crfr1_human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">
        <v>63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5">
        <v>22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88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5">
        <v>39</v>
      </c>
      <c r="T301" s="4">
        <f>VLOOKUP($B301&amp;"__wt",'SegEnds_Xtal_BW#'!$A:$Z,20,FALSE)</f>
        <v>69</v>
      </c>
      <c r="U301" s="4">
        <f>VLOOKUP($B301&amp;"__wt",'SegEnds_Xtal_BW#'!$A:$Z,21,FALSE)</f>
        <v>25</v>
      </c>
      <c r="V301" s="4">
        <f>VLOOKUP($B301&amp;"__wt",'SegEnds_Xtal_BW#'!$A:$Z,22,FALSE)</f>
        <v>53</v>
      </c>
      <c r="W301" s="4">
        <v>29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4">
        <f>VLOOKUP(A301,'SegEnds_NonXtal_Prot#'!A:AL,10,FALSE)-VLOOKUP(A301,'SegEnds_NonXtal_Prot#'!A:AL,7,FALSE)</f>
        <v>15</v>
      </c>
      <c r="AD301" s="4" t="e">
        <f>VLOOKUP(A301,'SegEnds_NonXtal_Prot#'!A:AL,13,FALSE)-VLOOKUP(A301,'SegEnds_NonXtal_Prot#'!A:AL,10,FALSE)</f>
        <v>#VALUE!</v>
      </c>
      <c r="AE301" s="4">
        <f>VLOOKUP(A301,'SegEnds_NonXtal_Prot#'!A:AL,16,FALSE)-VLOOKUP(A301,'SegEnds_NonXtal_Prot#'!A:AL,10,FALSE)</f>
        <v>51</v>
      </c>
      <c r="AF301" s="4" t="e">
        <f>VLOOKUP(A301,'SegEnds_NonXtal_Prot#'!A:AL,22,FALSE)-VLOOKUP(A301,'SegEnds_NonXtal_Prot#'!A:AL,19,FALSE)</f>
        <v>#VALUE!</v>
      </c>
      <c r="AG301" s="4">
        <f>VLOOKUP(A301,'SegEnds_NonXtal_Prot#'!A:AL,28,FALSE)-VLOOKUP(A301,'SegEnds_NonXtal_Prot#'!A:AL,25,FALSE)</f>
        <v>21</v>
      </c>
      <c r="AH301" s="4">
        <f>VLOOKUP(A301,'SegEnds_NonXtal_Prot#'!A:AL,28,FALSE)-VLOOKUP(A301,'SegEnds_NonXtal_Prot#'!A:AL,22,FALSE)</f>
        <v>43</v>
      </c>
      <c r="AI301" s="4">
        <f>VLOOKUP(A301,'SegEnds_NonXtal_Prot#'!A:AL,31,FALSE)-VLOOKUP(A301,'SegEnds_NonXtal_Prot#'!A:AL,28,FALSE)</f>
        <v>50</v>
      </c>
      <c r="AJ301" s="4">
        <f>VLOOKUP(A301,'SegEnds_NonXtal_Prot#'!A:AL,34,FALSE)-VLOOKUP(A301,'SegEnds_NonXtal_Prot#'!A:AL,31,FALSE)</f>
        <v>31</v>
      </c>
      <c r="AK301" s="1">
        <f>VLOOKUP(A301,'SegEnds_NonXtal_Prot#'!A:AL,37,FALSE)-VLOOKUP(A301,'SegEnds_NonXtal_Prot#'!A:AL,34,FALSE)</f>
        <v>10</v>
      </c>
      <c r="AL301" s="4" t="str">
        <f>IF(ISERROR(MATCH(A301,'SegEnds_Xtal_Prot#'!B:B, 0)), "NoXtal", "Xtal")</f>
        <v>Xtal</v>
      </c>
    </row>
    <row r="302" spans="1:38" x14ac:dyDescent="0.2">
      <c r="A302" s="4" t="s">
        <v>403</v>
      </c>
      <c r="B302" s="4" t="str">
        <f>VLOOKUP(A302,Xtal_Templ!A:B,2,FALSE)</f>
        <v>crfr1_human</v>
      </c>
      <c r="C302" s="5">
        <f>VLOOKUP($B302&amp;"__wt",'SegEnds_Xtal_BW#'!$A:$Z,3,FALSE)</f>
        <v>19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">
        <v>63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22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5">
        <v>39</v>
      </c>
      <c r="T302" s="4">
        <f>VLOOKUP($B302&amp;"__wt",'SegEnds_Xtal_BW#'!$A:$Z,20,FALSE)</f>
        <v>69</v>
      </c>
      <c r="U302" s="4">
        <f>VLOOKUP($B302&amp;"__wt",'SegEnds_Xtal_BW#'!$A:$Z,21,FALSE)</f>
        <v>25</v>
      </c>
      <c r="V302" s="4">
        <f>VLOOKUP($B302&amp;"__wt",'SegEnds_Xtal_BW#'!$A:$Z,22,FALSE)</f>
        <v>53</v>
      </c>
      <c r="W302" s="4">
        <v>29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50</v>
      </c>
      <c r="AF302" s="4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21</v>
      </c>
      <c r="AH302" s="4">
        <f>VLOOKUP(A302,'SegEnds_NonXtal_Prot#'!A:AL,28,FALSE)-VLOOKUP(A302,'SegEnds_NonXtal_Prot#'!A:AL,22,FALSE)</f>
        <v>43</v>
      </c>
      <c r="AI302" s="4">
        <f>VLOOKUP(A302,'SegEnds_NonXtal_Prot#'!A:AL,31,FALSE)-VLOOKUP(A302,'SegEnds_NonXtal_Prot#'!A:AL,28,FALSE)</f>
        <v>50</v>
      </c>
      <c r="AJ302" s="4">
        <f>VLOOKUP(A302,'SegEnds_NonXtal_Prot#'!A:AL,34,FALSE)-VLOOKUP(A302,'SegEnds_NonXtal_Prot#'!A:AL,31,FALSE)</f>
        <v>31</v>
      </c>
      <c r="AK302" s="1">
        <f>VLOOKUP(A302,'SegEnds_NonXtal_Prot#'!A:AL,37,FALSE)-VLOOKUP(A302,'SegEnds_NonXtal_Prot#'!A:AL,34,FALSE)</f>
        <v>10</v>
      </c>
      <c r="AL302" s="4" t="str">
        <f>IF(ISERROR(MATCH(A302,'SegEnds_Xtal_Prot#'!B:B, 0)), "NoXtal", "Xtal")</f>
        <v>NoXtal</v>
      </c>
    </row>
    <row r="303" spans="1:38" x14ac:dyDescent="0.2">
      <c r="A303" s="4" t="s">
        <v>1420</v>
      </c>
      <c r="B303" s="4" t="str">
        <f>VLOOKUP(A303,Xtal_Templ!A:B,2,FALSE)</f>
        <v>g1sgd4_rabit</v>
      </c>
      <c r="C303" s="5">
        <f>VLOOKUP($B303&amp;"__wt",'SegEnds_Xtal_BW#'!$A:$Z,3,FALSE)</f>
        <v>28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74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f>VLOOKUP($B303&amp;"__wt",'SegEnds_Xtal_BW#'!$A:$Z,20,FALSE)</f>
        <v>71</v>
      </c>
      <c r="U303" s="4">
        <f>VLOOKUP($B303&amp;"__wt",'SegEnds_Xtal_BW#'!$A:$Z,21,FALSE)</f>
        <v>30</v>
      </c>
      <c r="V303" s="4">
        <f>VLOOKUP($B303&amp;"__wt",'SegEnds_Xtal_BW#'!$A:$Z,22,FALSE)</f>
        <v>53</v>
      </c>
      <c r="W303" s="115">
        <v>30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64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4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50</v>
      </c>
      <c r="AJ303" s="4">
        <f>VLOOKUP(A303,'SegEnds_NonXtal_Prot#'!A:AL,34,FALSE)-VLOOKUP(A303,'SegEnds_NonXtal_Prot#'!A:AL,31,FALSE)</f>
        <v>33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Xtal</v>
      </c>
    </row>
    <row r="304" spans="1:38" x14ac:dyDescent="0.2">
      <c r="A304" s="4" t="s">
        <v>405</v>
      </c>
      <c r="B304" s="4" t="str">
        <f>VLOOKUP(A304,Xtal_Templ!A:B,2,FALSE)</f>
        <v>glr_human</v>
      </c>
      <c r="C304" s="5">
        <f>VLOOKUP($B304&amp;"__wt",'SegEnds_Xtal_BW#'!$A:$Z,3,FALSE)</f>
        <v>25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08">
        <v>39</v>
      </c>
      <c r="T304" s="4">
        <f>VLOOKUP($B304&amp;"__wt",'SegEnds_Xtal_BW#'!$A:$Z,20,FALSE)</f>
        <v>71</v>
      </c>
      <c r="U304" s="115">
        <v>28</v>
      </c>
      <c r="V304" s="4">
        <f>VLOOKUP($B304&amp;"__wt",'SegEnds_Xtal_BW#'!$A:$Z,22,FALSE)</f>
        <v>53</v>
      </c>
      <c r="W304" s="4">
        <v>28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61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20</v>
      </c>
      <c r="AH304" s="1">
        <f>VLOOKUP(A304,'SegEnds_NonXtal_Prot#'!A:AL,28,FALSE)-VLOOKUP(A304,'SegEnds_NonXtal_Prot#'!A:AL,22,FALSE)</f>
        <v>42</v>
      </c>
      <c r="AI304" s="4">
        <f>VLOOKUP(A304,'SegEnds_NonXtal_Prot#'!A:AL,31,FALSE)-VLOOKUP(A304,'SegEnds_NonXtal_Prot#'!A:AL,28,FALSE)</f>
        <v>50</v>
      </c>
      <c r="AJ304" s="4">
        <f>VLOOKUP(A304,'SegEnds_NonXtal_Prot#'!A:AL,34,FALSE)-VLOOKUP(A304,'SegEnds_NonXtal_Prot#'!A:AL,31,FALSE)</f>
        <v>33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NoXtal</v>
      </c>
    </row>
    <row r="305" spans="1:38" x14ac:dyDescent="0.2">
      <c r="A305" s="1" t="s">
        <v>406</v>
      </c>
      <c r="B305" s="1" t="str">
        <f>VLOOKUP(A305,Xtal_Templ!A:B,2,FALSE)</f>
        <v>glp1r_human</v>
      </c>
      <c r="C305" s="5">
        <f>VLOOKUP($B305&amp;"__wt",'SegEnds_Xtal_BW#'!$A:$Z,3,FALSE)</f>
        <v>29</v>
      </c>
      <c r="D305" s="1">
        <f>VLOOKUP($B305&amp;"__wt",'SegEnds_Xtal_BW#'!$A:$Z,4,FALSE)</f>
        <v>60</v>
      </c>
      <c r="E305" s="1">
        <f>VLOOKUP($B305&amp;"__wt",'SegEnds_Xtal_BW#'!$A:$Z,5,FALSE)</f>
        <v>48</v>
      </c>
      <c r="F305" s="1">
        <f>VLOOKUP($B305&amp;"__wt",'SegEnds_Xtal_BW#'!$A:$Z,6,FALSE)</f>
        <v>51</v>
      </c>
      <c r="G305" s="1">
        <v>37</v>
      </c>
      <c r="H305" s="108">
        <v>64</v>
      </c>
      <c r="I305" s="1" t="str">
        <f>VLOOKUP($B305&amp;"__wt",'SegEnds_Xtal_BW#'!$A:$Z,9,FALSE)</f>
        <v>-</v>
      </c>
      <c r="J305" s="1" t="str">
        <f>VLOOKUP($B305&amp;"__wt",'SegEnds_Xtal_BW#'!$A:$Z,10,FALSE)</f>
        <v>-</v>
      </c>
      <c r="K305" s="108">
        <v>23</v>
      </c>
      <c r="L305" s="1">
        <f>VLOOKUP($B305&amp;"__wt",'SegEnds_Xtal_BW#'!$A:$Z,12,FALSE)</f>
        <v>56</v>
      </c>
      <c r="M305" s="1" t="str">
        <f>VLOOKUP($B305&amp;"__wt",'SegEnds_Xtal_BW#'!$A:$Z,13,FALSE)</f>
        <v>-</v>
      </c>
      <c r="N305" s="12" t="str">
        <f>VLOOKUP($B305&amp;"__wt",'SegEnds_Xtal_BW#'!$A:$Z,14,FALSE)</f>
        <v>-</v>
      </c>
      <c r="O305" s="87">
        <f>VLOOKUP($B305&amp;"__wt",'SegEnds_Xtal_BW#'!$A:$Z,15,FALSE)</f>
        <v>38</v>
      </c>
      <c r="P305" s="1">
        <f>VLOOKUP($B305&amp;"__wt",'SegEnds_Xtal_BW#'!$A:$Z,16,FALSE)</f>
        <v>68</v>
      </c>
      <c r="Q305" s="1">
        <f>VLOOKUP($B305&amp;"__wt",'SegEnds_Xtal_BW#'!$A:$Z,17,FALSE)</f>
        <v>50</v>
      </c>
      <c r="R305" s="1">
        <f>VLOOKUP($B305&amp;"__wt",'SegEnds_Xtal_BW#'!$A:$Z,18,FALSE)</f>
        <v>52</v>
      </c>
      <c r="S305" s="108">
        <v>39</v>
      </c>
      <c r="T305" s="1">
        <f>VLOOKUP($B305&amp;"__wt",'SegEnds_Xtal_BW#'!$A:$Z,20,FALSE)</f>
        <v>71</v>
      </c>
      <c r="U305" s="1">
        <f>VLOOKUP($B305&amp;"__wt",'SegEnds_Xtal_BW#'!$A:$Z,21,FALSE)</f>
        <v>28</v>
      </c>
      <c r="V305" s="1">
        <f>VLOOKUP($B305&amp;"__wt",'SegEnds_Xtal_BW#'!$A:$Z,22,FALSE)</f>
        <v>53</v>
      </c>
      <c r="W305" s="1">
        <v>28</v>
      </c>
      <c r="X305" s="1">
        <f>VLOOKUP($B305&amp;"__wt",'SegEnds_Xtal_BW#'!$A:$Z,24,FALSE)</f>
        <v>56</v>
      </c>
      <c r="Y305" s="1">
        <f>VLOOKUP($B305&amp;"__wt",'SegEnds_Xtal_BW#'!$A:$Z,25,FALSE)</f>
        <v>47</v>
      </c>
      <c r="Z305" s="1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1">
        <f>VLOOKUP(A305,'SegEnds_NonXtal_Prot#'!A:AL,10,FALSE)-VLOOKUP(A305,'SegEnds_NonXtal_Prot#'!A:AL,7,FALSE)</f>
        <v>15</v>
      </c>
      <c r="AD305" s="1" t="e">
        <f>VLOOKUP(A305,'SegEnds_NonXtal_Prot#'!A:AL,13,FALSE)-VLOOKUP(A305,'SegEnds_NonXtal_Prot#'!A:AL,10,FALSE)</f>
        <v>#VALUE!</v>
      </c>
      <c r="AE305" s="1">
        <f>VLOOKUP(A305,'SegEnds_NonXtal_Prot#'!A:AL,16,FALSE)-VLOOKUP(A305,'SegEnds_NonXtal_Prot#'!A:AL,10,FALSE)</f>
        <v>64</v>
      </c>
      <c r="AF305" s="1" t="e">
        <f>VLOOKUP(A305,'SegEnds_NonXtal_Prot#'!A:AL,22,FALSE)-VLOOKUP(A305,'SegEnds_NonXtal_Prot#'!A:AL,19,FALSE)</f>
        <v>#VALUE!</v>
      </c>
      <c r="AG305" s="1">
        <f>VLOOKUP(A305,'SegEnds_NonXtal_Prot#'!A:AL,28,FALSE)-VLOOKUP(A305,'SegEnds_NonXtal_Prot#'!A:AL,25,FALSE)</f>
        <v>20</v>
      </c>
      <c r="AH305" s="1">
        <f>VLOOKUP(A305,'SegEnds_NonXtal_Prot#'!A:AL,28,FALSE)-VLOOKUP(A305,'SegEnds_NonXtal_Prot#'!A:AL,22,FALSE)</f>
        <v>42</v>
      </c>
      <c r="AI305" s="1">
        <f>VLOOKUP(A305,'SegEnds_NonXtal_Prot#'!A:AL,31,FALSE)-VLOOKUP(A305,'SegEnds_NonXtal_Prot#'!A:AL,28,FALSE)</f>
        <v>50</v>
      </c>
      <c r="AJ305" s="1">
        <f>VLOOKUP(A305,'SegEnds_NonXtal_Prot#'!A:AL,34,FALSE)-VLOOKUP(A305,'SegEnds_NonXtal_Prot#'!A:AL,31,FALSE)</f>
        <v>33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Xtal</v>
      </c>
    </row>
    <row r="306" spans="1:38" x14ac:dyDescent="0.2">
      <c r="A306" s="4" t="s">
        <v>407</v>
      </c>
      <c r="B306" s="4" t="str">
        <f>VLOOKUP(A306,Xtal_Templ!A:B,2,FALSE)</f>
        <v>glr_human</v>
      </c>
      <c r="C306" s="5">
        <f>VLOOKUP($B306&amp;"__wt",'SegEnds_Xtal_BW#'!$A:$Z,3,FALSE)</f>
        <v>25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08">
        <v>39</v>
      </c>
      <c r="T306" s="4">
        <f>VLOOKUP($B306&amp;"__wt",'SegEnds_Xtal_BW#'!$A:$Z,20,FALSE)</f>
        <v>71</v>
      </c>
      <c r="U306" s="115">
        <v>28</v>
      </c>
      <c r="V306" s="4">
        <f>VLOOKUP($B306&amp;"__wt",'SegEnds_Xtal_BW#'!$A:$Z,22,FALSE)</f>
        <v>53</v>
      </c>
      <c r="W306" s="4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64</v>
      </c>
      <c r="AF306" s="1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20</v>
      </c>
      <c r="AH306" s="1">
        <f>VLOOKUP(A306,'SegEnds_NonXtal_Prot#'!A:AL,28,FALSE)-VLOOKUP(A306,'SegEnds_NonXtal_Prot#'!A:AL,22,FALSE)</f>
        <v>42</v>
      </c>
      <c r="AI306" s="4">
        <f>VLOOKUP(A306,'SegEnds_NonXtal_Prot#'!A:AL,31,FALSE)-VLOOKUP(A306,'SegEnds_NonXtal_Prot#'!A:AL,28,FALSE)</f>
        <v>50</v>
      </c>
      <c r="AJ306" s="4">
        <f>VLOOKUP(A306,'SegEnds_NonXtal_Prot#'!A:AL,34,FALSE)-VLOOKUP(A306,'SegEnds_NonXtal_Prot#'!A:AL,31,FALSE)</f>
        <v>33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NoXtal</v>
      </c>
    </row>
    <row r="307" spans="1:38" x14ac:dyDescent="0.2">
      <c r="A307" s="4" t="s">
        <v>32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69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21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">
        <v>36</v>
      </c>
      <c r="T307" s="4">
        <f>VLOOKUP($B307&amp;"__wt",'SegEnds_Xtal_BW#'!$A:$Z,20,FALSE)</f>
        <v>71</v>
      </c>
      <c r="U307" s="4">
        <f>VLOOKUP($B307&amp;"__wt",'SegEnds_Xtal_BW#'!$A:$Z,21,FALSE)</f>
        <v>28</v>
      </c>
      <c r="V307" s="4">
        <f>VLOOKUP($B307&amp;"__wt",'SegEnds_Xtal_BW#'!$A:$Z,22,FALSE)</f>
        <v>53</v>
      </c>
      <c r="W307" s="115">
        <v>27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65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20</v>
      </c>
      <c r="AH307" s="1">
        <f>VLOOKUP(A307,'SegEnds_NonXtal_Prot#'!A:AL,28,FALSE)-VLOOKUP(A307,'SegEnds_NonXtal_Prot#'!A:AL,22,FALSE)</f>
        <v>42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33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Xtal</v>
      </c>
    </row>
    <row r="308" spans="1:38" x14ac:dyDescent="0.2">
      <c r="A308" s="4" t="s">
        <v>404</v>
      </c>
      <c r="B308" s="4" t="str">
        <f>VLOOKUP(A308,Xtal_Templ!A:B,2,FALSE)</f>
        <v>glr_human</v>
      </c>
      <c r="C308" s="5">
        <f>VLOOKUP($B308&amp;"__wt",'SegEnds_Xtal_BW#'!$A:$Z,3,FALSE)</f>
        <v>25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08">
        <v>39</v>
      </c>
      <c r="T308" s="4">
        <v>69</v>
      </c>
      <c r="U308" s="4">
        <v>25</v>
      </c>
      <c r="V308" s="4">
        <f>VLOOKUP($B308&amp;"__wt",'SegEnds_Xtal_BW#'!$A:$Z,22,FALSE)</f>
        <v>53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55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52</v>
      </c>
      <c r="AJ308" s="4">
        <f>VLOOKUP(A308,'SegEnds_NonXtal_Prot#'!A:AL,34,FALSE)-VLOOKUP(A308,'SegEnds_NonXtal_Prot#'!A:AL,31,FALSE)</f>
        <v>29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NoXtal</v>
      </c>
    </row>
    <row r="309" spans="1:38" x14ac:dyDescent="0.2">
      <c r="A309" s="1" t="s">
        <v>408</v>
      </c>
      <c r="B309" s="1" t="str">
        <f>VLOOKUP(A309,Xtal_Templ!A:B,2,FALSE)</f>
        <v>pth1r_human</v>
      </c>
      <c r="C309" s="5">
        <f>VLOOKUP($B309&amp;"__wt",'SegEnds_Xtal_BW#'!$A:$Z,3,FALSE)</f>
        <v>21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37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08">
        <v>39</v>
      </c>
      <c r="T309" s="1">
        <v>69</v>
      </c>
      <c r="U309" s="1">
        <v>25</v>
      </c>
      <c r="V309" s="1">
        <f>VLOOKUP($B309&amp;"__wt",'SegEnds_Xtal_BW#'!$A:$Z,22,FALSE)</f>
        <v>54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411</v>
      </c>
      <c r="B310" s="4" t="str">
        <f>VLOOKUP(A310,Xtal_Templ!A:B,2,FALSE)</f>
        <v>pth1r_human</v>
      </c>
      <c r="C310" s="5">
        <f>VLOOKUP($B310&amp;"__wt",'SegEnds_Xtal_BW#'!$A:$Z,3,FALSE)</f>
        <v>21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37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5">
        <v>39</v>
      </c>
      <c r="T310" s="4">
        <v>69</v>
      </c>
      <c r="U310" s="4">
        <v>25</v>
      </c>
      <c r="V310" s="4">
        <f>VLOOKUP($B310&amp;"__wt",'SegEnds_Xtal_BW#'!$A:$Z,22,FALSE)</f>
        <v>54</v>
      </c>
      <c r="W310" s="4">
        <v>31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55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52</v>
      </c>
      <c r="AJ310" s="4">
        <f>VLOOKUP(A310,'SegEnds_NonXtal_Prot#'!A:AL,34,FALSE)-VLOOKUP(A310,'SegEnds_NonXtal_Prot#'!A:AL,31,FALSE)</f>
        <v>28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NoXtal</v>
      </c>
    </row>
    <row r="311" spans="1:38" x14ac:dyDescent="0.2">
      <c r="A311" s="4" t="s">
        <v>412</v>
      </c>
      <c r="B311" s="4" t="str">
        <f>VLOOKUP(A311,Xtal_Templ!A:B,2,FALSE)</f>
        <v>pth1r_human</v>
      </c>
      <c r="C311" s="5">
        <f>VLOOKUP($B311&amp;"__wt",'SegEnds_Xtal_BW#'!$A:$Z,3,FALSE)</f>
        <v>21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23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37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08">
        <v>39</v>
      </c>
      <c r="T311" s="4">
        <v>69</v>
      </c>
      <c r="U311" s="4">
        <v>25</v>
      </c>
      <c r="V311" s="1">
        <f>VLOOKUP($B311&amp;"__wt",'SegEnds_Xtal_BW#'!$A:$Z,22,FALSE)</f>
        <v>54</v>
      </c>
      <c r="W311" s="4">
        <v>31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55</v>
      </c>
      <c r="AF311" s="1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1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52</v>
      </c>
      <c r="AJ311" s="4">
        <f>VLOOKUP(A311,'SegEnds_NonXtal_Prot#'!A:AL,34,FALSE)-VLOOKUP(A311,'SegEnds_NonXtal_Prot#'!A:AL,31,FALSE)</f>
        <v>29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NoXtal</v>
      </c>
    </row>
    <row r="312" spans="1:38" x14ac:dyDescent="0.2">
      <c r="A312" s="4" t="s">
        <v>413</v>
      </c>
      <c r="B312" s="4" t="str">
        <f>VLOOKUP(A312,Xtal_Templ!A:B,2,FALSE)</f>
        <v>pth1r_human</v>
      </c>
      <c r="C312" s="5">
        <f>VLOOKUP($B312&amp;"__wt",'SegEnds_Xtal_BW#'!$A:$Z,3,FALSE)</f>
        <v>21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37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5">
        <v>39</v>
      </c>
      <c r="T312" s="4">
        <v>69</v>
      </c>
      <c r="U312" s="4">
        <v>25</v>
      </c>
      <c r="V312" s="4">
        <f>VLOOKUP($B312&amp;"__wt",'SegEnds_Xtal_BW#'!$A:$Z,22,FALSE)</f>
        <v>54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58</v>
      </c>
      <c r="AF312" s="4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4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29</v>
      </c>
      <c r="AK312" s="1">
        <f>VLOOKUP(A312,'SegEnds_NonXtal_Prot#'!A:AL,37,FALSE)-VLOOKUP(A312,'SegEnds_NonXtal_Prot#'!A:AL,34,FALSE)</f>
        <v>10</v>
      </c>
      <c r="AL312" s="4" t="str">
        <f>IF(ISERROR(MATCH(A312,'SegEnds_Xtal_Prot#'!B:B, 0)), "NoXtal", "Xtal")</f>
        <v>NoXtal</v>
      </c>
    </row>
    <row r="313" spans="1:38" s="4" customFormat="1" x14ac:dyDescent="0.2">
      <c r="A313" s="4" t="s">
        <v>409</v>
      </c>
      <c r="B313" s="4" t="str">
        <f>VLOOKUP(A313,Xtal_Templ!A:B,2,FALSE)</f>
        <v>pth1r_human</v>
      </c>
      <c r="C313" s="4">
        <f>VLOOKUP($B313&amp;"__wt",'SegEnds_Xtal_BW#'!$A:$Z,3,FALSE)</f>
        <v>21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37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15">
        <v>39</v>
      </c>
      <c r="T313" s="4">
        <v>69</v>
      </c>
      <c r="U313" s="4">
        <v>25</v>
      </c>
      <c r="V313" s="4">
        <f>VLOOKUP($B313&amp;"__wt",'SegEnds_Xtal_BW#'!$A:$Z,22,FALSE)</f>
        <v>54</v>
      </c>
      <c r="W313" s="4">
        <v>28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76</v>
      </c>
      <c r="AF313" s="4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19</v>
      </c>
      <c r="AH313" s="4">
        <f>VLOOKUP(A313,'SegEnds_NonXtal_Prot#'!A:AL,28,FALSE)-VLOOKUP(A313,'SegEnds_NonXtal_Prot#'!A:AL,22,FALSE)</f>
        <v>41</v>
      </c>
      <c r="AI313" s="4">
        <f>VLOOKUP(A313,'SegEnds_NonXtal_Prot#'!A:AL,31,FALSE)-VLOOKUP(A313,'SegEnds_NonXtal_Prot#'!A:AL,28,FALSE)</f>
        <v>53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4" t="str">
        <f>IF(ISERROR(MATCH(A313,'SegEnds_Xtal_Prot#'!B:B, 0)), "NoXtal", "Xtal")</f>
        <v>Xtal</v>
      </c>
    </row>
    <row r="314" spans="1:38" s="45" customFormat="1" x14ac:dyDescent="0.2">
      <c r="A314" s="45" t="s">
        <v>410</v>
      </c>
      <c r="B314" s="45" t="str">
        <f>VLOOKUP(A314,Xtal_Templ!A:B,2,FALSE)</f>
        <v>pth1r_human</v>
      </c>
      <c r="C314" s="46">
        <f>VLOOKUP($B314&amp;"__wt",'SegEnds_Xtal_BW#'!$A:$Z,3,FALSE)</f>
        <v>21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69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21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37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54</v>
      </c>
      <c r="W314" s="45">
        <v>28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74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19</v>
      </c>
      <c r="AH314" s="45">
        <f>VLOOKUP(A314,'SegEnds_NonXtal_Prot#'!A:AL,28,FALSE)-VLOOKUP(A314,'SegEnds_NonXtal_Prot#'!A:AL,22,FALSE)</f>
        <v>41</v>
      </c>
      <c r="AI314" s="45">
        <f>VLOOKUP(A314,'SegEnds_NonXtal_Prot#'!A:AL,31,FALSE)-VLOOKUP(A314,'SegEnds_NonXtal_Prot#'!A:AL,28,FALSE)</f>
        <v>53</v>
      </c>
      <c r="AJ314" s="45">
        <f>VLOOKUP(A314,'SegEnds_NonXtal_Prot#'!A:AL,34,FALSE)-VLOOKUP(A314,'SegEnds_NonXtal_Prot#'!A:AL,31,FALSE)</f>
        <v>32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NoXtal</v>
      </c>
    </row>
    <row r="315" spans="1:38" x14ac:dyDescent="0.2">
      <c r="A315" s="4" t="s">
        <v>1192</v>
      </c>
      <c r="B315" s="4" t="str">
        <f>VLOOKUP(A315,Xtal_Templ!A:B,2,FALSE)</f>
        <v>crfr1_human</v>
      </c>
      <c r="C315" s="5">
        <v>23</v>
      </c>
      <c r="D315" s="4">
        <f>VLOOKUP($B315&amp;"__wt",'SegEnds_Xtal_BW#'!$A:$Z,4,FALSE)</f>
        <v>60</v>
      </c>
      <c r="E315" s="4">
        <f>VLOOKUP($B315&amp;"__wt",'SegEnds_Xtal_BW#'!$A:$Z,5,FALSE)</f>
        <v>48</v>
      </c>
      <c r="F315" s="4">
        <f>VLOOKUP($B315&amp;"__wt",'SegEnds_Xtal_BW#'!$A:$Z,6,FALSE)</f>
        <v>51</v>
      </c>
      <c r="G315" s="4">
        <v>37</v>
      </c>
      <c r="H315" s="11">
        <v>63</v>
      </c>
      <c r="I315" s="4" t="str">
        <f>VLOOKUP($B315&amp;"__wt",'SegEnds_Xtal_BW#'!$A:$Z,9,FALSE)</f>
        <v>-</v>
      </c>
      <c r="J315" s="4" t="str">
        <f>VLOOKUP($B315&amp;"__wt",'SegEnds_Xtal_BW#'!$A:$Z,10,FALSE)</f>
        <v>-</v>
      </c>
      <c r="K315" s="11">
        <v>23</v>
      </c>
      <c r="L315" s="4">
        <f>VLOOKUP($B315&amp;"__wt",'SegEnds_Xtal_BW#'!$A:$Z,12,FALSE)</f>
        <v>56</v>
      </c>
      <c r="M315" s="4" t="str">
        <f>VLOOKUP($B315&amp;"__wt",'SegEnds_Xtal_BW#'!$A:$Z,13,FALSE)</f>
        <v>-</v>
      </c>
      <c r="N315" s="11" t="str">
        <f>VLOOKUP($B315&amp;"__wt",'SegEnds_Xtal_BW#'!$A:$Z,14,FALSE)</f>
        <v>-</v>
      </c>
      <c r="O315" s="88">
        <f>VLOOKUP($B315&amp;"__wt",'SegEnds_Xtal_BW#'!$A:$Z,15,FALSE)</f>
        <v>40</v>
      </c>
      <c r="P315" s="4">
        <f>VLOOKUP($B315&amp;"__wt",'SegEnds_Xtal_BW#'!$A:$Z,16,FALSE)</f>
        <v>68</v>
      </c>
      <c r="Q315" s="4">
        <f>VLOOKUP($B315&amp;"__wt",'SegEnds_Xtal_BW#'!$A:$Z,17,FALSE)</f>
        <v>50</v>
      </c>
      <c r="R315" s="4">
        <f>VLOOKUP($B315&amp;"__wt",'SegEnds_Xtal_BW#'!$A:$Z,18,FALSE)</f>
        <v>52</v>
      </c>
      <c r="S315" s="4">
        <v>36</v>
      </c>
      <c r="T315" s="4">
        <v>69</v>
      </c>
      <c r="U315" s="4">
        <v>29</v>
      </c>
      <c r="V315" s="4">
        <f>VLOOKUP($B315&amp;"__wt",'SegEnds_Xtal_BW#'!$A:$Z,22,FALSE)</f>
        <v>53</v>
      </c>
      <c r="W315" s="115">
        <v>28</v>
      </c>
      <c r="X315" s="4">
        <f>VLOOKUP($B315&amp;"__wt",'SegEnds_Xtal_BW#'!$A:$Z,24,FALSE)</f>
        <v>56</v>
      </c>
      <c r="Y315" s="4">
        <f>VLOOKUP($B315&amp;"__wt",'SegEnds_Xtal_BW#'!$A:$Z,25,FALSE)</f>
        <v>47</v>
      </c>
      <c r="Z315" s="4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35</v>
      </c>
      <c r="AC315" s="4">
        <f>VLOOKUP(A315,'SegEnds_NonXtal_Prot#'!A:AL,10,FALSE)-VLOOKUP(A315,'SegEnds_NonXtal_Prot#'!A:AL,7,FALSE)</f>
        <v>21</v>
      </c>
      <c r="AD315" s="4" t="e">
        <f>VLOOKUP(A315,'SegEnds_NonXtal_Prot#'!A:AL,13,FALSE)-VLOOKUP(A315,'SegEnds_NonXtal_Prot#'!A:AL,10,FALSE)</f>
        <v>#VALUE!</v>
      </c>
      <c r="AE315" s="4">
        <f>VLOOKUP(A315,'SegEnds_NonXtal_Prot#'!A:AL,16,FALSE)-VLOOKUP(A315,'SegEnds_NonXtal_Prot#'!A:AL,10,FALSE)</f>
        <v>47</v>
      </c>
      <c r="AF315" s="1" t="e">
        <f>VLOOKUP(A315,'SegEnds_NonXtal_Prot#'!A:AL,22,FALSE)-VLOOKUP(A315,'SegEnds_NonXtal_Prot#'!A:AL,19,FALSE)</f>
        <v>#VALUE!</v>
      </c>
      <c r="AG315" s="4">
        <f>VLOOKUP(A315,'SegEnds_NonXtal_Prot#'!A:AL,28,FALSE)-VLOOKUP(A315,'SegEnds_NonXtal_Prot#'!A:AL,25,FALSE)</f>
        <v>19</v>
      </c>
      <c r="AH315" s="1">
        <f>VLOOKUP(A315,'SegEnds_NonXtal_Prot#'!A:AL,28,FALSE)-VLOOKUP(A315,'SegEnds_NonXtal_Prot#'!A:AL,22,FALSE)</f>
        <v>57</v>
      </c>
      <c r="AI315" s="4">
        <f>VLOOKUP(A315,'SegEnds_NonXtal_Prot#'!A:AL,31,FALSE)-VLOOKUP(A315,'SegEnds_NonXtal_Prot#'!A:AL,28,FALSE)</f>
        <v>44</v>
      </c>
      <c r="AJ315" s="4">
        <f>VLOOKUP(A315,'SegEnds_NonXtal_Prot#'!A:AL,34,FALSE)-VLOOKUP(A315,'SegEnds_NonXtal_Prot#'!A:AL,31,FALSE)</f>
        <v>30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1" t="s">
        <v>420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7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28</v>
      </c>
      <c r="AC316" s="1">
        <f>VLOOKUP(A316,'SegEnds_NonXtal_Prot#'!A:AL,10,FALSE)-VLOOKUP(A316,'SegEnds_NonXtal_Prot#'!A:AL,7,FALSE)</f>
        <v>15</v>
      </c>
      <c r="AD316" s="1" t="e">
        <f>VLOOKUP(A316,'SegEnds_NonXtal_Prot#'!A:AL,13,FALSE)-VLOOKUP(A316,'SegEnds_NonXtal_Prot#'!A:AL,10,FALSE)</f>
        <v>#VALUE!</v>
      </c>
      <c r="AE316" s="1">
        <f>VLOOKUP(A316,'SegEnds_NonXtal_Prot#'!A:AL,16,FALSE)-VLOOKUP(A316,'SegEnds_NonXtal_Prot#'!A:AL,10,FALSE)</f>
        <v>45</v>
      </c>
      <c r="AF316" s="1" t="e">
        <f>VLOOKUP(A316,'SegEnds_NonXtal_Prot#'!A:AL,22,FALSE)-VLOOKUP(A316,'SegEnds_NonXtal_Prot#'!A:AL,19,FALSE)</f>
        <v>#VALUE!</v>
      </c>
      <c r="AG316" s="1">
        <f>VLOOKUP(A316,'SegEnds_NonXtal_Prot#'!A:AL,28,FALSE)-VLOOKUP(A316,'SegEnds_NonXtal_Prot#'!A:AL,25,FALSE)</f>
        <v>19</v>
      </c>
      <c r="AH316" s="1">
        <f>VLOOKUP(A316,'SegEnds_NonXtal_Prot#'!A:AL,28,FALSE)-VLOOKUP(A316,'SegEnds_NonXtal_Prot#'!A:AL,22,FALSE)</f>
        <v>43</v>
      </c>
      <c r="AI316" s="1">
        <f>VLOOKUP(A316,'SegEnds_NonXtal_Prot#'!A:AL,31,FALSE)-VLOOKUP(A316,'SegEnds_NonXtal_Prot#'!A:AL,28,FALSE)</f>
        <v>47</v>
      </c>
      <c r="AJ316" s="1">
        <f>VLOOKUP(A316,'SegEnds_NonXtal_Prot#'!A:AL,34,FALSE)-VLOOKUP(A316,'SegEnds_NonXtal_Prot#'!A:AL,31,FALSE)</f>
        <v>28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1" t="s">
        <v>418</v>
      </c>
      <c r="B317" s="1" t="str">
        <f>VLOOKUP(A317,Xtal_Templ!A:B,2,FALSE)</f>
        <v>pth1r_human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37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54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28</v>
      </c>
      <c r="AC317" s="1">
        <f>VLOOKUP(A317,'SegEnds_NonXtal_Prot#'!A:AL,10,FALSE)-VLOOKUP(A317,'SegEnds_NonXtal_Prot#'!A:AL,7,FALSE)</f>
        <v>15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45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19</v>
      </c>
      <c r="AH317" s="1">
        <f>VLOOKUP(A317,'SegEnds_NonXtal_Prot#'!A:AL,28,FALSE)-VLOOKUP(A317,'SegEnds_NonXtal_Prot#'!A:AL,22,FALSE)</f>
        <v>43</v>
      </c>
      <c r="AI317" s="1">
        <f>VLOOKUP(A317,'SegEnds_NonXtal_Prot#'!A:AL,31,FALSE)-VLOOKUP(A317,'SegEnds_NonXtal_Prot#'!A:AL,28,FALSE)</f>
        <v>48</v>
      </c>
      <c r="AJ317" s="1">
        <f>VLOOKUP(A317,'SegEnds_NonXtal_Prot#'!A:AL,34,FALSE)-VLOOKUP(A317,'SegEnds_NonXtal_Prot#'!A:AL,31,FALSE)</f>
        <v>28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4" t="s">
        <v>419</v>
      </c>
      <c r="B318" s="4" t="str">
        <f>VLOOKUP(A318,Xtal_Templ!A:B,2,FALSE)</f>
        <v>calrl_human</v>
      </c>
      <c r="C318" s="5">
        <v>23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">
        <v>63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">
        <v>23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88">
        <f>VLOOKUP($B318&amp;"__wt",'SegEnds_Xtal_BW#'!$A:$Z,15,FALSE)</f>
        <v>41</v>
      </c>
      <c r="P318" s="4">
        <f>VLOOKUP($B318&amp;"__wt",'SegEnds_Xtal_BW#'!$A:$Z,16,FALSE)</f>
        <v>67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4">
        <v>36</v>
      </c>
      <c r="T318" s="4">
        <v>69</v>
      </c>
      <c r="U318" s="4">
        <v>29</v>
      </c>
      <c r="V318" s="4">
        <f>VLOOKUP($B318&amp;"__wt",'SegEnds_Xtal_BW#'!$A:$Z,22,FALSE)</f>
        <v>53</v>
      </c>
      <c r="W318" s="4">
        <v>31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28</v>
      </c>
      <c r="AC318" s="4">
        <f>VLOOKUP(A318,'SegEnds_NonXtal_Prot#'!A:AL,10,FALSE)-VLOOKUP(A318,'SegEnds_NonXtal_Prot#'!A:AL,7,FALSE)</f>
        <v>15</v>
      </c>
      <c r="AD318" s="4" t="e">
        <f>VLOOKUP(A318,'SegEnds_NonXtal_Prot#'!A:AL,13,FALSE)-VLOOKUP(A318,'SegEnds_NonXtal_Prot#'!A:AL,10,FALSE)</f>
        <v>#VALUE!</v>
      </c>
      <c r="AE318" s="4">
        <f>VLOOKUP(A318,'SegEnds_NonXtal_Prot#'!A:AL,16,FALSE)-VLOOKUP(A318,'SegEnds_NonXtal_Prot#'!A:AL,10,FALSE)</f>
        <v>45</v>
      </c>
      <c r="AF318" s="1" t="e">
        <f>VLOOKUP(A318,'SegEnds_NonXtal_Prot#'!A:AL,22,FALSE)-VLOOKUP(A318,'SegEnds_NonXtal_Prot#'!A:AL,19,FALSE)</f>
        <v>#VALUE!</v>
      </c>
      <c r="AG318" s="4">
        <f>VLOOKUP(A318,'SegEnds_NonXtal_Prot#'!A:AL,28,FALSE)-VLOOKUP(A318,'SegEnds_NonXtal_Prot#'!A:AL,25,FALSE)</f>
        <v>19</v>
      </c>
      <c r="AH318" s="1">
        <f>VLOOKUP(A318,'SegEnds_NonXtal_Prot#'!A:AL,28,FALSE)-VLOOKUP(A318,'SegEnds_NonXtal_Prot#'!A:AL,22,FALSE)</f>
        <v>43</v>
      </c>
      <c r="AI318" s="4">
        <f>VLOOKUP(A318,'SegEnds_NonXtal_Prot#'!A:AL,31,FALSE)-VLOOKUP(A318,'SegEnds_NonXtal_Prot#'!A:AL,28,FALSE)</f>
        <v>48</v>
      </c>
      <c r="AJ318" s="4">
        <f>VLOOKUP(A318,'SegEnds_NonXtal_Prot#'!A:AL,34,FALSE)-VLOOKUP(A318,'SegEnds_NonXtal_Prot#'!A:AL,31,FALSE)</f>
        <v>28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1" t="s">
        <v>1196</v>
      </c>
      <c r="B319" s="1" t="str">
        <f>VLOOKUP(A319,Xtal_Templ!A:B,2,FALSE)</f>
        <v>pth1r_human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37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54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1" t="e">
        <f>VLOOKUP(A319,'SegEnds_NonXtal_Prot#'!A:AL,10,FALSE)-VLOOKUP(A319,'SegEnds_NonXtal_Prot#'!A:AL,7,FALSE)</f>
        <v>#VALUE!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48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60</v>
      </c>
      <c r="AI319" s="1">
        <f>VLOOKUP(A319,'SegEnds_NonXtal_Prot#'!A:AL,31,FALSE)-VLOOKUP(A319,'SegEnds_NonXtal_Prot#'!A:AL,28,FALSE)</f>
        <v>49</v>
      </c>
      <c r="AJ319" s="1">
        <f>VLOOKUP(A319,'SegEnds_NonXtal_Prot#'!A:AL,34,FALSE)-VLOOKUP(A319,'SegEnds_NonXtal_Prot#'!A:AL,31,FALSE)</f>
        <v>28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442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26</v>
      </c>
      <c r="AC320" s="1" t="e">
        <f>VLOOKUP(A320,'SegEnds_NonXtal_Prot#'!A:AL,10,FALSE)-VLOOKUP(A320,'SegEnds_NonXtal_Prot#'!A:AL,7,FALSE)</f>
        <v>#VALUE!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47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20</v>
      </c>
      <c r="AH320" s="1">
        <f>VLOOKUP(A320,'SegEnds_NonXtal_Prot#'!A:AL,28,FALSE)-VLOOKUP(A320,'SegEnds_NonXtal_Prot#'!A:AL,22,FALSE)</f>
        <v>54</v>
      </c>
      <c r="AI320" s="1">
        <f>VLOOKUP(A320,'SegEnds_NonXtal_Prot#'!A:AL,31,FALSE)-VLOOKUP(A320,'SegEnds_NonXtal_Prot#'!A:AL,28,FALSE)</f>
        <v>49</v>
      </c>
      <c r="AJ320" s="1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4" t="s">
        <v>1195</v>
      </c>
      <c r="B321" s="4" t="str">
        <f>VLOOKUP(A321,Xtal_Templ!A:B,2,FALSE)</f>
        <v>pth1r_human</v>
      </c>
      <c r="C321" s="5">
        <v>23</v>
      </c>
      <c r="D321" s="4">
        <f>VLOOKUP($B321&amp;"__wt",'SegEnds_Xtal_BW#'!$A:$Z,4,FALSE)</f>
        <v>60</v>
      </c>
      <c r="E321" s="4">
        <f>VLOOKUP($B321&amp;"__wt",'SegEnds_Xtal_BW#'!$A:$Z,5,FALSE)</f>
        <v>48</v>
      </c>
      <c r="F321" s="4">
        <f>VLOOKUP($B321&amp;"__wt",'SegEnds_Xtal_BW#'!$A:$Z,6,FALSE)</f>
        <v>51</v>
      </c>
      <c r="G321" s="4">
        <v>37</v>
      </c>
      <c r="H321" s="11">
        <v>63</v>
      </c>
      <c r="I321" s="4" t="str">
        <f>VLOOKUP($B321&amp;"__wt",'SegEnds_Xtal_BW#'!$A:$Z,9,FALSE)</f>
        <v>-</v>
      </c>
      <c r="J321" s="4" t="str">
        <f>VLOOKUP($B321&amp;"__wt",'SegEnds_Xtal_BW#'!$A:$Z,10,FALSE)</f>
        <v>-</v>
      </c>
      <c r="K321" s="11">
        <v>23</v>
      </c>
      <c r="L321" s="4">
        <f>VLOOKUP($B321&amp;"__wt",'SegEnds_Xtal_BW#'!$A:$Z,12,FALSE)</f>
        <v>56</v>
      </c>
      <c r="M321" s="4" t="str">
        <f>VLOOKUP($B321&amp;"__wt",'SegEnds_Xtal_BW#'!$A:$Z,13,FALSE)</f>
        <v>-</v>
      </c>
      <c r="N321" s="11" t="str">
        <f>VLOOKUP($B321&amp;"__wt",'SegEnds_Xtal_BW#'!$A:$Z,14,FALSE)</f>
        <v>-</v>
      </c>
      <c r="O321" s="88">
        <f>VLOOKUP($B321&amp;"__wt",'SegEnds_Xtal_BW#'!$A:$Z,15,FALSE)</f>
        <v>37</v>
      </c>
      <c r="P321" s="4">
        <f>VLOOKUP($B321&amp;"__wt",'SegEnds_Xtal_BW#'!$A:$Z,16,FALSE)</f>
        <v>68</v>
      </c>
      <c r="Q321" s="4">
        <f>VLOOKUP($B321&amp;"__wt",'SegEnds_Xtal_BW#'!$A:$Z,17,FALSE)</f>
        <v>50</v>
      </c>
      <c r="R321" s="4">
        <f>VLOOKUP($B321&amp;"__wt",'SegEnds_Xtal_BW#'!$A:$Z,18,FALSE)</f>
        <v>52</v>
      </c>
      <c r="S321" s="4">
        <v>36</v>
      </c>
      <c r="T321" s="4">
        <v>69</v>
      </c>
      <c r="U321" s="4">
        <v>29</v>
      </c>
      <c r="V321" s="4">
        <f>VLOOKUP($B321&amp;"__wt",'SegEnds_Xtal_BW#'!$A:$Z,22,FALSE)</f>
        <v>54</v>
      </c>
      <c r="W321" s="4">
        <v>31</v>
      </c>
      <c r="X321" s="4">
        <f>VLOOKUP($B321&amp;"__wt",'SegEnds_Xtal_BW#'!$A:$Z,24,FALSE)</f>
        <v>56</v>
      </c>
      <c r="Y321" s="4">
        <f>VLOOKUP($B321&amp;"__wt",'SegEnds_Xtal_BW#'!$A:$Z,25,FALSE)</f>
        <v>47</v>
      </c>
      <c r="Z321" s="4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29</v>
      </c>
      <c r="AC321" s="4" t="e">
        <f>VLOOKUP(A321,'SegEnds_NonXtal_Prot#'!A:AL,10,FALSE)-VLOOKUP(A321,'SegEnds_NonXtal_Prot#'!A:AL,7,FALSE)</f>
        <v>#VALUE!</v>
      </c>
      <c r="AD321" s="4" t="e">
        <f>VLOOKUP(A321,'SegEnds_NonXtal_Prot#'!A:AL,13,FALSE)-VLOOKUP(A321,'SegEnds_NonXtal_Prot#'!A:AL,10,FALSE)</f>
        <v>#VALUE!</v>
      </c>
      <c r="AE321" s="4">
        <f>VLOOKUP(A321,'SegEnds_NonXtal_Prot#'!A:AL,16,FALSE)-VLOOKUP(A321,'SegEnds_NonXtal_Prot#'!A:AL,10,FALSE)</f>
        <v>47</v>
      </c>
      <c r="AF321" s="1" t="e">
        <f>VLOOKUP(A321,'SegEnds_NonXtal_Prot#'!A:AL,22,FALSE)-VLOOKUP(A321,'SegEnds_NonXtal_Prot#'!A:AL,19,FALSE)</f>
        <v>#VALUE!</v>
      </c>
      <c r="AG321" s="4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47</v>
      </c>
      <c r="AI321" s="4">
        <f>VLOOKUP(A321,'SegEnds_NonXtal_Prot#'!A:AL,31,FALSE)-VLOOKUP(A321,'SegEnds_NonXtal_Prot#'!A:AL,28,FALSE)</f>
        <v>50</v>
      </c>
      <c r="AJ321" s="4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414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29</v>
      </c>
      <c r="AC322" s="1" t="e">
        <f>VLOOKUP(A322,'SegEnds_NonXtal_Prot#'!A:AL,10,FALSE)-VLOOKUP(A322,'SegEnds_NonXtal_Prot#'!A:AL,7,FALSE)</f>
        <v>#VALUE!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44</v>
      </c>
      <c r="AI322" s="1">
        <f>VLOOKUP(A322,'SegEnds_NonXtal_Prot#'!A:AL,31,FALSE)-VLOOKUP(A322,'SegEnds_NonXtal_Prot#'!A:AL,28,FALSE)</f>
        <v>50</v>
      </c>
      <c r="AJ322" s="1">
        <f>VLOOKUP(A322,'SegEnds_NonXtal_Prot#'!A:AL,34,FALSE)-VLOOKUP(A322,'SegEnds_NonXtal_Prot#'!A:AL,31,FALSE)</f>
        <v>29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1190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31</v>
      </c>
      <c r="AC323" s="1" t="e">
        <f>VLOOKUP(A323,'SegEnds_NonXtal_Prot#'!A:AL,10,FALSE)-VLOOKUP(A323,'SegEnds_NonXtal_Prot#'!A:AL,7,FALSE)</f>
        <v>#VALUE!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51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20</v>
      </c>
      <c r="AH323" s="1">
        <f>VLOOKUP(A323,'SegEnds_NonXtal_Prot#'!A:AL,28,FALSE)-VLOOKUP(A323,'SegEnds_NonXtal_Prot#'!A:AL,22,FALSE)</f>
        <v>46</v>
      </c>
      <c r="AI323" s="1">
        <f>VLOOKUP(A323,'SegEnds_NonXtal_Prot#'!A:AL,31,FALSE)-VLOOKUP(A323,'SegEnds_NonXtal_Prot#'!A:AL,28,FALSE)</f>
        <v>51</v>
      </c>
      <c r="AJ323" s="1">
        <f>VLOOKUP(A323,'SegEnds_NonXtal_Prot#'!A:AL,34,FALSE)-VLOOKUP(A323,'SegEnds_NonXtal_Prot#'!A:AL,31,FALSE)</f>
        <v>29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4" t="s">
        <v>1193</v>
      </c>
      <c r="B324" s="4" t="str">
        <f>VLOOKUP(A324,Xtal_Templ!A:B,2,FALSE)</f>
        <v>pth1r_human</v>
      </c>
      <c r="C324" s="5">
        <v>23</v>
      </c>
      <c r="D324" s="4">
        <f>VLOOKUP($B324&amp;"__wt",'SegEnds_Xtal_BW#'!$A:$Z,4,FALSE)</f>
        <v>60</v>
      </c>
      <c r="E324" s="4">
        <f>VLOOKUP($B324&amp;"__wt",'SegEnds_Xtal_BW#'!$A:$Z,5,FALSE)</f>
        <v>48</v>
      </c>
      <c r="F324" s="4">
        <f>VLOOKUP($B324&amp;"__wt",'SegEnds_Xtal_BW#'!$A:$Z,6,FALSE)</f>
        <v>51</v>
      </c>
      <c r="G324" s="4">
        <v>37</v>
      </c>
      <c r="H324" s="11">
        <v>63</v>
      </c>
      <c r="I324" s="4" t="str">
        <f>VLOOKUP($B324&amp;"__wt",'SegEnds_Xtal_BW#'!$A:$Z,9,FALSE)</f>
        <v>-</v>
      </c>
      <c r="J324" s="4" t="str">
        <f>VLOOKUP($B324&amp;"__wt",'SegEnds_Xtal_BW#'!$A:$Z,10,FALSE)</f>
        <v>-</v>
      </c>
      <c r="K324" s="11">
        <v>23</v>
      </c>
      <c r="L324" s="4">
        <f>VLOOKUP($B324&amp;"__wt",'SegEnds_Xtal_BW#'!$A:$Z,12,FALSE)</f>
        <v>56</v>
      </c>
      <c r="M324" s="4" t="str">
        <f>VLOOKUP($B324&amp;"__wt",'SegEnds_Xtal_BW#'!$A:$Z,13,FALSE)</f>
        <v>-</v>
      </c>
      <c r="N324" s="11" t="str">
        <f>VLOOKUP($B324&amp;"__wt",'SegEnds_Xtal_BW#'!$A:$Z,14,FALSE)</f>
        <v>-</v>
      </c>
      <c r="O324" s="88">
        <f>VLOOKUP($B324&amp;"__wt",'SegEnds_Xtal_BW#'!$A:$Z,15,FALSE)</f>
        <v>37</v>
      </c>
      <c r="P324" s="4">
        <f>VLOOKUP($B324&amp;"__wt",'SegEnds_Xtal_BW#'!$A:$Z,16,FALSE)</f>
        <v>68</v>
      </c>
      <c r="Q324" s="4">
        <f>VLOOKUP($B324&amp;"__wt",'SegEnds_Xtal_BW#'!$A:$Z,17,FALSE)</f>
        <v>50</v>
      </c>
      <c r="R324" s="4">
        <f>VLOOKUP($B324&amp;"__wt",'SegEnds_Xtal_BW#'!$A:$Z,18,FALSE)</f>
        <v>52</v>
      </c>
      <c r="S324" s="4">
        <v>36</v>
      </c>
      <c r="T324" s="4">
        <v>69</v>
      </c>
      <c r="U324" s="4">
        <v>29</v>
      </c>
      <c r="V324" s="4">
        <f>VLOOKUP($B324&amp;"__wt",'SegEnds_Xtal_BW#'!$A:$Z,22,FALSE)</f>
        <v>54</v>
      </c>
      <c r="W324" s="4">
        <v>31</v>
      </c>
      <c r="X324" s="4">
        <f>VLOOKUP($B324&amp;"__wt",'SegEnds_Xtal_BW#'!$A:$Z,24,FALSE)</f>
        <v>56</v>
      </c>
      <c r="Y324" s="4">
        <f>VLOOKUP($B324&amp;"__wt",'SegEnds_Xtal_BW#'!$A:$Z,25,FALSE)</f>
        <v>47</v>
      </c>
      <c r="Z324" s="4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29</v>
      </c>
      <c r="AC324" s="4" t="e">
        <f>VLOOKUP(A324,'SegEnds_NonXtal_Prot#'!A:AL,10,FALSE)-VLOOKUP(A324,'SegEnds_NonXtal_Prot#'!A:AL,7,FALSE)</f>
        <v>#VALUE!</v>
      </c>
      <c r="AD324" s="4" t="e">
        <f>VLOOKUP(A324,'SegEnds_NonXtal_Prot#'!A:AL,13,FALSE)-VLOOKUP(A324,'SegEnds_NonXtal_Prot#'!A:AL,10,FALSE)</f>
        <v>#VALUE!</v>
      </c>
      <c r="AE324" s="4">
        <f>VLOOKUP(A324,'SegEnds_NonXtal_Prot#'!A:AL,16,FALSE)-VLOOKUP(A324,'SegEnds_NonXtal_Prot#'!A:AL,10,FALSE)</f>
        <v>47</v>
      </c>
      <c r="AF324" s="1" t="e">
        <f>VLOOKUP(A324,'SegEnds_NonXtal_Prot#'!A:AL,22,FALSE)-VLOOKUP(A324,'SegEnds_NonXtal_Prot#'!A:AL,19,FALSE)</f>
        <v>#VALUE!</v>
      </c>
      <c r="AG324" s="4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54</v>
      </c>
      <c r="AI324" s="4">
        <f>VLOOKUP(A324,'SegEnds_NonXtal_Prot#'!A:AL,31,FALSE)-VLOOKUP(A324,'SegEnds_NonXtal_Prot#'!A:AL,28,FALSE)</f>
        <v>51</v>
      </c>
      <c r="AJ324" s="4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1413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29</v>
      </c>
      <c r="AC325" s="1">
        <f>VLOOKUP(A325,'SegEnds_NonXtal_Prot#'!A:AL,10,FALSE)-VLOOKUP(A325,'SegEnds_NonXtal_Prot#'!A:AL,7,FALSE)</f>
        <v>16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47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53</v>
      </c>
      <c r="AI325" s="1">
        <f>VLOOKUP(A325,'SegEnds_NonXtal_Prot#'!A:AL,31,FALSE)-VLOOKUP(A325,'SegEnds_NonXtal_Prot#'!A:AL,28,FALSE)</f>
        <v>51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1197</v>
      </c>
      <c r="B326" s="1" t="str">
        <f>VLOOKUP(A326,Xtal_Templ!A:B,2,FALSE)</f>
        <v>pth1r_human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65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18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37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54</v>
      </c>
      <c r="W326" s="1">
        <v>29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29</v>
      </c>
      <c r="AC326" s="1" t="e">
        <f>VLOOKUP(A326,'SegEnds_NonXtal_Prot#'!A:AL,10,FALSE)-VLOOKUP(A326,'SegEnds_NonXtal_Prot#'!A:AL,7,FALSE)</f>
        <v>#VALUE!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73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26</v>
      </c>
      <c r="AH326" s="1">
        <f>VLOOKUP(A326,'SegEnds_NonXtal_Prot#'!A:AL,28,FALSE)-VLOOKUP(A326,'SegEnds_NonXtal_Prot#'!A:AL,22,FALSE)</f>
        <v>60</v>
      </c>
      <c r="AI326" s="1">
        <f>VLOOKUP(A326,'SegEnds_NonXtal_Prot#'!A:AL,31,FALSE)-VLOOKUP(A326,'SegEnds_NonXtal_Prot#'!A:AL,28,FALSE)</f>
        <v>51</v>
      </c>
      <c r="AJ326" s="1">
        <f>VLOOKUP(A326,'SegEnds_NonXtal_Prot#'!A:AL,34,FALSE)-VLOOKUP(A326,'SegEnds_NonXtal_Prot#'!A:AL,31,FALSE)</f>
        <v>31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1181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31</v>
      </c>
      <c r="AC327" s="1">
        <f>VLOOKUP(A327,'SegEnds_NonXtal_Prot#'!A:AL,10,FALSE)-VLOOKUP(A327,'SegEnds_NonXtal_Prot#'!A:AL,7,FALSE)</f>
        <v>18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4" t="s">
        <v>1183</v>
      </c>
      <c r="B328" s="4" t="str">
        <f>VLOOKUP(A328,Xtal_Templ!A:B,2,FALSE)</f>
        <v>pth1r_human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88">
        <f>VLOOKUP($B328&amp;"__wt",'SegEnds_Xtal_BW#'!$A:$Z,15,FALSE)</f>
        <v>37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54</v>
      </c>
      <c r="W328" s="4">
        <v>31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4" t="e">
        <f>VLOOKUP(A328,'SegEnds_NonXtal_Prot#'!A:AL,10,FALSE)-VLOOKUP(A328,'SegEnds_NonXtal_Prot#'!A:AL,7,FALSE)</f>
        <v>#VALUE!</v>
      </c>
      <c r="AD328" s="4" t="e">
        <f>VLOOKUP(A328,'SegEnds_NonXtal_Prot#'!A:AL,13,FALSE)-VLOOKUP(A328,'SegEnds_NonXtal_Prot#'!A:AL,10,FALSE)</f>
        <v>#VALUE!</v>
      </c>
      <c r="AE328" s="4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4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4">
        <f>VLOOKUP(A328,'SegEnds_NonXtal_Prot#'!A:AL,31,FALSE)-VLOOKUP(A328,'SegEnds_NonXtal_Prot#'!A:AL,28,FALSE)</f>
        <v>52</v>
      </c>
      <c r="AJ328" s="4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1184</v>
      </c>
      <c r="B329" s="1" t="str">
        <f>VLOOKUP(A329,Xtal_Templ!A:B,2,FALSE)</f>
        <v>glp1r_human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38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>
        <f>VLOOKUP(A329,'SegEnds_NonXtal_Prot#'!A:AL,10,FALSE)-VLOOKUP(A329,'SegEnds_NonXtal_Prot#'!A:AL,7,FALSE)</f>
        <v>15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1185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>
        <f>VLOOKUP(A330,'SegEnds_NonXtal_Prot#'!A:AL,10,FALSE)-VLOOKUP(A330,'SegEnds_NonXtal_Prot#'!A:AL,7,FALSE)</f>
        <v>15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52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1186</v>
      </c>
      <c r="B331" s="1" t="str">
        <f>VLOOKUP(A331,Xtal_Templ!A:B,2,FALSE)</f>
        <v>glp1r_human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38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28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42</v>
      </c>
      <c r="AI331" s="1">
        <f>VLOOKUP(A331,'SegEnds_NonXtal_Prot#'!A:AL,31,FALSE)-VLOOKUP(A331,'SegEnds_NonXtal_Prot#'!A:AL,28,FALSE)</f>
        <v>52</v>
      </c>
      <c r="AJ331" s="1">
        <f>VLOOKUP(A331,'SegEnds_NonXtal_Prot#'!A:AL,34,FALSE)-VLOOKUP(A331,'SegEnds_NonXtal_Prot#'!A:AL,31,FALSE)</f>
        <v>32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1187</v>
      </c>
      <c r="B332" s="1" t="str">
        <f>VLOOKUP(A332,Xtal_Templ!A:B,2,FALSE)</f>
        <v>pth1r_human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37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54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31</v>
      </c>
      <c r="AC332" s="1" t="e">
        <f>VLOOKUP(A332,'SegEnds_NonXtal_Prot#'!A:AL,10,FALSE)-VLOOKUP(A332,'SegEnds_NonXtal_Prot#'!A:AL,7,FALSE)</f>
        <v>#VALUE!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51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21</v>
      </c>
      <c r="AH332" s="1">
        <f>VLOOKUP(A332,'SegEnds_NonXtal_Prot#'!A:AL,28,FALSE)-VLOOKUP(A332,'SegEnds_NonXtal_Prot#'!A:AL,22,FALSE)</f>
        <v>47</v>
      </c>
      <c r="AI332" s="1">
        <f>VLOOKUP(A332,'SegEnds_NonXtal_Prot#'!A:AL,31,FALSE)-VLOOKUP(A332,'SegEnds_NonXtal_Prot#'!A:AL,28,FALSE)</f>
        <v>52</v>
      </c>
      <c r="AJ332" s="1">
        <f>VLOOKUP(A332,'SegEnds_NonXtal_Prot#'!A:AL,34,FALSE)-VLOOKUP(A332,'SegEnds_NonXtal_Prot#'!A:AL,31,FALSE)</f>
        <v>29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1189</v>
      </c>
      <c r="B333" s="1" t="str">
        <f>VLOOKUP(A333,Xtal_Templ!A:B,2,FALSE)</f>
        <v>calrl_human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41</v>
      </c>
      <c r="P333" s="1">
        <f>VLOOKUP($B333&amp;"__wt",'SegEnds_Xtal_BW#'!$A:$Z,16,FALSE)</f>
        <v>67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31</v>
      </c>
      <c r="AC333" s="1" t="e">
        <f>VLOOKUP(A333,'SegEnds_NonXtal_Prot#'!A:AL,10,FALSE)-VLOOKUP(A333,'SegEnds_NonXtal_Prot#'!A:AL,7,FALSE)</f>
        <v>#VALUE!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50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45</v>
      </c>
      <c r="AI333" s="1">
        <f>VLOOKUP(A333,'SegEnds_NonXtal_Prot#'!A:AL,31,FALSE)-VLOOKUP(A333,'SegEnds_NonXtal_Prot#'!A:AL,28,FALSE)</f>
        <v>52</v>
      </c>
      <c r="AJ333" s="1">
        <f>VLOOKUP(A333,'SegEnds_NonXtal_Prot#'!A:AL,34,FALSE)-VLOOKUP(A333,'SegEnds_NonXtal_Prot#'!A:AL,31,FALSE)</f>
        <v>29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1191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31</v>
      </c>
      <c r="AC334" s="1">
        <f>VLOOKUP(A334,'SegEnds_NonXtal_Prot#'!A:AL,10,FALSE)-VLOOKUP(A334,'SegEnds_NonXtal_Prot#'!A:AL,7,FALSE)</f>
        <v>17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53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20</v>
      </c>
      <c r="AH334" s="1">
        <f>VLOOKUP(A334,'SegEnds_NonXtal_Prot#'!A:AL,28,FALSE)-VLOOKUP(A334,'SegEnds_NonXtal_Prot#'!A:AL,22,FALSE)</f>
        <v>46</v>
      </c>
      <c r="AI334" s="1">
        <f>VLOOKUP(A334,'SegEnds_NonXtal_Prot#'!A:AL,31,FALSE)-VLOOKUP(A334,'SegEnds_NonXtal_Prot#'!A:AL,28,FALSE)</f>
        <v>52</v>
      </c>
      <c r="AJ334" s="1">
        <f>VLOOKUP(A334,'SegEnds_NonXtal_Prot#'!A:AL,34,FALSE)-VLOOKUP(A334,'SegEnds_NonXtal_Prot#'!A:AL,31,FALSE)</f>
        <v>29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1198</v>
      </c>
      <c r="B335" s="1" t="str">
        <f>VLOOKUP(A335,Xtal_Templ!A:B,2,FALSE)</f>
        <v>calcr_human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41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28</v>
      </c>
      <c r="AC335" s="1">
        <f>VLOOKUP(A335,'SegEnds_NonXtal_Prot#'!A:AL,10,FALSE)-VLOOKUP(A335,'SegEnds_NonXtal_Prot#'!A:AL,7,FALSE)</f>
        <v>15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43</v>
      </c>
      <c r="AI335" s="1">
        <f>VLOOKUP(A335,'SegEnds_NonXtal_Prot#'!A:AL,31,FALSE)-VLOOKUP(A335,'SegEnds_NonXtal_Prot#'!A:AL,28,FALSE)</f>
        <v>52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1199</v>
      </c>
      <c r="B336" s="1" t="str">
        <f>VLOOKUP(A336,Xtal_Templ!A:B,2,FALSE)</f>
        <v>calcr_human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41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28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45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43</v>
      </c>
      <c r="AI336" s="1">
        <f>VLOOKUP(A336,'SegEnds_NonXtal_Prot#'!A:AL,31,FALSE)-VLOOKUP(A336,'SegEnds_NonXtal_Prot#'!A:AL,28,FALSE)</f>
        <v>52</v>
      </c>
      <c r="AJ336" s="1">
        <f>VLOOKUP(A336,'SegEnds_NonXtal_Prot#'!A:AL,34,FALSE)-VLOOKUP(A336,'SegEnds_NonXtal_Prot#'!A:AL,31,FALSE)</f>
        <v>28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1200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28</v>
      </c>
      <c r="AC337" s="1">
        <f>VLOOKUP(A337,'SegEnds_NonXtal_Prot#'!A:AL,10,FALSE)-VLOOKUP(A337,'SegEnds_NonXtal_Prot#'!A:AL,7,FALSE)</f>
        <v>15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45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19</v>
      </c>
      <c r="AH337" s="1">
        <f>VLOOKUP(A337,'SegEnds_NonXtal_Prot#'!A:AL,28,FALSE)-VLOOKUP(A337,'SegEnds_NonXtal_Prot#'!A:AL,22,FALSE)</f>
        <v>43</v>
      </c>
      <c r="AI337" s="1">
        <f>VLOOKUP(A337,'SegEnds_NonXtal_Prot#'!A:AL,31,FALSE)-VLOOKUP(A337,'SegEnds_NonXtal_Prot#'!A:AL,28,FALSE)</f>
        <v>52</v>
      </c>
      <c r="AJ337" s="1">
        <f>VLOOKUP(A337,'SegEnds_NonXtal_Prot#'!A:AL,34,FALSE)-VLOOKUP(A337,'SegEnds_NonXtal_Prot#'!A:AL,31,FALSE)</f>
        <v>28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1201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28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45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43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28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4" t="s">
        <v>417</v>
      </c>
      <c r="B339" s="4" t="str">
        <f>VLOOKUP(A339,Xtal_Templ!A:B,2,FALSE)</f>
        <v>glp1r_human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88">
        <f>VLOOKUP($B339&amp;"__wt",'SegEnds_Xtal_BW#'!$A:$Z,15,FALSE)</f>
        <v>38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4">
        <v>31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4" t="e">
        <f>VLOOKUP(A339,'SegEnds_NonXtal_Prot#'!A:AL,10,FALSE)-VLOOKUP(A339,'SegEnds_NonXtal_Prot#'!A:AL,7,FALSE)</f>
        <v>#VALUE!</v>
      </c>
      <c r="AD339" s="4" t="e">
        <f>VLOOKUP(A339,'SegEnds_NonXtal_Prot#'!A:AL,13,FALSE)-VLOOKUP(A339,'SegEnds_NonXtal_Prot#'!A:AL,10,FALSE)</f>
        <v>#VALUE!</v>
      </c>
      <c r="AE339" s="4">
        <f>VLOOKUP(A339,'SegEnds_NonXtal_Prot#'!A:AL,16,FALSE)-VLOOKUP(A339,'SegEnds_NonXtal_Prot#'!A:AL,10,FALSE)</f>
        <v>47</v>
      </c>
      <c r="AF339" s="1" t="e">
        <f>VLOOKUP(A339,'SegEnds_NonXtal_Prot#'!A:AL,22,FALSE)-VLOOKUP(A339,'SegEnds_NonXtal_Prot#'!A:AL,19,FALSE)</f>
        <v>#VALUE!</v>
      </c>
      <c r="AG339" s="4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43</v>
      </c>
      <c r="AI339" s="4">
        <f>VLOOKUP(A339,'SegEnds_NonXtal_Prot#'!A:AL,31,FALSE)-VLOOKUP(A339,'SegEnds_NonXtal_Prot#'!A:AL,28,FALSE)</f>
        <v>52</v>
      </c>
      <c r="AJ339" s="4">
        <f>VLOOKUP(A339,'SegEnds_NonXtal_Prot#'!A:AL,34,FALSE)-VLOOKUP(A339,'SegEnds_NonXtal_Prot#'!A:AL,31,FALSE)</f>
        <v>28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1194</v>
      </c>
      <c r="B340" s="1" t="str">
        <f>VLOOKUP(A340,Xtal_Templ!A:B,2,FALSE)</f>
        <v>pth1r_human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37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v>50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33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47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18</v>
      </c>
      <c r="AH340" s="1">
        <f>VLOOKUP(A340,'SegEnds_NonXtal_Prot#'!A:AL,28,FALSE)-VLOOKUP(A340,'SegEnds_NonXtal_Prot#'!A:AL,22,FALSE)</f>
        <v>51</v>
      </c>
      <c r="AI340" s="1">
        <f>VLOOKUP(A340,'SegEnds_NonXtal_Prot#'!A:AL,31,FALSE)-VLOOKUP(A340,'SegEnds_NonXtal_Prot#'!A:AL,28,FALSE)</f>
        <v>54</v>
      </c>
      <c r="AJ340" s="1">
        <f>VLOOKUP(A340,'SegEnds_NonXtal_Prot#'!A:AL,34,FALSE)-VLOOKUP(A340,'SegEnds_NonXtal_Prot#'!A:AL,31,FALSE)</f>
        <v>26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1188</v>
      </c>
      <c r="B341" s="1" t="str">
        <f>VLOOKUP(A341,Xtal_Templ!A:B,2,FALSE)</f>
        <v>calrl_human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41</v>
      </c>
      <c r="P341" s="1">
        <f>VLOOKUP($B341&amp;"__wt",'SegEnds_Xtal_BW#'!$A:$Z,16,FALSE)</f>
        <v>67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08">
        <v>50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31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51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20</v>
      </c>
      <c r="AH341" s="1">
        <f>VLOOKUP(A341,'SegEnds_NonXtal_Prot#'!A:AL,28,FALSE)-VLOOKUP(A341,'SegEnds_NonXtal_Prot#'!A:AL,22,FALSE)</f>
        <v>46</v>
      </c>
      <c r="AI341" s="1">
        <f>VLOOKUP(A341,'SegEnds_NonXtal_Prot#'!A:AL,31,FALSE)-VLOOKUP(A341,'SegEnds_NonXtal_Prot#'!A:AL,28,FALSE)</f>
        <v>57</v>
      </c>
      <c r="AJ341" s="1">
        <f>VLOOKUP(A341,'SegEnds_NonXtal_Prot#'!A:AL,34,FALSE)-VLOOKUP(A341,'SegEnds_NonXtal_Prot#'!A:AL,31,FALSE)</f>
        <v>23</v>
      </c>
      <c r="AK341" s="1" t="e">
        <f>VLOOKUP(A341,'SegEnds_NonXtal_Prot#'!A:AL,37,FALSE)-VLOOKUP(A341,'SegEnds_NonXtal_Prot#'!A:AL,34,FALSE)</f>
        <v>#VALUE!</v>
      </c>
      <c r="AL341" s="1" t="str">
        <f>IF(ISERROR(MATCH(A341,'SegEnds_Xtal_Prot#'!B:B, 0)), "NoXtal", "Xtal")</f>
        <v>NoXtal</v>
      </c>
    </row>
    <row r="342" spans="1:38" x14ac:dyDescent="0.2">
      <c r="A342" s="1" t="s">
        <v>1182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v>50</v>
      </c>
      <c r="W342" s="1">
        <v>33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28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45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43</v>
      </c>
      <c r="AI342" s="1">
        <f>VLOOKUP(A342,'SegEnds_NonXtal_Prot#'!A:AL,31,FALSE)-VLOOKUP(A342,'SegEnds_NonXtal_Prot#'!A:AL,28,FALSE)</f>
        <v>66</v>
      </c>
      <c r="AJ342" s="1">
        <f>VLOOKUP(A342,'SegEnds_NonXtal_Prot#'!A:AL,34,FALSE)-VLOOKUP(A342,'SegEnds_NonXtal_Prot#'!A:AL,31,FALSE)</f>
        <v>20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1179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29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45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44</v>
      </c>
      <c r="AI343" s="1">
        <f>VLOOKUP(A343,'SegEnds_NonXtal_Prot#'!A:AL,31,FALSE)-VLOOKUP(A343,'SegEnds_NonXtal_Prot#'!A:AL,28,FALSE)</f>
        <v>83</v>
      </c>
      <c r="AJ343" s="1">
        <f>VLOOKUP(A343,'SegEnds_NonXtal_Prot#'!A:AL,34,FALSE)-VLOOKUP(A343,'SegEnds_NonXtal_Prot#'!A:AL,31,FALSE)</f>
        <v>29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1180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29</v>
      </c>
      <c r="AC344" s="1" t="e">
        <f>VLOOKUP(A344,'SegEnds_NonXtal_Prot#'!A:AL,10,FALSE)-VLOOKUP(A344,'SegEnds_NonXtal_Prot#'!A:AL,7,FALSE)</f>
        <v>#VALUE!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45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44</v>
      </c>
      <c r="AI344" s="1">
        <f>VLOOKUP(A344,'SegEnds_NonXtal_Prot#'!A:AL,31,FALSE)-VLOOKUP(A344,'SegEnds_NonXtal_Prot#'!A:AL,28,FALSE)</f>
        <v>83</v>
      </c>
      <c r="AJ344" s="1">
        <f>VLOOKUP(A344,'SegEnds_NonXtal_Prot#'!A:AL,34,FALSE)-VLOOKUP(A344,'SegEnds_NonXtal_Prot#'!A:AL,31,FALSE)</f>
        <v>29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1178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29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18</v>
      </c>
      <c r="AH345" s="1">
        <f>VLOOKUP(A345,'SegEnds_NonXtal_Prot#'!A:AL,28,FALSE)-VLOOKUP(A345,'SegEnds_NonXtal_Prot#'!A:AL,22,FALSE)</f>
        <v>45</v>
      </c>
      <c r="AI345" s="1">
        <f>VLOOKUP(A345,'SegEnds_NonXtal_Prot#'!A:AL,31,FALSE)-VLOOKUP(A345,'SegEnds_NonXtal_Prot#'!A:AL,28,FALSE)</f>
        <v>85</v>
      </c>
      <c r="AJ345" s="1">
        <f>VLOOKUP(A345,'SegEnds_NonXtal_Prot#'!A:AL,34,FALSE)-VLOOKUP(A345,'SegEnds_NonXtal_Prot#'!A:AL,31,FALSE)</f>
        <v>31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1176</v>
      </c>
      <c r="B346" s="1" t="str">
        <f>VLOOKUP(A346,Xtal_Templ!A:B,2,FALSE)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26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47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18</v>
      </c>
      <c r="AH346" s="1">
        <f>VLOOKUP(A346,'SegEnds_NonXtal_Prot#'!A:AL,28,FALSE)-VLOOKUP(A346,'SegEnds_NonXtal_Prot#'!A:AL,22,FALSE)</f>
        <v>46</v>
      </c>
      <c r="AI346" s="1">
        <f>VLOOKUP(A346,'SegEnds_NonXtal_Prot#'!A:AL,31,FALSE)-VLOOKUP(A346,'SegEnds_NonXtal_Prot#'!A:AL,28,FALSE)</f>
        <v>86</v>
      </c>
      <c r="AJ346" s="1">
        <f>VLOOKUP(A346,'SegEnds_NonXtal_Prot#'!A:AL,34,FALSE)-VLOOKUP(A346,'SegEnds_NonXtal_Prot#'!A:AL,31,FALSE)</f>
        <v>31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4" t="s">
        <v>1177</v>
      </c>
      <c r="B347" s="4" t="str">
        <f>VLOOKUP(A347,Xtal_Templ!A:B,2,FALSE)</f>
        <v>crfr1_human</v>
      </c>
      <c r="C347" s="5">
        <v>23</v>
      </c>
      <c r="D347" s="4">
        <f>VLOOKUP($B347&amp;"__wt",'SegEnds_Xtal_BW#'!$A:$Z,4,FALSE)</f>
        <v>60</v>
      </c>
      <c r="E347" s="4">
        <f>VLOOKUP($B347&amp;"__wt",'SegEnds_Xtal_BW#'!$A:$Z,5,FALSE)</f>
        <v>48</v>
      </c>
      <c r="F347" s="4">
        <f>VLOOKUP($B347&amp;"__wt",'SegEnds_Xtal_BW#'!$A:$Z,6,FALSE)</f>
        <v>51</v>
      </c>
      <c r="G347" s="4">
        <v>37</v>
      </c>
      <c r="H347" s="11">
        <v>63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v>23</v>
      </c>
      <c r="L347" s="4">
        <f>VLOOKUP($B347&amp;"__wt",'SegEnds_Xtal_BW#'!$A:$Z,12,FALSE)</f>
        <v>56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88">
        <f>VLOOKUP($B347&amp;"__wt",'SegEnds_Xtal_BW#'!$A:$Z,15,FALSE)</f>
        <v>40</v>
      </c>
      <c r="P347" s="4">
        <f>VLOOKUP($B347&amp;"__wt",'SegEnds_Xtal_BW#'!$A:$Z,16,FALSE)</f>
        <v>68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v>36</v>
      </c>
      <c r="T347" s="4">
        <v>69</v>
      </c>
      <c r="U347" s="4">
        <v>29</v>
      </c>
      <c r="V347" s="4">
        <f>VLOOKUP($B347&amp;"__wt",'SegEnds_Xtal_BW#'!$A:$Z,22,FALSE)</f>
        <v>53</v>
      </c>
      <c r="W347" s="4">
        <v>29</v>
      </c>
      <c r="X347" s="4">
        <f>VLOOKUP($B347&amp;"__wt",'SegEnds_Xtal_BW#'!$A:$Z,24,FALSE)</f>
        <v>56</v>
      </c>
      <c r="Y347" s="4">
        <f>VLOOKUP($B347&amp;"__wt",'SegEnds_Xtal_BW#'!$A:$Z,25,FALSE)</f>
        <v>47</v>
      </c>
      <c r="Z347" s="4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26</v>
      </c>
      <c r="AC347" s="4" t="e">
        <f>VLOOKUP(A347,'SegEnds_NonXtal_Prot#'!A:AL,10,FALSE)-VLOOKUP(A347,'SegEnds_NonXtal_Prot#'!A:AL,7,FALSE)</f>
        <v>#VALUE!</v>
      </c>
      <c r="AD347" s="4" t="e">
        <f>VLOOKUP(A347,'SegEnds_NonXtal_Prot#'!A:AL,13,FALSE)-VLOOKUP(A347,'SegEnds_NonXtal_Prot#'!A:AL,10,FALSE)</f>
        <v>#VALUE!</v>
      </c>
      <c r="AE347" s="4">
        <f>VLOOKUP(A347,'SegEnds_NonXtal_Prot#'!A:AL,16,FALSE)-VLOOKUP(A347,'SegEnds_NonXtal_Prot#'!A:AL,10,FALSE)</f>
        <v>47</v>
      </c>
      <c r="AF347" s="1" t="e">
        <f>VLOOKUP(A347,'SegEnds_NonXtal_Prot#'!A:AL,22,FALSE)-VLOOKUP(A347,'SegEnds_NonXtal_Prot#'!A:AL,19,FALSE)</f>
        <v>#VALUE!</v>
      </c>
      <c r="AG347" s="4">
        <f>VLOOKUP(A347,'SegEnds_NonXtal_Prot#'!A:AL,28,FALSE)-VLOOKUP(A347,'SegEnds_NonXtal_Prot#'!A:AL,25,FALSE)</f>
        <v>18</v>
      </c>
      <c r="AH347" s="1">
        <f>VLOOKUP(A347,'SegEnds_NonXtal_Prot#'!A:AL,28,FALSE)-VLOOKUP(A347,'SegEnds_NonXtal_Prot#'!A:AL,22,FALSE)</f>
        <v>43</v>
      </c>
      <c r="AI347" s="4">
        <f>VLOOKUP(A347,'SegEnds_NonXtal_Prot#'!A:AL,31,FALSE)-VLOOKUP(A347,'SegEnds_NonXtal_Prot#'!A:AL,28,FALSE)</f>
        <v>100</v>
      </c>
      <c r="AJ347" s="4">
        <f>VLOOKUP(A347,'SegEnds_NonXtal_Prot#'!A:AL,34,FALSE)-VLOOKUP(A347,'SegEnds_NonXtal_Prot#'!A:AL,31,FALSE)</f>
        <v>31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114</v>
      </c>
      <c r="B348" s="42" t="str">
        <f>VLOOKUP(A348,Xtal_Templ!A:B,2,FALSE)</f>
        <v>grm1_human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22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32</v>
      </c>
      <c r="AC348" s="42">
        <f>VLOOKUP(A348,'SegEnds_NonXtal_Prot#'!A:AL,10,FALSE)-VLOOKUP(A348,'SegEnds_NonXtal_Prot#'!A:AL,7,FALSE)</f>
        <v>16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18</v>
      </c>
      <c r="AH348" s="1">
        <f>VLOOKUP(A348,'SegEnds_NonXtal_Prot#'!A:AL,28,FALSE)-VLOOKUP(A348,'SegEnds_NonXtal_Prot#'!A:AL,22,FALSE)</f>
        <v>50</v>
      </c>
      <c r="AI348" s="42">
        <f>VLOOKUP(A348,'SegEnds_NonXtal_Prot#'!A:AL,31,FALSE)-VLOOKUP(A348,'SegEnds_NonXtal_Prot#'!A:AL,28,FALSE)</f>
        <v>35</v>
      </c>
      <c r="AJ348" s="42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NoXtal</v>
      </c>
    </row>
    <row r="349" spans="1:38" x14ac:dyDescent="0.2">
      <c r="A349" s="4" t="s">
        <v>105</v>
      </c>
      <c r="B349" s="4" t="str">
        <f>VLOOKUP(A349,Xtal_Templ!A:B,2,FALSE)</f>
        <v>grm5_human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21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36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33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4">
        <f>VLOOKUP(A349,'SegEnds_NonXtal_Prot#'!A:AL,10,FALSE)-VLOOKUP(A349,'SegEnds_NonXtal_Prot#'!A:AL,7,FALSE)</f>
        <v>15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44</v>
      </c>
      <c r="AF349" s="1" t="e">
        <f>VLOOKUP(A349,'SegEnds_NonXtal_Prot#'!A:AL,22,FALSE)-VLOOKUP(A349,'SegEnds_NonXtal_Prot#'!A:AL,19,FALSE)</f>
        <v>#VALUE!</v>
      </c>
      <c r="AG349" s="4">
        <f>VLOOKUP(A349,'SegEnds_NonXtal_Prot#'!A:AL,28,FALSE)-VLOOKUP(A349,'SegEnds_NonXtal_Prot#'!A:AL,25,FALSE)</f>
        <v>18</v>
      </c>
      <c r="AH349" s="1">
        <f>VLOOKUP(A349,'SegEnds_NonXtal_Prot#'!A:AL,28,FALSE)-VLOOKUP(A349,'SegEnds_NonXtal_Prot#'!A:AL,22,FALSE)</f>
        <v>51</v>
      </c>
      <c r="AI349" s="4">
        <f>VLOOKUP(A349,'SegEnds_NonXtal_Prot#'!A:AL,31,FALSE)-VLOOKUP(A349,'SegEnds_NonXtal_Prot#'!A:AL,28,FALSE)</f>
        <v>37</v>
      </c>
      <c r="AJ349" s="4">
        <f>VLOOKUP(A349,'SegEnds_NonXtal_Prot#'!A:AL,34,FALSE)-VLOOKUP(A349,'SegEnds_NonXtal_Prot#'!A:AL,31,FALSE)</f>
        <v>29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NoXtal</v>
      </c>
    </row>
    <row r="350" spans="1:38" x14ac:dyDescent="0.2">
      <c r="A350" s="4" t="s">
        <v>109</v>
      </c>
      <c r="B350" s="4" t="str">
        <f>VLOOKUP(A350,Xtal_Templ!A:B,2,FALSE)</f>
        <v>grm1_human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22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88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36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33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4">
        <f>VLOOKUP(A350,'SegEnds_NonXtal_Prot#'!A:AL,10,FALSE)-VLOOKUP(A350,'SegEnds_NonXtal_Prot#'!A:AL,7,FALSE)</f>
        <v>15</v>
      </c>
      <c r="AD350" s="4" t="e">
        <f>VLOOKUP(A350,'SegEnds_NonXtal_Prot#'!A:AL,13,FALSE)-VLOOKUP(A350,'SegEnds_NonXtal_Prot#'!A:AL,10,FALSE)</f>
        <v>#VALUE!</v>
      </c>
      <c r="AE350" s="4">
        <f>VLOOKUP(A350,'SegEnds_NonXtal_Prot#'!A:AL,16,FALSE)-VLOOKUP(A350,'SegEnds_NonXtal_Prot#'!A:AL,10,FALSE)</f>
        <v>44</v>
      </c>
      <c r="AF350" s="1" t="e">
        <f>VLOOKUP(A350,'SegEnds_NonXtal_Prot#'!A:AL,22,FALSE)-VLOOKUP(A350,'SegEnds_NonXtal_Prot#'!A:AL,19,FALSE)</f>
        <v>#VALUE!</v>
      </c>
      <c r="AG350" s="4">
        <f>VLOOKUP(A350,'SegEnds_NonXtal_Prot#'!A:AL,28,FALSE)-VLOOKUP(A350,'SegEnds_NonXtal_Prot#'!A:AL,25,FALSE)</f>
        <v>16</v>
      </c>
      <c r="AH350" s="1">
        <f>VLOOKUP(A350,'SegEnds_NonXtal_Prot#'!A:AL,28,FALSE)-VLOOKUP(A350,'SegEnds_NonXtal_Prot#'!A:AL,22,FALSE)</f>
        <v>65</v>
      </c>
      <c r="AI350" s="4">
        <f>VLOOKUP(A350,'SegEnds_NonXtal_Prot#'!A:AL,31,FALSE)-VLOOKUP(A350,'SegEnds_NonXtal_Prot#'!A:AL,28,FALSE)</f>
        <v>37</v>
      </c>
      <c r="AJ350" s="4">
        <f>VLOOKUP(A350,'SegEnds_NonXtal_Prot#'!A:AL,34,FALSE)-VLOOKUP(A350,'SegEnds_NonXtal_Prot#'!A:AL,31,FALSE)</f>
        <v>33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1" t="s">
        <v>110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36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33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15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44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16</v>
      </c>
      <c r="AH351" s="1">
        <f>VLOOKUP(A351,'SegEnds_NonXtal_Prot#'!A:AL,28,FALSE)-VLOOKUP(A351,'SegEnds_NonXtal_Prot#'!A:AL,22,FALSE)</f>
        <v>65</v>
      </c>
      <c r="AI351" s="1">
        <f>VLOOKUP(A351,'SegEnds_NonXtal_Prot#'!A:AL,31,FALSE)-VLOOKUP(A351,'SegEnds_NonXtal_Prot#'!A:AL,28,FALSE)</f>
        <v>37</v>
      </c>
      <c r="AJ351" s="1">
        <f>VLOOKUP(A351,'SegEnds_NonXtal_Prot#'!A:AL,34,FALSE)-VLOOKUP(A351,'SegEnds_NonXtal_Prot#'!A:AL,31,FALSE)</f>
        <v>33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4" t="s">
        <v>40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88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4">
        <f>VLOOKUP(A352,'SegEnds_NonXtal_Prot#'!A:AL,10,FALSE)-VLOOKUP(A352,'SegEnds_NonXtal_Prot#'!A:AL,7,FALSE)</f>
        <v>15</v>
      </c>
      <c r="AD352" s="4" t="e">
        <f>VLOOKUP(A352,'SegEnds_NonXtal_Prot#'!A:AL,13,FALSE)-VLOOKUP(A352,'SegEnds_NonXtal_Prot#'!A:AL,10,FALSE)</f>
        <v>#VALUE!</v>
      </c>
      <c r="AE352" s="4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">
        <f>VLOOKUP(A352,'SegEnds_NonXtal_Prot#'!A:AL,28,FALSE)-VLOOKUP(A352,'SegEnds_NonXtal_Prot#'!A:AL,25,FALSE)</f>
        <v>17</v>
      </c>
      <c r="AH352" s="1">
        <f>VLOOKUP(A352,'SegEnds_NonXtal_Prot#'!A:AL,28,FALSE)-VLOOKUP(A352,'SegEnds_NonXtal_Prot#'!A:AL,22,FALSE)</f>
        <v>49</v>
      </c>
      <c r="AI352" s="4">
        <f>VLOOKUP(A352,'SegEnds_NonXtal_Prot#'!A:AL,31,FALSE)-VLOOKUP(A352,'SegEnds_NonXtal_Prot#'!A:AL,28,FALSE)</f>
        <v>37</v>
      </c>
      <c r="AJ352" s="4">
        <f>VLOOKUP(A352,'SegEnds_NonXtal_Prot#'!A:AL,34,FALSE)-VLOOKUP(A352,'SegEnds_NonXtal_Prot#'!A:AL,31,FALSE)</f>
        <v>27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Xtal</v>
      </c>
    </row>
    <row r="353" spans="1:38" x14ac:dyDescent="0.2">
      <c r="A353" s="1" t="s">
        <v>115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17</v>
      </c>
      <c r="AH353" s="1">
        <f>VLOOKUP(A353,'SegEnds_NonXtal_Prot#'!A:AL,28,FALSE)-VLOOKUP(A353,'SegEnds_NonXtal_Prot#'!A:AL,22,FALSE)</f>
        <v>51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31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1" t="s">
        <v>116</v>
      </c>
      <c r="B354" s="1" t="str">
        <f>VLOOKUP(A354,Xtal_Templ!A:B,2,FALSE)</f>
        <v>grm5_human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21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7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1">
        <f>VLOOKUP(A354,'SegEnds_NonXtal_Prot#'!A:AL,10,FALSE)-VLOOKUP(A354,'SegEnds_NonXtal_Prot#'!A:AL,7,FALSE)</f>
        <v>15</v>
      </c>
      <c r="AD354" s="1" t="e">
        <f>VLOOKUP(A354,'SegEnds_NonXtal_Prot#'!A:AL,13,FALSE)-VLOOKUP(A354,'SegEnds_NonXtal_Prot#'!A:AL,10,FALSE)</f>
        <v>#VALUE!</v>
      </c>
      <c r="AE354" s="1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1">
        <f>VLOOKUP(A354,'SegEnds_NonXtal_Prot#'!A:AL,28,FALSE)-VLOOKUP(A354,'SegEnds_NonXtal_Prot#'!A:AL,25,FALSE)</f>
        <v>17</v>
      </c>
      <c r="AH354" s="1">
        <f>VLOOKUP(A354,'SegEnds_NonXtal_Prot#'!A:AL,28,FALSE)-VLOOKUP(A354,'SegEnds_NonXtal_Prot#'!A:AL,22,FALSE)</f>
        <v>51</v>
      </c>
      <c r="AI354" s="1">
        <f>VLOOKUP(A354,'SegEnds_NonXtal_Prot#'!A:AL,31,FALSE)-VLOOKUP(A354,'SegEnds_NonXtal_Prot#'!A:AL,28,FALSE)</f>
        <v>37</v>
      </c>
      <c r="AJ354" s="1">
        <f>VLOOKUP(A354,'SegEnds_NonXtal_Prot#'!A:AL,34,FALSE)-VLOOKUP(A354,'SegEnds_NonXtal_Prot#'!A:AL,31,FALSE)</f>
        <v>31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117</v>
      </c>
      <c r="B355" s="1" t="str">
        <f>VLOOKUP(A355,Xtal_Templ!A:B,2,FALSE)</f>
        <v>grm5_human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21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56</v>
      </c>
      <c r="AI355" s="1">
        <f>VLOOKUP(A355,'SegEnds_NonXtal_Prot#'!A:AL,31,FALSE)-VLOOKUP(A355,'SegEnds_NonXtal_Prot#'!A:AL,28,FALSE)</f>
        <v>37</v>
      </c>
      <c r="AJ355" s="1">
        <f>VLOOKUP(A355,'SegEnds_NonXtal_Prot#'!A:AL,34,FALSE)-VLOOKUP(A355,'SegEnds_NonXtal_Prot#'!A:AL,31,FALSE)</f>
        <v>34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1" t="s">
        <v>41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21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49</v>
      </c>
      <c r="AI356" s="1">
        <f>VLOOKUP(A356,'SegEnds_NonXtal_Prot#'!A:AL,31,FALSE)-VLOOKUP(A356,'SegEnds_NonXtal_Prot#'!A:AL,28,FALSE)</f>
        <v>37</v>
      </c>
      <c r="AJ356" s="1">
        <f>VLOOKUP(A356,'SegEnds_NonXtal_Prot#'!A:AL,34,FALSE)-VLOOKUP(A356,'SegEnds_NonXtal_Prot#'!A:AL,31,FALSE)</f>
        <v>27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Xtal</v>
      </c>
    </row>
    <row r="357" spans="1:38" x14ac:dyDescent="0.2">
      <c r="A357" s="1" t="s">
        <v>118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21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56</v>
      </c>
      <c r="AI357" s="1">
        <f>VLOOKUP(A357,'SegEnds_NonXtal_Prot#'!A:AL,31,FALSE)-VLOOKUP(A357,'SegEnds_NonXtal_Prot#'!A:AL,28,FALSE)</f>
        <v>37</v>
      </c>
      <c r="AJ357" s="1">
        <f>VLOOKUP(A357,'SegEnds_NonXtal_Prot#'!A:AL,34,FALSE)-VLOOKUP(A357,'SegEnds_NonXtal_Prot#'!A:AL,31,FALSE)</f>
        <v>34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119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21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56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34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120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21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56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34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122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18</v>
      </c>
      <c r="AH360" s="1">
        <f>VLOOKUP(A360,'SegEnds_NonXtal_Prot#'!A:AL,28,FALSE)-VLOOKUP(A360,'SegEnds_NonXtal_Prot#'!A:AL,22,FALSE)</f>
        <v>51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29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123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18</v>
      </c>
      <c r="AH361" s="1">
        <f>VLOOKUP(A361,'SegEnds_NonXtal_Prot#'!A:AL,28,FALSE)-VLOOKUP(A361,'SegEnds_NonXtal_Prot#'!A:AL,22,FALSE)</f>
        <v>52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29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124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18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29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4" t="s">
        <v>106</v>
      </c>
      <c r="B363" s="4" t="str">
        <f>VLOOKUP(A363,Xtal_Templ!A:B,2,FALSE)</f>
        <v>grm1_human</v>
      </c>
      <c r="C363" s="5">
        <f>VLOOKUP($B363&amp;"__wt",'SegEnds_Xtal_BW#'!$A:$Z,3,FALSE)</f>
        <v>34</v>
      </c>
      <c r="D363" s="4">
        <f>VLOOKUP($B363&amp;"__wt",'SegEnds_Xtal_BW#'!$A:$Z,4,FALSE)</f>
        <v>60</v>
      </c>
      <c r="E363" s="4">
        <f>VLOOKUP($B363&amp;"__wt",'SegEnds_Xtal_BW#'!$A:$Z,5,FALSE)</f>
        <v>47</v>
      </c>
      <c r="F363" s="4">
        <f>VLOOKUP($B363&amp;"__wt",'SegEnds_Xtal_BW#'!$A:$Z,6,FALSE)</f>
        <v>53</v>
      </c>
      <c r="G363" s="4">
        <v>39</v>
      </c>
      <c r="H363" s="11">
        <f>VLOOKUP($B363&amp;"__wt",'SegEnds_Xtal_BW#'!$A:$Z,8,FALSE)</f>
        <v>61</v>
      </c>
      <c r="I363" s="4" t="str">
        <f>VLOOKUP($B363&amp;"__wt",'SegEnds_Xtal_BW#'!$A:$Z,9,FALSE)</f>
        <v>-</v>
      </c>
      <c r="J363" s="4" t="str">
        <f>VLOOKUP($B363&amp;"__wt",'SegEnds_Xtal_BW#'!$A:$Z,10,FALSE)</f>
        <v>-</v>
      </c>
      <c r="K363" s="11">
        <f>VLOOKUP($B363&amp;"__wt",'SegEnds_Xtal_BW#'!$A:$Z,11,FALSE)</f>
        <v>22</v>
      </c>
      <c r="L363" s="4">
        <f>VLOOKUP($B363&amp;"__wt",'SegEnds_Xtal_BW#'!$A:$Z,12,FALSE)</f>
        <v>54</v>
      </c>
      <c r="M363" s="4" t="str">
        <f>VLOOKUP($B363&amp;"__wt",'SegEnds_Xtal_BW#'!$A:$Z,13,FALSE)</f>
        <v>-</v>
      </c>
      <c r="N363" s="11" t="str">
        <f>VLOOKUP($B363&amp;"__wt",'SegEnds_Xtal_BW#'!$A:$Z,14,FALSE)</f>
        <v>-</v>
      </c>
      <c r="O363" s="88">
        <f>VLOOKUP($B363&amp;"__wt",'SegEnds_Xtal_BW#'!$A:$Z,15,FALSE)</f>
        <v>38</v>
      </c>
      <c r="P363" s="4">
        <f>VLOOKUP($B363&amp;"__wt",'SegEnds_Xtal_BW#'!$A:$Z,16,FALSE)</f>
        <v>64</v>
      </c>
      <c r="Q363" s="4">
        <f>VLOOKUP($B363&amp;"__wt",'SegEnds_Xtal_BW#'!$A:$Z,17,FALSE)</f>
        <v>50</v>
      </c>
      <c r="R363" s="4">
        <f>VLOOKUP($B363&amp;"__wt",'SegEnds_Xtal_BW#'!$A:$Z,18,FALSE)</f>
        <v>52</v>
      </c>
      <c r="S363" s="4">
        <f>VLOOKUP($B363&amp;"__wt",'SegEnds_Xtal_BW#'!$A:$Z,19,FALSE)</f>
        <v>36</v>
      </c>
      <c r="T363" s="4">
        <f>VLOOKUP($B363&amp;"__wt",'SegEnds_Xtal_BW#'!$A:$Z,20,FALSE)</f>
        <v>61</v>
      </c>
      <c r="U363" s="4">
        <f>VLOOKUP($B363&amp;"__wt",'SegEnds_Xtal_BW#'!$A:$Z,21,FALSE)</f>
        <v>33</v>
      </c>
      <c r="V363" s="4">
        <f>VLOOKUP($B363&amp;"__wt",'SegEnds_Xtal_BW#'!$A:$Z,22,FALSE)</f>
        <v>57</v>
      </c>
      <c r="W363" s="4">
        <f>VLOOKUP($B363&amp;"__wt",'SegEnds_Xtal_BW#'!$A:$Z,23,FALSE)</f>
        <v>33</v>
      </c>
      <c r="X363" s="4">
        <f>VLOOKUP($B363&amp;"__wt",'SegEnds_Xtal_BW#'!$A:$Z,24,FALSE)</f>
        <v>64</v>
      </c>
      <c r="Y363" s="4">
        <f>VLOOKUP($B363&amp;"__wt",'SegEnds_Xtal_BW#'!$A:$Z,25,FALSE)</f>
        <v>46</v>
      </c>
      <c r="Z363" s="4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4">
        <f>VLOOKUP(A363,'SegEnds_NonXtal_Prot#'!A:AL,10,FALSE)-VLOOKUP(A363,'SegEnds_NonXtal_Prot#'!A:AL,7,FALSE)</f>
        <v>15</v>
      </c>
      <c r="AD363" s="4" t="e">
        <f>VLOOKUP(A363,'SegEnds_NonXtal_Prot#'!A:AL,13,FALSE)-VLOOKUP(A363,'SegEnds_NonXtal_Prot#'!A:AL,10,FALSE)</f>
        <v>#VALUE!</v>
      </c>
      <c r="AE363" s="4">
        <f>VLOOKUP(A363,'SegEnds_NonXtal_Prot#'!A:AL,16,FALSE)-VLOOKUP(A363,'SegEnds_NonXtal_Prot#'!A:AL,10,FALSE)</f>
        <v>51</v>
      </c>
      <c r="AF363" s="1" t="e">
        <f>VLOOKUP(A363,'SegEnds_NonXtal_Prot#'!A:AL,22,FALSE)-VLOOKUP(A363,'SegEnds_NonXtal_Prot#'!A:AL,19,FALSE)</f>
        <v>#VALUE!</v>
      </c>
      <c r="AG363" s="4">
        <f>VLOOKUP(A363,'SegEnds_NonXtal_Prot#'!A:AL,28,FALSE)-VLOOKUP(A363,'SegEnds_NonXtal_Prot#'!A:AL,25,FALSE)</f>
        <v>19</v>
      </c>
      <c r="AH363" s="1">
        <f>VLOOKUP(A363,'SegEnds_NonXtal_Prot#'!A:AL,28,FALSE)-VLOOKUP(A363,'SegEnds_NonXtal_Prot#'!A:AL,22,FALSE)</f>
        <v>62</v>
      </c>
      <c r="AI363" s="4">
        <f>VLOOKUP(A363,'SegEnds_NonXtal_Prot#'!A:AL,31,FALSE)-VLOOKUP(A363,'SegEnds_NonXtal_Prot#'!A:AL,28,FALSE)</f>
        <v>38</v>
      </c>
      <c r="AJ363" s="4">
        <f>VLOOKUP(A363,'SegEnds_NonXtal_Prot#'!A:AL,34,FALSE)-VLOOKUP(A363,'SegEnds_NonXtal_Prot#'!A:AL,31,FALSE)</f>
        <v>31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107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51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19</v>
      </c>
      <c r="AH364" s="1">
        <f>VLOOKUP(A364,'SegEnds_NonXtal_Prot#'!A:AL,28,FALSE)-VLOOKUP(A364,'SegEnds_NonXtal_Prot#'!A:AL,22,FALSE)</f>
        <v>62</v>
      </c>
      <c r="AI364" s="1">
        <f>VLOOKUP(A364,'SegEnds_NonXtal_Prot#'!A:AL,31,FALSE)-VLOOKUP(A364,'SegEnds_NonXtal_Prot#'!A:AL,28,FALSE)</f>
        <v>38</v>
      </c>
      <c r="AJ364" s="1">
        <f>VLOOKUP(A364,'SegEnds_NonXtal_Prot#'!A:AL,34,FALSE)-VLOOKUP(A364,'SegEnds_NonXtal_Prot#'!A:AL,31,FALSE)</f>
        <v>31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108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50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19</v>
      </c>
      <c r="AH365" s="1">
        <f>VLOOKUP(A365,'SegEnds_NonXtal_Prot#'!A:AL,28,FALSE)-VLOOKUP(A365,'SegEnds_NonXtal_Prot#'!A:AL,22,FALSE)</f>
        <v>62</v>
      </c>
      <c r="AI365" s="1">
        <f>VLOOKUP(A365,'SegEnds_NonXtal_Prot#'!A:AL,31,FALSE)-VLOOKUP(A365,'SegEnds_NonXtal_Prot#'!A:AL,28,FALSE)</f>
        <v>39</v>
      </c>
      <c r="AJ365" s="1">
        <f>VLOOKUP(A365,'SegEnds_NonXtal_Prot#'!A:AL,34,FALSE)-VLOOKUP(A365,'SegEnds_NonXtal_Prot#'!A:AL,31,FALSE)</f>
        <v>30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4" t="s">
        <v>111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88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36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33</v>
      </c>
      <c r="X366" s="4">
        <f>VLOOKUP($B366&amp;"__wt",'SegEnds_Xtal_BW#'!$A:$Z,24,FALSE)</f>
        <v>64</v>
      </c>
      <c r="Y366" s="4">
        <f>VLOOKUP($B366&amp;"__wt",'SegEnds_Xtal_BW#'!$A:$Z,25,FALSE)</f>
        <v>46</v>
      </c>
      <c r="Z366" s="4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33</v>
      </c>
      <c r="AC366" s="4">
        <f>VLOOKUP(A366,'SegEnds_NonXtal_Prot#'!A:AL,10,FALSE)-VLOOKUP(A366,'SegEnds_NonXtal_Prot#'!A:AL,7,FALSE)</f>
        <v>19</v>
      </c>
      <c r="AD366" s="4" t="e">
        <f>VLOOKUP(A366,'SegEnds_NonXtal_Prot#'!A:AL,13,FALSE)-VLOOKUP(A366,'SegEnds_NonXtal_Prot#'!A:AL,10,FALSE)</f>
        <v>#VALUE!</v>
      </c>
      <c r="AE366" s="4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4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40</v>
      </c>
      <c r="AI366" s="4">
        <f>VLOOKUP(A366,'SegEnds_NonXtal_Prot#'!A:AL,31,FALSE)-VLOOKUP(A366,'SegEnds_NonXtal_Prot#'!A:AL,28,FALSE)</f>
        <v>39</v>
      </c>
      <c r="AJ366" s="4">
        <f>VLOOKUP(A366,'SegEnds_NonXtal_Prot#'!A:AL,34,FALSE)-VLOOKUP(A366,'SegEnds_NonXtal_Prot#'!A:AL,31,FALSE)</f>
        <v>35</v>
      </c>
      <c r="AK366" s="1">
        <f>VLOOKUP(A366,'SegEnds_NonXtal_Prot#'!A:AL,37,FALSE)-VLOOKUP(A366,'SegEnds_NonXtal_Prot#'!A:AL,34,FALSE)</f>
        <v>20</v>
      </c>
      <c r="AL366" s="1" t="str">
        <f>IF(ISERROR(MATCH(A366,'SegEnds_Xtal_Prot#'!B:B, 0)), "NoXtal", "Xtal")</f>
        <v>NoXtal</v>
      </c>
    </row>
    <row r="367" spans="1:38" x14ac:dyDescent="0.2">
      <c r="A367" s="1" t="s">
        <v>112</v>
      </c>
      <c r="B367" s="1" t="str">
        <f>VLOOKUP(A367,Xtal_Templ!A:B,2,FALSE)</f>
        <v>grm1_human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33</v>
      </c>
      <c r="AC367" s="1">
        <f>VLOOKUP(A367,'SegEnds_NonXtal_Prot#'!A:AL,10,FALSE)-VLOOKUP(A367,'SegEnds_NonXtal_Prot#'!A:AL,7,FALSE)</f>
        <v>19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55</v>
      </c>
      <c r="AI367" s="1">
        <f>VLOOKUP(A367,'SegEnds_NonXtal_Prot#'!A:AL,31,FALSE)-VLOOKUP(A367,'SegEnds_NonXtal_Prot#'!A:AL,28,FALSE)</f>
        <v>39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20</v>
      </c>
      <c r="AL367" s="1" t="str">
        <f>IF(ISERROR(MATCH(A367,'SegEnds_Xtal_Prot#'!B:B, 0)), "NoXtal", "Xtal")</f>
        <v>NoXtal</v>
      </c>
    </row>
    <row r="368" spans="1:38" x14ac:dyDescent="0.2">
      <c r="A368" s="4" t="s">
        <v>113</v>
      </c>
      <c r="B368" s="4" t="str">
        <f>VLOOKUP(A368,Xtal_Templ!A:B,2,FALSE)</f>
        <v>grm1_human</v>
      </c>
      <c r="C368" s="5">
        <f>VLOOKUP($B368&amp;"__wt",'SegEnds_Xtal_BW#'!$A:$Z,3,FALSE)</f>
        <v>34</v>
      </c>
      <c r="D368" s="4">
        <f>VLOOKUP($B368&amp;"__wt",'SegEnds_Xtal_BW#'!$A:$Z,4,FALSE)</f>
        <v>60</v>
      </c>
      <c r="E368" s="4">
        <f>VLOOKUP($B368&amp;"__wt",'SegEnds_Xtal_BW#'!$A:$Z,5,FALSE)</f>
        <v>47</v>
      </c>
      <c r="F368" s="4">
        <f>VLOOKUP($B368&amp;"__wt",'SegEnds_Xtal_BW#'!$A:$Z,6,FALSE)</f>
        <v>53</v>
      </c>
      <c r="G368" s="4">
        <v>39</v>
      </c>
      <c r="H368" s="11">
        <f>VLOOKUP($B368&amp;"__wt",'SegEnds_Xtal_BW#'!$A:$Z,8,FALSE)</f>
        <v>61</v>
      </c>
      <c r="I368" s="4" t="str">
        <f>VLOOKUP($B368&amp;"__wt",'SegEnds_Xtal_BW#'!$A:$Z,9,FALSE)</f>
        <v>-</v>
      </c>
      <c r="J368" s="4" t="str">
        <f>VLOOKUP($B368&amp;"__wt",'SegEnds_Xtal_BW#'!$A:$Z,10,FALSE)</f>
        <v>-</v>
      </c>
      <c r="K368" s="11">
        <f>VLOOKUP($B368&amp;"__wt",'SegEnds_Xtal_BW#'!$A:$Z,11,FALSE)</f>
        <v>22</v>
      </c>
      <c r="L368" s="4">
        <f>VLOOKUP($B368&amp;"__wt",'SegEnds_Xtal_BW#'!$A:$Z,12,FALSE)</f>
        <v>54</v>
      </c>
      <c r="M368" s="4" t="str">
        <f>VLOOKUP($B368&amp;"__wt",'SegEnds_Xtal_BW#'!$A:$Z,13,FALSE)</f>
        <v>-</v>
      </c>
      <c r="N368" s="11" t="str">
        <f>VLOOKUP($B368&amp;"__wt",'SegEnds_Xtal_BW#'!$A:$Z,14,FALSE)</f>
        <v>-</v>
      </c>
      <c r="O368" s="88">
        <f>VLOOKUP($B368&amp;"__wt",'SegEnds_Xtal_BW#'!$A:$Z,15,FALSE)</f>
        <v>38</v>
      </c>
      <c r="P368" s="4">
        <f>VLOOKUP($B368&amp;"__wt",'SegEnds_Xtal_BW#'!$A:$Z,16,FALSE)</f>
        <v>64</v>
      </c>
      <c r="Q368" s="4">
        <f>VLOOKUP($B368&amp;"__wt",'SegEnds_Xtal_BW#'!$A:$Z,17,FALSE)</f>
        <v>50</v>
      </c>
      <c r="R368" s="4">
        <f>VLOOKUP($B368&amp;"__wt",'SegEnds_Xtal_BW#'!$A:$Z,18,FALSE)</f>
        <v>52</v>
      </c>
      <c r="S368" s="4">
        <f>VLOOKUP($B368&amp;"__wt",'SegEnds_Xtal_BW#'!$A:$Z,19,FALSE)</f>
        <v>36</v>
      </c>
      <c r="T368" s="4">
        <f>VLOOKUP($B368&amp;"__wt",'SegEnds_Xtal_BW#'!$A:$Z,20,FALSE)</f>
        <v>61</v>
      </c>
      <c r="U368" s="4">
        <f>VLOOKUP($B368&amp;"__wt",'SegEnds_Xtal_BW#'!$A:$Z,21,FALSE)</f>
        <v>33</v>
      </c>
      <c r="V368" s="4">
        <f>VLOOKUP($B368&amp;"__wt",'SegEnds_Xtal_BW#'!$A:$Z,22,FALSE)</f>
        <v>57</v>
      </c>
      <c r="W368" s="4">
        <f>VLOOKUP($B368&amp;"__wt",'SegEnds_Xtal_BW#'!$A:$Z,23,FALSE)</f>
        <v>33</v>
      </c>
      <c r="X368" s="4">
        <f>VLOOKUP($B368&amp;"__wt",'SegEnds_Xtal_BW#'!$A:$Z,24,FALSE)</f>
        <v>64</v>
      </c>
      <c r="Y368" s="4">
        <f>VLOOKUP($B368&amp;"__wt",'SegEnds_Xtal_BW#'!$A:$Z,25,FALSE)</f>
        <v>46</v>
      </c>
      <c r="Z368" s="4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4">
        <f>VLOOKUP(A368,'SegEnds_NonXtal_Prot#'!A:AL,10,FALSE)-VLOOKUP(A368,'SegEnds_NonXtal_Prot#'!A:AL,7,FALSE)</f>
        <v>19</v>
      </c>
      <c r="AD368" s="4" t="e">
        <f>VLOOKUP(A368,'SegEnds_NonXtal_Prot#'!A:AL,13,FALSE)-VLOOKUP(A368,'SegEnds_NonXtal_Prot#'!A:AL,10,FALSE)</f>
        <v>#VALUE!</v>
      </c>
      <c r="AE368" s="4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4">
        <f>VLOOKUP(A368,'SegEnds_NonXtal_Prot#'!A:AL,28,FALSE)-VLOOKUP(A368,'SegEnds_NonXtal_Prot#'!A:AL,25,FALSE)</f>
        <v>16</v>
      </c>
      <c r="AH368" s="1">
        <f>VLOOKUP(A368,'SegEnds_NonXtal_Prot#'!A:AL,28,FALSE)-VLOOKUP(A368,'SegEnds_NonXtal_Prot#'!A:AL,22,FALSE)</f>
        <v>43</v>
      </c>
      <c r="AI368" s="4">
        <f>VLOOKUP(A368,'SegEnds_NonXtal_Prot#'!A:AL,31,FALSE)-VLOOKUP(A368,'SegEnds_NonXtal_Prot#'!A:AL,28,FALSE)</f>
        <v>39</v>
      </c>
      <c r="AJ368" s="4">
        <f>VLOOKUP(A368,'SegEnds_NonXtal_Prot#'!A:AL,34,FALSE)-VLOOKUP(A368,'SegEnds_NonXtal_Prot#'!A:AL,31,FALSE)</f>
        <v>35</v>
      </c>
      <c r="AK368" s="1">
        <f>VLOOKUP(A368,'SegEnds_NonXtal_Prot#'!A:AL,37,FALSE)-VLOOKUP(A368,'SegEnds_NonXtal_Prot#'!A:AL,34,FALSE)</f>
        <v>21</v>
      </c>
      <c r="AL368" s="1" t="str">
        <f>IF(ISERROR(MATCH(A368,'SegEnds_Xtal_Prot#'!B:B, 0)), "NoXtal", "Xtal")</f>
        <v>NoXtal</v>
      </c>
    </row>
    <row r="369" spans="1:38" x14ac:dyDescent="0.2">
      <c r="A369" s="1" t="s">
        <v>121</v>
      </c>
      <c r="B369" s="1" t="str">
        <f>VLOOKUP(A369,Xtal_Templ!A:B,2,FALSE)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33</v>
      </c>
      <c r="AC369" s="1">
        <f>VLOOKUP(A369,'SegEnds_NonXtal_Prot#'!A:AL,10,FALSE)-VLOOKUP(A369,'SegEnds_NonXtal_Prot#'!A:AL,7,FALSE)</f>
        <v>19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 t="e">
        <f>VLOOKUP(A369,'SegEnds_NonXtal_Prot#'!A:AL,28,FALSE)-VLOOKUP(A369,'SegEnds_NonXtal_Prot#'!A:AL,25,FALSE)</f>
        <v>#VALUE!</v>
      </c>
      <c r="AH369" s="1">
        <f>VLOOKUP(A369,'SegEnds_NonXtal_Prot#'!A:AL,28,FALSE)-VLOOKUP(A369,'SegEnds_NonXtal_Prot#'!A:AL,22,FALSE)</f>
        <v>45</v>
      </c>
      <c r="AI369" s="1">
        <f>VLOOKUP(A369,'SegEnds_NonXtal_Prot#'!A:AL,31,FALSE)-VLOOKUP(A369,'SegEnds_NonXtal_Prot#'!A:AL,28,FALSE)</f>
        <v>39</v>
      </c>
      <c r="AJ369" s="1">
        <f>VLOOKUP(A369,'SegEnds_NonXtal_Prot#'!A:AL,34,FALSE)-VLOOKUP(A369,'SegEnds_NonXtal_Prot#'!A:AL,31,FALSE)</f>
        <v>31</v>
      </c>
      <c r="AK369" s="1">
        <f>VLOOKUP(A369,'SegEnds_NonXtal_Prot#'!A:AL,37,FALSE)-VLOOKUP(A369,'SegEnds_NonXtal_Prot#'!A:AL,34,FALSE)</f>
        <v>21</v>
      </c>
      <c r="AL369" s="1" t="str">
        <f>IF(ISERROR(MATCH(A369,'SegEnds_Xtal_Prot#'!B:B, 0)), "NoXtal", "Xtal")</f>
        <v>NoXtal</v>
      </c>
    </row>
    <row r="370" spans="1:38" x14ac:dyDescent="0.2">
      <c r="A370" s="1" t="s">
        <v>446</v>
      </c>
      <c r="B370" s="1" t="str">
        <f>VLOOKUP(A370,Xtal_Templ!A:B,2,FALSE)</f>
        <v>fzd4_human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66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22</v>
      </c>
      <c r="L370" s="1">
        <f>VLOOKUP($B370&amp;"__wt",'SegEnds_Xtal_BW#'!$A:$Z,12,FALSE)</f>
        <v>55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41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28</v>
      </c>
      <c r="V370" s="108">
        <v>78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67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62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NoXtal</v>
      </c>
    </row>
    <row r="371" spans="1:38" x14ac:dyDescent="0.2">
      <c r="A371" s="1" t="s">
        <v>447</v>
      </c>
      <c r="B371" s="1" t="str">
        <f>VLOOKUP(A371,Xtal_Templ!A:B,2,FALSE)</f>
        <v>fzd4_human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66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55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41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28</v>
      </c>
      <c r="V371" s="108"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66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56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448</v>
      </c>
      <c r="B372" s="1" t="str">
        <f>VLOOKUP(A372,Xtal_Templ!A:B,2,FALSE)</f>
        <v>fzd4_human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66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22</v>
      </c>
      <c r="L372" s="1">
        <f>VLOOKUP($B372&amp;"__wt",'SegEnds_Xtal_BW#'!$A:$Z,12,FALSE)</f>
        <v>55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41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28</v>
      </c>
      <c r="V372" s="108"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67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55</v>
      </c>
      <c r="AJ372" s="1">
        <f>VLOOKUP(A372,'SegEnds_NonXtal_Prot#'!A:AL,34,FALSE)-VLOOKUP(A372,'SegEnds_NonXtal_Prot#'!A:AL,31,FALSE)</f>
        <v>55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449</v>
      </c>
      <c r="B373" s="1" t="str">
        <f>VLOOKUP(A373,Xtal_Templ!A:B,2,FALSE)</f>
        <v>fzd4_human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66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22</v>
      </c>
      <c r="L373" s="1">
        <f>VLOOKUP($B373&amp;"__wt",'SegEnds_Xtal_BW#'!$A:$Z,12,FALSE)</f>
        <v>55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41</v>
      </c>
      <c r="P373" s="1">
        <f>VLOOKUP($B373&amp;"__wt",'SegEnds_Xtal_BW#'!$A:$Z,16,FALSE)</f>
        <v>64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28</v>
      </c>
      <c r="V373" s="108"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68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450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">
        <f>VLOOKUP($B374&amp;"__wt",'SegEnds_Xtal_BW#'!$A:$Z,22,FALSE)</f>
        <v>58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36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Xtal</v>
      </c>
    </row>
    <row r="375" spans="1:38" x14ac:dyDescent="0.2">
      <c r="A375" s="1" t="s">
        <v>451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08"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64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49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452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08"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68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453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08"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67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455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08"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66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58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454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08"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103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57</v>
      </c>
      <c r="AJ379" s="1">
        <f>VLOOKUP(A379,'SegEnds_NonXtal_Prot#'!A:AL,34,FALSE)-VLOOKUP(A379,'SegEnds_NonXtal_Prot#'!A:AL,31,FALSE)</f>
        <v>49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22" t="s">
        <v>1495</v>
      </c>
      <c r="B380" s="1" t="str">
        <f>VLOOKUP(A380,Xtal_Templ!A:B,2,FALSE)</f>
        <v>q98sw5_xenla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40</v>
      </c>
      <c r="H380" s="12">
        <f>VLOOKUP($B380&amp;"__wt",'SegEnds_Xtal_BW#'!$A:$Z,8,FALSE)</f>
        <v>61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81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27</v>
      </c>
      <c r="AC380" s="1">
        <f>VLOOKUP(A380,'SegEnds_NonXtal_Prot#'!A:AL,10,FALSE)-VLOOKUP(A380,'SegEnds_NonXtal_Prot#'!A:AL,7,FALSE)</f>
        <v>13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57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33</v>
      </c>
      <c r="B381" s="1" t="str">
        <f>VLOOKUP(A381,Xtal_Templ!A:B,2,FALSE)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56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482</v>
      </c>
      <c r="B382" s="1" t="str">
        <f>VLOOKUP(A382,Xtal_Templ!A:B,2,FALSE)</f>
        <v>ccr9_human</v>
      </c>
      <c r="C382" s="5">
        <f>VLOOKUP($B382&amp;"__wt",'SegEnds_Xtal_BW#'!$A:$Z,3,FALSE)</f>
        <v>27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"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49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74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81</v>
      </c>
      <c r="AI382" s="1">
        <f>VLOOKUP(A382,'SegEnds_NonXtal_Prot#'!A:AL,31,FALSE)-VLOOKUP(A382,'SegEnds_NonXtal_Prot#'!A:AL,28,FALSE)</f>
        <v>37</v>
      </c>
      <c r="AJ382" s="1">
        <f>VLOOKUP(A382,'SegEnds_NonXtal_Prot#'!A:AL,34,FALSE)-VLOOKUP(A382,'SegEnds_NonXtal_Prot#'!A:AL,31,FALSE)</f>
        <v>44</v>
      </c>
      <c r="AK382" s="1">
        <f>VLOOKUP(A382,'SegEnds_NonXtal_Prot#'!A:AL,37,FALSE)-VLOOKUP(A382,'SegEnds_NonXtal_Prot#'!A:AL,34,FALSE)</f>
        <v>11</v>
      </c>
      <c r="AL382" s="1" t="str">
        <f>IF(ISERROR(MATCH(A382,'SegEnds_Xtal_Prot#'!B:B, 0)), "NoXtal", "Xtal")</f>
        <v>NoXtal</v>
      </c>
    </row>
    <row r="383" spans="1:38" x14ac:dyDescent="0.2">
      <c r="A383" s="4" t="s">
        <v>485</v>
      </c>
      <c r="B383" s="4" t="str">
        <f>VLOOKUP(A383,Xtal_Templ!A:B,2,FALSE)</f>
        <v>aa2ar_human</v>
      </c>
      <c r="C383" s="5">
        <f>VLOOKUP($B383&amp;"__wt",'SegEnds_Xtal_BW#'!$A:$Z,3,FALSE)</f>
        <v>27</v>
      </c>
      <c r="D383" s="4">
        <v>60</v>
      </c>
      <c r="E383" s="4" t="s">
        <v>23</v>
      </c>
      <c r="F383" s="4" t="s">
        <v>23</v>
      </c>
      <c r="G383" s="4">
        <v>39</v>
      </c>
      <c r="H383" s="11">
        <v>63</v>
      </c>
      <c r="I383" s="4" t="s">
        <v>23</v>
      </c>
      <c r="J383" s="4" t="s">
        <v>23</v>
      </c>
      <c r="K383" s="11">
        <v>23</v>
      </c>
      <c r="L383" s="4">
        <v>56</v>
      </c>
      <c r="M383" s="4" t="s">
        <v>23</v>
      </c>
      <c r="N383" s="11" t="s">
        <v>23</v>
      </c>
      <c r="O383" s="88">
        <v>40</v>
      </c>
      <c r="P383" s="4">
        <v>64</v>
      </c>
      <c r="Q383" s="4" t="s">
        <v>23</v>
      </c>
      <c r="R383" s="4" t="s">
        <v>23</v>
      </c>
      <c r="S383" s="4">
        <v>39</v>
      </c>
      <c r="T383" s="4">
        <v>61</v>
      </c>
      <c r="U383" s="4">
        <v>29</v>
      </c>
      <c r="V383" s="4">
        <v>53</v>
      </c>
      <c r="W383" s="4">
        <v>35</v>
      </c>
      <c r="X383" s="4">
        <v>56</v>
      </c>
      <c r="Y383" s="4">
        <v>47</v>
      </c>
      <c r="Z383" s="4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36</v>
      </c>
      <c r="AC383" s="4" t="e">
        <f>VLOOKUP(A383,'SegEnds_NonXtal_Prot#'!A:AL,10,FALSE)-VLOOKUP(A383,'SegEnds_NonXtal_Prot#'!A:AL,7,FALSE)</f>
        <v>#VALUE!</v>
      </c>
      <c r="AD383" s="4" t="e">
        <f>VLOOKUP(A383,'SegEnds_NonXtal_Prot#'!A:AL,13,FALSE)-VLOOKUP(A383,'SegEnds_NonXtal_Prot#'!A:AL,10,FALSE)</f>
        <v>#VALUE!</v>
      </c>
      <c r="AE383" s="4">
        <f>VLOOKUP(A383,'SegEnds_NonXtal_Prot#'!A:AL,16,FALSE)-VLOOKUP(A383,'SegEnds_NonXtal_Prot#'!A:AL,10,FALSE)</f>
        <v>63</v>
      </c>
      <c r="AF383" s="1" t="e">
        <f>VLOOKUP(A383,'SegEnds_NonXtal_Prot#'!A:AL,22,FALSE)-VLOOKUP(A383,'SegEnds_NonXtal_Prot#'!A:AL,19,FALSE)</f>
        <v>#VALUE!</v>
      </c>
      <c r="AG383" s="4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39</v>
      </c>
      <c r="AI383" s="4">
        <f>VLOOKUP(A383,'SegEnds_NonXtal_Prot#'!A:AL,31,FALSE)-VLOOKUP(A383,'SegEnds_NonXtal_Prot#'!A:AL,28,FALSE)</f>
        <v>58</v>
      </c>
      <c r="AJ383" s="4">
        <f>VLOOKUP(A383,'SegEnds_NonXtal_Prot#'!A:AL,34,FALSE)-VLOOKUP(A383,'SegEnds_NonXtal_Prot#'!A:AL,31,FALSE)</f>
        <v>49</v>
      </c>
      <c r="AK383" s="1">
        <f>VLOOKUP(A383,'SegEnds_NonXtal_Prot#'!A:AL,37,FALSE)-VLOOKUP(A383,'SegEnds_NonXtal_Prot#'!A:AL,34,FALSE)</f>
        <v>10</v>
      </c>
      <c r="AL383" s="1" t="str">
        <f>IF(ISERROR(MATCH(A383,'SegEnds_Xtal_Prot#'!B:B, 0)), "NoXtal", "Xtal")</f>
        <v>NoXtal</v>
      </c>
    </row>
    <row r="384" spans="1:38" x14ac:dyDescent="0.2">
      <c r="A384" s="1" t="s">
        <v>486</v>
      </c>
      <c r="B384" s="1" t="str">
        <f>VLOOKUP(A384,Xtal_Templ!A:B,2,FALSE)</f>
        <v>5ht2c_human</v>
      </c>
      <c r="C384" s="5">
        <f>VLOOKUP($B384&amp;"__wt",'SegEnds_Xtal_BW#'!$A:$Z,3,FALSE)</f>
        <v>33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7">
        <v>40</v>
      </c>
      <c r="P384" s="1"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28</v>
      </c>
      <c r="AC384" s="1" t="e">
        <f>VLOOKUP(A384,'SegEnds_NonXtal_Prot#'!A:AL,10,FALSE)-VLOOKUP(A384,'SegEnds_NonXtal_Prot#'!A:AL,7,FALSE)</f>
        <v>#VALUE!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47</v>
      </c>
      <c r="AF384" s="1" t="e">
        <f>VLOOKUP(A384,'SegEnds_NonXtal_Prot#'!A:AL,22,FALSE)-VLOOKUP(A384,'SegEnds_NonXtal_Prot#'!A:AL,19,FALSE)</f>
        <v>#VALUE!</v>
      </c>
      <c r="AG384" s="1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29</v>
      </c>
      <c r="AI384" s="1">
        <f>VLOOKUP(A384,'SegEnds_NonXtal_Prot#'!A:AL,31,FALSE)-VLOOKUP(A384,'SegEnds_NonXtal_Prot#'!A:AL,28,FALSE)</f>
        <v>67</v>
      </c>
      <c r="AJ384" s="1">
        <f>VLOOKUP(A384,'SegEnds_NonXtal_Prot#'!A:AL,34,FALSE)-VLOOKUP(A384,'SegEnds_NonXtal_Prot#'!A:AL,31,FALSE)</f>
        <v>45</v>
      </c>
      <c r="AK384" s="1">
        <f>VLOOKUP(A384,'SegEnds_NonXtal_Prot#'!A:AL,37,FALSE)-VLOOKUP(A384,'SegEnds_NonXtal_Prot#'!A:AL,34,FALSE)</f>
        <v>18</v>
      </c>
      <c r="AL384" s="1" t="str">
        <f>IF(ISERROR(MATCH(A384,'SegEnds_Xtal_Prot#'!B:B, 0)), "NoXtal", "Xtal")</f>
        <v>NoXtal</v>
      </c>
    </row>
    <row r="385" spans="1:38" x14ac:dyDescent="0.2">
      <c r="A385" s="1" t="s">
        <v>484</v>
      </c>
      <c r="B385" s="1" t="str">
        <f>VLOOKUP(A385,Xtal_Templ!A:B,2,FALSE)</f>
        <v>pe2r4_human</v>
      </c>
      <c r="C385" s="5">
        <f>VLOOKUP($B385&amp;"__wt",'SegEnds_Xtal_BW#'!$A:$Z,3,FALSE)</f>
        <v>33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08">
        <v>61</v>
      </c>
      <c r="Q385" s="1" t="s">
        <v>23</v>
      </c>
      <c r="R385" s="1" t="s">
        <v>23</v>
      </c>
      <c r="S385" s="108">
        <v>40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32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45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25</v>
      </c>
      <c r="AI385" s="1">
        <f>VLOOKUP(A385,'SegEnds_NonXtal_Prot#'!A:AL,31,FALSE)-VLOOKUP(A385,'SegEnds_NonXtal_Prot#'!A:AL,28,FALSE)</f>
        <v>76</v>
      </c>
      <c r="AJ385" s="1">
        <f>VLOOKUP(A385,'SegEnds_NonXtal_Prot#'!A:AL,34,FALSE)-VLOOKUP(A385,'SegEnds_NonXtal_Prot#'!A:AL,31,FALSE)</f>
        <v>36</v>
      </c>
      <c r="AK385" s="1">
        <f>VLOOKUP(A385,'SegEnds_NonXtal_Prot#'!A:AL,37,FALSE)-VLOOKUP(A385,'SegEnds_NonXtal_Prot#'!A:AL,34,FALSE)</f>
        <v>24</v>
      </c>
      <c r="AL385" s="1" t="str">
        <f>IF(ISERROR(MATCH(A385,'SegEnds_Xtal_Prot#'!B:B, 0)), "NoXtal", "Xtal")</f>
        <v>NoXtal</v>
      </c>
    </row>
    <row r="386" spans="1:38" x14ac:dyDescent="0.2">
      <c r="A386" s="1" t="s">
        <v>481</v>
      </c>
      <c r="B386" s="1" t="str">
        <f>VLOOKUP(A386,Xtal_Templ!A:B,2,FALSE)</f>
        <v>agtr1_human</v>
      </c>
      <c r="C386" s="5">
        <f>VLOOKUP($B386&amp;"__wt",'SegEnds_Xtal_BW#'!$A:$Z,3,FALSE)</f>
        <v>28</v>
      </c>
      <c r="D386" s="1">
        <v>60</v>
      </c>
      <c r="E386" s="1" t="s">
        <v>23</v>
      </c>
      <c r="F386" s="1" t="s">
        <v>23</v>
      </c>
      <c r="G386" s="1">
        <v>39</v>
      </c>
      <c r="H386" s="12">
        <v>63</v>
      </c>
      <c r="I386" s="1" t="s">
        <v>23</v>
      </c>
      <c r="J386" s="1" t="s">
        <v>23</v>
      </c>
      <c r="K386" s="12">
        <v>23</v>
      </c>
      <c r="L386" s="1">
        <v>56</v>
      </c>
      <c r="M386" s="1" t="s">
        <v>23</v>
      </c>
      <c r="N386" s="12" t="s">
        <v>23</v>
      </c>
      <c r="O386" s="87">
        <v>40</v>
      </c>
      <c r="P386" s="1">
        <f>VLOOKUP($B386&amp;"__wt",'SegEnds_Xtal_BW#'!$A:$Z,16,FALSE)</f>
        <v>64</v>
      </c>
      <c r="Q386" s="1" t="s">
        <v>23</v>
      </c>
      <c r="R386" s="1" t="s">
        <v>23</v>
      </c>
      <c r="S386" s="1">
        <v>39</v>
      </c>
      <c r="T386" s="1">
        <v>61</v>
      </c>
      <c r="U386" s="1">
        <v>29</v>
      </c>
      <c r="V386" s="1">
        <v>53</v>
      </c>
      <c r="W386" s="1">
        <v>35</v>
      </c>
      <c r="X386" s="1">
        <v>56</v>
      </c>
      <c r="Y386" s="1">
        <v>47</v>
      </c>
      <c r="Z386" s="1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18</v>
      </c>
      <c r="AC386" s="1" t="e">
        <f>VLOOKUP(A386,'SegEnds_NonXtal_Prot#'!A:AL,10,FALSE)-VLOOKUP(A386,'SegEnds_NonXtal_Prot#'!A:AL,7,FALSE)</f>
        <v>#VALUE!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81</v>
      </c>
      <c r="AF386" s="1" t="e">
        <f>VLOOKUP(A386,'SegEnds_NonXtal_Prot#'!A:AL,22,FALSE)-VLOOKUP(A386,'SegEnds_NonXtal_Prot#'!A:AL,19,FALSE)</f>
        <v>#VALUE!</v>
      </c>
      <c r="AG386" s="1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83</v>
      </c>
      <c r="AI386" s="1">
        <f>VLOOKUP(A386,'SegEnds_NonXtal_Prot#'!A:AL,31,FALSE)-VLOOKUP(A386,'SegEnds_NonXtal_Prot#'!A:AL,28,FALSE)</f>
        <v>79</v>
      </c>
      <c r="AJ386" s="1">
        <f>VLOOKUP(A386,'SegEnds_NonXtal_Prot#'!A:AL,34,FALSE)-VLOOKUP(A386,'SegEnds_NonXtal_Prot#'!A:AL,31,FALSE)</f>
        <v>33</v>
      </c>
      <c r="AK386" s="1">
        <f>VLOOKUP(A386,'SegEnds_NonXtal_Prot#'!A:AL,37,FALSE)-VLOOKUP(A386,'SegEnds_NonXtal_Prot#'!A:AL,34,FALSE)</f>
        <v>10</v>
      </c>
      <c r="AL386" s="1" t="str">
        <f>IF(ISERROR(MATCH(A386,'SegEnds_Xtal_Prot#'!B:B, 0)), "NoXtal", "Xtal")</f>
        <v>NoXtal</v>
      </c>
    </row>
    <row r="387" spans="1:38" x14ac:dyDescent="0.2">
      <c r="A387" s="1" t="s">
        <v>459</v>
      </c>
      <c r="B387" s="1" t="str">
        <f>VLOOKUP(A387,Xtal_Templ!A:B,2,FALSE)</f>
        <v>pd2r2_human</v>
      </c>
      <c r="C387" s="5">
        <v>32</v>
      </c>
      <c r="D387" s="1">
        <v>62</v>
      </c>
      <c r="E387" s="1" t="str">
        <f>VLOOKUP($B387&amp;"__wt",'SegEnds_Xtal_BW#'!$A:$Z,5,FALSE)</f>
        <v>-</v>
      </c>
      <c r="F387" s="1" t="str">
        <f>VLOOKUP($B387&amp;"__wt",'SegEnds_Xtal_BW#'!$A:$Z,6,FALSE)</f>
        <v>-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24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7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31</v>
      </c>
      <c r="AC387" s="1">
        <f>VLOOKUP(A387,'SegEnds_NonXtal_Prot#'!A:AL,10,FALSE)-VLOOKUP(A387,'SegEnds_NonXtal_Prot#'!A:AL,7,FALSE)</f>
        <v>16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47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56</v>
      </c>
      <c r="AI387" s="1">
        <f>VLOOKUP(A387,'SegEnds_NonXtal_Prot#'!A:AL,31,FALSE)-VLOOKUP(A387,'SegEnds_NonXtal_Prot#'!A:AL,28,FALSE)</f>
        <v>50</v>
      </c>
      <c r="AJ387" s="1">
        <f>VLOOKUP(A387,'SegEnds_NonXtal_Prot#'!A:AL,34,FALSE)-VLOOKUP(A387,'SegEnds_NonXtal_Prot#'!A:AL,31,FALSE)</f>
        <v>35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458</v>
      </c>
      <c r="B388" s="1" t="str">
        <f>VLOOKUP(A388,Xtal_Templ!A:B,2,FALSE)</f>
        <v>5ht2c_human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7">
        <v>38</v>
      </c>
      <c r="P388" s="1">
        <f>VLOOKUP($B388&amp;"__wt",'SegEnds_Xtal_BW#'!$A:$Z,16,FALSE)</f>
        <v>67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1">
        <f>VLOOKUP(A388,'SegEnds_NonXtal_Prot#'!A:AL,10,FALSE)-VLOOKUP(A388,'SegEnds_NonXtal_Prot#'!A:AL,7,FALSE)</f>
        <v>16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20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1">
        <f>VLOOKUP(A388,'SegEnds_NonXtal_Prot#'!A:AL,31,FALSE)-VLOOKUP(A388,'SegEnds_NonXtal_Prot#'!A:AL,28,FALSE)</f>
        <v>52</v>
      </c>
      <c r="AJ388" s="1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456</v>
      </c>
      <c r="B389" s="1" t="str">
        <f>VLOOKUP(A389,Xtal_Templ!A:B,2,FALSE)</f>
        <v>drd2_human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f>VLOOKUP($B389&amp;"__wt",'SegEnds_Xtal_BW#'!$A:$Z,14,FALSE)</f>
        <v>58</v>
      </c>
      <c r="O389" s="88">
        <v>38</v>
      </c>
      <c r="P389" s="1">
        <f>VLOOKUP($B389&amp;"__wt",'SegEnds_Xtal_BW#'!$A:$Z,16,FALSE)</f>
        <v>62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30</v>
      </c>
      <c r="AC389" s="1">
        <f>VLOOKUP(A389,'SegEnds_NonXtal_Prot#'!A:AL,10,FALSE)-VLOOKUP(A389,'SegEnds_NonXtal_Prot#'!A:AL,7,FALSE)</f>
        <v>15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52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50</v>
      </c>
      <c r="AI389" s="1">
        <f>VLOOKUP(A389,'SegEnds_NonXtal_Prot#'!A:AL,31,FALSE)-VLOOKUP(A389,'SegEnds_NonXtal_Prot#'!A:AL,28,FALSE)</f>
        <v>53</v>
      </c>
      <c r="AJ389" s="1">
        <f>VLOOKUP(A389,'SegEnds_NonXtal_Prot#'!A:AL,34,FALSE)-VLOOKUP(A389,'SegEnds_NonXtal_Prot#'!A:AL,31,FALSE)</f>
        <v>36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457</v>
      </c>
      <c r="B390" s="1" t="str">
        <f>VLOOKUP(A390,Xtal_Templ!A:B,2,FALSE)</f>
        <v>5ht2a_human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67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67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52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54</v>
      </c>
      <c r="AI390" s="1">
        <f>VLOOKUP(A390,'SegEnds_NonXtal_Prot#'!A:AL,31,FALSE)-VLOOKUP(A390,'SegEnds_NonXtal_Prot#'!A:AL,28,FALSE)</f>
        <v>53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460</v>
      </c>
      <c r="B391" s="1" t="str">
        <f>VLOOKUP(A391,Xtal_Templ!A:B,2,FALSE)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51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52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36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461</v>
      </c>
      <c r="B392" s="1" t="str">
        <f>VLOOKUP(A392,Xtal_Templ!A:B,2,FALSE)</f>
        <v>5ht2c_human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51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52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462</v>
      </c>
      <c r="B393" s="1" t="str">
        <f>VLOOKUP(A393,Xtal_Templ!A:B,2,FALSE)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51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52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463</v>
      </c>
      <c r="B394" s="1" t="str">
        <f>VLOOKUP(A394,Xtal_Templ!A:B,2,FALSE)</f>
        <v>drd2_human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7">
        <v>38</v>
      </c>
      <c r="P394" s="1">
        <f>VLOOKUP($B394&amp;"__wt",'SegEnds_Xtal_BW#'!$A:$Z,16,FALSE)</f>
        <v>62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464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18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53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59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465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18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56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35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466</v>
      </c>
      <c r="B397" s="1" t="str">
        <f>VLOOKUP(A397,Xtal_Templ!A:B,2,FALSE)</f>
        <v>5ht2a_human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52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57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35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467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52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56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35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468</v>
      </c>
      <c r="B399" s="1" t="str">
        <f>VLOOKUP(A399,Xtal_Templ!A:B,2,FALSE)</f>
        <v>hrh1_human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52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56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469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470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7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53</v>
      </c>
      <c r="AJ401" s="1">
        <f>VLOOKUP(A401,'SegEnds_NonXtal_Prot#'!A:AL,34,FALSE)-VLOOKUP(A401,'SegEnds_NonXtal_Prot#'!A:AL,31,FALSE)</f>
        <v>36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471</v>
      </c>
      <c r="B402" s="1" t="str">
        <f>VLOOKUP(A402,Xtal_Templ!A:B,2,FALSE)</f>
        <v>drd2_human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8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472</v>
      </c>
      <c r="B403" s="1" t="str">
        <f>VLOOKUP(A403,Xtal_Templ!A:B,2,FALSE)</f>
        <v>oprk_human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18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64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52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58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35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4" t="s">
        <v>474</v>
      </c>
      <c r="B404" s="4" t="str">
        <f>VLOOKUP(A404,Xtal_Templ!A:B,2,FALSE)</f>
        <v>cxcr4_human</v>
      </c>
      <c r="C404" s="5">
        <v>32</v>
      </c>
      <c r="D404" s="4">
        <v>62</v>
      </c>
      <c r="E404" s="4">
        <f>VLOOKUP($B404&amp;"__wt",'SegEnds_Xtal_BW#'!$A:$Z,5,FALSE)</f>
        <v>48</v>
      </c>
      <c r="F404" s="4">
        <f>VLOOKUP($B404&amp;"__wt",'SegEnds_Xtal_BW#'!$A:$Z,6,FALSE)</f>
        <v>51</v>
      </c>
      <c r="G404" s="4">
        <v>39</v>
      </c>
      <c r="H404" s="11">
        <v>66</v>
      </c>
      <c r="I404" s="4" t="s">
        <v>23</v>
      </c>
      <c r="J404" s="4" t="s">
        <v>23</v>
      </c>
      <c r="K404" s="11">
        <v>24</v>
      </c>
      <c r="L404" s="4">
        <f>VLOOKUP($B404&amp;"__wt",'SegEnds_Xtal_BW#'!$A:$Z,12,FALSE)</f>
        <v>56</v>
      </c>
      <c r="M404" s="4">
        <f>VLOOKUP($B404&amp;"__wt",'SegEnds_Xtal_BW#'!$A:$Z,13,FALSE)</f>
        <v>50</v>
      </c>
      <c r="N404" s="11">
        <v>57</v>
      </c>
      <c r="O404" s="88">
        <v>38</v>
      </c>
      <c r="P404" s="4">
        <f>VLOOKUP($B404&amp;"__wt",'SegEnds_Xtal_BW#'!$A:$Z,16,FALSE)</f>
        <v>64</v>
      </c>
      <c r="Q404" s="4">
        <f>VLOOKUP($B404&amp;"__wt",'SegEnds_Xtal_BW#'!$A:$Z,17,FALSE)</f>
        <v>50</v>
      </c>
      <c r="R404" s="4">
        <f>VLOOKUP($B404&amp;"__wt",'SegEnds_Xtal_BW#'!$A:$Z,18,FALSE)</f>
        <v>52</v>
      </c>
      <c r="S404" s="4">
        <v>32</v>
      </c>
      <c r="T404" s="4">
        <v>72</v>
      </c>
      <c r="U404" s="4">
        <v>29</v>
      </c>
      <c r="V404" s="4">
        <v>61</v>
      </c>
      <c r="W404" s="4">
        <v>31</v>
      </c>
      <c r="X404" s="4">
        <f>VLOOKUP($B404&amp;"__wt",'SegEnds_Xtal_BW#'!$A:$Z,24,FALSE)</f>
        <v>56</v>
      </c>
      <c r="Y404" s="4">
        <f>VLOOKUP($B404&amp;"__wt",'SegEnds_Xtal_BW#'!$A:$Z,25,FALSE)</f>
        <v>47</v>
      </c>
      <c r="Z404" s="4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4">
        <f>VLOOKUP(A404,'SegEnds_NonXtal_Prot#'!A:AL,10,FALSE)-VLOOKUP(A404,'SegEnds_NonXtal_Prot#'!A:AL,7,FALSE)</f>
        <v>16</v>
      </c>
      <c r="AD404" s="4" t="e">
        <f>VLOOKUP(A404,'SegEnds_NonXtal_Prot#'!A:AL,13,FALSE)-VLOOKUP(A404,'SegEnds_NonXtal_Prot#'!A:AL,10,FALSE)</f>
        <v>#VALUE!</v>
      </c>
      <c r="AE404" s="4">
        <f>VLOOKUP(A404,'SegEnds_NonXtal_Prot#'!A:AL,16,FALSE)-VLOOKUP(A404,'SegEnds_NonXtal_Prot#'!A:AL,10,FALSE)</f>
        <v>48</v>
      </c>
      <c r="AF404" s="1">
        <f>VLOOKUP(A404,'SegEnds_NonXtal_Prot#'!A:AL,22,FALSE)-VLOOKUP(A404,'SegEnds_NonXtal_Prot#'!A:AL,19,FALSE)</f>
        <v>20</v>
      </c>
      <c r="AG404" s="4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54</v>
      </c>
      <c r="AI404" s="4">
        <f>VLOOKUP(A404,'SegEnds_NonXtal_Prot#'!A:AL,31,FALSE)-VLOOKUP(A404,'SegEnds_NonXtal_Prot#'!A:AL,28,FALSE)</f>
        <v>53</v>
      </c>
      <c r="AJ404" s="4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475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7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52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56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476</v>
      </c>
      <c r="B406" s="1" t="str">
        <f>VLOOKUP(A406,Xtal_Templ!A:B,2,FALSE)</f>
        <v>5ht1b_human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63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51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53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477</v>
      </c>
      <c r="B407" s="1" t="str">
        <f>VLOOKUP(A407,Xtal_Templ!A:B,2,FALSE)</f>
        <v>hrh1_human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24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f>VLOOKUP($B407&amp;"__wt",'SegEnds_Xtal_BW#'!$A:$Z,14,FALSE)</f>
        <v>57</v>
      </c>
      <c r="O407" s="87">
        <v>38</v>
      </c>
      <c r="P407" s="1">
        <f>VLOOKUP($B407&amp;"__wt",'SegEnds_Xtal_BW#'!$A:$Z,16,FALSE)</f>
        <v>62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48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48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478</v>
      </c>
      <c r="B408" s="1" t="str">
        <f>VLOOKUP(A408,Xtal_Templ!A:B,2,FALSE)</f>
        <v>drd2_human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67</v>
      </c>
      <c r="I408" s="1" t="s">
        <v>23</v>
      </c>
      <c r="J408" s="1" t="s">
        <v>23</v>
      </c>
      <c r="K408" s="12">
        <v>21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57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479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480</v>
      </c>
      <c r="B410" s="1" t="str">
        <f>VLOOKUP(A410,Xtal_Templ!A:B,2,FALSE)</f>
        <v>agtr1_human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8">
        <v>38</v>
      </c>
      <c r="P410" s="1">
        <f>VLOOKUP($B410&amp;"__wt",'SegEnds_Xtal_BW#'!$A:$Z,16,FALSE)</f>
        <v>64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54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929</v>
      </c>
      <c r="B411" s="1" t="str">
        <f>VLOOKUP(A411,Xtal_Templ!A:B,2,FALSE)</f>
        <v>5ht2c_human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67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33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51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52</v>
      </c>
      <c r="AI411" s="1">
        <f>VLOOKUP(A411,'SegEnds_NonXtal_Prot#'!A:AL,31,FALSE)-VLOOKUP(A411,'SegEnds_NonXtal_Prot#'!A:AL,28,FALSE)</f>
        <v>56</v>
      </c>
      <c r="AJ411" s="1">
        <f>VLOOKUP(A411,'SegEnds_NonXtal_Prot#'!A:AL,34,FALSE)-VLOOKUP(A411,'SegEnds_NonXtal_Prot#'!A:AL,31,FALSE)</f>
        <v>33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I2:AI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31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zoomScale="120" zoomScaleNormal="120" zoomScalePageLayoutView="120" workbookViewId="0">
      <pane ySplit="1" topLeftCell="A289" activePane="bottomLeft" state="frozenSplit"/>
      <selection pane="bottomLeft" activeCell="D309" sqref="D309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1203</v>
      </c>
      <c r="C1" s="8" t="s">
        <v>1060</v>
      </c>
      <c r="D1" s="41" t="s">
        <v>1081</v>
      </c>
      <c r="E1" s="8" t="s">
        <v>1061</v>
      </c>
      <c r="F1" s="41" t="s">
        <v>1077</v>
      </c>
      <c r="G1" s="41" t="s">
        <v>1082</v>
      </c>
      <c r="H1" s="41" t="s">
        <v>1078</v>
      </c>
      <c r="I1" s="41" t="s">
        <v>1062</v>
      </c>
      <c r="J1" s="41" t="s">
        <v>1083</v>
      </c>
      <c r="K1" s="8" t="s">
        <v>1063</v>
      </c>
      <c r="L1" s="8" t="s">
        <v>1079</v>
      </c>
      <c r="M1" s="41" t="s">
        <v>1084</v>
      </c>
      <c r="N1" s="8" t="s">
        <v>1080</v>
      </c>
      <c r="O1" s="8" t="s">
        <v>1064</v>
      </c>
      <c r="P1" s="41" t="s">
        <v>1085</v>
      </c>
      <c r="Q1" s="8" t="s">
        <v>1065</v>
      </c>
      <c r="R1" s="8" t="s">
        <v>1092</v>
      </c>
      <c r="S1" s="41" t="s">
        <v>1091</v>
      </c>
      <c r="T1" s="86" t="s">
        <v>1093</v>
      </c>
      <c r="U1" s="99" t="s">
        <v>1066</v>
      </c>
      <c r="V1" s="41" t="s">
        <v>1086</v>
      </c>
      <c r="W1" s="8" t="s">
        <v>1067</v>
      </c>
      <c r="X1" s="8" t="s">
        <v>1095</v>
      </c>
      <c r="Y1" s="41" t="s">
        <v>1094</v>
      </c>
      <c r="Z1" s="8" t="s">
        <v>1096</v>
      </c>
      <c r="AA1" s="8" t="s">
        <v>1068</v>
      </c>
      <c r="AB1" s="41" t="s">
        <v>1087</v>
      </c>
      <c r="AC1" s="8" t="s">
        <v>1069</v>
      </c>
      <c r="AD1" s="8" t="s">
        <v>1070</v>
      </c>
      <c r="AE1" s="41" t="s">
        <v>1088</v>
      </c>
      <c r="AF1" s="8" t="s">
        <v>1071</v>
      </c>
      <c r="AG1" s="8" t="s">
        <v>1072</v>
      </c>
      <c r="AH1" s="41" t="s">
        <v>1089</v>
      </c>
      <c r="AI1" s="8" t="s">
        <v>1073</v>
      </c>
      <c r="AJ1" s="8" t="s">
        <v>1074</v>
      </c>
      <c r="AK1" s="41" t="s">
        <v>1090</v>
      </c>
      <c r="AL1" s="8" t="s">
        <v>1075</v>
      </c>
      <c r="AM1" s="26" t="s">
        <v>99</v>
      </c>
      <c r="AN1" s="26" t="s">
        <v>1166</v>
      </c>
      <c r="AO1" s="8" t="s">
        <v>1226</v>
      </c>
      <c r="AP1" s="8" t="s">
        <v>1228</v>
      </c>
      <c r="AQ1" s="8" t="s">
        <v>1229</v>
      </c>
      <c r="AR1" s="8" t="s">
        <v>1230</v>
      </c>
      <c r="AS1" s="8" t="s">
        <v>1231</v>
      </c>
      <c r="AT1" s="8" t="s">
        <v>1232</v>
      </c>
      <c r="AU1" s="8" t="s">
        <v>1233</v>
      </c>
      <c r="AV1" s="8" t="s">
        <v>1234</v>
      </c>
      <c r="AW1" s="8" t="s">
        <v>1235</v>
      </c>
      <c r="AX1" s="8" t="s">
        <v>1236</v>
      </c>
      <c r="AY1" s="8" t="s">
        <v>1237</v>
      </c>
      <c r="AZ1" s="8" t="s">
        <v>1238</v>
      </c>
      <c r="BA1" s="8" t="s">
        <v>1305</v>
      </c>
      <c r="BB1" s="26" t="s">
        <v>1240</v>
      </c>
      <c r="BC1" s="99" t="s">
        <v>1275</v>
      </c>
      <c r="BD1" s="8" t="s">
        <v>1240</v>
      </c>
      <c r="BE1" s="8" t="s">
        <v>1242</v>
      </c>
      <c r="BF1" s="8" t="s">
        <v>1239</v>
      </c>
      <c r="BG1" s="8" t="s">
        <v>1306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1174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1175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1440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1451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919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919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293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9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192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357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4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67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909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512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20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911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3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11</v>
      </c>
      <c r="AW87" s="3">
        <f t="shared" si="46"/>
        <v>8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1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1171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1172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224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3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ntr1_human</v>
      </c>
      <c r="C114" s="3">
        <f>VLOOKUP($A114,'SegEnds_NonXtal_BW#'!$A:$Z,3,FALSE)+D114-50</f>
        <v>39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205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342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5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24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1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9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37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5ht2a_human</v>
      </c>
      <c r="C116" s="3">
        <f>VLOOKUP($A116,'SegEnds_NonXtal_BW#'!$A:$Z,3,FALSE)+D116-50</f>
        <v>-1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147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296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8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39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14</v>
      </c>
      <c r="AW117" s="3">
        <f t="shared" si="46"/>
        <v>13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aa1r_human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339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8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drd4_human</v>
      </c>
      <c r="C120" s="3">
        <f>VLOOKUP($A120,'SegEnds_NonXtal_BW#'!$A:$Z,3,FALSE)+D120-50</f>
        <v>4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69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312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6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297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5ht2a_human</v>
      </c>
      <c r="C124" s="3">
        <f>VLOOKUP($A124,'SegEnds_NonXtal_BW#'!$A:$Z,3,FALSE)+D124-50</f>
        <v>17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2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9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16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3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34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29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3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6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45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5ht2b_human</v>
      </c>
      <c r="C134" s="3">
        <f>VLOOKUP($A134,'SegEnds_NonXtal_BW#'!$A:$Z,3,FALSE)+D134-50</f>
        <v>27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13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30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35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16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23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25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363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90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5ht2a_human</v>
      </c>
      <c r="C147" s="3">
        <f>VLOOKUP($A147,'SegEnds_NonXtal_BW#'!$A:$Z,3,FALSE)+D147-50</f>
        <v>35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183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334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10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27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11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5ht2a_human</v>
      </c>
      <c r="C153" s="3">
        <f>VLOOKUP($A153,'SegEnds_NonXtal_BW#'!$A:$Z,3,FALSE)+D153-50</f>
        <v>15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6</v>
      </c>
      <c r="AW153" s="3">
        <f t="shared" si="88"/>
        <v>50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534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124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pd2r2_human</v>
      </c>
      <c r="C171" s="3">
        <f>VLOOKUP($A171,'SegEnds_NonXtal_BW#'!$A:$Z,3,FALSE)+D171-50</f>
        <v>18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306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46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28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23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27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pd2r2_human</v>
      </c>
      <c r="C183" s="3">
        <f>VLOOKUP($A183,'SegEnds_NonXtal_BW#'!$A:$Z,3,FALSE)+D183-50</f>
        <v>12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148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271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18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23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244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285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2</v>
      </c>
      <c r="AZ187" s="3">
        <f t="shared" si="91"/>
        <v>1</v>
      </c>
      <c r="BA187" s="3">
        <f>IF(ISERROR(LEN(VLOOKUP(A187,Seqs!A:E,2,FALSE))-AL187),"-",LEN(VLOOKUP(A187,Seqs!A:E,2,FALSE))-AL187)</f>
        <v>37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5" si="112">G188-2</f>
        <v>67</v>
      </c>
      <c r="G188" s="3">
        <v>69</v>
      </c>
      <c r="H188" s="3">
        <f t="shared" ref="H188:I195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ntr1_human</v>
      </c>
      <c r="C189" s="3">
        <f>VLOOKUP($A189,'SegEnds_NonXtal_BW#'!$A:$Z,3,FALSE)+D189-50</f>
        <v>34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240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374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3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38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mtr1a_human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273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315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9</v>
      </c>
      <c r="AZ190" s="3">
        <f t="shared" si="91"/>
        <v>1</v>
      </c>
      <c r="BA190" s="3">
        <f>IF(ISERROR(LEN(VLOOKUP(A190,Seqs!A:E,2,FALSE))-AL190),"-",LEN(VLOOKUP(A190,Seqs!A:E,2,FALSE))-AL190)</f>
        <v>35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mtr1b_human</v>
      </c>
      <c r="C191" s="3">
        <f>VLOOKUP($A191,'SegEnds_NonXtal_BW#'!$A:$Z,3,FALSE)+D191-50</f>
        <v>38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286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328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9</v>
      </c>
      <c r="AZ191" s="3">
        <f t="shared" si="91"/>
        <v>1</v>
      </c>
      <c r="BA191" s="3">
        <f>IF(ISERROR(LEN(VLOOKUP(A191,Seqs!A:E,2,FALSE))-AL191),"-",LEN(VLOOKUP(A191,Seqs!A:E,2,FALSE))-AL191)</f>
        <v>34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mtr1a_human</v>
      </c>
      <c r="C192" s="3">
        <f>VLOOKUP($A192,'SegEnds_NonXtal_BW#'!$A:$Z,3,FALSE)+D192-50</f>
        <v>24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225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272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314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3</v>
      </c>
      <c r="AY192" s="3">
        <f t="shared" si="90"/>
        <v>9</v>
      </c>
      <c r="AZ192" s="3">
        <f t="shared" si="91"/>
        <v>1</v>
      </c>
      <c r="BA192" s="3">
        <f>IF(ISERROR(LEN(VLOOKUP(A192,Seqs!A:E,2,FALSE))-AL192),"-",LEN(VLOOKUP(A192,Seqs!A:E,2,FALSE))-AL192)</f>
        <v>303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375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51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346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69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ntr1_human</v>
      </c>
      <c r="C196" s="3">
        <f>VLOOKUP($A196,'SegEnds_NonXtal_BW#'!$A:$Z,3,FALSE)+D196-50</f>
        <v>59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 t="s">
        <v>23</v>
      </c>
      <c r="G196" s="3" t="s">
        <v>23</v>
      </c>
      <c r="H196" s="3" t="s">
        <v>23</v>
      </c>
      <c r="I196" s="3">
        <f>VLOOKUP($A196,'SegEnds_NonXtal_BW#'!$A:$Z,7,FALSE)+J196-50</f>
        <v>99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229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383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Xtal</v>
      </c>
      <c r="AP196" s="3" t="str">
        <f t="shared" ref="AP196:AP259" si="118">IF(ISERROR(F196-E196),"-",F196-E196)</f>
        <v>-</v>
      </c>
      <c r="AQ196" s="3" t="str">
        <f t="shared" ref="AQ196:AQ259" si="119">IF(ISERROR(I196-H196),"-",I196-H196)</f>
        <v>-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3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35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913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100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388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 t="str">
        <f t="shared" si="118"/>
        <v>-</v>
      </c>
      <c r="AQ197" s="3" t="str">
        <f t="shared" si="119"/>
        <v>-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36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377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33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3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12</v>
      </c>
      <c r="AW199" s="3">
        <f t="shared" si="125"/>
        <v>3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61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919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915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917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1173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921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1307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195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10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241</v>
      </c>
      <c r="AC225" s="3">
        <f>IF(ISERROR((VLOOKUP($A225,'SegEnds_NonXtal_BW#'!$A:$Z,20,FALSE)+VLOOKUP($A225,A:AL,28,FALSE)-50)),"-",(VLOOKUP($A225,'SegEnds_NonXtal_BW#'!$A:$Z,20,FALSE)+VLOOKUP($A225,A:AL,28,FALSE)-50))</f>
        <v>264</v>
      </c>
      <c r="AD225" s="3">
        <f>IF(ISERROR(VLOOKUP($A225,'SegEnds_NonXtal_BW#'!$A:$Z,21,FALSE)+VLOOKUP($A225,A:AL,31,FALSE)-50),"-",(VLOOKUP($A225,'SegEnds_NonXtal_BW#'!$A:$Z,21,FALSE)+VLOOKUP($A225,A:AL,31,FALSE)-50))</f>
        <v>269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5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56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195</v>
      </c>
      <c r="AC226" s="3">
        <f>IF(ISERROR((VLOOKUP($A226,'SegEnds_NonXtal_BW#'!$A:$Z,20,FALSE)+VLOOKUP($A226,A:AL,28,FALSE)-50)),"-",(VLOOKUP($A226,'SegEnds_NonXtal_BW#'!$A:$Z,20,FALSE)+VLOOKUP($A226,A:AL,28,FALSE)-50))</f>
        <v>221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40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92</v>
      </c>
    </row>
    <row r="227" spans="1:58" s="3" customFormat="1" x14ac:dyDescent="0.2">
      <c r="A227" s="3" t="s">
        <v>365</v>
      </c>
      <c r="B227" s="3" t="str">
        <f>LOWER(VLOOKUP(A227,Xtal_Templ!A:B,2,FALSE))</f>
        <v>ta2r_human</v>
      </c>
      <c r="C227" s="3">
        <f>VLOOKUP($A227,'SegEnds_NonXtal_BW#'!$A:$Z,3,FALSE)+D227-50</f>
        <v>29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180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8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3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17</v>
      </c>
      <c r="AW229" s="3">
        <f t="shared" si="125"/>
        <v>5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31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oprk_human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104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196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325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2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3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49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4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60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ta2r_human</v>
      </c>
      <c r="C240" s="3">
        <f>VLOOKUP($A240,'SegEnds_NonXtal_BW#'!$A:$Z,3,FALSE)+D240-50</f>
        <v>27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54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105">
        <v>98</v>
      </c>
      <c r="O240" s="105">
        <v>102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170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190</v>
      </c>
      <c r="AB240" s="3">
        <v>207</v>
      </c>
      <c r="AC240" s="3">
        <f>IF(ISERROR((VLOOKUP($A240,'SegEnds_NonXtal_BW#'!$A:$Z,20,FALSE)+VLOOKUP($A240,A:AL,28,FALSE)-50)),"-",(VLOOKUP($A240,'SegEnds_NonXtal_BW#'!$A:$Z,20,FALSE)+VLOOKUP($A240,A:AL,28,FALSE)-50))</f>
        <v>229</v>
      </c>
      <c r="AD240" s="3">
        <f>IF(ISERROR(VLOOKUP($A240,'SegEnds_NonXtal_BW#'!$A:$Z,21,FALSE)+VLOOKUP($A240,A:AL,31,FALSE)-50),"-",(VLOOKUP($A240,'SegEnds_NonXtal_BW#'!$A:$Z,21,FALSE)+VLOOKUP($A240,A:AL,31,FALSE)-50))</f>
        <v>234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271</v>
      </c>
      <c r="AG240" s="3">
        <f>IF(ISERROR(VLOOKUP($A240,'SegEnds_NonXtal_BW#'!$A:$Z,23,FALSE)+VLOOKUP($A240,A:AL,34,FALSE)-50),"-",(VLOOKUP($A240,'SegEnds_NonXtal_BW#'!$A:$Z,23,FALSE)+VLOOKUP($A240,A:AL,34,FALSE)-50))</f>
        <v>283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331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4</v>
      </c>
      <c r="AT240" s="3">
        <f t="shared" si="122"/>
        <v>1</v>
      </c>
      <c r="AU240" s="3">
        <f t="shared" si="123"/>
        <v>1</v>
      </c>
      <c r="AV240" s="3">
        <f t="shared" si="124"/>
        <v>13</v>
      </c>
      <c r="AW240" s="3">
        <f t="shared" si="125"/>
        <v>5</v>
      </c>
      <c r="AX240" s="3">
        <f t="shared" si="126"/>
        <v>5</v>
      </c>
      <c r="AY240" s="3">
        <f t="shared" si="127"/>
        <v>12</v>
      </c>
      <c r="AZ240" s="3">
        <f t="shared" si="128"/>
        <v>1</v>
      </c>
      <c r="BA240" s="3">
        <f>IF(ISERROR(LEN(VLOOKUP(A240,Seqs!A:E,2,FALSE))-AL240),"-",LEN(VLOOKUP(A240,Seqs!A:E,2,FALSE))-AL240)</f>
        <v>12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53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drd2_human</v>
      </c>
      <c r="C242" s="3">
        <f>VLOOKUP($A242,'SegEnds_NonXtal_BW#'!$A:$Z,3,FALSE)+D242-50</f>
        <v>40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107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180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21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344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5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27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102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11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375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15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259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2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40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5</v>
      </c>
      <c r="AW267" s="3">
        <f t="shared" si="159"/>
        <v>5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56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mtr1a_human</v>
      </c>
      <c r="C268" s="3">
        <f>VLOOKUP($A268,'SegEnds_NonXtal_BW#'!$A:$Z,3,FALSE)+D268-50</f>
        <v>99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167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274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365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407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10</v>
      </c>
      <c r="AX268" s="3">
        <f t="shared" si="160"/>
        <v>6</v>
      </c>
      <c r="AY268" s="3">
        <f t="shared" si="161"/>
        <v>8</v>
      </c>
      <c r="AZ268" s="3">
        <f t="shared" si="162"/>
        <v>1</v>
      </c>
      <c r="BA268" s="3">
        <f>IF(ISERROR(LEN(VLOOKUP(A268,Seqs!A:E,2,FALSE))-AL268),"-",LEN(VLOOKUP(A268,Seqs!A:E,2,FALSE))-AL268)</f>
        <v>87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23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ox2r_human</v>
      </c>
      <c r="C271" s="3">
        <f>VLOOKUP($A271,'SegEnds_NonXtal_BW#'!$A:$Z,3,FALSE)+D271-50</f>
        <v>41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111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227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326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367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8</v>
      </c>
      <c r="AX271" s="3">
        <f t="shared" si="160"/>
        <v>13</v>
      </c>
      <c r="AY271" s="3">
        <f t="shared" si="161"/>
        <v>5</v>
      </c>
      <c r="AZ271" s="3">
        <f t="shared" si="162"/>
        <v>1</v>
      </c>
      <c r="BA271" s="3">
        <f>IF(ISERROR(LEN(VLOOKUP(A271,Seqs!A:E,2,FALSE))-AL271),"-",LEN(VLOOKUP(A271,Seqs!A:E,2,FALSE))-AL271)</f>
        <v>67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par1_human</v>
      </c>
      <c r="C272" s="3">
        <f>VLOOKUP($A272,'SegEnds_NonXtal_BW#'!$A:$Z,3,FALSE)+D272-50</f>
        <v>18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310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28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257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7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drd2_human</v>
      </c>
      <c r="C275" s="3">
        <f>VLOOKUP($A275,'SegEnds_NonXtal_BW#'!$A:$Z,3,FALSE)+D275-50</f>
        <v>31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168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302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14</v>
      </c>
      <c r="AW275" s="3">
        <f t="shared" si="159"/>
        <v>8</v>
      </c>
      <c r="AX275" s="3">
        <f t="shared" si="160"/>
        <v>23</v>
      </c>
      <c r="AY275" s="3">
        <f t="shared" si="161"/>
        <v>9</v>
      </c>
      <c r="AZ275" s="3">
        <f t="shared" si="162"/>
        <v>1</v>
      </c>
      <c r="BA275" s="3">
        <f>IF(ISERROR(LEN(VLOOKUP(A275,Seqs!A:E,2,FALSE))-AL275),"-",LEN(VLOOKUP(A275,Seqs!A:E,2,FALSE))-AL275)</f>
        <v>32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345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9</v>
      </c>
      <c r="AW277" s="3">
        <f t="shared" si="159"/>
        <v>8</v>
      </c>
      <c r="AX277" s="3">
        <f t="shared" si="160"/>
        <v>23</v>
      </c>
      <c r="AY277" s="3">
        <f t="shared" si="161"/>
        <v>5</v>
      </c>
      <c r="AZ277" s="3">
        <f t="shared" si="162"/>
        <v>1</v>
      </c>
      <c r="BA277" s="3">
        <f>IF(ISERROR(LEN(VLOOKUP(A277,Seqs!A:E,2,FALSE))-AL277),"-",LEN(VLOOKUP(A277,Seqs!A:E,2,FALSE))-AL277)</f>
        <v>31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8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148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nk1r_human</v>
      </c>
      <c r="C280" s="3">
        <f>VLOOKUP($A280,'SegEnds_NonXtal_BW#'!$A:$Z,3,FALSE)+D280-50</f>
        <v>28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188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282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Xtal</v>
      </c>
      <c r="AP280" s="3">
        <f t="shared" si="152"/>
        <v>1</v>
      </c>
      <c r="AQ280" s="3">
        <f t="shared" si="153"/>
        <v>1</v>
      </c>
      <c r="AR280" s="3">
        <f t="shared" si="154"/>
        <v>1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6</v>
      </c>
      <c r="AX280" s="3">
        <f t="shared" si="160"/>
        <v>4</v>
      </c>
      <c r="AY280" s="3">
        <f t="shared" si="161"/>
        <v>8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nk1r_human</v>
      </c>
      <c r="C281" s="3">
        <f>VLOOKUP($A281,'SegEnds_NonXtal_BW#'!$A:$Z,3,FALSE)+D281-50</f>
        <v>29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97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189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284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1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6</v>
      </c>
      <c r="AX281" s="3">
        <f t="shared" si="160"/>
        <v>5</v>
      </c>
      <c r="AY281" s="3">
        <f t="shared" si="161"/>
        <v>8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nk1r_human</v>
      </c>
      <c r="C282" s="3">
        <f>VLOOKUP($A282,'SegEnds_NonXtal_BW#'!$A:$Z,3,FALSE)+D282-50</f>
        <v>81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239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333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1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4</v>
      </c>
      <c r="AX282" s="3">
        <f t="shared" si="160"/>
        <v>4</v>
      </c>
      <c r="AY282" s="3">
        <f t="shared" si="161"/>
        <v>8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oprd_mouse</v>
      </c>
      <c r="C283" s="3">
        <f>VLOOKUP($A283,'SegEnds_NonXtal_BW#'!$A:$Z,3,FALSE)+D283-50</f>
        <v>29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6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4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ox1r_human</v>
      </c>
      <c r="C286" s="3">
        <f>VLOOKUP($A286,'SegEnds_NonXtal_BW#'!$A:$Z,3,FALSE)+D286-50</f>
        <v>147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210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315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2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5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ox2r_human</v>
      </c>
      <c r="C288" s="3">
        <f>VLOOKUP($A288,'SegEnds_NonXtal_BW#'!$A:$Z,3,FALSE)+D288-50</f>
        <v>49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114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214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256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299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1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9</v>
      </c>
      <c r="AX288" s="3">
        <f t="shared" si="160"/>
        <v>3</v>
      </c>
      <c r="AY288" s="3">
        <f t="shared" si="161"/>
        <v>5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1306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ox2r_human</v>
      </c>
      <c r="C293" s="3">
        <f>VLOOKUP($A293,'SegEnds_NonXtal_BW#'!$A:$Z,3,FALSE)+D293-50</f>
        <v>38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195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6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ox1r_human</v>
      </c>
      <c r="C294" s="3">
        <f>VLOOKUP($A294,'SegEnds_NonXtal_BW#'!$A:$Z,3,FALSE)+D294-50</f>
        <v>62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125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226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4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7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ox2r_human</v>
      </c>
      <c r="C295" s="3">
        <f>VLOOKUP($A295,'SegEnds_NonXtal_BW#'!$A:$Z,3,FALSE)+D295-50</f>
        <v>52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218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8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77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923</v>
      </c>
      <c r="B297" s="3" t="str">
        <f>LOWER(VLOOKUP(A297,Xtal_Templ!A:B,2,FALSE))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1507</v>
      </c>
      <c r="B298" s="3" t="str">
        <f>LOWER(VLOOKUP(A298,Xtal_Templ!A:B,2,FALSE))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>G298+1</f>
        <v>65</v>
      </c>
      <c r="I298" s="3">
        <f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>IF(ISERROR(F298-E298),"-",F298-E298)</f>
        <v>1</v>
      </c>
      <c r="AQ298" s="3">
        <f>IF(ISERROR(I298-H298),"-",I298-H298)</f>
        <v>1</v>
      </c>
      <c r="AR298" s="3" t="str">
        <f>IF(ISERROR(L298-K298),"-",L298-K298)</f>
        <v>-</v>
      </c>
      <c r="AS298" s="3" t="str">
        <f>IF(ISERROR(O298-N298),"-",O298-N298)</f>
        <v>-</v>
      </c>
      <c r="AT298" s="3" t="str">
        <f>IF(ISERROR(R298-Q298),"-",R298-Q298)</f>
        <v>-</v>
      </c>
      <c r="AU298" s="3" t="str">
        <f>IF(ISERROR(U298-T298),"-",U298-T298)</f>
        <v>-</v>
      </c>
      <c r="AV298" s="3">
        <f>IF(ISERROR(X298-W298),"-",X298-W298)</f>
        <v>9</v>
      </c>
      <c r="AW298" s="3">
        <f>IF(ISERROR(AA298-Z298),"-",AA298-Z298)</f>
        <v>8</v>
      </c>
      <c r="AX298" s="3">
        <f>IF(ISERROR(AD298-AC298),"-",AD298-AC298)</f>
        <v>4</v>
      </c>
      <c r="AY298" s="3">
        <f>IF(ISERROR(AG298-AF298),"-",AG298-AF298)</f>
        <v>5</v>
      </c>
      <c r="AZ298" s="3">
        <f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>J298-D298</f>
        <v>28</v>
      </c>
      <c r="BC298" s="9" t="str">
        <f>IF(ISERROR(V298-S298),"-",V298-S298)</f>
        <v>-</v>
      </c>
      <c r="BD298" s="3">
        <f>J298-D298</f>
        <v>28</v>
      </c>
      <c r="BE298" s="3">
        <f>AE298-AB298</f>
        <v>43</v>
      </c>
    </row>
    <row r="299" spans="1:59" s="3" customFormat="1" x14ac:dyDescent="0.2">
      <c r="A299" s="3" t="s">
        <v>401</v>
      </c>
      <c r="B299" s="3" t="str">
        <f>LOWER(VLOOKUP(A299,Xtal_Templ!A:B,2,FALSE))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217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LOWER(VLOOKUP(A300,Xtal_Templ!A:B,2,FALSE))</f>
        <v>calrl_human</v>
      </c>
      <c r="C300" s="3">
        <f>VLOOKUP($A300,'SegEnds_NonXtal_BW#'!$A:$Z,3,FALSE)+D300-50</f>
        <v>130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210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277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5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LOWER(VLOOKUP(A301,Xtal_Templ!A:B,2,FALSE))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LOWER(VLOOKUP(A302,Xtal_Templ!A:B,2,FALSE))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1420</v>
      </c>
      <c r="B303" s="3" t="str">
        <f>LOWER(VLOOKUP(A303,Xtal_Templ!A:B,2,FALSE))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LOWER(VLOOKUP(A304,Xtal_Templ!A:B,2,FALSE))</f>
        <v>glr_human</v>
      </c>
      <c r="C304" s="3">
        <f>VLOOKUP($A304,'SegEnds_NonXtal_BW#'!$A:$Z,3,FALSE)+D304-50</f>
        <v>119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200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240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347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7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LOWER(VLOOKUP(A305,Xtal_Templ!A:B,2,FALSE))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LOWER(VLOOKUP(A306,Xtal_Templ!A:B,2,FALSE))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LOWER(VLOOKUP(A307,Xtal_Templ!A:B,2,FALSE))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LOWER(VLOOKUP(A308,Xtal_Templ!A:B,2,FALSE))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LOWER(VLOOKUP(A309,Xtal_Templ!A:B,2,FALSE))</f>
        <v>pth1r_human</v>
      </c>
      <c r="C309" s="3">
        <f>VLOOKUP($A309,'SegEnds_NonXtal_BW#'!$A:$Z,3,FALSE)+D309-50</f>
        <v>139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224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261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372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6</v>
      </c>
      <c r="AZ309" s="3">
        <f t="shared" si="162"/>
        <v>1</v>
      </c>
      <c r="BA309" s="3">
        <f>IF(ISERROR(LEN(VLOOKUP(A309,Seqs!A:E,2,FALSE))-AL309),"-",LEN(VLOOKUP(A309,Seqs!A:E,2,FALSE))-AL309)</f>
        <v>18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LOWER(VLOOKUP(A310,Xtal_Templ!A:B,2,FALSE))</f>
        <v>pth1r_human</v>
      </c>
      <c r="C310" s="3">
        <f>VLOOKUP($A310,'SegEnds_NonXtal_BW#'!$A:$Z,3,FALSE)+D310-50</f>
        <v>173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316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427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7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LOWER(VLOOKUP(A311,Xtal_Templ!A:B,2,FALSE))</f>
        <v>pth1r_human</v>
      </c>
      <c r="C311" s="3">
        <f>VLOOKUP($A311,'SegEnds_NonXtal_BW#'!$A:$Z,3,FALSE)+D311-50</f>
        <v>130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271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382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6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LOWER(VLOOKUP(A312,Xtal_Templ!A:B,2,FALSE))</f>
        <v>pth1r_human</v>
      </c>
      <c r="C312" s="3">
        <f>VLOOKUP($A312,'SegEnds_NonXtal_BW#'!$A:$Z,3,FALSE)+D312-50</f>
        <v>128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213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250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361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5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LOWER(VLOOKUP(A313,Xtal_Templ!A:B,2,FALSE))</f>
        <v>pth1r_human</v>
      </c>
      <c r="C313" s="3">
        <f>VLOOKUP($A313,'SegEnds_NonXtal_BW#'!$A:$Z,3,FALSE)+D313-50</f>
        <v>128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213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250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360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6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LOWER(VLOOKUP(A314,Xtal_Templ!A:B,2,FALSE))</f>
        <v>pth1r_human</v>
      </c>
      <c r="C314" s="3">
        <f>VLOOKUP($A314,'SegEnds_NonXtal_BW#'!$A:$Z,3,FALSE)+D314-50</f>
        <v>112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236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347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6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1176</v>
      </c>
      <c r="B315" s="3" t="str">
        <f>LOWER(VLOOKUP(A315,Xtal_Templ!A:B,2,FALSE))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1177</v>
      </c>
      <c r="B316" s="3" t="str">
        <f>LOWER(VLOOKUP(A316,Xtal_Templ!A:B,2,FALSE))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1178</v>
      </c>
      <c r="B317" s="3" t="str">
        <f>LOWER(VLOOKUP(A317,Xtal_Templ!A:B,2,FALSE))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1179</v>
      </c>
      <c r="B318" s="3" t="str">
        <f>LOWER(VLOOKUP(A318,Xtal_Templ!A:B,2,FALSE))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1180</v>
      </c>
      <c r="B319" s="3" t="str">
        <f>LOWER(VLOOKUP(A319,Xtal_Templ!A:B,2,FALSE))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1181</v>
      </c>
      <c r="B320" s="3" t="str">
        <f>LOWER(VLOOKUP(A320,Xtal_Templ!A:B,2,FALSE))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1182</v>
      </c>
      <c r="B321" s="3" t="str">
        <f>LOWER(VLOOKUP(A321,Xtal_Templ!A:B,2,FALSE))</f>
        <v>crfr1_human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759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1183</v>
      </c>
      <c r="B322" s="3" t="str">
        <f>LOWER(VLOOKUP(A322,Xtal_Templ!A:B,2,FALSE))</f>
        <v>pth1r_human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705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817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5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1184</v>
      </c>
      <c r="B323" s="3" t="str">
        <f>LOWER(VLOOKUP(A323,Xtal_Templ!A:B,2,FALSE))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78">G323+1</f>
        <v>565</v>
      </c>
      <c r="I323" s="3">
        <f t="shared" si="178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1185</v>
      </c>
      <c r="B324" s="3" t="str">
        <f>LOWER(VLOOKUP(A324,Xtal_Templ!A:B,2,FALSE))</f>
        <v>crfr1_human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78"/>
        <v>385</v>
      </c>
      <c r="I324" s="3">
        <f t="shared" si="178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462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570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6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1186</v>
      </c>
      <c r="B325" s="3" t="str">
        <f>LOWER(VLOOKUP(A325,Xtal_Templ!A:B,2,FALSE))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78"/>
        <v>219</v>
      </c>
      <c r="I325" s="3">
        <f t="shared" si="178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79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80">IF(ISERROR(F325-E325),"-",F325-E325)</f>
        <v>1</v>
      </c>
      <c r="AQ325" s="3">
        <f t="shared" ref="AQ325:AQ389" si="181">IF(ISERROR(I325-H325),"-",I325-H325)</f>
        <v>1</v>
      </c>
      <c r="AR325" s="3" t="str">
        <f t="shared" ref="AR325:AR389" si="182">IF(ISERROR(L325-K325),"-",L325-K325)</f>
        <v>-</v>
      </c>
      <c r="AS325" s="3" t="str">
        <f t="shared" ref="AS325:AS389" si="183">IF(ISERROR(O325-N325),"-",O325-N325)</f>
        <v>-</v>
      </c>
      <c r="AT325" s="3" t="str">
        <f t="shared" ref="AT325:AT389" si="184">IF(ISERROR(R325-Q325),"-",R325-Q325)</f>
        <v>-</v>
      </c>
      <c r="AU325" s="3" t="str">
        <f t="shared" ref="AU325:AU389" si="185">IF(ISERROR(U325-T325),"-",U325-T325)</f>
        <v>-</v>
      </c>
      <c r="AV325" s="3">
        <f t="shared" ref="AV325:AV389" si="186">IF(ISERROR(X325-W325),"-",X325-W325)</f>
        <v>5</v>
      </c>
      <c r="AW325" s="3">
        <f t="shared" ref="AW325:AW389" si="187">IF(ISERROR(AA325-Z325),"-",AA325-Z325)</f>
        <v>3</v>
      </c>
      <c r="AX325" s="3">
        <f t="shared" ref="AX325:AX389" si="188">IF(ISERROR(AD325-AC325),"-",AD325-AC325)</f>
        <v>12</v>
      </c>
      <c r="AY325" s="3">
        <f t="shared" ref="AY325:AY389" si="189">IF(ISERROR(AG325-AF325),"-",AG325-AF325)</f>
        <v>7</v>
      </c>
      <c r="AZ325" s="3">
        <f t="shared" ref="AZ325:AZ389" si="190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191">J325-D325</f>
        <v>28</v>
      </c>
      <c r="BC325" s="9" t="str">
        <f t="shared" ref="BC325:BC389" si="192">IF(ISERROR(V325-S325),"-",V325-S325)</f>
        <v>-</v>
      </c>
      <c r="BD325" s="3">
        <f t="shared" ref="BD325:BD389" si="193">J325-D325</f>
        <v>28</v>
      </c>
      <c r="BE325" s="3">
        <f t="shared" ref="BE325:BE389" si="194">AE325-AB325</f>
        <v>52</v>
      </c>
      <c r="BF325" s="3">
        <f>AH325-AE325</f>
        <v>32</v>
      </c>
    </row>
    <row r="326" spans="1:59" s="3" customFormat="1" x14ac:dyDescent="0.2">
      <c r="A326" s="3" t="s">
        <v>1187</v>
      </c>
      <c r="B326" s="3" t="str">
        <f>LOWER(VLOOKUP(A326,Xtal_Templ!A:B,2,FALSE))</f>
        <v>pth1r_human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694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79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810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195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80"/>
        <v>-</v>
      </c>
      <c r="AQ326" s="3" t="str">
        <f t="shared" si="181"/>
        <v>-</v>
      </c>
      <c r="AR326" s="3" t="str">
        <f t="shared" si="182"/>
        <v>-</v>
      </c>
      <c r="AS326" s="3" t="str">
        <f t="shared" si="183"/>
        <v>-</v>
      </c>
      <c r="AT326" s="3" t="str">
        <f t="shared" si="184"/>
        <v>-</v>
      </c>
      <c r="AU326" s="3" t="str">
        <f t="shared" si="185"/>
        <v>-</v>
      </c>
      <c r="AV326" s="3">
        <f t="shared" si="186"/>
        <v>8</v>
      </c>
      <c r="AW326" s="3">
        <f t="shared" si="187"/>
        <v>5</v>
      </c>
      <c r="AX326" s="3">
        <f t="shared" si="188"/>
        <v>12</v>
      </c>
      <c r="AY326" s="3">
        <f t="shared" si="189"/>
        <v>6</v>
      </c>
      <c r="AZ326" s="3">
        <f t="shared" si="190"/>
        <v>1</v>
      </c>
      <c r="BA326" s="3">
        <f>IF(ISERROR(LEN(VLOOKUP(A326,Seqs!A:E,2,FALSE))-AL326),"-",LEN(VLOOKUP(A326,Seqs!A:E,2,FALSE))-AL326)</f>
        <v>52</v>
      </c>
      <c r="BB326" s="16">
        <f t="shared" si="191"/>
        <v>31</v>
      </c>
      <c r="BC326" s="9" t="str">
        <f t="shared" si="192"/>
        <v>-</v>
      </c>
      <c r="BD326" s="3">
        <f t="shared" si="193"/>
        <v>31</v>
      </c>
      <c r="BE326" s="3">
        <f t="shared" si="194"/>
        <v>52</v>
      </c>
    </row>
    <row r="327" spans="1:59" s="3" customFormat="1" x14ac:dyDescent="0.2">
      <c r="A327" s="3" t="s">
        <v>1188</v>
      </c>
      <c r="B327" s="3" t="str">
        <f>LOWER(VLOOKUP(A327,Xtal_Templ!A:B,2,FALSE))</f>
        <v>calrl_human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585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79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195"/>
        <v>1</v>
      </c>
      <c r="AO327" s="3" t="str">
        <f>IF(ISERROR(MATCH(A327,'SegEnds_Xtal_Prot#'!B:B, 0)), "NoXtal", "Xtal")</f>
        <v>NoXtal</v>
      </c>
      <c r="AP327" s="3" t="str">
        <f t="shared" si="180"/>
        <v>-</v>
      </c>
      <c r="AQ327" s="3" t="str">
        <f t="shared" si="181"/>
        <v>-</v>
      </c>
      <c r="AR327" s="3" t="str">
        <f t="shared" si="182"/>
        <v>-</v>
      </c>
      <c r="AS327" s="3" t="str">
        <f t="shared" si="183"/>
        <v>-</v>
      </c>
      <c r="AT327" s="3" t="str">
        <f t="shared" si="184"/>
        <v>-</v>
      </c>
      <c r="AU327" s="3" t="str">
        <f t="shared" si="185"/>
        <v>-</v>
      </c>
      <c r="AV327" s="3">
        <f t="shared" si="186"/>
        <v>9</v>
      </c>
      <c r="AW327" s="3">
        <f t="shared" si="187"/>
        <v>4</v>
      </c>
      <c r="AX327" s="3">
        <f t="shared" si="188"/>
        <v>17</v>
      </c>
      <c r="AY327" s="3">
        <f t="shared" si="189"/>
        <v>4</v>
      </c>
      <c r="AZ327" s="3" t="str">
        <f t="shared" si="190"/>
        <v>-</v>
      </c>
      <c r="BA327" s="3" t="str">
        <f>IF(ISERROR(LEN(VLOOKUP(A327,Seqs!A:E,2,FALSE))-AL327),"-",LEN(VLOOKUP(A327,Seqs!A:E,2,FALSE))-AL327)</f>
        <v>-</v>
      </c>
      <c r="BB327" s="16">
        <f t="shared" si="191"/>
        <v>31</v>
      </c>
      <c r="BC327" s="9" t="str">
        <f t="shared" si="192"/>
        <v>-</v>
      </c>
      <c r="BD327" s="3">
        <f t="shared" si="193"/>
        <v>31</v>
      </c>
      <c r="BE327" s="3">
        <f t="shared" si="194"/>
        <v>57</v>
      </c>
      <c r="BF327" s="3">
        <f>AH327-AE327</f>
        <v>23</v>
      </c>
      <c r="BG327" s="3" t="s">
        <v>1306</v>
      </c>
    </row>
    <row r="328" spans="1:59" s="3" customFormat="1" x14ac:dyDescent="0.2">
      <c r="A328" s="3" t="s">
        <v>1189</v>
      </c>
      <c r="B328" s="3" t="str">
        <f>LOWER(VLOOKUP(A328,Xtal_Templ!A:B,2,FALSE))</f>
        <v>calrl_human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882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908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79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195"/>
        <v>1</v>
      </c>
      <c r="AO328" s="3" t="str">
        <f>IF(ISERROR(MATCH(A328,'SegEnds_Xtal_Prot#'!B:B, 0)), "NoXtal", "Xtal")</f>
        <v>NoXtal</v>
      </c>
      <c r="AP328" s="3" t="str">
        <f t="shared" si="180"/>
        <v>-</v>
      </c>
      <c r="AQ328" s="3" t="str">
        <f t="shared" si="181"/>
        <v>-</v>
      </c>
      <c r="AR328" s="3" t="str">
        <f t="shared" si="182"/>
        <v>-</v>
      </c>
      <c r="AS328" s="3" t="str">
        <f t="shared" si="183"/>
        <v>-</v>
      </c>
      <c r="AT328" s="3" t="str">
        <f t="shared" si="184"/>
        <v>-</v>
      </c>
      <c r="AU328" s="3" t="str">
        <f t="shared" si="185"/>
        <v>-</v>
      </c>
      <c r="AV328" s="3">
        <f t="shared" si="186"/>
        <v>9</v>
      </c>
      <c r="AW328" s="3">
        <f t="shared" si="187"/>
        <v>3</v>
      </c>
      <c r="AX328" s="3">
        <f t="shared" si="188"/>
        <v>12</v>
      </c>
      <c r="AY328" s="3">
        <f t="shared" si="189"/>
        <v>7</v>
      </c>
      <c r="AZ328" s="3">
        <f t="shared" si="190"/>
        <v>1</v>
      </c>
      <c r="BA328" s="3">
        <f>IF(ISERROR(LEN(VLOOKUP(A328,Seqs!A:E,2,FALSE))-AL328),"-",LEN(VLOOKUP(A328,Seqs!A:E,2,FALSE))-AL328)</f>
        <v>39</v>
      </c>
      <c r="BB328" s="16">
        <f t="shared" si="191"/>
        <v>31</v>
      </c>
      <c r="BC328" s="9" t="str">
        <f t="shared" si="192"/>
        <v>-</v>
      </c>
      <c r="BD328" s="3">
        <f t="shared" si="193"/>
        <v>31</v>
      </c>
      <c r="BE328" s="3">
        <f t="shared" si="194"/>
        <v>52</v>
      </c>
    </row>
    <row r="329" spans="1:59" s="3" customFormat="1" x14ac:dyDescent="0.2">
      <c r="A329" s="3" t="s">
        <v>1190</v>
      </c>
      <c r="B329" s="3" t="str">
        <f>LOWER(VLOOKUP(A329,Xtal_Templ!A:B,2,FALSE))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79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195"/>
        <v>1</v>
      </c>
      <c r="AO329" s="3" t="str">
        <f>IF(ISERROR(MATCH(A329,'SegEnds_Xtal_Prot#'!B:B, 0)), "NoXtal", "Xtal")</f>
        <v>NoXtal</v>
      </c>
      <c r="AP329" s="3" t="str">
        <f t="shared" si="180"/>
        <v>-</v>
      </c>
      <c r="AQ329" s="3" t="str">
        <f t="shared" si="181"/>
        <v>-</v>
      </c>
      <c r="AR329" s="3" t="str">
        <f t="shared" si="182"/>
        <v>-</v>
      </c>
      <c r="AS329" s="3" t="str">
        <f t="shared" si="183"/>
        <v>-</v>
      </c>
      <c r="AT329" s="3" t="str">
        <f t="shared" si="184"/>
        <v>-</v>
      </c>
      <c r="AU329" s="3" t="str">
        <f t="shared" si="185"/>
        <v>-</v>
      </c>
      <c r="AV329" s="3">
        <f t="shared" si="186"/>
        <v>8</v>
      </c>
      <c r="AW329" s="3">
        <f t="shared" si="187"/>
        <v>4</v>
      </c>
      <c r="AX329" s="3">
        <f t="shared" si="188"/>
        <v>11</v>
      </c>
      <c r="AY329" s="3">
        <f t="shared" si="189"/>
        <v>7</v>
      </c>
      <c r="AZ329" s="3">
        <f t="shared" si="190"/>
        <v>1</v>
      </c>
      <c r="BA329" s="3">
        <f>IF(ISERROR(LEN(VLOOKUP(A329,Seqs!A:E,2,FALSE))-AL329),"-",LEN(VLOOKUP(A329,Seqs!A:E,2,FALSE))-AL329)</f>
        <v>23</v>
      </c>
      <c r="BB329" s="16">
        <f t="shared" si="191"/>
        <v>31</v>
      </c>
      <c r="BC329" s="9" t="str">
        <f t="shared" si="192"/>
        <v>-</v>
      </c>
      <c r="BD329" s="3">
        <f t="shared" si="193"/>
        <v>31</v>
      </c>
      <c r="BE329" s="3">
        <f t="shared" si="194"/>
        <v>51</v>
      </c>
      <c r="BF329" s="3">
        <f>AH329-AE329</f>
        <v>29</v>
      </c>
    </row>
    <row r="330" spans="1:59" s="3" customFormat="1" x14ac:dyDescent="0.2">
      <c r="A330" s="3" t="s">
        <v>1191</v>
      </c>
      <c r="B330" s="3" t="str">
        <f>LOWER(VLOOKUP(A330,Xtal_Templ!A:B,2,FALSE))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79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195"/>
        <v>1</v>
      </c>
      <c r="AO330" s="3" t="str">
        <f>IF(ISERROR(MATCH(A330,'SegEnds_Xtal_Prot#'!B:B, 0)), "NoXtal", "Xtal")</f>
        <v>NoXtal</v>
      </c>
      <c r="AP330" s="3">
        <f t="shared" si="180"/>
        <v>2</v>
      </c>
      <c r="AQ330" s="3">
        <f t="shared" si="181"/>
        <v>1</v>
      </c>
      <c r="AR330" s="3" t="str">
        <f t="shared" si="182"/>
        <v>-</v>
      </c>
      <c r="AS330" s="3" t="str">
        <f t="shared" si="183"/>
        <v>-</v>
      </c>
      <c r="AT330" s="3" t="str">
        <f t="shared" si="184"/>
        <v>-</v>
      </c>
      <c r="AU330" s="3" t="str">
        <f t="shared" si="185"/>
        <v>-</v>
      </c>
      <c r="AV330" s="3">
        <f t="shared" si="186"/>
        <v>8</v>
      </c>
      <c r="AW330" s="3">
        <f t="shared" si="187"/>
        <v>4</v>
      </c>
      <c r="AX330" s="3">
        <f t="shared" si="188"/>
        <v>12</v>
      </c>
      <c r="AY330" s="3">
        <f t="shared" si="189"/>
        <v>7</v>
      </c>
      <c r="AZ330" s="3">
        <f t="shared" si="190"/>
        <v>1</v>
      </c>
      <c r="BA330" s="3">
        <f>IF(ISERROR(LEN(VLOOKUP(A330,Seqs!A:E,2,FALSE))-AL330),"-",LEN(VLOOKUP(A330,Seqs!A:E,2,FALSE))-AL330)</f>
        <v>60</v>
      </c>
      <c r="BB330" s="16">
        <f t="shared" si="191"/>
        <v>31</v>
      </c>
      <c r="BC330" s="9" t="str">
        <f t="shared" si="192"/>
        <v>-</v>
      </c>
      <c r="BD330" s="3">
        <f t="shared" si="193"/>
        <v>31</v>
      </c>
      <c r="BE330" s="3">
        <f t="shared" si="194"/>
        <v>52</v>
      </c>
    </row>
    <row r="331" spans="1:59" s="3" customFormat="1" x14ac:dyDescent="0.2">
      <c r="A331" s="3" t="s">
        <v>1192</v>
      </c>
      <c r="B331" s="3" t="str">
        <f>LOWER(VLOOKUP(A331,Xtal_Templ!A:B,2,FALSE))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79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195"/>
        <v>1</v>
      </c>
      <c r="AO331" s="3" t="str">
        <f>IF(ISERROR(MATCH(A331,'SegEnds_Xtal_Prot#'!B:B, 0)), "NoXtal", "Xtal")</f>
        <v>NoXtal</v>
      </c>
      <c r="AP331" s="3">
        <f t="shared" si="180"/>
        <v>2</v>
      </c>
      <c r="AQ331" s="3">
        <f t="shared" si="181"/>
        <v>1</v>
      </c>
      <c r="AR331" s="3" t="str">
        <f t="shared" si="182"/>
        <v>-</v>
      </c>
      <c r="AS331" s="3" t="str">
        <f t="shared" si="183"/>
        <v>-</v>
      </c>
      <c r="AT331" s="3" t="str">
        <f t="shared" si="184"/>
        <v>-</v>
      </c>
      <c r="AU331" s="3" t="str">
        <f t="shared" si="185"/>
        <v>-</v>
      </c>
      <c r="AV331" s="3">
        <f t="shared" si="186"/>
        <v>20</v>
      </c>
      <c r="AW331" s="3">
        <f t="shared" si="187"/>
        <v>3</v>
      </c>
      <c r="AX331" s="3">
        <f t="shared" si="188"/>
        <v>4</v>
      </c>
      <c r="AY331" s="3">
        <f t="shared" si="189"/>
        <v>5</v>
      </c>
      <c r="AZ331" s="3">
        <f t="shared" si="190"/>
        <v>1</v>
      </c>
      <c r="BA331" s="3">
        <f>IF(ISERROR(LEN(VLOOKUP(A331,Seqs!A:E,2,FALSE))-AL331),"-",LEN(VLOOKUP(A331,Seqs!A:E,2,FALSE))-AL331)</f>
        <v>15</v>
      </c>
      <c r="BB331" s="16">
        <f t="shared" si="191"/>
        <v>35</v>
      </c>
      <c r="BC331" s="9" t="str">
        <f t="shared" si="192"/>
        <v>-</v>
      </c>
      <c r="BD331" s="3">
        <f t="shared" si="193"/>
        <v>35</v>
      </c>
      <c r="BE331" s="3">
        <f t="shared" si="194"/>
        <v>44</v>
      </c>
      <c r="BF331" s="3">
        <f>AH331-AE331</f>
        <v>30</v>
      </c>
    </row>
    <row r="332" spans="1:59" s="3" customFormat="1" x14ac:dyDescent="0.2">
      <c r="A332" s="3" t="s">
        <v>1193</v>
      </c>
      <c r="B332" s="3" t="str">
        <f>LOWER(VLOOKUP(A332,Xtal_Templ!A:B,2,FALSE))</f>
        <v>pth1r_human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730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79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852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195"/>
        <v>1</v>
      </c>
      <c r="AO332" s="3" t="str">
        <f>IF(ISERROR(MATCH(A332,'SegEnds_Xtal_Prot#'!B:B, 0)), "NoXtal", "Xtal")</f>
        <v>NoXtal</v>
      </c>
      <c r="AP332" s="3" t="str">
        <f t="shared" si="180"/>
        <v>-</v>
      </c>
      <c r="AQ332" s="3" t="str">
        <f t="shared" si="181"/>
        <v>-</v>
      </c>
      <c r="AR332" s="3" t="str">
        <f t="shared" si="182"/>
        <v>-</v>
      </c>
      <c r="AS332" s="3" t="str">
        <f t="shared" si="183"/>
        <v>-</v>
      </c>
      <c r="AT332" s="3" t="str">
        <f t="shared" si="184"/>
        <v>-</v>
      </c>
      <c r="AU332" s="3" t="str">
        <f t="shared" si="185"/>
        <v>-</v>
      </c>
      <c r="AV332" s="3">
        <f t="shared" si="186"/>
        <v>17</v>
      </c>
      <c r="AW332" s="3">
        <f t="shared" si="187"/>
        <v>3</v>
      </c>
      <c r="AX332" s="3">
        <f t="shared" si="188"/>
        <v>11</v>
      </c>
      <c r="AY332" s="3">
        <f t="shared" si="189"/>
        <v>5</v>
      </c>
      <c r="AZ332" s="3">
        <f t="shared" si="190"/>
        <v>1</v>
      </c>
      <c r="BA332" s="3">
        <f>IF(ISERROR(LEN(VLOOKUP(A332,Seqs!A:E,2,FALSE))-AL332),"-",LEN(VLOOKUP(A332,Seqs!A:E,2,FALSE))-AL332)</f>
        <v>118</v>
      </c>
      <c r="BB332" s="16">
        <f t="shared" si="191"/>
        <v>29</v>
      </c>
      <c r="BC332" s="9" t="str">
        <f t="shared" si="192"/>
        <v>-</v>
      </c>
      <c r="BD332" s="3">
        <f t="shared" si="193"/>
        <v>29</v>
      </c>
      <c r="BE332" s="3">
        <f t="shared" si="194"/>
        <v>51</v>
      </c>
    </row>
    <row r="333" spans="1:59" s="3" customFormat="1" x14ac:dyDescent="0.2">
      <c r="A333" s="3" t="s">
        <v>1194</v>
      </c>
      <c r="B333" s="3" t="str">
        <f>LOWER(VLOOKUP(A333,Xtal_Templ!A:B,2,FALSE))</f>
        <v>pth1r_human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374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79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195"/>
        <v>1</v>
      </c>
      <c r="AO333" s="3" t="str">
        <f>IF(ISERROR(MATCH(A333,'SegEnds_Xtal_Prot#'!B:B, 0)), "NoXtal", "Xtal")</f>
        <v>NoXtal</v>
      </c>
      <c r="AP333" s="3" t="str">
        <f t="shared" si="180"/>
        <v>-</v>
      </c>
      <c r="AQ333" s="3" t="str">
        <f t="shared" si="181"/>
        <v>-</v>
      </c>
      <c r="AR333" s="3" t="str">
        <f t="shared" si="182"/>
        <v>-</v>
      </c>
      <c r="AS333" s="3" t="str">
        <f t="shared" si="183"/>
        <v>-</v>
      </c>
      <c r="AT333" s="3" t="str">
        <f t="shared" si="184"/>
        <v>-</v>
      </c>
      <c r="AU333" s="3" t="str">
        <f t="shared" si="185"/>
        <v>-</v>
      </c>
      <c r="AV333" s="3">
        <f t="shared" si="186"/>
        <v>15</v>
      </c>
      <c r="AW333" s="3">
        <f t="shared" si="187"/>
        <v>2</v>
      </c>
      <c r="AX333" s="3">
        <f t="shared" si="188"/>
        <v>14</v>
      </c>
      <c r="AY333" s="3">
        <f t="shared" si="189"/>
        <v>7</v>
      </c>
      <c r="AZ333" s="3">
        <f t="shared" si="190"/>
        <v>1</v>
      </c>
      <c r="BA333" s="3">
        <f>IF(ISERROR(LEN(VLOOKUP(A333,Seqs!A:E,2,FALSE))-AL333),"-",LEN(VLOOKUP(A333,Seqs!A:E,2,FALSE))-AL333)</f>
        <v>8</v>
      </c>
      <c r="BB333" s="16">
        <f t="shared" si="191"/>
        <v>33</v>
      </c>
      <c r="BC333" s="9" t="str">
        <f t="shared" si="192"/>
        <v>-</v>
      </c>
      <c r="BD333" s="3">
        <f t="shared" si="193"/>
        <v>33</v>
      </c>
      <c r="BE333" s="3">
        <f t="shared" si="194"/>
        <v>54</v>
      </c>
      <c r="BF333" s="3">
        <f>AH333-AE333</f>
        <v>26</v>
      </c>
    </row>
    <row r="334" spans="1:59" s="3" customFormat="1" x14ac:dyDescent="0.2">
      <c r="A334" s="3" t="s">
        <v>1195</v>
      </c>
      <c r="B334" s="3" t="str">
        <f>LOWER(VLOOKUP(A334,Xtal_Templ!A:B,2,FALSE))</f>
        <v>pth1r_human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2845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79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2959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195"/>
        <v>1</v>
      </c>
      <c r="AO334" s="3" t="str">
        <f>IF(ISERROR(MATCH(A334,'SegEnds_Xtal_Prot#'!B:B, 0)), "NoXtal", "Xtal")</f>
        <v>NoXtal</v>
      </c>
      <c r="AP334" s="3" t="str">
        <f t="shared" si="180"/>
        <v>-</v>
      </c>
      <c r="AQ334" s="3" t="str">
        <f t="shared" si="181"/>
        <v>-</v>
      </c>
      <c r="AR334" s="3" t="str">
        <f t="shared" si="182"/>
        <v>-</v>
      </c>
      <c r="AS334" s="3" t="str">
        <f t="shared" si="183"/>
        <v>-</v>
      </c>
      <c r="AT334" s="3" t="str">
        <f t="shared" si="184"/>
        <v>-</v>
      </c>
      <c r="AU334" s="3" t="str">
        <f t="shared" si="185"/>
        <v>-</v>
      </c>
      <c r="AV334" s="3">
        <f t="shared" si="186"/>
        <v>10</v>
      </c>
      <c r="AW334" s="3">
        <f t="shared" si="187"/>
        <v>3</v>
      </c>
      <c r="AX334" s="3">
        <f t="shared" si="188"/>
        <v>10</v>
      </c>
      <c r="AY334" s="3">
        <f t="shared" si="189"/>
        <v>5</v>
      </c>
      <c r="AZ334" s="3">
        <f t="shared" si="190"/>
        <v>1</v>
      </c>
      <c r="BA334" s="3">
        <f>IF(ISERROR(LEN(VLOOKUP(A334,Seqs!A:E,2,FALSE))-AL334),"-",LEN(VLOOKUP(A334,Seqs!A:E,2,FALSE))-AL334)</f>
        <v>74</v>
      </c>
      <c r="BB334" s="16">
        <f t="shared" si="191"/>
        <v>29</v>
      </c>
      <c r="BC334" s="9" t="str">
        <f t="shared" si="192"/>
        <v>-</v>
      </c>
      <c r="BD334" s="3">
        <f t="shared" si="193"/>
        <v>29</v>
      </c>
      <c r="BE334" s="3">
        <f t="shared" si="194"/>
        <v>50</v>
      </c>
    </row>
    <row r="335" spans="1:59" s="3" customFormat="1" x14ac:dyDescent="0.2">
      <c r="A335" s="3" t="s">
        <v>1196</v>
      </c>
      <c r="B335" s="3" t="str">
        <f>LOWER(VLOOKUP(A335,Xtal_Templ!A:B,2,FALSE))</f>
        <v>pth1r_human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350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79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476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195"/>
        <v>1</v>
      </c>
      <c r="AO335" s="3" t="str">
        <f>IF(ISERROR(MATCH(A335,'SegEnds_Xtal_Prot#'!B:B, 0)), "NoXtal", "Xtal")</f>
        <v>NoXtal</v>
      </c>
      <c r="AP335" s="3" t="str">
        <f t="shared" si="180"/>
        <v>-</v>
      </c>
      <c r="AQ335" s="3" t="str">
        <f t="shared" si="181"/>
        <v>-</v>
      </c>
      <c r="AR335" s="3" t="str">
        <f t="shared" si="182"/>
        <v>-</v>
      </c>
      <c r="AS335" s="3" t="str">
        <f t="shared" si="183"/>
        <v>-</v>
      </c>
      <c r="AT335" s="3" t="str">
        <f t="shared" si="184"/>
        <v>-</v>
      </c>
      <c r="AU335" s="3" t="str">
        <f t="shared" si="185"/>
        <v>-</v>
      </c>
      <c r="AV335" s="3">
        <f t="shared" si="186"/>
        <v>23</v>
      </c>
      <c r="AW335" s="3">
        <f t="shared" si="187"/>
        <v>3</v>
      </c>
      <c r="AX335" s="3">
        <f t="shared" si="188"/>
        <v>9</v>
      </c>
      <c r="AY335" s="3">
        <f t="shared" si="189"/>
        <v>5</v>
      </c>
      <c r="AZ335" s="3">
        <f t="shared" si="190"/>
        <v>1</v>
      </c>
      <c r="BA335" s="3">
        <f>IF(ISERROR(LEN(VLOOKUP(A335,Seqs!A:E,2,FALSE))-AL335),"-",LEN(VLOOKUP(A335,Seqs!A:E,2,FALSE))-AL335)</f>
        <v>5</v>
      </c>
      <c r="BB335" s="16">
        <f t="shared" si="191"/>
        <v>28</v>
      </c>
      <c r="BC335" s="9" t="str">
        <f t="shared" si="192"/>
        <v>-</v>
      </c>
      <c r="BD335" s="3">
        <f t="shared" si="193"/>
        <v>28</v>
      </c>
      <c r="BE335" s="3">
        <f t="shared" si="194"/>
        <v>49</v>
      </c>
      <c r="BF335" s="3">
        <f>AH335-AE335</f>
        <v>28</v>
      </c>
    </row>
    <row r="336" spans="1:59" s="3" customFormat="1" x14ac:dyDescent="0.2">
      <c r="A336" s="3" t="s">
        <v>1413</v>
      </c>
      <c r="B336" s="3" t="str">
        <f>LOWER(VLOOKUP(A336,Xtal_Templ!A:B,2,FALSE))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79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195"/>
        <v>1</v>
      </c>
      <c r="AO336" s="3" t="str">
        <f>IF(ISERROR(MATCH(A336,'SegEnds_Xtal_Prot#'!B:B, 0)), "NoXtal", "Xtal")</f>
        <v>NoXtal</v>
      </c>
      <c r="AP336" s="3">
        <f t="shared" si="180"/>
        <v>1</v>
      </c>
      <c r="AQ336" s="3">
        <f t="shared" si="181"/>
        <v>1</v>
      </c>
      <c r="AR336" s="3" t="str">
        <f t="shared" si="182"/>
        <v>-</v>
      </c>
      <c r="AS336" s="3" t="str">
        <f t="shared" si="183"/>
        <v>-</v>
      </c>
      <c r="AT336" s="3" t="str">
        <f t="shared" si="184"/>
        <v>-</v>
      </c>
      <c r="AU336" s="3" t="str">
        <f t="shared" si="185"/>
        <v>-</v>
      </c>
      <c r="AV336" s="3">
        <f t="shared" si="186"/>
        <v>16</v>
      </c>
      <c r="AW336" s="3">
        <f t="shared" si="187"/>
        <v>3</v>
      </c>
      <c r="AX336" s="3">
        <f t="shared" si="188"/>
        <v>11</v>
      </c>
      <c r="AY336" s="3">
        <f t="shared" si="189"/>
        <v>6</v>
      </c>
      <c r="AZ336" s="3">
        <f t="shared" si="190"/>
        <v>1</v>
      </c>
      <c r="BA336" s="3">
        <f>IF(ISERROR(LEN(VLOOKUP(A336,Seqs!A:E,2,FALSE))-AL336),"-",LEN(VLOOKUP(A336,Seqs!A:E,2,FALSE))-AL336)</f>
        <v>87</v>
      </c>
      <c r="BB336" s="16">
        <f t="shared" si="191"/>
        <v>29</v>
      </c>
      <c r="BC336" s="9" t="str">
        <f t="shared" si="192"/>
        <v>-</v>
      </c>
      <c r="BD336" s="3">
        <f t="shared" si="193"/>
        <v>29</v>
      </c>
      <c r="BE336" s="3">
        <f t="shared" si="194"/>
        <v>51</v>
      </c>
    </row>
    <row r="337" spans="1:58" s="3" customFormat="1" x14ac:dyDescent="0.2">
      <c r="A337" s="3" t="s">
        <v>1197</v>
      </c>
      <c r="B337" s="3" t="str">
        <f>LOWER(VLOOKUP(A337,Xtal_Templ!A:B,2,FALSE))</f>
        <v>pth1r_human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562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79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690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195"/>
        <v>1</v>
      </c>
      <c r="AO337" s="3" t="str">
        <f>IF(ISERROR(MATCH(A337,'SegEnds_Xtal_Prot#'!B:B, 0)), "NoXtal", "Xtal")</f>
        <v>NoXtal</v>
      </c>
      <c r="AP337" s="3" t="str">
        <f t="shared" si="180"/>
        <v>-</v>
      </c>
      <c r="AQ337" s="3" t="str">
        <f t="shared" si="181"/>
        <v>-</v>
      </c>
      <c r="AR337" s="3" t="str">
        <f t="shared" si="182"/>
        <v>-</v>
      </c>
      <c r="AS337" s="3" t="str">
        <f t="shared" si="183"/>
        <v>-</v>
      </c>
      <c r="AT337" s="3" t="str">
        <f t="shared" si="184"/>
        <v>-</v>
      </c>
      <c r="AU337" s="3" t="str">
        <f t="shared" si="185"/>
        <v>-</v>
      </c>
      <c r="AV337" s="3">
        <f t="shared" si="186"/>
        <v>16</v>
      </c>
      <c r="AW337" s="3">
        <f t="shared" si="187"/>
        <v>10</v>
      </c>
      <c r="AX337" s="3">
        <f t="shared" si="188"/>
        <v>11</v>
      </c>
      <c r="AY337" s="3">
        <f t="shared" si="189"/>
        <v>6</v>
      </c>
      <c r="AZ337" s="3">
        <f t="shared" si="190"/>
        <v>1</v>
      </c>
      <c r="BA337" s="3">
        <f>IF(ISERROR(LEN(VLOOKUP(A337,Seqs!A:E,2,FALSE))-AL337),"-",LEN(VLOOKUP(A337,Seqs!A:E,2,FALSE))-AL337)</f>
        <v>57</v>
      </c>
      <c r="BB337" s="16">
        <f t="shared" si="191"/>
        <v>29</v>
      </c>
      <c r="BC337" s="9" t="str">
        <f t="shared" si="192"/>
        <v>-</v>
      </c>
      <c r="BD337" s="3">
        <f t="shared" si="193"/>
        <v>29</v>
      </c>
      <c r="BE337" s="3">
        <f t="shared" si="194"/>
        <v>51</v>
      </c>
    </row>
    <row r="338" spans="1:58" s="3" customFormat="1" x14ac:dyDescent="0.2">
      <c r="A338" s="3" t="s">
        <v>1198</v>
      </c>
      <c r="B338" s="3" t="str">
        <f>LOWER(VLOOKUP(A338,Xtal_Templ!A:B,2,FALSE))</f>
        <v>calcr_human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962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79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195"/>
        <v>1</v>
      </c>
      <c r="AO338" s="3" t="str">
        <f>IF(ISERROR(MATCH(A338,'SegEnds_Xtal_Prot#'!B:B, 0)), "NoXtal", "Xtal")</f>
        <v>NoXtal</v>
      </c>
      <c r="AP338" s="3">
        <f t="shared" si="180"/>
        <v>1</v>
      </c>
      <c r="AQ338" s="3">
        <f t="shared" si="181"/>
        <v>1</v>
      </c>
      <c r="AR338" s="3" t="str">
        <f t="shared" si="182"/>
        <v>-</v>
      </c>
      <c r="AS338" s="3" t="str">
        <f t="shared" si="183"/>
        <v>-</v>
      </c>
      <c r="AT338" s="3" t="str">
        <f t="shared" si="184"/>
        <v>-</v>
      </c>
      <c r="AU338" s="3" t="str">
        <f t="shared" si="185"/>
        <v>-</v>
      </c>
      <c r="AV338" s="3">
        <f t="shared" si="186"/>
        <v>6</v>
      </c>
      <c r="AW338" s="3">
        <f t="shared" si="187"/>
        <v>3</v>
      </c>
      <c r="AX338" s="3">
        <f t="shared" si="188"/>
        <v>12</v>
      </c>
      <c r="AY338" s="3">
        <f t="shared" si="189"/>
        <v>6</v>
      </c>
      <c r="AZ338" s="3">
        <f t="shared" si="190"/>
        <v>1</v>
      </c>
      <c r="BA338" s="3">
        <f>IF(ISERROR(LEN(VLOOKUP(A338,Seqs!A:E,2,FALSE))-AL338),"-",LEN(VLOOKUP(A338,Seqs!A:E,2,FALSE))-AL338)</f>
        <v>357</v>
      </c>
      <c r="BB338" s="16">
        <f t="shared" si="191"/>
        <v>28</v>
      </c>
      <c r="BC338" s="9" t="str">
        <f t="shared" si="192"/>
        <v>-</v>
      </c>
      <c r="BD338" s="3">
        <f t="shared" si="193"/>
        <v>28</v>
      </c>
      <c r="BE338" s="3">
        <f t="shared" si="194"/>
        <v>52</v>
      </c>
    </row>
    <row r="339" spans="1:58" s="3" customFormat="1" x14ac:dyDescent="0.2">
      <c r="A339" s="3" t="s">
        <v>1199</v>
      </c>
      <c r="B339" s="3" t="str">
        <f>LOWER(VLOOKUP(A339,Xtal_Templ!A:B,2,FALSE))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79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195"/>
        <v>1</v>
      </c>
      <c r="AO339" s="3" t="str">
        <f>IF(ISERROR(MATCH(A339,'SegEnds_Xtal_Prot#'!B:B, 0)), "NoXtal", "Xtal")</f>
        <v>NoXtal</v>
      </c>
      <c r="AP339" s="3" t="str">
        <f t="shared" si="180"/>
        <v>-</v>
      </c>
      <c r="AQ339" s="3" t="str">
        <f t="shared" si="181"/>
        <v>-</v>
      </c>
      <c r="AR339" s="3" t="str">
        <f t="shared" si="182"/>
        <v>-</v>
      </c>
      <c r="AS339" s="3" t="str">
        <f t="shared" si="183"/>
        <v>-</v>
      </c>
      <c r="AT339" s="3" t="str">
        <f t="shared" si="184"/>
        <v>-</v>
      </c>
      <c r="AU339" s="3" t="str">
        <f t="shared" si="185"/>
        <v>-</v>
      </c>
      <c r="AV339" s="3">
        <f t="shared" si="186"/>
        <v>6</v>
      </c>
      <c r="AW339" s="3">
        <f t="shared" si="187"/>
        <v>3</v>
      </c>
      <c r="AX339" s="3">
        <f t="shared" si="188"/>
        <v>12</v>
      </c>
      <c r="AY339" s="3">
        <f t="shared" si="189"/>
        <v>6</v>
      </c>
      <c r="AZ339" s="3">
        <f t="shared" si="190"/>
        <v>1</v>
      </c>
      <c r="BA339" s="3">
        <f>IF(ISERROR(LEN(VLOOKUP(A339,Seqs!A:E,2,FALSE))-AL339),"-",LEN(VLOOKUP(A339,Seqs!A:E,2,FALSE))-AL339)</f>
        <v>355</v>
      </c>
      <c r="BB339" s="16">
        <f t="shared" si="191"/>
        <v>28</v>
      </c>
      <c r="BC339" s="9" t="str">
        <f t="shared" si="192"/>
        <v>-</v>
      </c>
      <c r="BD339" s="3">
        <f t="shared" si="193"/>
        <v>28</v>
      </c>
      <c r="BE339" s="3">
        <f t="shared" si="194"/>
        <v>52</v>
      </c>
    </row>
    <row r="340" spans="1:58" s="3" customFormat="1" x14ac:dyDescent="0.2">
      <c r="A340" s="3" t="s">
        <v>1200</v>
      </c>
      <c r="B340" s="3" t="str">
        <f>LOWER(VLOOKUP(A340,Xtal_Templ!A:B,2,FALSE))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79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195"/>
        <v>1</v>
      </c>
      <c r="AO340" s="3" t="str">
        <f>IF(ISERROR(MATCH(A340,'SegEnds_Xtal_Prot#'!B:B, 0)), "NoXtal", "Xtal")</f>
        <v>NoXtal</v>
      </c>
      <c r="AP340" s="3">
        <f t="shared" si="180"/>
        <v>1</v>
      </c>
      <c r="AQ340" s="3">
        <f t="shared" si="181"/>
        <v>1</v>
      </c>
      <c r="AR340" s="3" t="str">
        <f t="shared" si="182"/>
        <v>-</v>
      </c>
      <c r="AS340" s="3" t="str">
        <f t="shared" si="183"/>
        <v>-</v>
      </c>
      <c r="AT340" s="3" t="str">
        <f t="shared" si="184"/>
        <v>-</v>
      </c>
      <c r="AU340" s="3" t="str">
        <f t="shared" si="185"/>
        <v>-</v>
      </c>
      <c r="AV340" s="3">
        <f t="shared" si="186"/>
        <v>6</v>
      </c>
      <c r="AW340" s="3">
        <f t="shared" si="187"/>
        <v>3</v>
      </c>
      <c r="AX340" s="3">
        <f t="shared" si="188"/>
        <v>12</v>
      </c>
      <c r="AY340" s="3">
        <f t="shared" si="189"/>
        <v>6</v>
      </c>
      <c r="AZ340" s="3">
        <f t="shared" si="190"/>
        <v>1</v>
      </c>
      <c r="BA340" s="3">
        <f>IF(ISERROR(LEN(VLOOKUP(A340,Seqs!A:E,2,FALSE))-AL340),"-",LEN(VLOOKUP(A340,Seqs!A:E,2,FALSE))-AL340)</f>
        <v>326</v>
      </c>
      <c r="BB340" s="16">
        <f t="shared" si="191"/>
        <v>28</v>
      </c>
      <c r="BC340" s="9" t="str">
        <f t="shared" si="192"/>
        <v>-</v>
      </c>
      <c r="BD340" s="3">
        <f t="shared" si="193"/>
        <v>28</v>
      </c>
      <c r="BE340" s="3">
        <f t="shared" si="194"/>
        <v>52</v>
      </c>
    </row>
    <row r="341" spans="1:58" s="3" customFormat="1" x14ac:dyDescent="0.2">
      <c r="A341" s="3" t="s">
        <v>1201</v>
      </c>
      <c r="B341" s="3" t="str">
        <f>LOWER(VLOOKUP(A341,Xtal_Templ!A:B,2,FALSE))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79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195"/>
        <v>1</v>
      </c>
      <c r="AO341" s="3" t="str">
        <f>IF(ISERROR(MATCH(A341,'SegEnds_Xtal_Prot#'!B:B, 0)), "NoXtal", "Xtal")</f>
        <v>NoXtal</v>
      </c>
      <c r="AP341" s="3" t="str">
        <f t="shared" si="180"/>
        <v>-</v>
      </c>
      <c r="AQ341" s="3" t="str">
        <f t="shared" si="181"/>
        <v>-</v>
      </c>
      <c r="AR341" s="3" t="str">
        <f t="shared" si="182"/>
        <v>-</v>
      </c>
      <c r="AS341" s="3" t="str">
        <f t="shared" si="183"/>
        <v>-</v>
      </c>
      <c r="AT341" s="3" t="str">
        <f t="shared" si="184"/>
        <v>-</v>
      </c>
      <c r="AU341" s="3" t="str">
        <f t="shared" si="185"/>
        <v>-</v>
      </c>
      <c r="AV341" s="3">
        <f t="shared" si="186"/>
        <v>6</v>
      </c>
      <c r="AW341" s="3">
        <f t="shared" si="187"/>
        <v>3</v>
      </c>
      <c r="AX341" s="3">
        <f t="shared" si="188"/>
        <v>12</v>
      </c>
      <c r="AY341" s="3">
        <f t="shared" si="189"/>
        <v>6</v>
      </c>
      <c r="AZ341" s="3">
        <f t="shared" si="190"/>
        <v>1</v>
      </c>
      <c r="BA341" s="3">
        <f>IF(ISERROR(LEN(VLOOKUP(A341,Seqs!A:E,2,FALSE))-AL341),"-",LEN(VLOOKUP(A341,Seqs!A:E,2,FALSE))-AL341)</f>
        <v>6</v>
      </c>
      <c r="BB341" s="16">
        <f t="shared" si="191"/>
        <v>28</v>
      </c>
      <c r="BC341" s="9" t="str">
        <f t="shared" si="192"/>
        <v>-</v>
      </c>
      <c r="BD341" s="3">
        <f t="shared" si="193"/>
        <v>28</v>
      </c>
      <c r="BE341" s="3">
        <f t="shared" si="194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LOWER(VLOOKUP(A342,Xtal_Templ!A:B,2,FALSE))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79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195"/>
        <v>1</v>
      </c>
      <c r="AO342" s="3" t="str">
        <f>IF(ISERROR(MATCH(A342,'SegEnds_Xtal_Prot#'!B:B, 0)), "NoXtal", "Xtal")</f>
        <v>NoXtal</v>
      </c>
      <c r="AP342" s="3" t="str">
        <f t="shared" si="180"/>
        <v>-</v>
      </c>
      <c r="AQ342" s="3" t="str">
        <f t="shared" si="181"/>
        <v>-</v>
      </c>
      <c r="AR342" s="3" t="str">
        <f t="shared" si="182"/>
        <v>-</v>
      </c>
      <c r="AS342" s="3" t="str">
        <f t="shared" si="183"/>
        <v>-</v>
      </c>
      <c r="AT342" s="3" t="str">
        <f t="shared" si="184"/>
        <v>-</v>
      </c>
      <c r="AU342" s="3" t="str">
        <f t="shared" si="185"/>
        <v>-</v>
      </c>
      <c r="AV342" s="3">
        <f t="shared" si="186"/>
        <v>7</v>
      </c>
      <c r="AW342" s="3">
        <f t="shared" si="187"/>
        <v>3</v>
      </c>
      <c r="AX342" s="3">
        <f t="shared" si="188"/>
        <v>10</v>
      </c>
      <c r="AY342" s="3">
        <f t="shared" si="189"/>
        <v>7</v>
      </c>
      <c r="AZ342" s="3">
        <f t="shared" si="190"/>
        <v>1</v>
      </c>
      <c r="BA342" s="3">
        <f>IF(ISERROR(LEN(VLOOKUP(A342,Seqs!A:E,2,FALSE))-AL342),"-",LEN(VLOOKUP(A342,Seqs!A:E,2,FALSE))-AL342)</f>
        <v>380</v>
      </c>
      <c r="BB342" s="16">
        <f t="shared" si="191"/>
        <v>29</v>
      </c>
      <c r="BC342" s="9" t="str">
        <f t="shared" si="192"/>
        <v>-</v>
      </c>
      <c r="BD342" s="3">
        <f t="shared" si="193"/>
        <v>29</v>
      </c>
      <c r="BE342" s="3">
        <f t="shared" si="194"/>
        <v>50</v>
      </c>
    </row>
    <row r="343" spans="1:58" s="3" customFormat="1" x14ac:dyDescent="0.2">
      <c r="A343" s="3" t="s">
        <v>417</v>
      </c>
      <c r="B343" s="3" t="str">
        <f>LOWER(VLOOKUP(A343,Xtal_Templ!A:B,2,FALSE))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79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195"/>
        <v>1</v>
      </c>
      <c r="AO343" s="3" t="str">
        <f>IF(ISERROR(MATCH(A343,'SegEnds_Xtal_Prot#'!B:B, 0)), "NoXtal", "Xtal")</f>
        <v>NoXtal</v>
      </c>
      <c r="AP343" s="3" t="str">
        <f t="shared" si="180"/>
        <v>-</v>
      </c>
      <c r="AQ343" s="3" t="str">
        <f t="shared" si="181"/>
        <v>-</v>
      </c>
      <c r="AR343" s="3" t="str">
        <f t="shared" si="182"/>
        <v>-</v>
      </c>
      <c r="AS343" s="3" t="str">
        <f t="shared" si="183"/>
        <v>-</v>
      </c>
      <c r="AT343" s="3" t="str">
        <f t="shared" si="184"/>
        <v>-</v>
      </c>
      <c r="AU343" s="3" t="str">
        <f t="shared" si="185"/>
        <v>-</v>
      </c>
      <c r="AV343" s="3">
        <f t="shared" si="186"/>
        <v>6</v>
      </c>
      <c r="AW343" s="3">
        <f t="shared" si="187"/>
        <v>3</v>
      </c>
      <c r="AX343" s="3">
        <f t="shared" si="188"/>
        <v>12</v>
      </c>
      <c r="AY343" s="3">
        <f t="shared" si="189"/>
        <v>6</v>
      </c>
      <c r="AZ343" s="3">
        <f t="shared" si="190"/>
        <v>1</v>
      </c>
      <c r="BA343" s="3">
        <f>IF(ISERROR(LEN(VLOOKUP(A343,Seqs!A:E,2,FALSE))-AL343),"-",LEN(VLOOKUP(A343,Seqs!A:E,2,FALSE))-AL343)</f>
        <v>29</v>
      </c>
      <c r="BB343" s="16">
        <f t="shared" si="191"/>
        <v>28</v>
      </c>
      <c r="BC343" s="9" t="str">
        <f t="shared" si="192"/>
        <v>-</v>
      </c>
      <c r="BD343" s="3">
        <f t="shared" si="193"/>
        <v>28</v>
      </c>
      <c r="BE343" s="3">
        <f t="shared" si="194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LOWER(VLOOKUP(A344,Xtal_Templ!A:B,2,FALSE))</f>
        <v>pth1r_human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196">G344+1</f>
        <v>2497</v>
      </c>
      <c r="I344" s="3">
        <f t="shared" si="196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2566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79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2674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195"/>
        <v>1</v>
      </c>
      <c r="AO344" s="3" t="str">
        <f>IF(ISERROR(MATCH(A344,'SegEnds_Xtal_Prot#'!B:B, 0)), "NoXtal", "Xtal")</f>
        <v>NoXtal</v>
      </c>
      <c r="AP344" s="3">
        <f t="shared" si="180"/>
        <v>1</v>
      </c>
      <c r="AQ344" s="3">
        <f t="shared" si="181"/>
        <v>1</v>
      </c>
      <c r="AR344" s="3" t="str">
        <f t="shared" si="182"/>
        <v>-</v>
      </c>
      <c r="AS344" s="3" t="str">
        <f t="shared" si="183"/>
        <v>-</v>
      </c>
      <c r="AT344" s="3" t="str">
        <f t="shared" si="184"/>
        <v>-</v>
      </c>
      <c r="AU344" s="3" t="str">
        <f t="shared" si="185"/>
        <v>-</v>
      </c>
      <c r="AV344" s="3">
        <f t="shared" si="186"/>
        <v>6</v>
      </c>
      <c r="AW344" s="3">
        <f t="shared" si="187"/>
        <v>3</v>
      </c>
      <c r="AX344" s="3">
        <f t="shared" si="188"/>
        <v>8</v>
      </c>
      <c r="AY344" s="3">
        <f t="shared" si="189"/>
        <v>5</v>
      </c>
      <c r="AZ344" s="3">
        <f t="shared" si="190"/>
        <v>1</v>
      </c>
      <c r="BA344" s="3">
        <f>IF(ISERROR(LEN(VLOOKUP(A344,Seqs!A:E,2,FALSE))-AL344),"-",LEN(VLOOKUP(A344,Seqs!A:E,2,FALSE))-AL344)</f>
        <v>293</v>
      </c>
      <c r="BB344" s="16">
        <f t="shared" si="191"/>
        <v>28</v>
      </c>
      <c r="BC344" s="9" t="str">
        <f t="shared" si="192"/>
        <v>-</v>
      </c>
      <c r="BD344" s="3">
        <f t="shared" si="193"/>
        <v>28</v>
      </c>
      <c r="BE344" s="3">
        <f t="shared" si="194"/>
        <v>48</v>
      </c>
    </row>
    <row r="345" spans="1:58" s="3" customFormat="1" x14ac:dyDescent="0.2">
      <c r="A345" s="3" t="s">
        <v>419</v>
      </c>
      <c r="B345" s="3" t="str">
        <f>LOWER(VLOOKUP(A345,Xtal_Templ!A:B,2,FALSE))</f>
        <v>calrl_human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196"/>
        <v>2405</v>
      </c>
      <c r="I345" s="3">
        <f t="shared" si="196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2504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79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195"/>
        <v>1</v>
      </c>
      <c r="AO345" s="3" t="str">
        <f>IF(ISERROR(MATCH(A345,'SegEnds_Xtal_Prot#'!B:B, 0)), "NoXtal", "Xtal")</f>
        <v>NoXtal</v>
      </c>
      <c r="AP345" s="3">
        <f t="shared" si="180"/>
        <v>1</v>
      </c>
      <c r="AQ345" s="3">
        <f t="shared" si="181"/>
        <v>1</v>
      </c>
      <c r="AR345" s="3" t="str">
        <f t="shared" si="182"/>
        <v>-</v>
      </c>
      <c r="AS345" s="3" t="str">
        <f t="shared" si="183"/>
        <v>-</v>
      </c>
      <c r="AT345" s="3" t="str">
        <f t="shared" si="184"/>
        <v>-</v>
      </c>
      <c r="AU345" s="3" t="str">
        <f t="shared" si="185"/>
        <v>-</v>
      </c>
      <c r="AV345" s="3">
        <f t="shared" si="186"/>
        <v>7</v>
      </c>
      <c r="AW345" s="3">
        <f t="shared" si="187"/>
        <v>3</v>
      </c>
      <c r="AX345" s="3">
        <f t="shared" si="188"/>
        <v>8</v>
      </c>
      <c r="AY345" s="3">
        <f t="shared" si="189"/>
        <v>6</v>
      </c>
      <c r="AZ345" s="3">
        <f t="shared" si="190"/>
        <v>1</v>
      </c>
      <c r="BA345" s="3">
        <f>IF(ISERROR(LEN(VLOOKUP(A345,Seqs!A:E,2,FALSE))-AL345),"-",LEN(VLOOKUP(A345,Seqs!A:E,2,FALSE))-AL345)</f>
        <v>294</v>
      </c>
      <c r="BB345" s="16">
        <f t="shared" si="191"/>
        <v>28</v>
      </c>
      <c r="BC345" s="9" t="str">
        <f t="shared" si="192"/>
        <v>-</v>
      </c>
      <c r="BD345" s="3">
        <f t="shared" si="193"/>
        <v>28</v>
      </c>
      <c r="BE345" s="3">
        <f t="shared" si="194"/>
        <v>48</v>
      </c>
    </row>
    <row r="346" spans="1:58" s="3" customFormat="1" x14ac:dyDescent="0.2">
      <c r="A346" s="3" t="s">
        <v>420</v>
      </c>
      <c r="B346" s="3" t="str">
        <f>LOWER(VLOOKUP(A346,Xtal_Templ!A:B,2,FALSE))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196"/>
        <v>2568</v>
      </c>
      <c r="I346" s="3">
        <f t="shared" si="196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79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195"/>
        <v>1</v>
      </c>
      <c r="AO346" s="3" t="str">
        <f>IF(ISERROR(MATCH(A346,'SegEnds_Xtal_Prot#'!B:B, 0)), "NoXtal", "Xtal")</f>
        <v>NoXtal</v>
      </c>
      <c r="AP346" s="3">
        <f t="shared" si="180"/>
        <v>1</v>
      </c>
      <c r="AQ346" s="3">
        <f t="shared" si="181"/>
        <v>1</v>
      </c>
      <c r="AR346" s="3" t="str">
        <f t="shared" si="182"/>
        <v>-</v>
      </c>
      <c r="AS346" s="3" t="str">
        <f t="shared" si="183"/>
        <v>-</v>
      </c>
      <c r="AT346" s="3" t="str">
        <f t="shared" si="184"/>
        <v>-</v>
      </c>
      <c r="AU346" s="3" t="str">
        <f t="shared" si="185"/>
        <v>-</v>
      </c>
      <c r="AV346" s="3">
        <f t="shared" si="186"/>
        <v>6</v>
      </c>
      <c r="AW346" s="3">
        <f t="shared" si="187"/>
        <v>3</v>
      </c>
      <c r="AX346" s="3">
        <f t="shared" si="188"/>
        <v>7</v>
      </c>
      <c r="AY346" s="3">
        <f t="shared" si="189"/>
        <v>6</v>
      </c>
      <c r="AZ346" s="3">
        <f t="shared" si="190"/>
        <v>1</v>
      </c>
      <c r="BA346" s="3">
        <f>IF(ISERROR(LEN(VLOOKUP(A346,Seqs!A:E,2,FALSE))-AL346),"-",LEN(VLOOKUP(A346,Seqs!A:E,2,FALSE))-AL346)</f>
        <v>521</v>
      </c>
      <c r="BB346" s="16">
        <f t="shared" si="191"/>
        <v>28</v>
      </c>
      <c r="BC346" s="9" t="str">
        <f t="shared" si="192"/>
        <v>-</v>
      </c>
      <c r="BD346" s="3">
        <f t="shared" si="193"/>
        <v>28</v>
      </c>
      <c r="BE346" s="3">
        <f t="shared" si="194"/>
        <v>47</v>
      </c>
    </row>
    <row r="347" spans="1:58" s="3" customFormat="1" x14ac:dyDescent="0.2">
      <c r="A347" s="3" t="s">
        <v>442</v>
      </c>
      <c r="B347" s="3" t="str">
        <f>LOWER(VLOOKUP(A347,Xtal_Templ!A:B,2,FALSE))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79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195"/>
        <v>1</v>
      </c>
      <c r="AO347" s="3" t="str">
        <f>IF(ISERROR(MATCH(A347,'SegEnds_Xtal_Prot#'!B:B, 0)), "NoXtal", "Xtal")</f>
        <v>NoXtal</v>
      </c>
      <c r="AP347" s="3" t="str">
        <f t="shared" si="180"/>
        <v>-</v>
      </c>
      <c r="AQ347" s="3" t="str">
        <f t="shared" si="181"/>
        <v>-</v>
      </c>
      <c r="AR347" s="3" t="str">
        <f t="shared" si="182"/>
        <v>-</v>
      </c>
      <c r="AS347" s="3" t="str">
        <f t="shared" si="183"/>
        <v>-</v>
      </c>
      <c r="AT347" s="3" t="str">
        <f t="shared" si="184"/>
        <v>-</v>
      </c>
      <c r="AU347" s="3" t="str">
        <f t="shared" si="185"/>
        <v>-</v>
      </c>
      <c r="AV347" s="3">
        <f t="shared" si="186"/>
        <v>16</v>
      </c>
      <c r="AW347" s="3">
        <f t="shared" si="187"/>
        <v>4</v>
      </c>
      <c r="AX347" s="3">
        <f t="shared" si="188"/>
        <v>9</v>
      </c>
      <c r="AY347" s="3">
        <f t="shared" si="189"/>
        <v>6</v>
      </c>
      <c r="AZ347" s="3">
        <f t="shared" si="190"/>
        <v>1</v>
      </c>
      <c r="BA347" s="3">
        <f>IF(ISERROR(LEN(VLOOKUP(A347,Seqs!A:E,2,FALSE))-AL347),"-",LEN(VLOOKUP(A347,Seqs!A:E,2,FALSE))-AL347)</f>
        <v>134</v>
      </c>
      <c r="BB347" s="16">
        <f t="shared" si="191"/>
        <v>26</v>
      </c>
      <c r="BC347" s="9" t="str">
        <f t="shared" si="192"/>
        <v>-</v>
      </c>
      <c r="BD347" s="3">
        <f t="shared" si="193"/>
        <v>26</v>
      </c>
      <c r="BE347" s="3">
        <f t="shared" si="194"/>
        <v>49</v>
      </c>
    </row>
    <row r="348" spans="1:58" s="3" customFormat="1" x14ac:dyDescent="0.2">
      <c r="A348" s="3" t="s">
        <v>105</v>
      </c>
      <c r="B348" s="3" t="str">
        <f>LOWER(VLOOKUP(A348,Xtal_Templ!A:B,2,FALSE))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197">G348-3</f>
        <v>640</v>
      </c>
      <c r="G348" s="3">
        <v>643</v>
      </c>
      <c r="H348" s="3">
        <f t="shared" ref="H348:H369" si="198">G348+3</f>
        <v>646</v>
      </c>
      <c r="I348" s="3">
        <f t="shared" ref="I348:I380" si="199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673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79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195"/>
        <v>1</v>
      </c>
      <c r="AO348" s="3" t="str">
        <f>IF(ISERROR(MATCH(A348,'SegEnds_Xtal_Prot#'!B:B, 0)), "NoXtal", "Xtal")</f>
        <v>NoXtal</v>
      </c>
      <c r="AP348" s="3">
        <f t="shared" si="180"/>
        <v>3</v>
      </c>
      <c r="AQ348" s="3">
        <f t="shared" si="181"/>
        <v>1</v>
      </c>
      <c r="AR348" s="3" t="str">
        <f t="shared" si="182"/>
        <v>-</v>
      </c>
      <c r="AS348" s="3" t="str">
        <f t="shared" si="183"/>
        <v>-</v>
      </c>
      <c r="AT348" s="3" t="str">
        <f t="shared" si="184"/>
        <v>-</v>
      </c>
      <c r="AU348" s="3" t="str">
        <f t="shared" si="185"/>
        <v>-</v>
      </c>
      <c r="AV348" s="3">
        <f t="shared" si="186"/>
        <v>19</v>
      </c>
      <c r="AW348" s="3">
        <f t="shared" si="187"/>
        <v>2</v>
      </c>
      <c r="AX348" s="3">
        <f t="shared" si="188"/>
        <v>9</v>
      </c>
      <c r="AY348" s="3">
        <f t="shared" si="189"/>
        <v>5</v>
      </c>
      <c r="AZ348" s="3">
        <f t="shared" si="190"/>
        <v>1</v>
      </c>
      <c r="BA348" s="3">
        <f>IF(ISERROR(LEN(VLOOKUP(A348,Seqs!A:E,2,FALSE))-AL348),"-",LEN(VLOOKUP(A348,Seqs!A:E,2,FALSE))-AL348)</f>
        <v>203</v>
      </c>
      <c r="BB348" s="16">
        <f t="shared" si="191"/>
        <v>31</v>
      </c>
      <c r="BC348" s="9" t="str">
        <f t="shared" si="192"/>
        <v>-</v>
      </c>
      <c r="BD348" s="3">
        <f t="shared" si="193"/>
        <v>31</v>
      </c>
      <c r="BE348" s="3">
        <f t="shared" si="194"/>
        <v>37</v>
      </c>
    </row>
    <row r="349" spans="1:58" s="3" customFormat="1" x14ac:dyDescent="0.2">
      <c r="A349" s="3" t="s">
        <v>106</v>
      </c>
      <c r="B349" s="3" t="str">
        <f>LOWER(VLOOKUP(A349,Xtal_Templ!A:B,2,FALSE))</f>
        <v>grm1_human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197"/>
        <v>619</v>
      </c>
      <c r="G349" s="3">
        <v>622</v>
      </c>
      <c r="H349" s="3">
        <f t="shared" si="198"/>
        <v>625</v>
      </c>
      <c r="I349" s="3">
        <f t="shared" si="199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660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79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195"/>
        <v>1</v>
      </c>
      <c r="AO349" s="3" t="str">
        <f>IF(ISERROR(MATCH(A349,'SegEnds_Xtal_Prot#'!B:B, 0)), "NoXtal", "Xtal")</f>
        <v>NoXtal</v>
      </c>
      <c r="AP349" s="3">
        <f t="shared" si="180"/>
        <v>3</v>
      </c>
      <c r="AQ349" s="3">
        <f t="shared" si="181"/>
        <v>1</v>
      </c>
      <c r="AR349" s="3" t="str">
        <f t="shared" si="182"/>
        <v>-</v>
      </c>
      <c r="AS349" s="3" t="str">
        <f t="shared" si="183"/>
        <v>-</v>
      </c>
      <c r="AT349" s="3" t="str">
        <f t="shared" si="184"/>
        <v>-</v>
      </c>
      <c r="AU349" s="3" t="str">
        <f t="shared" si="185"/>
        <v>-</v>
      </c>
      <c r="AV349" s="3">
        <f t="shared" si="186"/>
        <v>29</v>
      </c>
      <c r="AW349" s="3">
        <f t="shared" si="187"/>
        <v>3</v>
      </c>
      <c r="AX349" s="3">
        <f t="shared" si="188"/>
        <v>10</v>
      </c>
      <c r="AY349" s="3">
        <f t="shared" si="189"/>
        <v>7</v>
      </c>
      <c r="AZ349" s="3">
        <f t="shared" si="190"/>
        <v>1</v>
      </c>
      <c r="BA349" s="3">
        <f>IF(ISERROR(LEN(VLOOKUP(A349,Seqs!A:E,2,FALSE))-AL349),"-",LEN(VLOOKUP(A349,Seqs!A:E,2,FALSE))-AL349)</f>
        <v>86</v>
      </c>
      <c r="BB349" s="16">
        <f t="shared" si="191"/>
        <v>31</v>
      </c>
      <c r="BC349" s="9" t="str">
        <f t="shared" si="192"/>
        <v>-</v>
      </c>
      <c r="BD349" s="3">
        <f t="shared" si="193"/>
        <v>31</v>
      </c>
      <c r="BE349" s="3">
        <f t="shared" si="194"/>
        <v>38</v>
      </c>
    </row>
    <row r="350" spans="1:58" s="3" customFormat="1" x14ac:dyDescent="0.2">
      <c r="A350" s="3" t="s">
        <v>107</v>
      </c>
      <c r="B350" s="3" t="str">
        <f>LOWER(VLOOKUP(A350,Xtal_Templ!A:B,2,FALSE))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197"/>
        <v>509</v>
      </c>
      <c r="G350" s="3">
        <v>512</v>
      </c>
      <c r="H350" s="3">
        <f t="shared" si="198"/>
        <v>515</v>
      </c>
      <c r="I350" s="3">
        <f t="shared" si="199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549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79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195"/>
        <v>1</v>
      </c>
      <c r="AO350" s="3" t="str">
        <f>IF(ISERROR(MATCH(A350,'SegEnds_Xtal_Prot#'!B:B, 0)), "NoXtal", "Xtal")</f>
        <v>NoXtal</v>
      </c>
      <c r="AP350" s="3">
        <f t="shared" si="180"/>
        <v>3</v>
      </c>
      <c r="AQ350" s="3">
        <f t="shared" si="181"/>
        <v>1</v>
      </c>
      <c r="AR350" s="3" t="str">
        <f t="shared" si="182"/>
        <v>-</v>
      </c>
      <c r="AS350" s="3" t="str">
        <f t="shared" si="183"/>
        <v>-</v>
      </c>
      <c r="AT350" s="3" t="str">
        <f t="shared" si="184"/>
        <v>-</v>
      </c>
      <c r="AU350" s="3" t="str">
        <f t="shared" si="185"/>
        <v>-</v>
      </c>
      <c r="AV350" s="3">
        <f t="shared" si="186"/>
        <v>29</v>
      </c>
      <c r="AW350" s="3">
        <f t="shared" si="187"/>
        <v>3</v>
      </c>
      <c r="AX350" s="3">
        <f t="shared" si="188"/>
        <v>10</v>
      </c>
      <c r="AY350" s="3">
        <f t="shared" si="189"/>
        <v>7</v>
      </c>
      <c r="AZ350" s="3">
        <f t="shared" si="190"/>
        <v>1</v>
      </c>
      <c r="BA350" s="3">
        <f>IF(ISERROR(LEN(VLOOKUP(A350,Seqs!A:E,2,FALSE))-AL350),"-",LEN(VLOOKUP(A350,Seqs!A:E,2,FALSE))-AL350)</f>
        <v>179</v>
      </c>
      <c r="BB350" s="16">
        <f t="shared" si="191"/>
        <v>31</v>
      </c>
      <c r="BC350" s="9" t="str">
        <f t="shared" si="192"/>
        <v>-</v>
      </c>
      <c r="BD350" s="3">
        <f t="shared" si="193"/>
        <v>31</v>
      </c>
      <c r="BE350" s="3">
        <f t="shared" si="194"/>
        <v>38</v>
      </c>
    </row>
    <row r="351" spans="1:58" s="3" customFormat="1" x14ac:dyDescent="0.2">
      <c r="A351" s="3" t="s">
        <v>108</v>
      </c>
      <c r="B351" s="3" t="str">
        <f>LOWER(VLOOKUP(A351,Xtal_Templ!A:B,2,FALSE))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197"/>
        <v>77</v>
      </c>
      <c r="G351" s="3">
        <v>80</v>
      </c>
      <c r="H351" s="3">
        <f t="shared" si="198"/>
        <v>83</v>
      </c>
      <c r="I351" s="3">
        <f t="shared" si="199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195"/>
        <v>1</v>
      </c>
      <c r="AO351" s="3" t="str">
        <f>IF(ISERROR(MATCH(A351,'SegEnds_Xtal_Prot#'!B:B, 0)), "NoXtal", "Xtal")</f>
        <v>NoXtal</v>
      </c>
      <c r="AP351" s="3">
        <f t="shared" si="180"/>
        <v>3</v>
      </c>
      <c r="AQ351" s="3">
        <f t="shared" si="181"/>
        <v>1</v>
      </c>
      <c r="AR351" s="3" t="str">
        <f t="shared" si="182"/>
        <v>-</v>
      </c>
      <c r="AS351" s="3" t="str">
        <f t="shared" si="183"/>
        <v>-</v>
      </c>
      <c r="AT351" s="3" t="str">
        <f t="shared" si="184"/>
        <v>-</v>
      </c>
      <c r="AU351" s="3" t="str">
        <f t="shared" si="185"/>
        <v>-</v>
      </c>
      <c r="AV351" s="3">
        <f t="shared" si="186"/>
        <v>29</v>
      </c>
      <c r="AW351" s="3">
        <f t="shared" si="187"/>
        <v>3</v>
      </c>
      <c r="AX351" s="3">
        <f t="shared" si="188"/>
        <v>11</v>
      </c>
      <c r="AY351" s="3">
        <f t="shared" si="189"/>
        <v>6</v>
      </c>
      <c r="AZ351" s="3">
        <f t="shared" si="190"/>
        <v>1</v>
      </c>
      <c r="BA351" s="3">
        <f>IF(ISERROR(LEN(VLOOKUP(A351,Seqs!A:E,2,FALSE))-AL351),"-",LEN(VLOOKUP(A351,Seqs!A:E,2,FALSE))-AL351)</f>
        <v>484</v>
      </c>
      <c r="BB351" s="16">
        <f t="shared" si="191"/>
        <v>31</v>
      </c>
      <c r="BC351" s="9" t="str">
        <f t="shared" si="192"/>
        <v>-</v>
      </c>
      <c r="BD351" s="3">
        <f t="shared" si="193"/>
        <v>31</v>
      </c>
      <c r="BE351" s="3">
        <f t="shared" si="194"/>
        <v>39</v>
      </c>
    </row>
    <row r="352" spans="1:58" s="3" customFormat="1" x14ac:dyDescent="0.2">
      <c r="A352" s="3" t="s">
        <v>109</v>
      </c>
      <c r="B352" s="3" t="str">
        <f>LOWER(VLOOKUP(A352,Xtal_Templ!A:B,2,FALSE))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197"/>
        <v>444</v>
      </c>
      <c r="G352" s="3">
        <v>447</v>
      </c>
      <c r="H352" s="3">
        <f t="shared" si="198"/>
        <v>450</v>
      </c>
      <c r="I352" s="3">
        <f t="shared" si="199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195"/>
        <v>1</v>
      </c>
      <c r="AO352" s="3" t="str">
        <f>IF(ISERROR(MATCH(A352,'SegEnds_Xtal_Prot#'!B:B, 0)), "NoXtal", "Xtal")</f>
        <v>NoXtal</v>
      </c>
      <c r="AP352" s="3">
        <f t="shared" si="180"/>
        <v>3</v>
      </c>
      <c r="AQ352" s="3">
        <f t="shared" si="181"/>
        <v>1</v>
      </c>
      <c r="AR352" s="3" t="str">
        <f t="shared" si="182"/>
        <v>-</v>
      </c>
      <c r="AS352" s="3" t="str">
        <f t="shared" si="183"/>
        <v>-</v>
      </c>
      <c r="AT352" s="3" t="str">
        <f t="shared" si="184"/>
        <v>-</v>
      </c>
      <c r="AU352" s="3" t="str">
        <f t="shared" si="185"/>
        <v>-</v>
      </c>
      <c r="AV352" s="3">
        <f t="shared" si="186"/>
        <v>35</v>
      </c>
      <c r="AW352" s="3">
        <f t="shared" si="187"/>
        <v>1</v>
      </c>
      <c r="AX352" s="3">
        <f t="shared" si="188"/>
        <v>9</v>
      </c>
      <c r="AY352" s="3">
        <f t="shared" si="189"/>
        <v>9</v>
      </c>
      <c r="AZ352" s="3">
        <f t="shared" si="190"/>
        <v>1</v>
      </c>
      <c r="BA352" s="3">
        <f>IF(ISERROR(LEN(VLOOKUP(A352,Seqs!A:E,2,FALSE))-AL352),"-",LEN(VLOOKUP(A352,Seqs!A:E,2,FALSE))-AL352)</f>
        <v>530</v>
      </c>
      <c r="BB352" s="16">
        <f t="shared" si="191"/>
        <v>31</v>
      </c>
      <c r="BC352" s="9" t="str">
        <f t="shared" si="192"/>
        <v>-</v>
      </c>
      <c r="BD352" s="3">
        <f t="shared" si="193"/>
        <v>31</v>
      </c>
      <c r="BE352" s="3">
        <f t="shared" si="194"/>
        <v>37</v>
      </c>
    </row>
    <row r="353" spans="1:58" s="3" customFormat="1" x14ac:dyDescent="0.2">
      <c r="A353" s="3" t="s">
        <v>110</v>
      </c>
      <c r="B353" s="3" t="str">
        <f>LOWER(VLOOKUP(A353,Xtal_Templ!A:B,2,FALSE))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197"/>
        <v>408</v>
      </c>
      <c r="G353" s="3">
        <v>411</v>
      </c>
      <c r="H353" s="3">
        <f t="shared" si="198"/>
        <v>414</v>
      </c>
      <c r="I353" s="3">
        <f t="shared" si="199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195"/>
        <v>1</v>
      </c>
      <c r="AO353" s="3" t="str">
        <f>IF(ISERROR(MATCH(A353,'SegEnds_Xtal_Prot#'!B:B, 0)), "NoXtal", "Xtal")</f>
        <v>NoXtal</v>
      </c>
      <c r="AP353" s="3">
        <f t="shared" si="180"/>
        <v>3</v>
      </c>
      <c r="AQ353" s="3">
        <f t="shared" si="181"/>
        <v>1</v>
      </c>
      <c r="AR353" s="3" t="str">
        <f t="shared" si="182"/>
        <v>-</v>
      </c>
      <c r="AS353" s="3" t="str">
        <f t="shared" si="183"/>
        <v>-</v>
      </c>
      <c r="AT353" s="3" t="str">
        <f t="shared" si="184"/>
        <v>-</v>
      </c>
      <c r="AU353" s="3" t="str">
        <f t="shared" si="185"/>
        <v>-</v>
      </c>
      <c r="AV353" s="3">
        <f t="shared" si="186"/>
        <v>35</v>
      </c>
      <c r="AW353" s="3">
        <f t="shared" si="187"/>
        <v>1</v>
      </c>
      <c r="AX353" s="3">
        <f t="shared" si="188"/>
        <v>9</v>
      </c>
      <c r="AY353" s="3">
        <f t="shared" si="189"/>
        <v>9</v>
      </c>
      <c r="AZ353" s="3">
        <f t="shared" si="190"/>
        <v>1</v>
      </c>
      <c r="BA353" s="3">
        <f>IF(ISERROR(LEN(VLOOKUP(A353,Seqs!A:E,2,FALSE))-AL353),"-",LEN(VLOOKUP(A353,Seqs!A:E,2,FALSE))-AL353)</f>
        <v>1718</v>
      </c>
      <c r="BB353" s="16">
        <f t="shared" si="191"/>
        <v>31</v>
      </c>
      <c r="BC353" s="9" t="str">
        <f t="shared" si="192"/>
        <v>-</v>
      </c>
      <c r="BD353" s="3">
        <f t="shared" si="193"/>
        <v>31</v>
      </c>
      <c r="BE353" s="3">
        <f t="shared" si="194"/>
        <v>37</v>
      </c>
    </row>
    <row r="354" spans="1:58" s="3" customFormat="1" x14ac:dyDescent="0.2">
      <c r="A354" s="3" t="s">
        <v>111</v>
      </c>
      <c r="B354" s="3" t="str">
        <f>LOWER(VLOOKUP(A354,Xtal_Templ!A:B,2,FALSE))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197"/>
        <v>81</v>
      </c>
      <c r="G354" s="3">
        <v>84</v>
      </c>
      <c r="H354" s="3">
        <f t="shared" si="198"/>
        <v>87</v>
      </c>
      <c r="I354" s="3">
        <f t="shared" si="199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195"/>
        <v>1</v>
      </c>
      <c r="AO354" s="3" t="str">
        <f>IF(ISERROR(MATCH(A354,'SegEnds_Xtal_Prot#'!B:B, 0)), "NoXtal", "Xtal")</f>
        <v>NoXtal</v>
      </c>
      <c r="AP354" s="3">
        <f t="shared" si="180"/>
        <v>1</v>
      </c>
      <c r="AQ354" s="3">
        <f t="shared" si="181"/>
        <v>1</v>
      </c>
      <c r="AR354" s="3" t="str">
        <f t="shared" si="182"/>
        <v>-</v>
      </c>
      <c r="AS354" s="3" t="str">
        <f t="shared" si="183"/>
        <v>-</v>
      </c>
      <c r="AT354" s="3" t="str">
        <f t="shared" si="184"/>
        <v>-</v>
      </c>
      <c r="AU354" s="3" t="str">
        <f t="shared" si="185"/>
        <v>-</v>
      </c>
      <c r="AV354" s="3">
        <f t="shared" si="186"/>
        <v>9</v>
      </c>
      <c r="AW354" s="3">
        <f t="shared" si="187"/>
        <v>1</v>
      </c>
      <c r="AX354" s="3">
        <f t="shared" si="188"/>
        <v>11</v>
      </c>
      <c r="AY354" s="3">
        <f t="shared" si="189"/>
        <v>11</v>
      </c>
      <c r="AZ354" s="3">
        <f t="shared" si="190"/>
        <v>2</v>
      </c>
      <c r="BA354" s="3">
        <f>IF(ISERROR(LEN(VLOOKUP(A354,Seqs!A:E,2,FALSE))-AL354),"-",LEN(VLOOKUP(A354,Seqs!A:E,2,FALSE))-AL354)</f>
        <v>92</v>
      </c>
      <c r="BB354" s="16">
        <f t="shared" si="191"/>
        <v>33</v>
      </c>
      <c r="BC354" s="9" t="str">
        <f t="shared" si="192"/>
        <v>-</v>
      </c>
      <c r="BD354" s="3">
        <f t="shared" si="193"/>
        <v>33</v>
      </c>
      <c r="BE354" s="3">
        <f t="shared" si="194"/>
        <v>39</v>
      </c>
    </row>
    <row r="355" spans="1:58" s="3" customFormat="1" x14ac:dyDescent="0.2">
      <c r="A355" s="3" t="s">
        <v>112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197"/>
        <v>75</v>
      </c>
      <c r="G355" s="3">
        <v>78</v>
      </c>
      <c r="H355" s="3">
        <f t="shared" si="198"/>
        <v>81</v>
      </c>
      <c r="I355" s="3">
        <f t="shared" si="199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195"/>
        <v>1</v>
      </c>
      <c r="AO355" s="3" t="str">
        <f>IF(ISERROR(MATCH(A355,'SegEnds_Xtal_Prot#'!B:B, 0)), "NoXtal", "Xtal")</f>
        <v>NoXtal</v>
      </c>
      <c r="AP355" s="3">
        <f t="shared" si="180"/>
        <v>1</v>
      </c>
      <c r="AQ355" s="3">
        <f t="shared" si="181"/>
        <v>1</v>
      </c>
      <c r="AR355" s="3" t="str">
        <f t="shared" si="182"/>
        <v>-</v>
      </c>
      <c r="AS355" s="3" t="str">
        <f t="shared" si="183"/>
        <v>-</v>
      </c>
      <c r="AT355" s="3" t="str">
        <f t="shared" si="184"/>
        <v>-</v>
      </c>
      <c r="AU355" s="3" t="str">
        <f t="shared" si="185"/>
        <v>-</v>
      </c>
      <c r="AV355" s="3">
        <f t="shared" si="186"/>
        <v>24</v>
      </c>
      <c r="AW355" s="3">
        <f t="shared" si="187"/>
        <v>1</v>
      </c>
      <c r="AX355" s="3">
        <f t="shared" si="188"/>
        <v>11</v>
      </c>
      <c r="AY355" s="3">
        <f t="shared" si="189"/>
        <v>10</v>
      </c>
      <c r="AZ355" s="3">
        <f t="shared" si="190"/>
        <v>2</v>
      </c>
      <c r="BA355" s="3">
        <f>IF(ISERROR(LEN(VLOOKUP(A355,Seqs!A:E,2,FALSE))-AL355),"-",LEN(VLOOKUP(A355,Seqs!A:E,2,FALSE))-AL355)</f>
        <v>122</v>
      </c>
      <c r="BB355" s="16">
        <f t="shared" si="191"/>
        <v>33</v>
      </c>
      <c r="BC355" s="9" t="str">
        <f t="shared" si="192"/>
        <v>-</v>
      </c>
      <c r="BD355" s="3">
        <f t="shared" si="193"/>
        <v>33</v>
      </c>
      <c r="BE355" s="3">
        <f t="shared" si="194"/>
        <v>39</v>
      </c>
    </row>
    <row r="356" spans="1:58" s="3" customFormat="1" x14ac:dyDescent="0.2">
      <c r="A356" s="3" t="s">
        <v>113</v>
      </c>
      <c r="B356" s="3" t="str">
        <f>LOWER(VLOOKUP(A356,Xtal_Templ!A:B,2,FALSE))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197"/>
        <v>48</v>
      </c>
      <c r="G356" s="3">
        <v>51</v>
      </c>
      <c r="H356" s="3">
        <f t="shared" si="198"/>
        <v>54</v>
      </c>
      <c r="I356" s="3">
        <f t="shared" si="199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195"/>
        <v>1</v>
      </c>
      <c r="AO356" s="3" t="str">
        <f>IF(ISERROR(MATCH(A356,'SegEnds_Xtal_Prot#'!B:B, 0)), "NoXtal", "Xtal")</f>
        <v>NoXtal</v>
      </c>
      <c r="AP356" s="3">
        <f t="shared" si="180"/>
        <v>1</v>
      </c>
      <c r="AQ356" s="3">
        <f t="shared" si="181"/>
        <v>1</v>
      </c>
      <c r="AR356" s="3" t="str">
        <f t="shared" si="182"/>
        <v>-</v>
      </c>
      <c r="AS356" s="3" t="str">
        <f t="shared" si="183"/>
        <v>-</v>
      </c>
      <c r="AT356" s="3" t="str">
        <f t="shared" si="184"/>
        <v>-</v>
      </c>
      <c r="AU356" s="3" t="str">
        <f t="shared" si="185"/>
        <v>-</v>
      </c>
      <c r="AV356" s="3">
        <f t="shared" si="186"/>
        <v>13</v>
      </c>
      <c r="AW356" s="3">
        <f t="shared" si="187"/>
        <v>1</v>
      </c>
      <c r="AX356" s="3">
        <f t="shared" si="188"/>
        <v>11</v>
      </c>
      <c r="AY356" s="3">
        <f t="shared" si="189"/>
        <v>11</v>
      </c>
      <c r="AZ356" s="3">
        <f t="shared" si="190"/>
        <v>3</v>
      </c>
      <c r="BA356" s="3">
        <f>IF(ISERROR(LEN(VLOOKUP(A356,Seqs!A:E,2,FALSE))-AL356),"-",LEN(VLOOKUP(A356,Seqs!A:E,2,FALSE))-AL356)</f>
        <v>64</v>
      </c>
      <c r="BB356" s="16">
        <f t="shared" si="191"/>
        <v>33</v>
      </c>
      <c r="BC356" s="9" t="str">
        <f t="shared" si="192"/>
        <v>-</v>
      </c>
      <c r="BD356" s="3">
        <f t="shared" si="193"/>
        <v>33</v>
      </c>
      <c r="BE356" s="3">
        <f t="shared" si="194"/>
        <v>39</v>
      </c>
    </row>
    <row r="357" spans="1:58" s="3" customFormat="1" x14ac:dyDescent="0.2">
      <c r="A357" s="3" t="s">
        <v>114</v>
      </c>
      <c r="B357" s="3" t="str">
        <f>LOWER(VLOOKUP(A357,Xtal_Templ!A:B,2,FALSE))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197"/>
        <v>621</v>
      </c>
      <c r="G357" s="3">
        <v>624</v>
      </c>
      <c r="H357" s="3">
        <f t="shared" si="198"/>
        <v>627</v>
      </c>
      <c r="I357" s="3">
        <f t="shared" si="199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00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195"/>
        <v>1</v>
      </c>
      <c r="AO357" s="3" t="str">
        <f>IF(ISERROR(MATCH(A357,'SegEnds_Xtal_Prot#'!B:B, 0)), "NoXtal", "Xtal")</f>
        <v>NoXtal</v>
      </c>
      <c r="AP357" s="3">
        <f t="shared" si="180"/>
        <v>3</v>
      </c>
      <c r="AQ357" s="3">
        <f t="shared" si="181"/>
        <v>1</v>
      </c>
      <c r="AR357" s="3" t="str">
        <f t="shared" si="182"/>
        <v>-</v>
      </c>
      <c r="AS357" s="3" t="str">
        <f t="shared" si="183"/>
        <v>-</v>
      </c>
      <c r="AT357" s="3" t="str">
        <f t="shared" si="184"/>
        <v>-</v>
      </c>
      <c r="AU357" s="3" t="str">
        <f t="shared" si="185"/>
        <v>-</v>
      </c>
      <c r="AV357" s="3">
        <f t="shared" si="186"/>
        <v>18</v>
      </c>
      <c r="AW357" s="3">
        <f t="shared" si="187"/>
        <v>2</v>
      </c>
      <c r="AX357" s="3">
        <f t="shared" si="188"/>
        <v>7</v>
      </c>
      <c r="AY357" s="3">
        <f t="shared" si="189"/>
        <v>5</v>
      </c>
      <c r="AZ357" s="3">
        <f t="shared" si="190"/>
        <v>1</v>
      </c>
      <c r="BA357" s="3">
        <f>IF(ISERROR(LEN(VLOOKUP(A357,Seqs!A:E,2,FALSE))-AL357),"-",LEN(VLOOKUP(A357,Seqs!A:E,2,FALSE))-AL357)</f>
        <v>74</v>
      </c>
      <c r="BB357" s="16">
        <f t="shared" si="191"/>
        <v>32</v>
      </c>
      <c r="BC357" s="9" t="str">
        <f t="shared" si="192"/>
        <v>-</v>
      </c>
      <c r="BD357" s="3">
        <f t="shared" si="193"/>
        <v>32</v>
      </c>
      <c r="BE357" s="3">
        <f t="shared" si="194"/>
        <v>35</v>
      </c>
    </row>
    <row r="358" spans="1:58" s="3" customFormat="1" x14ac:dyDescent="0.2">
      <c r="A358" s="3" t="s">
        <v>40</v>
      </c>
      <c r="B358" s="3" t="str">
        <f>LOWER(VLOOKUP(A358,Xtal_Templ!A:B,2,FALSE))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197"/>
        <v>620</v>
      </c>
      <c r="G358" s="3">
        <v>623</v>
      </c>
      <c r="H358" s="3">
        <f t="shared" si="198"/>
        <v>626</v>
      </c>
      <c r="I358" s="3">
        <f t="shared" si="199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00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195"/>
        <v>1</v>
      </c>
      <c r="AO358" s="3" t="str">
        <f>IF(ISERROR(MATCH(A358,'SegEnds_Xtal_Prot#'!B:B, 0)), "NoXtal", "Xtal")</f>
        <v>Xtal</v>
      </c>
      <c r="AP358" s="3">
        <f t="shared" si="180"/>
        <v>3</v>
      </c>
      <c r="AQ358" s="3">
        <f t="shared" si="181"/>
        <v>1</v>
      </c>
      <c r="AR358" s="3" t="str">
        <f t="shared" si="182"/>
        <v>-</v>
      </c>
      <c r="AS358" s="3" t="str">
        <f t="shared" si="183"/>
        <v>-</v>
      </c>
      <c r="AT358" s="3" t="str">
        <f t="shared" si="184"/>
        <v>-</v>
      </c>
      <c r="AU358" s="3" t="str">
        <f t="shared" si="185"/>
        <v>-</v>
      </c>
      <c r="AV358" s="3">
        <f t="shared" si="186"/>
        <v>18</v>
      </c>
      <c r="AW358" s="3">
        <f t="shared" si="187"/>
        <v>1</v>
      </c>
      <c r="AX358" s="3">
        <f t="shared" si="188"/>
        <v>9</v>
      </c>
      <c r="AY358" s="3">
        <f t="shared" si="189"/>
        <v>3</v>
      </c>
      <c r="AZ358" s="3">
        <f t="shared" si="190"/>
        <v>1</v>
      </c>
      <c r="BA358" s="3">
        <f>IF(ISERROR(LEN(VLOOKUP(A358,Seqs!A:E,2,FALSE))-AL358),"-",LEN(VLOOKUP(A358,Seqs!A:E,2,FALSE))-AL358)</f>
        <v>341</v>
      </c>
      <c r="BB358" s="16">
        <f t="shared" si="191"/>
        <v>31</v>
      </c>
      <c r="BC358" s="9" t="str">
        <f t="shared" si="192"/>
        <v>-</v>
      </c>
      <c r="BD358" s="3">
        <f t="shared" si="193"/>
        <v>31</v>
      </c>
      <c r="BE358" s="3">
        <f t="shared" si="194"/>
        <v>37</v>
      </c>
    </row>
    <row r="359" spans="1:58" s="3" customFormat="1" x14ac:dyDescent="0.2">
      <c r="A359" s="3" t="s">
        <v>115</v>
      </c>
      <c r="B359" s="3" t="str">
        <f>LOWER(VLOOKUP(A359,Xtal_Templ!A:B,2,FALSE))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197"/>
        <v>595</v>
      </c>
      <c r="G359" s="3">
        <v>598</v>
      </c>
      <c r="H359" s="3">
        <f t="shared" si="198"/>
        <v>601</v>
      </c>
      <c r="I359" s="3">
        <f t="shared" si="199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00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195"/>
        <v>1</v>
      </c>
      <c r="AO359" s="3" t="str">
        <f>IF(ISERROR(MATCH(A359,'SegEnds_Xtal_Prot#'!B:B, 0)), "NoXtal", "Xtal")</f>
        <v>NoXtal</v>
      </c>
      <c r="AP359" s="3">
        <f t="shared" si="180"/>
        <v>3</v>
      </c>
      <c r="AQ359" s="3">
        <f t="shared" si="181"/>
        <v>1</v>
      </c>
      <c r="AR359" s="3" t="str">
        <f t="shared" si="182"/>
        <v>-</v>
      </c>
      <c r="AS359" s="3" t="str">
        <f t="shared" si="183"/>
        <v>-</v>
      </c>
      <c r="AT359" s="3" t="str">
        <f t="shared" si="184"/>
        <v>-</v>
      </c>
      <c r="AU359" s="3" t="str">
        <f t="shared" si="185"/>
        <v>-</v>
      </c>
      <c r="AV359" s="3">
        <f t="shared" si="186"/>
        <v>20</v>
      </c>
      <c r="AW359" s="3">
        <f t="shared" si="187"/>
        <v>1</v>
      </c>
      <c r="AX359" s="3">
        <f t="shared" si="188"/>
        <v>9</v>
      </c>
      <c r="AY359" s="3">
        <f t="shared" si="189"/>
        <v>7</v>
      </c>
      <c r="AZ359" s="3">
        <f t="shared" si="190"/>
        <v>1</v>
      </c>
      <c r="BA359" s="3">
        <f>IF(ISERROR(LEN(VLOOKUP(A359,Seqs!A:E,2,FALSE))-AL359),"-",LEN(VLOOKUP(A359,Seqs!A:E,2,FALSE))-AL359)</f>
        <v>40</v>
      </c>
      <c r="BB359" s="16">
        <f t="shared" si="191"/>
        <v>31</v>
      </c>
      <c r="BC359" s="9" t="str">
        <f t="shared" si="192"/>
        <v>-</v>
      </c>
      <c r="BD359" s="3">
        <f t="shared" si="193"/>
        <v>31</v>
      </c>
      <c r="BE359" s="3">
        <f t="shared" si="194"/>
        <v>37</v>
      </c>
    </row>
    <row r="360" spans="1:58" s="3" customFormat="1" x14ac:dyDescent="0.2">
      <c r="A360" s="3" t="s">
        <v>116</v>
      </c>
      <c r="B360" s="3" t="str">
        <f>LOWER(VLOOKUP(A360,Xtal_Templ!A:B,2,FALSE))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197"/>
        <v>604</v>
      </c>
      <c r="G360" s="3">
        <v>607</v>
      </c>
      <c r="H360" s="3">
        <f t="shared" si="198"/>
        <v>610</v>
      </c>
      <c r="I360" s="3">
        <f t="shared" si="199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637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00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195"/>
        <v>1</v>
      </c>
      <c r="AO360" s="3" t="str">
        <f>IF(ISERROR(MATCH(A360,'SegEnds_Xtal_Prot#'!B:B, 0)), "NoXtal", "Xtal")</f>
        <v>NoXtal</v>
      </c>
      <c r="AP360" s="3">
        <f t="shared" si="180"/>
        <v>3</v>
      </c>
      <c r="AQ360" s="3">
        <f t="shared" si="181"/>
        <v>1</v>
      </c>
      <c r="AR360" s="3" t="str">
        <f t="shared" si="182"/>
        <v>-</v>
      </c>
      <c r="AS360" s="3" t="str">
        <f t="shared" si="183"/>
        <v>-</v>
      </c>
      <c r="AT360" s="3" t="str">
        <f t="shared" si="184"/>
        <v>-</v>
      </c>
      <c r="AU360" s="3" t="str">
        <f t="shared" si="185"/>
        <v>-</v>
      </c>
      <c r="AV360" s="3">
        <f t="shared" si="186"/>
        <v>20</v>
      </c>
      <c r="AW360" s="3">
        <f t="shared" si="187"/>
        <v>1</v>
      </c>
      <c r="AX360" s="3">
        <f t="shared" si="188"/>
        <v>9</v>
      </c>
      <c r="AY360" s="3">
        <f t="shared" si="189"/>
        <v>7</v>
      </c>
      <c r="AZ360" s="3">
        <f t="shared" si="190"/>
        <v>1</v>
      </c>
      <c r="BA360" s="3">
        <f>IF(ISERROR(LEN(VLOOKUP(A360,Seqs!A:E,2,FALSE))-AL360),"-",LEN(VLOOKUP(A360,Seqs!A:E,2,FALSE))-AL360)</f>
        <v>38</v>
      </c>
      <c r="BB360" s="16">
        <f t="shared" si="191"/>
        <v>31</v>
      </c>
      <c r="BC360" s="9" t="str">
        <f t="shared" si="192"/>
        <v>-</v>
      </c>
      <c r="BD360" s="3">
        <f t="shared" si="193"/>
        <v>31</v>
      </c>
      <c r="BE360" s="3">
        <f t="shared" si="194"/>
        <v>37</v>
      </c>
    </row>
    <row r="361" spans="1:58" s="3" customFormat="1" x14ac:dyDescent="0.2">
      <c r="A361" s="3" t="s">
        <v>117</v>
      </c>
      <c r="B361" s="3" t="str">
        <f>LOWER(VLOOKUP(A361,Xtal_Templ!A:B,2,FALSE))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197"/>
        <v>615</v>
      </c>
      <c r="G361" s="3">
        <v>618</v>
      </c>
      <c r="H361" s="3">
        <f t="shared" si="198"/>
        <v>621</v>
      </c>
      <c r="I361" s="3">
        <f t="shared" si="199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648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00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195"/>
        <v>1</v>
      </c>
      <c r="AO361" s="3" t="str">
        <f>IF(ISERROR(MATCH(A361,'SegEnds_Xtal_Prot#'!B:B, 0)), "NoXtal", "Xtal")</f>
        <v>NoXtal</v>
      </c>
      <c r="AP361" s="3">
        <f t="shared" si="180"/>
        <v>3</v>
      </c>
      <c r="AQ361" s="3">
        <f t="shared" si="181"/>
        <v>1</v>
      </c>
      <c r="AR361" s="3" t="str">
        <f t="shared" si="182"/>
        <v>-</v>
      </c>
      <c r="AS361" s="3" t="str">
        <f t="shared" si="183"/>
        <v>-</v>
      </c>
      <c r="AT361" s="3" t="str">
        <f t="shared" si="184"/>
        <v>-</v>
      </c>
      <c r="AU361" s="3" t="str">
        <f t="shared" si="185"/>
        <v>-</v>
      </c>
      <c r="AV361" s="3">
        <f t="shared" si="186"/>
        <v>25</v>
      </c>
      <c r="AW361" s="3">
        <f t="shared" si="187"/>
        <v>1</v>
      </c>
      <c r="AX361" s="3">
        <f t="shared" si="188"/>
        <v>9</v>
      </c>
      <c r="AY361" s="3">
        <f t="shared" si="189"/>
        <v>10</v>
      </c>
      <c r="AZ361" s="3">
        <f t="shared" si="190"/>
        <v>1</v>
      </c>
      <c r="BA361" s="3">
        <f>IF(ISERROR(LEN(VLOOKUP(A361,Seqs!A:E,2,FALSE))-AL361),"-",LEN(VLOOKUP(A361,Seqs!A:E,2,FALSE))-AL361)</f>
        <v>52</v>
      </c>
      <c r="BB361" s="16">
        <f t="shared" si="191"/>
        <v>31</v>
      </c>
      <c r="BC361" s="9" t="str">
        <f t="shared" si="192"/>
        <v>-</v>
      </c>
      <c r="BD361" s="3">
        <f t="shared" si="193"/>
        <v>31</v>
      </c>
      <c r="BE361" s="3">
        <f t="shared" si="194"/>
        <v>37</v>
      </c>
    </row>
    <row r="362" spans="1:58" s="3" customFormat="1" x14ac:dyDescent="0.2">
      <c r="A362" s="3" t="s">
        <v>41</v>
      </c>
      <c r="B362" s="3" t="str">
        <f>LOWER(VLOOKUP(A362,Xtal_Templ!A:B,2,FALSE))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197"/>
        <v>607</v>
      </c>
      <c r="G362" s="3">
        <v>610</v>
      </c>
      <c r="H362" s="3">
        <f t="shared" si="198"/>
        <v>613</v>
      </c>
      <c r="I362" s="3">
        <f t="shared" si="199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640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00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195"/>
        <v>1</v>
      </c>
      <c r="AO362" s="3" t="str">
        <f>IF(ISERROR(MATCH(A362,'SegEnds_Xtal_Prot#'!B:B, 0)), "NoXtal", "Xtal")</f>
        <v>Xtal</v>
      </c>
      <c r="AP362" s="3">
        <f t="shared" si="180"/>
        <v>3</v>
      </c>
      <c r="AQ362" s="3">
        <f t="shared" si="181"/>
        <v>1</v>
      </c>
      <c r="AR362" s="3" t="str">
        <f t="shared" si="182"/>
        <v>-</v>
      </c>
      <c r="AS362" s="3" t="str">
        <f t="shared" si="183"/>
        <v>-</v>
      </c>
      <c r="AT362" s="3" t="str">
        <f t="shared" si="184"/>
        <v>-</v>
      </c>
      <c r="AU362" s="3" t="str">
        <f t="shared" si="185"/>
        <v>-</v>
      </c>
      <c r="AV362" s="3">
        <f t="shared" si="186"/>
        <v>18</v>
      </c>
      <c r="AW362" s="3">
        <f t="shared" si="187"/>
        <v>1</v>
      </c>
      <c r="AX362" s="3">
        <f t="shared" si="188"/>
        <v>9</v>
      </c>
      <c r="AY362" s="3">
        <f t="shared" si="189"/>
        <v>3</v>
      </c>
      <c r="AZ362" s="3">
        <f t="shared" si="190"/>
        <v>1</v>
      </c>
      <c r="BA362" s="3">
        <f>IF(ISERROR(LEN(VLOOKUP(A362,Seqs!A:E,2,FALSE))-AL362),"-",LEN(VLOOKUP(A362,Seqs!A:E,2,FALSE))-AL362)</f>
        <v>372</v>
      </c>
      <c r="BB362" s="16">
        <f t="shared" si="191"/>
        <v>31</v>
      </c>
      <c r="BC362" s="9" t="str">
        <f t="shared" si="192"/>
        <v>-</v>
      </c>
      <c r="BD362" s="3">
        <f t="shared" si="193"/>
        <v>31</v>
      </c>
      <c r="BE362" s="3">
        <f t="shared" si="194"/>
        <v>37</v>
      </c>
    </row>
    <row r="363" spans="1:58" s="3" customFormat="1" x14ac:dyDescent="0.2">
      <c r="A363" s="3" t="s">
        <v>118</v>
      </c>
      <c r="B363" s="3" t="str">
        <f>LOWER(VLOOKUP(A363,Xtal_Templ!A:B,2,FALSE))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197"/>
        <v>613</v>
      </c>
      <c r="G363" s="3">
        <v>616</v>
      </c>
      <c r="H363" s="3">
        <f t="shared" si="198"/>
        <v>619</v>
      </c>
      <c r="I363" s="3">
        <f t="shared" si="199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646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00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195"/>
        <v>1</v>
      </c>
      <c r="AO363" s="3" t="str">
        <f>IF(ISERROR(MATCH(A363,'SegEnds_Xtal_Prot#'!B:B, 0)), "NoXtal", "Xtal")</f>
        <v>NoXtal</v>
      </c>
      <c r="AP363" s="3">
        <f t="shared" si="180"/>
        <v>3</v>
      </c>
      <c r="AQ363" s="3">
        <f t="shared" si="181"/>
        <v>1</v>
      </c>
      <c r="AR363" s="3" t="str">
        <f t="shared" si="182"/>
        <v>-</v>
      </c>
      <c r="AS363" s="3" t="str">
        <f t="shared" si="183"/>
        <v>-</v>
      </c>
      <c r="AT363" s="3" t="str">
        <f t="shared" si="184"/>
        <v>-</v>
      </c>
      <c r="AU363" s="3" t="str">
        <f t="shared" si="185"/>
        <v>-</v>
      </c>
      <c r="AV363" s="3">
        <f t="shared" si="186"/>
        <v>25</v>
      </c>
      <c r="AW363" s="3">
        <f t="shared" si="187"/>
        <v>1</v>
      </c>
      <c r="AX363" s="3">
        <f t="shared" si="188"/>
        <v>9</v>
      </c>
      <c r="AY363" s="3">
        <f t="shared" si="189"/>
        <v>10</v>
      </c>
      <c r="AZ363" s="3">
        <f t="shared" si="190"/>
        <v>1</v>
      </c>
      <c r="BA363" s="3">
        <f>IF(ISERROR(LEN(VLOOKUP(A363,Seqs!A:E,2,FALSE))-AL363),"-",LEN(VLOOKUP(A363,Seqs!A:E,2,FALSE))-AL363)</f>
        <v>19</v>
      </c>
      <c r="BB363" s="16">
        <f t="shared" si="191"/>
        <v>31</v>
      </c>
      <c r="BC363" s="9" t="str">
        <f t="shared" si="192"/>
        <v>-</v>
      </c>
      <c r="BD363" s="3">
        <f t="shared" si="193"/>
        <v>31</v>
      </c>
      <c r="BE363" s="3">
        <f t="shared" si="194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LOWER(VLOOKUP(A364,Xtal_Templ!A:B,2,FALSE))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197"/>
        <v>618</v>
      </c>
      <c r="G364" s="3">
        <v>621</v>
      </c>
      <c r="H364" s="3">
        <f t="shared" si="198"/>
        <v>624</v>
      </c>
      <c r="I364" s="3">
        <f t="shared" si="199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651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00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195"/>
        <v>1</v>
      </c>
      <c r="AO364" s="3" t="str">
        <f>IF(ISERROR(MATCH(A364,'SegEnds_Xtal_Prot#'!B:B, 0)), "NoXtal", "Xtal")</f>
        <v>NoXtal</v>
      </c>
      <c r="AP364" s="3">
        <f t="shared" si="180"/>
        <v>3</v>
      </c>
      <c r="AQ364" s="3">
        <f t="shared" si="181"/>
        <v>1</v>
      </c>
      <c r="AR364" s="3" t="str">
        <f t="shared" si="182"/>
        <v>-</v>
      </c>
      <c r="AS364" s="3" t="str">
        <f t="shared" si="183"/>
        <v>-</v>
      </c>
      <c r="AT364" s="3" t="str">
        <f t="shared" si="184"/>
        <v>-</v>
      </c>
      <c r="AU364" s="3" t="str">
        <f t="shared" si="185"/>
        <v>-</v>
      </c>
      <c r="AV364" s="3">
        <f t="shared" si="186"/>
        <v>25</v>
      </c>
      <c r="AW364" s="3">
        <f t="shared" si="187"/>
        <v>1</v>
      </c>
      <c r="AX364" s="3">
        <f t="shared" si="188"/>
        <v>9</v>
      </c>
      <c r="AY364" s="3">
        <f t="shared" si="189"/>
        <v>10</v>
      </c>
      <c r="AZ364" s="3">
        <f t="shared" si="190"/>
        <v>1</v>
      </c>
      <c r="BA364" s="3">
        <f>IF(ISERROR(LEN(VLOOKUP(A364,Seqs!A:E,2,FALSE))-AL364),"-",LEN(VLOOKUP(A364,Seqs!A:E,2,FALSE))-AL364)</f>
        <v>52</v>
      </c>
      <c r="BB364" s="16">
        <f t="shared" si="191"/>
        <v>31</v>
      </c>
      <c r="BC364" s="9" t="str">
        <f t="shared" si="192"/>
        <v>-</v>
      </c>
      <c r="BD364" s="3">
        <f t="shared" si="193"/>
        <v>31</v>
      </c>
      <c r="BE364" s="3">
        <f t="shared" si="194"/>
        <v>37</v>
      </c>
    </row>
    <row r="365" spans="1:58" s="3" customFormat="1" x14ac:dyDescent="0.2">
      <c r="A365" s="3" t="s">
        <v>120</v>
      </c>
      <c r="B365" s="3" t="str">
        <f>LOWER(VLOOKUP(A365,Xtal_Templ!A:B,2,FALSE))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197"/>
        <v>611</v>
      </c>
      <c r="G365" s="3">
        <v>614</v>
      </c>
      <c r="H365" s="3">
        <f t="shared" si="198"/>
        <v>617</v>
      </c>
      <c r="I365" s="3">
        <f t="shared" si="199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644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00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195"/>
        <v>1</v>
      </c>
      <c r="AO365" s="3" t="str">
        <f>IF(ISERROR(MATCH(A365,'SegEnds_Xtal_Prot#'!B:B, 0)), "NoXtal", "Xtal")</f>
        <v>NoXtal</v>
      </c>
      <c r="AP365" s="3">
        <f t="shared" si="180"/>
        <v>3</v>
      </c>
      <c r="AQ365" s="3">
        <f t="shared" si="181"/>
        <v>1</v>
      </c>
      <c r="AR365" s="3" t="str">
        <f t="shared" si="182"/>
        <v>-</v>
      </c>
      <c r="AS365" s="3" t="str">
        <f t="shared" si="183"/>
        <v>-</v>
      </c>
      <c r="AT365" s="3" t="str">
        <f t="shared" si="184"/>
        <v>-</v>
      </c>
      <c r="AU365" s="3" t="str">
        <f t="shared" si="185"/>
        <v>-</v>
      </c>
      <c r="AV365" s="3">
        <f t="shared" si="186"/>
        <v>25</v>
      </c>
      <c r="AW365" s="3">
        <f t="shared" si="187"/>
        <v>1</v>
      </c>
      <c r="AX365" s="3">
        <f t="shared" si="188"/>
        <v>9</v>
      </c>
      <c r="AY365" s="3">
        <f t="shared" si="189"/>
        <v>10</v>
      </c>
      <c r="AZ365" s="3">
        <f t="shared" si="190"/>
        <v>1</v>
      </c>
      <c r="BA365" s="3">
        <f>IF(ISERROR(LEN(VLOOKUP(A365,Seqs!A:E,2,FALSE))-AL365),"-",LEN(VLOOKUP(A365,Seqs!A:E,2,FALSE))-AL365)</f>
        <v>52</v>
      </c>
      <c r="BB365" s="16">
        <f t="shared" si="191"/>
        <v>31</v>
      </c>
      <c r="BC365" s="9" t="str">
        <f t="shared" si="192"/>
        <v>-</v>
      </c>
      <c r="BD365" s="3">
        <f t="shared" si="193"/>
        <v>31</v>
      </c>
      <c r="BE365" s="3">
        <f t="shared" si="194"/>
        <v>37</v>
      </c>
    </row>
    <row r="366" spans="1:58" s="3" customFormat="1" x14ac:dyDescent="0.2">
      <c r="A366" s="3" t="s">
        <v>121</v>
      </c>
      <c r="B366" s="3" t="str">
        <f>LOWER(VLOOKUP(A366,Xtal_Templ!A:B,2,FALSE))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197"/>
        <v>53</v>
      </c>
      <c r="G366" s="3">
        <v>56</v>
      </c>
      <c r="H366" s="3">
        <f t="shared" si="198"/>
        <v>59</v>
      </c>
      <c r="I366" s="3">
        <f t="shared" si="199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195"/>
        <v>1</v>
      </c>
      <c r="AO366" s="3" t="str">
        <f>IF(ISERROR(MATCH(A366,'SegEnds_Xtal_Prot#'!B:B, 0)), "NoXtal", "Xtal")</f>
        <v>NoXtal</v>
      </c>
      <c r="AP366" s="3">
        <f t="shared" si="180"/>
        <v>1</v>
      </c>
      <c r="AQ366" s="3">
        <f t="shared" si="181"/>
        <v>1</v>
      </c>
      <c r="AR366" s="3" t="str">
        <f t="shared" si="182"/>
        <v>-</v>
      </c>
      <c r="AS366" s="3" t="str">
        <f t="shared" si="183"/>
        <v>-</v>
      </c>
      <c r="AT366" s="3" t="str">
        <f t="shared" si="184"/>
        <v>-</v>
      </c>
      <c r="AU366" s="3" t="str">
        <f t="shared" si="185"/>
        <v>-</v>
      </c>
      <c r="AV366" s="3" t="str">
        <f t="shared" si="186"/>
        <v>-</v>
      </c>
      <c r="AW366" s="3" t="str">
        <f t="shared" si="187"/>
        <v>-</v>
      </c>
      <c r="AX366" s="3">
        <f t="shared" si="188"/>
        <v>11</v>
      </c>
      <c r="AY366" s="3">
        <f t="shared" si="189"/>
        <v>7</v>
      </c>
      <c r="AZ366" s="3">
        <f t="shared" si="190"/>
        <v>2</v>
      </c>
      <c r="BA366" s="3">
        <f>IF(ISERROR(LEN(VLOOKUP(A366,Seqs!A:E,2,FALSE))-AL366),"-",LEN(VLOOKUP(A366,Seqs!A:E,2,FALSE))-AL366)</f>
        <v>72</v>
      </c>
      <c r="BB366" s="16">
        <f t="shared" si="191"/>
        <v>33</v>
      </c>
      <c r="BC366" s="9" t="str">
        <f t="shared" si="192"/>
        <v>-</v>
      </c>
      <c r="BD366" s="3">
        <f t="shared" si="193"/>
        <v>33</v>
      </c>
      <c r="BE366" s="3">
        <f t="shared" si="194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LOWER(VLOOKUP(A367,Xtal_Templ!A:B,2,FALSE))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197"/>
        <v>594</v>
      </c>
      <c r="G367" s="3">
        <v>597</v>
      </c>
      <c r="H367" s="3">
        <f t="shared" si="198"/>
        <v>600</v>
      </c>
      <c r="I367" s="3">
        <f t="shared" si="199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01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195"/>
        <v>1</v>
      </c>
      <c r="AO367" s="3" t="str">
        <f>IF(ISERROR(MATCH(A367,'SegEnds_Xtal_Prot#'!B:B, 0)), "NoXtal", "Xtal")</f>
        <v>NoXtal</v>
      </c>
      <c r="AP367" s="3">
        <f t="shared" si="180"/>
        <v>3</v>
      </c>
      <c r="AQ367" s="3">
        <f t="shared" si="181"/>
        <v>1</v>
      </c>
      <c r="AR367" s="3" t="str">
        <f t="shared" si="182"/>
        <v>-</v>
      </c>
      <c r="AS367" s="3" t="str">
        <f t="shared" si="183"/>
        <v>-</v>
      </c>
      <c r="AT367" s="3" t="str">
        <f t="shared" si="184"/>
        <v>-</v>
      </c>
      <c r="AU367" s="3" t="str">
        <f t="shared" si="185"/>
        <v>-</v>
      </c>
      <c r="AV367" s="3">
        <f t="shared" si="186"/>
        <v>19</v>
      </c>
      <c r="AW367" s="3">
        <f t="shared" si="187"/>
        <v>2</v>
      </c>
      <c r="AX367" s="3">
        <f t="shared" si="188"/>
        <v>9</v>
      </c>
      <c r="AY367" s="3">
        <f t="shared" si="189"/>
        <v>5</v>
      </c>
      <c r="AZ367" s="3">
        <f t="shared" si="190"/>
        <v>1</v>
      </c>
      <c r="BA367" s="3">
        <f>IF(ISERROR(LEN(VLOOKUP(A367,Seqs!A:E,2,FALSE))-AL367),"-",LEN(VLOOKUP(A367,Seqs!A:E,2,FALSE))-AL367)</f>
        <v>11</v>
      </c>
      <c r="BB367" s="16">
        <f t="shared" si="191"/>
        <v>31</v>
      </c>
      <c r="BC367" s="9" t="str">
        <f t="shared" si="192"/>
        <v>-</v>
      </c>
      <c r="BD367" s="3">
        <f t="shared" si="193"/>
        <v>31</v>
      </c>
      <c r="BE367" s="3">
        <f t="shared" si="194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LOWER(VLOOKUP(A368,Xtal_Templ!A:B,2,FALSE))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197"/>
        <v>593</v>
      </c>
      <c r="G368" s="3">
        <v>596</v>
      </c>
      <c r="H368" s="3">
        <f t="shared" si="198"/>
        <v>599</v>
      </c>
      <c r="I368" s="3">
        <f t="shared" si="199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01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195"/>
        <v>1</v>
      </c>
      <c r="AO368" s="3" t="str">
        <f>IF(ISERROR(MATCH(A368,'SegEnds_Xtal_Prot#'!B:B, 0)), "NoXtal", "Xtal")</f>
        <v>NoXtal</v>
      </c>
      <c r="AP368" s="3">
        <f t="shared" si="180"/>
        <v>3</v>
      </c>
      <c r="AQ368" s="3">
        <f t="shared" si="181"/>
        <v>1</v>
      </c>
      <c r="AR368" s="3" t="str">
        <f t="shared" si="182"/>
        <v>-</v>
      </c>
      <c r="AS368" s="3" t="str">
        <f t="shared" si="183"/>
        <v>-</v>
      </c>
      <c r="AT368" s="3" t="str">
        <f t="shared" si="184"/>
        <v>-</v>
      </c>
      <c r="AU368" s="3" t="str">
        <f t="shared" si="185"/>
        <v>-</v>
      </c>
      <c r="AV368" s="3">
        <f t="shared" si="186"/>
        <v>20</v>
      </c>
      <c r="AW368" s="3">
        <f t="shared" si="187"/>
        <v>2</v>
      </c>
      <c r="AX368" s="3">
        <f t="shared" si="188"/>
        <v>9</v>
      </c>
      <c r="AY368" s="3">
        <f t="shared" si="189"/>
        <v>5</v>
      </c>
      <c r="AZ368" s="3">
        <f t="shared" si="190"/>
        <v>1</v>
      </c>
      <c r="BA368" s="3">
        <f>IF(ISERROR(LEN(VLOOKUP(A368,Seqs!A:E,2,FALSE))-AL368),"-",LEN(VLOOKUP(A368,Seqs!A:E,2,FALSE))-AL368)</f>
        <v>9</v>
      </c>
      <c r="BB368" s="16">
        <f t="shared" si="191"/>
        <v>31</v>
      </c>
      <c r="BC368" s="9" t="str">
        <f t="shared" si="192"/>
        <v>-</v>
      </c>
      <c r="BD368" s="3">
        <f t="shared" si="193"/>
        <v>31</v>
      </c>
      <c r="BE368" s="3">
        <f t="shared" si="194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LOWER(VLOOKUP(A369,Xtal_Templ!A:B,2,FALSE))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197"/>
        <v>596</v>
      </c>
      <c r="G369" s="3">
        <v>599</v>
      </c>
      <c r="H369" s="3">
        <f t="shared" si="198"/>
        <v>602</v>
      </c>
      <c r="I369" s="3">
        <f t="shared" si="199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01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195"/>
        <v>1</v>
      </c>
      <c r="AO369" s="3" t="str">
        <f>IF(ISERROR(MATCH(A369,'SegEnds_Xtal_Prot#'!B:B, 0)), "NoXtal", "Xtal")</f>
        <v>NoXtal</v>
      </c>
      <c r="AP369" s="3">
        <f t="shared" si="180"/>
        <v>3</v>
      </c>
      <c r="AQ369" s="3">
        <f t="shared" si="181"/>
        <v>1</v>
      </c>
      <c r="AR369" s="3" t="str">
        <f t="shared" si="182"/>
        <v>-</v>
      </c>
      <c r="AS369" s="3" t="str">
        <f t="shared" si="183"/>
        <v>-</v>
      </c>
      <c r="AT369" s="3" t="str">
        <f t="shared" si="184"/>
        <v>-</v>
      </c>
      <c r="AU369" s="3" t="str">
        <f t="shared" si="185"/>
        <v>-</v>
      </c>
      <c r="AV369" s="3">
        <f t="shared" si="186"/>
        <v>19</v>
      </c>
      <c r="AW369" s="3">
        <f t="shared" si="187"/>
        <v>2</v>
      </c>
      <c r="AX369" s="3">
        <f t="shared" si="188"/>
        <v>9</v>
      </c>
      <c r="AY369" s="3">
        <f t="shared" si="189"/>
        <v>5</v>
      </c>
      <c r="AZ369" s="3">
        <f t="shared" si="190"/>
        <v>1</v>
      </c>
      <c r="BA369" s="3">
        <f>IF(ISERROR(LEN(VLOOKUP(A369,Seqs!A:E,2,FALSE))-AL369),"-",LEN(VLOOKUP(A369,Seqs!A:E,2,FALSE))-AL369)</f>
        <v>20</v>
      </c>
      <c r="BB369" s="16">
        <f t="shared" si="191"/>
        <v>31</v>
      </c>
      <c r="BC369" s="9" t="str">
        <f t="shared" si="192"/>
        <v>-</v>
      </c>
      <c r="BD369" s="3">
        <f t="shared" si="193"/>
        <v>31</v>
      </c>
      <c r="BE369" s="3">
        <f t="shared" si="194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LOWER(VLOOKUP(A370,Xtal_Templ!A:B,2,FALSE))</f>
        <v>fzd4_human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197"/>
        <v>345</v>
      </c>
      <c r="G370" s="3">
        <v>348</v>
      </c>
      <c r="H370" s="3">
        <f t="shared" ref="H370:H380" si="202">G370+1</f>
        <v>349</v>
      </c>
      <c r="I370" s="3">
        <f t="shared" si="199"/>
        <v>350</v>
      </c>
      <c r="J370" s="3">
        <v>360</v>
      </c>
      <c r="K370" s="3">
        <f>VLOOKUP($A370,'SegEnds_NonXtal_BW#'!$A:$Z,8,FALSE)+VLOOKUP($A370,A:AL,10,FALSE)-50</f>
        <v>376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399</v>
      </c>
      <c r="P370" s="3">
        <v>427</v>
      </c>
      <c r="Q370" s="3">
        <f>VLOOKUP($A370,'SegEnds_NonXtal_BW#'!$A:$Z,12,FALSE)+VLOOKUP($A370,A:AL,16,FALSE)-50</f>
        <v>432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443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466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01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531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581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195"/>
        <v>1</v>
      </c>
      <c r="AO370" s="3" t="str">
        <f>IF(ISERROR(MATCH(A370,'SegEnds_Xtal_Prot#'!B:B, 0)), "NoXtal", "Xtal")</f>
        <v>NoXtal</v>
      </c>
      <c r="AP370" s="3">
        <f t="shared" si="180"/>
        <v>1</v>
      </c>
      <c r="AQ370" s="3">
        <f t="shared" si="181"/>
        <v>1</v>
      </c>
      <c r="AR370" s="3" t="str">
        <f t="shared" si="182"/>
        <v>-</v>
      </c>
      <c r="AS370" s="3" t="str">
        <f t="shared" si="183"/>
        <v>-</v>
      </c>
      <c r="AT370" s="3" t="str">
        <f t="shared" si="184"/>
        <v>-</v>
      </c>
      <c r="AU370" s="3" t="str">
        <f t="shared" si="185"/>
        <v>-</v>
      </c>
      <c r="AV370" s="3">
        <f t="shared" si="186"/>
        <v>11</v>
      </c>
      <c r="AW370" s="3">
        <f t="shared" si="187"/>
        <v>4</v>
      </c>
      <c r="AX370" s="3">
        <f t="shared" si="188"/>
        <v>11</v>
      </c>
      <c r="AY370" s="3">
        <f t="shared" si="189"/>
        <v>18</v>
      </c>
      <c r="AZ370" s="3">
        <f t="shared" si="190"/>
        <v>1</v>
      </c>
      <c r="BA370" s="3">
        <f>IF(ISERROR(LEN(VLOOKUP(A370,Seqs!A:E,2,FALSE))-AL370),"-",LEN(VLOOKUP(A370,Seqs!A:E,2,FALSE))-AL370)</f>
        <v>9</v>
      </c>
      <c r="BB370" s="16">
        <f t="shared" si="191"/>
        <v>26</v>
      </c>
      <c r="BC370" s="9" t="str">
        <f t="shared" si="192"/>
        <v>-</v>
      </c>
      <c r="BD370" s="3">
        <f t="shared" si="193"/>
        <v>26</v>
      </c>
      <c r="BE370" s="3">
        <f t="shared" si="194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LOWER(VLOOKUP(A371,Xtal_Templ!A:B,2,FALSE))</f>
        <v>fzd4_human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197"/>
        <v>253</v>
      </c>
      <c r="G371" s="3">
        <v>256</v>
      </c>
      <c r="H371" s="3">
        <f t="shared" si="202"/>
        <v>257</v>
      </c>
      <c r="I371" s="3">
        <f t="shared" si="199"/>
        <v>258</v>
      </c>
      <c r="J371" s="3">
        <v>268</v>
      </c>
      <c r="K371" s="3">
        <f>VLOOKUP($A371,'SegEnds_NonXtal_BW#'!$A:$Z,8,FALSE)+VLOOKUP($A371,A:AL,10,FALSE)-50</f>
        <v>284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306</v>
      </c>
      <c r="P371" s="3">
        <v>334</v>
      </c>
      <c r="Q371" s="3">
        <f>VLOOKUP($A371,'SegEnds_NonXtal_BW#'!$A:$Z,12,FALSE)+VLOOKUP($A371,A:AL,16,FALSE)-50</f>
        <v>339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350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373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01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438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488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195"/>
        <v>1</v>
      </c>
      <c r="AO371" s="3" t="str">
        <f>IF(ISERROR(MATCH(A371,'SegEnds_Xtal_Prot#'!B:B, 0)), "NoXtal", "Xtal")</f>
        <v>NoXtal</v>
      </c>
      <c r="AP371" s="3">
        <f t="shared" si="180"/>
        <v>1</v>
      </c>
      <c r="AQ371" s="3">
        <f t="shared" si="181"/>
        <v>1</v>
      </c>
      <c r="AR371" s="3" t="str">
        <f t="shared" si="182"/>
        <v>-</v>
      </c>
      <c r="AS371" s="3" t="str">
        <f t="shared" si="183"/>
        <v>-</v>
      </c>
      <c r="AT371" s="3" t="str">
        <f t="shared" si="184"/>
        <v>-</v>
      </c>
      <c r="AU371" s="3" t="str">
        <f t="shared" si="185"/>
        <v>-</v>
      </c>
      <c r="AV371" s="3">
        <f t="shared" si="186"/>
        <v>11</v>
      </c>
      <c r="AW371" s="3">
        <f t="shared" si="187"/>
        <v>4</v>
      </c>
      <c r="AX371" s="3">
        <f t="shared" si="188"/>
        <v>11</v>
      </c>
      <c r="AY371" s="3">
        <f t="shared" si="189"/>
        <v>12</v>
      </c>
      <c r="AZ371" s="3">
        <f t="shared" si="190"/>
        <v>1</v>
      </c>
      <c r="BA371" s="3">
        <f>IF(ISERROR(LEN(VLOOKUP(A371,Seqs!A:E,2,FALSE))-AL371),"-",LEN(VLOOKUP(A371,Seqs!A:E,2,FALSE))-AL371)</f>
        <v>42</v>
      </c>
      <c r="BB371" s="16">
        <f t="shared" si="191"/>
        <v>26</v>
      </c>
      <c r="BC371" s="9" t="str">
        <f t="shared" si="192"/>
        <v>-</v>
      </c>
      <c r="BD371" s="3">
        <f t="shared" si="193"/>
        <v>26</v>
      </c>
      <c r="BE371" s="3">
        <f t="shared" si="194"/>
        <v>55</v>
      </c>
    </row>
    <row r="372" spans="1:58" s="3" customFormat="1" x14ac:dyDescent="0.2">
      <c r="A372" s="3" t="s">
        <v>448</v>
      </c>
      <c r="B372" s="3" t="str">
        <f>LOWER(VLOOKUP(A372,Xtal_Templ!A:B,2,FALSE))</f>
        <v>fzd4_human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197"/>
        <v>270</v>
      </c>
      <c r="G372" s="3">
        <v>273</v>
      </c>
      <c r="H372" s="3">
        <f t="shared" si="202"/>
        <v>274</v>
      </c>
      <c r="I372" s="3">
        <f t="shared" si="199"/>
        <v>275</v>
      </c>
      <c r="J372" s="3">
        <v>285</v>
      </c>
      <c r="K372" s="3">
        <f>VLOOKUP($A372,'SegEnds_NonXtal_BW#'!$A:$Z,8,FALSE)+VLOOKUP($A372,A:AL,10,FALSE)-50</f>
        <v>301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324</v>
      </c>
      <c r="P372" s="3">
        <v>352</v>
      </c>
      <c r="Q372" s="3">
        <f>VLOOKUP($A372,'SegEnds_NonXtal_BW#'!$A:$Z,12,FALSE)+VLOOKUP($A372,A:AL,16,FALSE)-50</f>
        <v>357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368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391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01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456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506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195"/>
        <v>1</v>
      </c>
      <c r="AO372" s="3" t="str">
        <f>IF(ISERROR(MATCH(A372,'SegEnds_Xtal_Prot#'!B:B, 0)), "NoXtal", "Xtal")</f>
        <v>NoXtal</v>
      </c>
      <c r="AP372" s="3">
        <f t="shared" si="180"/>
        <v>1</v>
      </c>
      <c r="AQ372" s="3">
        <f t="shared" si="181"/>
        <v>1</v>
      </c>
      <c r="AR372" s="3" t="str">
        <f t="shared" si="182"/>
        <v>-</v>
      </c>
      <c r="AS372" s="3" t="str">
        <f t="shared" si="183"/>
        <v>-</v>
      </c>
      <c r="AT372" s="3" t="str">
        <f t="shared" si="184"/>
        <v>-</v>
      </c>
      <c r="AU372" s="3" t="str">
        <f t="shared" si="185"/>
        <v>-</v>
      </c>
      <c r="AV372" s="3">
        <f t="shared" si="186"/>
        <v>11</v>
      </c>
      <c r="AW372" s="3">
        <f t="shared" si="187"/>
        <v>4</v>
      </c>
      <c r="AX372" s="3">
        <f t="shared" si="188"/>
        <v>11</v>
      </c>
      <c r="AY372" s="3">
        <f t="shared" si="189"/>
        <v>11</v>
      </c>
      <c r="AZ372" s="3">
        <f t="shared" si="190"/>
        <v>1</v>
      </c>
      <c r="BA372" s="3">
        <f>IF(ISERROR(LEN(VLOOKUP(A372,Seqs!A:E,2,FALSE))-AL372),"-",LEN(VLOOKUP(A372,Seqs!A:E,2,FALSE))-AL372)</f>
        <v>9</v>
      </c>
      <c r="BB372" s="16">
        <f t="shared" si="191"/>
        <v>26</v>
      </c>
      <c r="BC372" s="9" t="str">
        <f t="shared" si="192"/>
        <v>-</v>
      </c>
      <c r="BD372" s="3">
        <f t="shared" si="193"/>
        <v>26</v>
      </c>
      <c r="BE372" s="3">
        <f t="shared" si="194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LOWER(VLOOKUP(A373,Xtal_Templ!A:B,2,FALSE))</f>
        <v>fzd4_human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197"/>
        <v>228</v>
      </c>
      <c r="G373" s="3">
        <v>231</v>
      </c>
      <c r="H373" s="3">
        <f t="shared" si="202"/>
        <v>232</v>
      </c>
      <c r="I373" s="3">
        <f t="shared" si="199"/>
        <v>233</v>
      </c>
      <c r="J373" s="3">
        <v>243</v>
      </c>
      <c r="K373" s="3">
        <f>VLOOKUP($A373,'SegEnds_NonXtal_BW#'!$A:$Z,8,FALSE)+VLOOKUP($A373,A:AL,10,FALSE)-50</f>
        <v>259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283</v>
      </c>
      <c r="P373" s="3">
        <v>311</v>
      </c>
      <c r="Q373" s="3">
        <f>VLOOKUP($A373,'SegEnds_NonXtal_BW#'!$A:$Z,12,FALSE)+VLOOKUP($A373,A:AL,16,FALSE)-50</f>
        <v>316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327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350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01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415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465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195"/>
        <v>1</v>
      </c>
      <c r="AO373" s="3" t="str">
        <f>IF(ISERROR(MATCH(A373,'SegEnds_Xtal_Prot#'!B:B, 0)), "NoXtal", "Xtal")</f>
        <v>NoXtal</v>
      </c>
      <c r="AP373" s="3">
        <f t="shared" si="180"/>
        <v>1</v>
      </c>
      <c r="AQ373" s="3">
        <f t="shared" si="181"/>
        <v>1</v>
      </c>
      <c r="AR373" s="3" t="str">
        <f t="shared" si="182"/>
        <v>-</v>
      </c>
      <c r="AS373" s="3" t="str">
        <f t="shared" si="183"/>
        <v>-</v>
      </c>
      <c r="AT373" s="3" t="str">
        <f t="shared" si="184"/>
        <v>-</v>
      </c>
      <c r="AU373" s="3" t="str">
        <f t="shared" si="185"/>
        <v>-</v>
      </c>
      <c r="AV373" s="3">
        <f t="shared" si="186"/>
        <v>11</v>
      </c>
      <c r="AW373" s="3">
        <f t="shared" si="187"/>
        <v>4</v>
      </c>
      <c r="AX373" s="3">
        <f t="shared" si="188"/>
        <v>11</v>
      </c>
      <c r="AY373" s="3">
        <f t="shared" si="189"/>
        <v>11</v>
      </c>
      <c r="AZ373" s="3">
        <f t="shared" si="190"/>
        <v>1</v>
      </c>
      <c r="BA373" s="3">
        <f>IF(ISERROR(LEN(VLOOKUP(A373,Seqs!A:E,2,FALSE))-AL373),"-",LEN(VLOOKUP(A373,Seqs!A:E,2,FALSE))-AL373)</f>
        <v>151</v>
      </c>
      <c r="BB373" s="16">
        <f t="shared" si="191"/>
        <v>26</v>
      </c>
      <c r="BC373" s="9" t="str">
        <f t="shared" si="192"/>
        <v>-</v>
      </c>
      <c r="BD373" s="3">
        <f t="shared" si="193"/>
        <v>26</v>
      </c>
      <c r="BE373" s="3">
        <f t="shared" si="194"/>
        <v>55</v>
      </c>
    </row>
    <row r="374" spans="1:58" s="3" customFormat="1" x14ac:dyDescent="0.2">
      <c r="A374" s="3" t="s">
        <v>450</v>
      </c>
      <c r="B374" s="3" t="str">
        <f>LOWER(VLOOKUP(A374,Xtal_Templ!A:B,2,FALSE))</f>
        <v>fzd4_human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197"/>
        <v>245</v>
      </c>
      <c r="G374" s="3">
        <v>248</v>
      </c>
      <c r="H374" s="3">
        <f t="shared" si="202"/>
        <v>249</v>
      </c>
      <c r="I374" s="3">
        <f t="shared" si="199"/>
        <v>250</v>
      </c>
      <c r="J374" s="3">
        <v>260</v>
      </c>
      <c r="K374" s="3">
        <f>VLOOKUP($A374,'SegEnds_NonXtal_BW#'!$A:$Z,8,FALSE)+VLOOKUP($A374,A:AL,10,FALSE)-50</f>
        <v>276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299</v>
      </c>
      <c r="P374" s="3">
        <v>327</v>
      </c>
      <c r="Q374" s="3">
        <f>VLOOKUP($A374,'SegEnds_NonXtal_BW#'!$A:$Z,12,FALSE)+VLOOKUP($A374,A:AL,16,FALSE)-50</f>
        <v>332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343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366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01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431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461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195"/>
        <v>1</v>
      </c>
      <c r="AO374" s="3" t="str">
        <f>IF(ISERROR(MATCH(A374,'SegEnds_Xtal_Prot#'!B:B, 0)), "NoXtal", "Xtal")</f>
        <v>Xtal</v>
      </c>
      <c r="AP374" s="3">
        <f t="shared" si="180"/>
        <v>1</v>
      </c>
      <c r="AQ374" s="3">
        <f t="shared" si="181"/>
        <v>1</v>
      </c>
      <c r="AR374" s="3" t="str">
        <f t="shared" si="182"/>
        <v>-</v>
      </c>
      <c r="AS374" s="3" t="str">
        <f t="shared" si="183"/>
        <v>-</v>
      </c>
      <c r="AT374" s="3" t="str">
        <f t="shared" si="184"/>
        <v>-</v>
      </c>
      <c r="AU374" s="3" t="str">
        <f t="shared" si="185"/>
        <v>-</v>
      </c>
      <c r="AV374" s="3">
        <f t="shared" si="186"/>
        <v>11</v>
      </c>
      <c r="AW374" s="3">
        <f t="shared" si="187"/>
        <v>4</v>
      </c>
      <c r="AX374" s="3">
        <f t="shared" si="188"/>
        <v>11</v>
      </c>
      <c r="AY374" s="3">
        <f t="shared" si="189"/>
        <v>12</v>
      </c>
      <c r="AZ374" s="3">
        <f t="shared" si="190"/>
        <v>1</v>
      </c>
      <c r="BA374" s="3">
        <f>IF(ISERROR(LEN(VLOOKUP(A374,Seqs!A:E,2,FALSE))-AL374),"-",LEN(VLOOKUP(A374,Seqs!A:E,2,FALSE))-AL374)</f>
        <v>25</v>
      </c>
      <c r="BB374" s="16">
        <f t="shared" si="191"/>
        <v>26</v>
      </c>
      <c r="BC374" s="9" t="str">
        <f t="shared" si="192"/>
        <v>-</v>
      </c>
      <c r="BD374" s="3">
        <f t="shared" si="193"/>
        <v>26</v>
      </c>
      <c r="BE374" s="3">
        <f t="shared" si="194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LOWER(VLOOKUP(A375,Xtal_Templ!A:B,2,FALSE))</f>
        <v>fzd4_human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197"/>
        <v>261</v>
      </c>
      <c r="G375" s="3">
        <v>264</v>
      </c>
      <c r="H375" s="3">
        <f t="shared" si="202"/>
        <v>265</v>
      </c>
      <c r="I375" s="3">
        <f t="shared" si="199"/>
        <v>266</v>
      </c>
      <c r="J375" s="3">
        <v>276</v>
      </c>
      <c r="K375" s="3">
        <f>VLOOKUP($A375,'SegEnds_NonXtal_BW#'!$A:$Z,8,FALSE)+VLOOKUP($A375,A:AL,10,FALSE)-50</f>
        <v>292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312</v>
      </c>
      <c r="P375" s="3">
        <v>340</v>
      </c>
      <c r="Q375" s="3">
        <f>VLOOKUP($A375,'SegEnds_NonXtal_BW#'!$A:$Z,12,FALSE)+VLOOKUP($A375,A:AL,16,FALSE)-50</f>
        <v>345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356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379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01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444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494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195"/>
        <v>1</v>
      </c>
      <c r="AO375" s="3" t="str">
        <f>IF(ISERROR(MATCH(A375,'SegEnds_Xtal_Prot#'!B:B, 0)), "NoXtal", "Xtal")</f>
        <v>NoXtal</v>
      </c>
      <c r="AP375" s="3">
        <f t="shared" si="180"/>
        <v>1</v>
      </c>
      <c r="AQ375" s="3">
        <f t="shared" si="181"/>
        <v>1</v>
      </c>
      <c r="AR375" s="3" t="str">
        <f t="shared" si="182"/>
        <v>-</v>
      </c>
      <c r="AS375" s="3" t="str">
        <f t="shared" si="183"/>
        <v>-</v>
      </c>
      <c r="AT375" s="3" t="str">
        <f t="shared" si="184"/>
        <v>-</v>
      </c>
      <c r="AU375" s="3" t="str">
        <f t="shared" si="185"/>
        <v>-</v>
      </c>
      <c r="AV375" s="3">
        <f t="shared" si="186"/>
        <v>11</v>
      </c>
      <c r="AW375" s="3">
        <f t="shared" si="187"/>
        <v>4</v>
      </c>
      <c r="AX375" s="3">
        <f t="shared" si="188"/>
        <v>11</v>
      </c>
      <c r="AY375" s="3">
        <f t="shared" si="189"/>
        <v>5</v>
      </c>
      <c r="AZ375" s="3">
        <f t="shared" si="190"/>
        <v>1</v>
      </c>
      <c r="BA375" s="3">
        <f>IF(ISERROR(LEN(VLOOKUP(A375,Seqs!A:E,2,FALSE))-AL375),"-",LEN(VLOOKUP(A375,Seqs!A:E,2,FALSE))-AL375)</f>
        <v>47</v>
      </c>
      <c r="BB375" s="16">
        <f t="shared" si="191"/>
        <v>26</v>
      </c>
      <c r="BC375" s="9" t="str">
        <f t="shared" si="192"/>
        <v>-</v>
      </c>
      <c r="BD375" s="3">
        <f t="shared" si="193"/>
        <v>26</v>
      </c>
      <c r="BE375" s="3">
        <f t="shared" si="194"/>
        <v>55</v>
      </c>
    </row>
    <row r="376" spans="1:58" s="3" customFormat="1" x14ac:dyDescent="0.2">
      <c r="A376" s="3" t="s">
        <v>452</v>
      </c>
      <c r="B376" s="3" t="str">
        <f>LOWER(VLOOKUP(A376,Xtal_Templ!A:B,2,FALSE))</f>
        <v>fzd4_human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197"/>
        <v>224</v>
      </c>
      <c r="G376" s="3">
        <v>227</v>
      </c>
      <c r="H376" s="3">
        <f t="shared" si="202"/>
        <v>228</v>
      </c>
      <c r="I376" s="3">
        <f t="shared" si="199"/>
        <v>229</v>
      </c>
      <c r="J376" s="3">
        <v>239</v>
      </c>
      <c r="K376" s="3">
        <f>VLOOKUP($A376,'SegEnds_NonXtal_BW#'!$A:$Z,8,FALSE)+VLOOKUP($A376,A:AL,10,FALSE)-50</f>
        <v>255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279</v>
      </c>
      <c r="P376" s="3">
        <v>307</v>
      </c>
      <c r="Q376" s="3">
        <f>VLOOKUP($A376,'SegEnds_NonXtal_BW#'!$A:$Z,12,FALSE)+VLOOKUP($A376,A:AL,16,FALSE)-50</f>
        <v>312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323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346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01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411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461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195"/>
        <v>1</v>
      </c>
      <c r="AO376" s="3" t="str">
        <f>IF(ISERROR(MATCH(A376,'SegEnds_Xtal_Prot#'!B:B, 0)), "NoXtal", "Xtal")</f>
        <v>NoXtal</v>
      </c>
      <c r="AP376" s="3">
        <f t="shared" si="180"/>
        <v>1</v>
      </c>
      <c r="AQ376" s="3">
        <f t="shared" si="181"/>
        <v>1</v>
      </c>
      <c r="AR376" s="3" t="str">
        <f t="shared" si="182"/>
        <v>-</v>
      </c>
      <c r="AS376" s="3" t="str">
        <f t="shared" si="183"/>
        <v>-</v>
      </c>
      <c r="AT376" s="3" t="str">
        <f t="shared" si="184"/>
        <v>-</v>
      </c>
      <c r="AU376" s="3" t="str">
        <f t="shared" si="185"/>
        <v>-</v>
      </c>
      <c r="AV376" s="3">
        <f t="shared" si="186"/>
        <v>11</v>
      </c>
      <c r="AW376" s="3">
        <f t="shared" si="187"/>
        <v>4</v>
      </c>
      <c r="AX376" s="3">
        <f t="shared" si="188"/>
        <v>11</v>
      </c>
      <c r="AY376" s="3">
        <f t="shared" si="189"/>
        <v>11</v>
      </c>
      <c r="AZ376" s="3">
        <f t="shared" si="190"/>
        <v>1</v>
      </c>
      <c r="BA376" s="3">
        <f>IF(ISERROR(LEN(VLOOKUP(A376,Seqs!A:E,2,FALSE))-AL376),"-",LEN(VLOOKUP(A376,Seqs!A:E,2,FALSE))-AL376)</f>
        <v>195</v>
      </c>
      <c r="BB376" s="16">
        <f t="shared" si="191"/>
        <v>26</v>
      </c>
      <c r="BC376" s="9" t="str">
        <f t="shared" si="192"/>
        <v>-</v>
      </c>
      <c r="BD376" s="3">
        <f t="shared" si="193"/>
        <v>26</v>
      </c>
      <c r="BE376" s="3">
        <f t="shared" si="194"/>
        <v>55</v>
      </c>
    </row>
    <row r="377" spans="1:58" s="3" customFormat="1" x14ac:dyDescent="0.2">
      <c r="A377" s="3" t="s">
        <v>453</v>
      </c>
      <c r="B377" s="3" t="str">
        <f>LOWER(VLOOKUP(A377,Xtal_Templ!A:B,2,FALSE))</f>
        <v>fzd4_human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197"/>
        <v>279</v>
      </c>
      <c r="G377" s="3">
        <v>282</v>
      </c>
      <c r="H377" s="3">
        <f t="shared" si="202"/>
        <v>283</v>
      </c>
      <c r="I377" s="3">
        <f t="shared" si="199"/>
        <v>284</v>
      </c>
      <c r="J377" s="3">
        <v>294</v>
      </c>
      <c r="K377" s="3">
        <f>VLOOKUP($A377,'SegEnds_NonXtal_BW#'!$A:$Z,8,FALSE)+VLOOKUP($A377,A:AL,10,FALSE)-50</f>
        <v>310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333</v>
      </c>
      <c r="P377" s="3">
        <v>361</v>
      </c>
      <c r="Q377" s="3">
        <f>VLOOKUP($A377,'SegEnds_NonXtal_BW#'!$A:$Z,12,FALSE)+VLOOKUP($A377,A:AL,16,FALSE)-50</f>
        <v>366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377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400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01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465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515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195"/>
        <v>1</v>
      </c>
      <c r="AO377" s="3" t="str">
        <f>IF(ISERROR(MATCH(A377,'SegEnds_Xtal_Prot#'!B:B, 0)), "NoXtal", "Xtal")</f>
        <v>NoXtal</v>
      </c>
      <c r="AP377" s="3">
        <f t="shared" si="180"/>
        <v>1</v>
      </c>
      <c r="AQ377" s="3">
        <f t="shared" si="181"/>
        <v>1</v>
      </c>
      <c r="AR377" s="3" t="str">
        <f t="shared" si="182"/>
        <v>-</v>
      </c>
      <c r="AS377" s="3" t="str">
        <f t="shared" si="183"/>
        <v>-</v>
      </c>
      <c r="AT377" s="3" t="str">
        <f t="shared" si="184"/>
        <v>-</v>
      </c>
      <c r="AU377" s="3" t="str">
        <f t="shared" si="185"/>
        <v>-</v>
      </c>
      <c r="AV377" s="3">
        <f t="shared" si="186"/>
        <v>11</v>
      </c>
      <c r="AW377" s="3">
        <f t="shared" si="187"/>
        <v>4</v>
      </c>
      <c r="AX377" s="3">
        <f t="shared" si="188"/>
        <v>11</v>
      </c>
      <c r="AY377" s="3">
        <f t="shared" si="189"/>
        <v>11</v>
      </c>
      <c r="AZ377" s="3">
        <f t="shared" si="190"/>
        <v>1</v>
      </c>
      <c r="BA377" s="3">
        <f>IF(ISERROR(LEN(VLOOKUP(A377,Seqs!A:E,2,FALSE))-AL377),"-",LEN(VLOOKUP(A377,Seqs!A:E,2,FALSE))-AL377)</f>
        <v>9</v>
      </c>
      <c r="BB377" s="16">
        <f t="shared" si="191"/>
        <v>26</v>
      </c>
      <c r="BC377" s="9" t="str">
        <f t="shared" si="192"/>
        <v>-</v>
      </c>
      <c r="BD377" s="3">
        <f t="shared" si="193"/>
        <v>26</v>
      </c>
      <c r="BE377" s="3">
        <f t="shared" si="194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LOWER(VLOOKUP(A378,Xtal_Templ!A:B,2,FALSE))</f>
        <v>fzd4_human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197"/>
        <v>303</v>
      </c>
      <c r="G378" s="3">
        <v>306</v>
      </c>
      <c r="H378" s="3">
        <f t="shared" si="202"/>
        <v>307</v>
      </c>
      <c r="I378" s="3">
        <f t="shared" si="199"/>
        <v>308</v>
      </c>
      <c r="J378" s="3">
        <v>318</v>
      </c>
      <c r="K378" s="3">
        <f>VLOOKUP($A378,'SegEnds_NonXtal_BW#'!$A:$Z,8,FALSE)+VLOOKUP($A378,A:AL,10,FALSE)-50</f>
        <v>334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393</v>
      </c>
      <c r="P378" s="3">
        <v>421</v>
      </c>
      <c r="Q378" s="3">
        <f>VLOOKUP($A378,'SegEnds_NonXtal_BW#'!$A:$Z,12,FALSE)+VLOOKUP($A378,A:AL,16,FALSE)-50</f>
        <v>426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437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460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01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527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577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195"/>
        <v>1</v>
      </c>
      <c r="AO378" s="3" t="str">
        <f>IF(ISERROR(MATCH(A378,'SegEnds_Xtal_Prot#'!B:B, 0)), "NoXtal", "Xtal")</f>
        <v>NoXtal</v>
      </c>
      <c r="AP378" s="3">
        <f t="shared" si="180"/>
        <v>1</v>
      </c>
      <c r="AQ378" s="3">
        <f t="shared" si="181"/>
        <v>1</v>
      </c>
      <c r="AR378" s="3" t="str">
        <f t="shared" si="182"/>
        <v>-</v>
      </c>
      <c r="AS378" s="3" t="str">
        <f t="shared" si="183"/>
        <v>-</v>
      </c>
      <c r="AT378" s="3" t="str">
        <f t="shared" si="184"/>
        <v>-</v>
      </c>
      <c r="AU378" s="3" t="str">
        <f t="shared" si="185"/>
        <v>-</v>
      </c>
      <c r="AV378" s="3">
        <f t="shared" si="186"/>
        <v>11</v>
      </c>
      <c r="AW378" s="3">
        <f t="shared" si="187"/>
        <v>4</v>
      </c>
      <c r="AX378" s="3">
        <f t="shared" si="188"/>
        <v>13</v>
      </c>
      <c r="AY378" s="3">
        <f t="shared" si="189"/>
        <v>5</v>
      </c>
      <c r="AZ378" s="3">
        <f t="shared" si="190"/>
        <v>1</v>
      </c>
      <c r="BA378" s="3">
        <f>IF(ISERROR(LEN(VLOOKUP(A378,Seqs!A:E,2,FALSE))-AL378),"-",LEN(VLOOKUP(A378,Seqs!A:E,2,FALSE))-AL378)</f>
        <v>73</v>
      </c>
      <c r="BB378" s="16">
        <f t="shared" si="191"/>
        <v>26</v>
      </c>
      <c r="BC378" s="9" t="str">
        <f t="shared" si="192"/>
        <v>-</v>
      </c>
      <c r="BD378" s="3">
        <f t="shared" si="193"/>
        <v>26</v>
      </c>
      <c r="BE378" s="3">
        <f t="shared" si="194"/>
        <v>57</v>
      </c>
    </row>
    <row r="379" spans="1:58" s="3" customFormat="1" x14ac:dyDescent="0.2">
      <c r="A379" s="3" t="s">
        <v>455</v>
      </c>
      <c r="B379" s="3" t="str">
        <f>LOWER(VLOOKUP(A379,Xtal_Templ!A:B,2,FALSE))</f>
        <v>fzd4_human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197"/>
        <v>257</v>
      </c>
      <c r="G379" s="3">
        <v>260</v>
      </c>
      <c r="H379" s="3">
        <f t="shared" si="202"/>
        <v>261</v>
      </c>
      <c r="I379" s="3">
        <f t="shared" si="199"/>
        <v>262</v>
      </c>
      <c r="J379" s="3">
        <v>272</v>
      </c>
      <c r="K379" s="3">
        <f>VLOOKUP($A379,'SegEnds_NonXtal_BW#'!$A:$Z,8,FALSE)+VLOOKUP($A379,A:AL,10,FALSE)-50</f>
        <v>288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310</v>
      </c>
      <c r="P379" s="3">
        <v>338</v>
      </c>
      <c r="Q379" s="3">
        <f>VLOOKUP($A379,'SegEnds_NonXtal_BW#'!$A:$Z,12,FALSE)+VLOOKUP($A379,A:AL,16,FALSE)-50</f>
        <v>343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354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377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01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492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195"/>
        <v>1</v>
      </c>
      <c r="AO379" s="3" t="str">
        <f>IF(ISERROR(MATCH(A379,'SegEnds_Xtal_Prot#'!B:B, 0)), "NoXtal", "Xtal")</f>
        <v>NoXtal</v>
      </c>
      <c r="AP379" s="3">
        <f t="shared" si="180"/>
        <v>1</v>
      </c>
      <c r="AQ379" s="3">
        <f t="shared" si="181"/>
        <v>1</v>
      </c>
      <c r="AR379" s="3" t="str">
        <f t="shared" si="182"/>
        <v>-</v>
      </c>
      <c r="AS379" s="3" t="str">
        <f t="shared" si="183"/>
        <v>-</v>
      </c>
      <c r="AT379" s="3" t="str">
        <f t="shared" si="184"/>
        <v>-</v>
      </c>
      <c r="AU379" s="3" t="str">
        <f t="shared" si="185"/>
        <v>-</v>
      </c>
      <c r="AV379" s="3">
        <f t="shared" si="186"/>
        <v>11</v>
      </c>
      <c r="AW379" s="3">
        <f t="shared" si="187"/>
        <v>4</v>
      </c>
      <c r="AX379" s="3">
        <f t="shared" si="188"/>
        <v>11</v>
      </c>
      <c r="AY379" s="3">
        <f t="shared" si="189"/>
        <v>14</v>
      </c>
      <c r="AZ379" s="3">
        <f t="shared" si="190"/>
        <v>1</v>
      </c>
      <c r="BA379" s="3">
        <f>IF(ISERROR(LEN(VLOOKUP(A379,Seqs!A:E,2,FALSE))-AL379),"-",LEN(VLOOKUP(A379,Seqs!A:E,2,FALSE))-AL379)</f>
        <v>46</v>
      </c>
      <c r="BB379" s="16">
        <f t="shared" si="191"/>
        <v>26</v>
      </c>
      <c r="BC379" s="9" t="str">
        <f t="shared" si="192"/>
        <v>-</v>
      </c>
      <c r="BD379" s="3">
        <f t="shared" si="193"/>
        <v>26</v>
      </c>
      <c r="BE379" s="3">
        <f t="shared" si="194"/>
        <v>55</v>
      </c>
    </row>
    <row r="380" spans="1:58" s="3" customFormat="1" x14ac:dyDescent="0.2">
      <c r="A380" s="3" t="s">
        <v>33</v>
      </c>
      <c r="B380" s="3" t="str">
        <f>LOWER(VLOOKUP(A380,Xtal_Templ!A:B,2,FALSE))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197"/>
        <v>256</v>
      </c>
      <c r="G380" s="3">
        <v>259</v>
      </c>
      <c r="H380" s="3">
        <f t="shared" si="202"/>
        <v>260</v>
      </c>
      <c r="I380" s="3">
        <f t="shared" si="199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345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356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01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195"/>
        <v>1</v>
      </c>
      <c r="AO380" s="3" t="str">
        <f>IF(ISERROR(MATCH(A380,'SegEnds_Xtal_Prot#'!B:B, 0)), "NoXtal", "Xtal")</f>
        <v>Xtal</v>
      </c>
      <c r="AP380" s="3">
        <f t="shared" si="180"/>
        <v>1</v>
      </c>
      <c r="AQ380" s="3">
        <f t="shared" si="181"/>
        <v>1</v>
      </c>
      <c r="AR380" s="3" t="str">
        <f t="shared" si="182"/>
        <v>-</v>
      </c>
      <c r="AS380" s="3" t="str">
        <f t="shared" si="183"/>
        <v>-</v>
      </c>
      <c r="AT380" s="3" t="str">
        <f t="shared" si="184"/>
        <v>-</v>
      </c>
      <c r="AU380" s="3" t="str">
        <f t="shared" si="185"/>
        <v>-</v>
      </c>
      <c r="AV380" s="3">
        <f t="shared" si="186"/>
        <v>12</v>
      </c>
      <c r="AW380" s="3">
        <f t="shared" si="187"/>
        <v>4</v>
      </c>
      <c r="AX380" s="3">
        <f t="shared" si="188"/>
        <v>9</v>
      </c>
      <c r="AY380" s="3">
        <f t="shared" si="189"/>
        <v>18</v>
      </c>
      <c r="AZ380" s="3">
        <f t="shared" si="190"/>
        <v>1</v>
      </c>
      <c r="BA380" s="3">
        <f>IF(ISERROR(LEN(VLOOKUP(A380,Seqs!A:E,2,FALSE))-AL380),"-",LEN(VLOOKUP(A380,Seqs!A:E,2,FALSE))-AL380)</f>
        <v>234</v>
      </c>
      <c r="BB380" s="16">
        <f t="shared" si="191"/>
        <v>27</v>
      </c>
      <c r="BC380" s="9" t="str">
        <f t="shared" si="192"/>
        <v>-</v>
      </c>
      <c r="BD380" s="3">
        <f t="shared" si="193"/>
        <v>27</v>
      </c>
      <c r="BE380" s="3">
        <f t="shared" si="194"/>
        <v>57</v>
      </c>
    </row>
    <row r="381" spans="1:58" s="9" customFormat="1" x14ac:dyDescent="0.2">
      <c r="A381" s="128" t="s">
        <v>1495</v>
      </c>
      <c r="B381" s="9" t="str">
        <f>LOWER(VLOOKUP(A381,Xtal_Templ!A:B,2,FALSE))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27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LOWER(VLOOKUP(A382,Xtal_Templ!A:B,2,FALSE))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195"/>
        <v>1</v>
      </c>
      <c r="AO382" s="3" t="str">
        <f>IF(ISERROR(MATCH(A382,'SegEnds_Xtal_Prot#'!B:B, 0)), "NoXtal", "Xtal")</f>
        <v>NoXtal</v>
      </c>
      <c r="AP382" s="3" t="str">
        <f t="shared" si="180"/>
        <v>-</v>
      </c>
      <c r="AQ382" s="3" t="str">
        <f t="shared" si="181"/>
        <v>-</v>
      </c>
      <c r="AR382" s="3" t="str">
        <f t="shared" si="182"/>
        <v>-</v>
      </c>
      <c r="AS382" s="3" t="str">
        <f t="shared" si="183"/>
        <v>-</v>
      </c>
      <c r="AT382" s="3" t="str">
        <f t="shared" si="184"/>
        <v>-</v>
      </c>
      <c r="AU382" s="3" t="str">
        <f t="shared" si="185"/>
        <v>-</v>
      </c>
      <c r="AV382" s="3" t="str">
        <f t="shared" si="186"/>
        <v>-</v>
      </c>
      <c r="AW382" s="3" t="str">
        <f t="shared" si="187"/>
        <v>-</v>
      </c>
      <c r="AX382" s="3">
        <f t="shared" si="188"/>
        <v>47</v>
      </c>
      <c r="AY382" s="3">
        <f t="shared" si="189"/>
        <v>15</v>
      </c>
      <c r="AZ382" s="3">
        <f t="shared" si="190"/>
        <v>1</v>
      </c>
      <c r="BA382" s="3">
        <f>IF(ISERROR(LEN(VLOOKUP(A382,Seqs!A:E,2,FALSE))-AL382),"-",LEN(VLOOKUP(A382,Seqs!A:E,2,FALSE))-AL382)</f>
        <v>20</v>
      </c>
      <c r="BB382" s="16">
        <f t="shared" si="191"/>
        <v>18</v>
      </c>
      <c r="BC382" s="9" t="str">
        <f t="shared" si="192"/>
        <v>-</v>
      </c>
      <c r="BD382" s="3">
        <f t="shared" si="193"/>
        <v>18</v>
      </c>
      <c r="BE382" s="3">
        <f t="shared" si="194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LOWER(VLOOKUP(A383,Xtal_Templ!A:B,2,FALSE))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195"/>
        <v>1</v>
      </c>
      <c r="AO383" s="3" t="str">
        <f>IF(ISERROR(MATCH(A383,'SegEnds_Xtal_Prot#'!B:B, 0)), "NoXtal", "Xtal")</f>
        <v>NoXtal</v>
      </c>
      <c r="AP383" s="3" t="str">
        <f t="shared" si="180"/>
        <v>-</v>
      </c>
      <c r="AQ383" s="3" t="str">
        <f t="shared" si="181"/>
        <v>-</v>
      </c>
      <c r="AR383" s="3" t="str">
        <f t="shared" si="182"/>
        <v>-</v>
      </c>
      <c r="AS383" s="3" t="str">
        <f t="shared" si="183"/>
        <v>-</v>
      </c>
      <c r="AT383" s="3" t="str">
        <f t="shared" si="184"/>
        <v>-</v>
      </c>
      <c r="AU383" s="3" t="str">
        <f t="shared" si="185"/>
        <v>-</v>
      </c>
      <c r="AV383" s="3" t="str">
        <f t="shared" si="186"/>
        <v>-</v>
      </c>
      <c r="AW383" s="3" t="str">
        <f t="shared" si="187"/>
        <v>-</v>
      </c>
      <c r="AX383" s="3">
        <f t="shared" si="188"/>
        <v>5</v>
      </c>
      <c r="AY383" s="3">
        <f t="shared" si="189"/>
        <v>26</v>
      </c>
      <c r="AZ383" s="3">
        <f t="shared" si="190"/>
        <v>2</v>
      </c>
      <c r="BA383" s="3">
        <f>IF(ISERROR(LEN(VLOOKUP(A383,Seqs!A:E,2,FALSE))-AL383),"-",LEN(VLOOKUP(A383,Seqs!A:E,2,FALSE))-AL383)</f>
        <v>29</v>
      </c>
      <c r="BB383" s="16">
        <f t="shared" si="191"/>
        <v>49</v>
      </c>
      <c r="BC383" s="9" t="str">
        <f t="shared" si="192"/>
        <v>-</v>
      </c>
      <c r="BD383" s="3">
        <f t="shared" si="193"/>
        <v>49</v>
      </c>
      <c r="BE383" s="3">
        <f t="shared" si="194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LOWER(VLOOKUP(A384,Xtal_Templ!A:B,2,FALSE))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195"/>
        <v>1</v>
      </c>
      <c r="AO384" s="3" t="str">
        <f>IF(ISERROR(MATCH(A384,'SegEnds_Xtal_Prot#'!B:B, 0)), "NoXtal", "Xtal")</f>
        <v>NoXtal</v>
      </c>
      <c r="AP384" s="3" t="str">
        <f t="shared" si="180"/>
        <v>-</v>
      </c>
      <c r="AQ384" s="3" t="str">
        <f t="shared" si="181"/>
        <v>-</v>
      </c>
      <c r="AR384" s="3" t="str">
        <f t="shared" si="182"/>
        <v>-</v>
      </c>
      <c r="AS384" s="3" t="str">
        <f t="shared" si="183"/>
        <v>-</v>
      </c>
      <c r="AT384" s="3" t="str">
        <f t="shared" si="184"/>
        <v>-</v>
      </c>
      <c r="AU384" s="3" t="str">
        <f t="shared" si="185"/>
        <v>-</v>
      </c>
      <c r="AV384" s="3" t="str">
        <f t="shared" si="186"/>
        <v>-</v>
      </c>
      <c r="AW384" s="3" t="str">
        <f t="shared" si="187"/>
        <v>-</v>
      </c>
      <c r="AX384" s="3">
        <f t="shared" si="188"/>
        <v>26</v>
      </c>
      <c r="AY384" s="3">
        <f t="shared" si="189"/>
        <v>31</v>
      </c>
      <c r="AZ384" s="3">
        <f t="shared" si="190"/>
        <v>1</v>
      </c>
      <c r="BA384" s="3">
        <f>IF(ISERROR(LEN(VLOOKUP(A384,Seqs!A:E,2,FALSE))-AL384),"-",LEN(VLOOKUP(A384,Seqs!A:E,2,FALSE))-AL384)</f>
        <v>79</v>
      </c>
      <c r="BB384" s="16">
        <f t="shared" si="191"/>
        <v>36</v>
      </c>
      <c r="BC384" s="9" t="str">
        <f t="shared" si="192"/>
        <v>-</v>
      </c>
      <c r="BD384" s="3">
        <f t="shared" si="193"/>
        <v>36</v>
      </c>
      <c r="BE384" s="3">
        <f t="shared" si="194"/>
        <v>58</v>
      </c>
    </row>
    <row r="385" spans="1:58" s="3" customFormat="1" x14ac:dyDescent="0.2">
      <c r="A385" s="3" t="s">
        <v>486</v>
      </c>
      <c r="B385" s="3" t="str">
        <f>LOWER(VLOOKUP(A385,Xtal_Templ!A:B,2,FALSE))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195"/>
        <v>1</v>
      </c>
      <c r="AO385" s="3" t="str">
        <f>IF(ISERROR(MATCH(A385,'SegEnds_Xtal_Prot#'!B:B, 0)), "NoXtal", "Xtal")</f>
        <v>NoXtal</v>
      </c>
      <c r="AP385" s="3" t="str">
        <f t="shared" si="180"/>
        <v>-</v>
      </c>
      <c r="AQ385" s="3" t="str">
        <f t="shared" si="181"/>
        <v>-</v>
      </c>
      <c r="AR385" s="3" t="str">
        <f t="shared" si="182"/>
        <v>-</v>
      </c>
      <c r="AS385" s="3" t="str">
        <f t="shared" si="183"/>
        <v>-</v>
      </c>
      <c r="AT385" s="3" t="str">
        <f t="shared" si="184"/>
        <v>-</v>
      </c>
      <c r="AU385" s="3" t="str">
        <f t="shared" si="185"/>
        <v>-</v>
      </c>
      <c r="AV385" s="3" t="str">
        <f t="shared" si="186"/>
        <v>-</v>
      </c>
      <c r="AW385" s="3" t="str">
        <f t="shared" si="187"/>
        <v>-</v>
      </c>
      <c r="AX385" s="3">
        <f t="shared" si="188"/>
        <v>35</v>
      </c>
      <c r="AY385" s="3">
        <f t="shared" si="189"/>
        <v>27</v>
      </c>
      <c r="AZ385" s="3">
        <f t="shared" si="190"/>
        <v>4</v>
      </c>
      <c r="BA385" s="3">
        <f>IF(ISERROR(LEN(VLOOKUP(A385,Seqs!A:E,2,FALSE))-AL385),"-",LEN(VLOOKUP(A385,Seqs!A:E,2,FALSE))-AL385)</f>
        <v>34</v>
      </c>
      <c r="BB385" s="16">
        <f t="shared" si="191"/>
        <v>28</v>
      </c>
      <c r="BC385" s="9" t="str">
        <f t="shared" si="192"/>
        <v>-</v>
      </c>
      <c r="BD385" s="3">
        <f t="shared" si="193"/>
        <v>28</v>
      </c>
      <c r="BE385" s="3">
        <f t="shared" si="194"/>
        <v>67</v>
      </c>
    </row>
    <row r="386" spans="1:58" s="3" customFormat="1" x14ac:dyDescent="0.2">
      <c r="A386" s="3" t="s">
        <v>484</v>
      </c>
      <c r="B386" s="3" t="str">
        <f>LOWER(VLOOKUP(A386,Xtal_Templ!A:B,2,FALSE))</f>
        <v>pe2r4_human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195"/>
        <v>1</v>
      </c>
      <c r="AO386" s="3" t="str">
        <f>IF(ISERROR(MATCH(A386,'SegEnds_Xtal_Prot#'!B:B, 0)), "NoXtal", "Xtal")</f>
        <v>NoXtal</v>
      </c>
      <c r="AP386" s="3" t="str">
        <f t="shared" si="180"/>
        <v>-</v>
      </c>
      <c r="AQ386" s="3" t="str">
        <f t="shared" si="181"/>
        <v>-</v>
      </c>
      <c r="AR386" s="3" t="str">
        <f t="shared" si="182"/>
        <v>-</v>
      </c>
      <c r="AS386" s="3" t="str">
        <f t="shared" si="183"/>
        <v>-</v>
      </c>
      <c r="AT386" s="3" t="str">
        <f t="shared" si="184"/>
        <v>-</v>
      </c>
      <c r="AU386" s="3" t="str">
        <f t="shared" si="185"/>
        <v>-</v>
      </c>
      <c r="AV386" s="3" t="str">
        <f t="shared" si="186"/>
        <v>-</v>
      </c>
      <c r="AW386" s="3" t="str">
        <f t="shared" si="187"/>
        <v>-</v>
      </c>
      <c r="AX386" s="3">
        <f t="shared" si="188"/>
        <v>44</v>
      </c>
      <c r="AY386" s="3">
        <f t="shared" si="189"/>
        <v>18</v>
      </c>
      <c r="AZ386" s="3">
        <f t="shared" si="190"/>
        <v>5</v>
      </c>
      <c r="BA386" s="3">
        <f>IF(ISERROR(LEN(VLOOKUP(A386,Seqs!A:E,2,FALSE))-AL386),"-",LEN(VLOOKUP(A386,Seqs!A:E,2,FALSE))-AL386)</f>
        <v>33</v>
      </c>
      <c r="BB386" s="16">
        <f t="shared" si="191"/>
        <v>32</v>
      </c>
      <c r="BC386" s="9" t="str">
        <f t="shared" si="192"/>
        <v>-</v>
      </c>
      <c r="BD386" s="3">
        <f t="shared" si="193"/>
        <v>32</v>
      </c>
      <c r="BE386" s="3">
        <f t="shared" si="194"/>
        <v>76</v>
      </c>
    </row>
    <row r="387" spans="1:58" s="3" customFormat="1" x14ac:dyDescent="0.2">
      <c r="A387" s="3" t="s">
        <v>456</v>
      </c>
      <c r="B387" s="3" t="str">
        <f>LOWER(VLOOKUP(A387,Xtal_Templ!A:B,2,FALSE))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03">F387-1</f>
        <v>36</v>
      </c>
      <c r="F387" s="3">
        <f t="shared" ref="F387:F411" si="204">G387-2</f>
        <v>37</v>
      </c>
      <c r="G387" s="3">
        <v>39</v>
      </c>
      <c r="H387" s="3">
        <f t="shared" ref="H387:I411" si="205">G387+1</f>
        <v>40</v>
      </c>
      <c r="I387" s="3">
        <f t="shared" si="205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06">S387</f>
        <v>115</v>
      </c>
      <c r="S387" s="3">
        <v>115</v>
      </c>
      <c r="T387" s="100">
        <f t="shared" ref="T387:T411" si="207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195"/>
        <v>1</v>
      </c>
      <c r="AO387" s="3" t="str">
        <f>IF(ISERROR(MATCH(A387,'SegEnds_Xtal_Prot#'!B:B, 0)), "NoXtal", "Xtal")</f>
        <v>NoXtal</v>
      </c>
      <c r="AP387" s="3">
        <f t="shared" si="180"/>
        <v>1</v>
      </c>
      <c r="AQ387" s="3">
        <f t="shared" si="181"/>
        <v>1</v>
      </c>
      <c r="AR387" s="3" t="str">
        <f t="shared" si="182"/>
        <v>-</v>
      </c>
      <c r="AS387" s="3" t="str">
        <f t="shared" si="183"/>
        <v>-</v>
      </c>
      <c r="AT387" s="3">
        <f t="shared" si="184"/>
        <v>3</v>
      </c>
      <c r="AU387" s="3">
        <f t="shared" si="185"/>
        <v>1</v>
      </c>
      <c r="AV387" s="3" t="str">
        <f t="shared" si="186"/>
        <v>-</v>
      </c>
      <c r="AW387" s="3" t="str">
        <f t="shared" si="187"/>
        <v>-</v>
      </c>
      <c r="AX387" s="3">
        <f t="shared" si="188"/>
        <v>10</v>
      </c>
      <c r="AY387" s="3">
        <f t="shared" si="189"/>
        <v>6</v>
      </c>
      <c r="AZ387" s="3">
        <f t="shared" si="190"/>
        <v>1</v>
      </c>
      <c r="BA387" s="3">
        <f>IF(ISERROR(LEN(VLOOKUP(A387,Seqs!A:E,2,FALSE))-AL387),"-",LEN(VLOOKUP(A387,Seqs!A:E,2,FALSE))-AL387)</f>
        <v>13</v>
      </c>
      <c r="BB387" s="16">
        <f t="shared" si="191"/>
        <v>30</v>
      </c>
      <c r="BC387" s="9">
        <f t="shared" si="192"/>
        <v>20</v>
      </c>
      <c r="BD387" s="3">
        <f t="shared" si="193"/>
        <v>30</v>
      </c>
      <c r="BE387" s="3">
        <f t="shared" si="194"/>
        <v>53</v>
      </c>
      <c r="BF387" s="3">
        <f t="shared" ref="BF387:BF411" si="208">AH387-AE387</f>
        <v>36</v>
      </c>
    </row>
    <row r="388" spans="1:58" s="3" customFormat="1" x14ac:dyDescent="0.2">
      <c r="A388" s="3" t="s">
        <v>457</v>
      </c>
      <c r="B388" s="3" t="str">
        <f>LOWER(VLOOKUP(A388,Xtal_Templ!A:B,2,FALSE))</f>
        <v>5ht2a_human</v>
      </c>
      <c r="C388" s="3">
        <f>VLOOKUP($A388,'SegEnds_NonXtal_BW#'!$A:$Z,3,FALSE)+D388-50</f>
        <v>6</v>
      </c>
      <c r="D388" s="3">
        <v>24</v>
      </c>
      <c r="E388" s="3">
        <f t="shared" si="203"/>
        <v>36</v>
      </c>
      <c r="F388" s="3">
        <f t="shared" si="204"/>
        <v>37</v>
      </c>
      <c r="G388" s="3">
        <v>39</v>
      </c>
      <c r="H388" s="3">
        <f t="shared" si="205"/>
        <v>40</v>
      </c>
      <c r="I388" s="3">
        <f t="shared" si="205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06"/>
        <v>116</v>
      </c>
      <c r="S388" s="3">
        <v>116</v>
      </c>
      <c r="T388" s="100">
        <f t="shared" si="207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153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195"/>
        <v>1</v>
      </c>
      <c r="AO388" s="3" t="str">
        <f>IF(ISERROR(MATCH(A388,'SegEnds_Xtal_Prot#'!B:B, 0)), "NoXtal", "Xtal")</f>
        <v>NoXtal</v>
      </c>
      <c r="AP388" s="3">
        <f t="shared" si="180"/>
        <v>1</v>
      </c>
      <c r="AQ388" s="3">
        <f t="shared" si="181"/>
        <v>1</v>
      </c>
      <c r="AR388" s="3" t="str">
        <f t="shared" si="182"/>
        <v>-</v>
      </c>
      <c r="AS388" s="3" t="str">
        <f t="shared" si="183"/>
        <v>-</v>
      </c>
      <c r="AT388" s="3">
        <f t="shared" si="184"/>
        <v>3</v>
      </c>
      <c r="AU388" s="3">
        <f t="shared" si="185"/>
        <v>1</v>
      </c>
      <c r="AV388" s="3" t="str">
        <f t="shared" si="186"/>
        <v>-</v>
      </c>
      <c r="AW388" s="3" t="str">
        <f t="shared" si="187"/>
        <v>-</v>
      </c>
      <c r="AX388" s="3">
        <f t="shared" si="188"/>
        <v>10</v>
      </c>
      <c r="AY388" s="3">
        <f t="shared" si="189"/>
        <v>5</v>
      </c>
      <c r="AZ388" s="3">
        <f t="shared" si="190"/>
        <v>1</v>
      </c>
      <c r="BA388" s="3">
        <f>IF(ISERROR(LEN(VLOOKUP(A388,Seqs!A:E,2,FALSE))-AL388),"-",LEN(VLOOKUP(A388,Seqs!A:E,2,FALSE))-AL388)</f>
        <v>5</v>
      </c>
      <c r="BB388" s="16">
        <f t="shared" si="191"/>
        <v>31</v>
      </c>
      <c r="BC388" s="9">
        <f t="shared" si="192"/>
        <v>20</v>
      </c>
      <c r="BD388" s="3">
        <f t="shared" si="193"/>
        <v>31</v>
      </c>
      <c r="BE388" s="3">
        <f t="shared" si="194"/>
        <v>53</v>
      </c>
      <c r="BF388" s="3">
        <f t="shared" si="208"/>
        <v>35</v>
      </c>
    </row>
    <row r="389" spans="1:58" s="3" customFormat="1" x14ac:dyDescent="0.2">
      <c r="A389" s="3" t="s">
        <v>458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03"/>
        <v>36</v>
      </c>
      <c r="F389" s="3">
        <f t="shared" si="204"/>
        <v>37</v>
      </c>
      <c r="G389" s="3">
        <v>39</v>
      </c>
      <c r="H389" s="3">
        <f t="shared" si="205"/>
        <v>40</v>
      </c>
      <c r="I389" s="3">
        <f t="shared" si="205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06"/>
        <v>116</v>
      </c>
      <c r="S389" s="3">
        <v>116</v>
      </c>
      <c r="T389" s="100">
        <f t="shared" si="207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195"/>
        <v>1</v>
      </c>
      <c r="AO389" s="3" t="str">
        <f>IF(ISERROR(MATCH(A389,'SegEnds_Xtal_Prot#'!B:B, 0)), "NoXtal", "Xtal")</f>
        <v>NoXtal</v>
      </c>
      <c r="AP389" s="3">
        <f t="shared" si="180"/>
        <v>1</v>
      </c>
      <c r="AQ389" s="3">
        <f t="shared" si="181"/>
        <v>1</v>
      </c>
      <c r="AR389" s="3" t="str">
        <f t="shared" si="182"/>
        <v>-</v>
      </c>
      <c r="AS389" s="3" t="str">
        <f t="shared" si="183"/>
        <v>-</v>
      </c>
      <c r="AT389" s="3">
        <f t="shared" si="184"/>
        <v>3</v>
      </c>
      <c r="AU389" s="3">
        <f t="shared" si="185"/>
        <v>1</v>
      </c>
      <c r="AV389" s="3" t="str">
        <f t="shared" si="186"/>
        <v>-</v>
      </c>
      <c r="AW389" s="3" t="str">
        <f t="shared" si="187"/>
        <v>-</v>
      </c>
      <c r="AX389" s="3">
        <f t="shared" si="188"/>
        <v>9</v>
      </c>
      <c r="AY389" s="3">
        <f t="shared" si="189"/>
        <v>5</v>
      </c>
      <c r="AZ389" s="3">
        <f t="shared" si="190"/>
        <v>1</v>
      </c>
      <c r="BA389" s="3">
        <f>IF(ISERROR(LEN(VLOOKUP(A389,Seqs!A:E,2,FALSE))-AL389),"-",LEN(VLOOKUP(A389,Seqs!A:E,2,FALSE))-AL389)</f>
        <v>20</v>
      </c>
      <c r="BB389" s="16">
        <f t="shared" si="191"/>
        <v>31</v>
      </c>
      <c r="BC389" s="9">
        <f t="shared" si="192"/>
        <v>20</v>
      </c>
      <c r="BD389" s="3">
        <f t="shared" si="193"/>
        <v>31</v>
      </c>
      <c r="BE389" s="3">
        <f t="shared" si="194"/>
        <v>52</v>
      </c>
      <c r="BF389" s="3">
        <f t="shared" si="208"/>
        <v>35</v>
      </c>
    </row>
    <row r="390" spans="1:58" s="3" customFormat="1" x14ac:dyDescent="0.2">
      <c r="A390" s="3" t="s">
        <v>459</v>
      </c>
      <c r="B390" s="3" t="str">
        <f>LOWER(VLOOKUP(A390,Xtal_Templ!A:B,2,FALSE))</f>
        <v>pd2r2_human</v>
      </c>
      <c r="C390" s="3">
        <f>VLOOKUP($A390,'SegEnds_NonXtal_BW#'!$A:$Z,3,FALSE)+D390-50</f>
        <v>7</v>
      </c>
      <c r="D390" s="3">
        <v>25</v>
      </c>
      <c r="E390" s="3">
        <f t="shared" si="203"/>
        <v>37</v>
      </c>
      <c r="F390" s="3">
        <f t="shared" si="204"/>
        <v>38</v>
      </c>
      <c r="G390" s="3">
        <v>40</v>
      </c>
      <c r="H390" s="3">
        <f t="shared" si="205"/>
        <v>41</v>
      </c>
      <c r="I390" s="3">
        <f t="shared" si="205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06"/>
        <v>112</v>
      </c>
      <c r="S390" s="3">
        <v>112</v>
      </c>
      <c r="T390" s="100">
        <f t="shared" si="207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195"/>
        <v>1</v>
      </c>
      <c r="AO390" s="3" t="str">
        <f>IF(ISERROR(MATCH(A390,'SegEnds_Xtal_Prot#'!B:B, 0)), "NoXtal", "Xtal")</f>
        <v>NoXtal</v>
      </c>
      <c r="AP390" s="3">
        <f t="shared" ref="AP390:AP411" si="209">IF(ISERROR(F390-E390),"-",F390-E390)</f>
        <v>1</v>
      </c>
      <c r="AQ390" s="3">
        <f t="shared" ref="AQ390:AQ411" si="210">IF(ISERROR(I390-H390),"-",I390-H390)</f>
        <v>1</v>
      </c>
      <c r="AR390" s="3" t="str">
        <f t="shared" ref="AR390:AR411" si="211">IF(ISERROR(L390-K390),"-",L390-K390)</f>
        <v>-</v>
      </c>
      <c r="AS390" s="3" t="str">
        <f t="shared" ref="AS390:AS411" si="212">IF(ISERROR(O390-N390),"-",O390-N390)</f>
        <v>-</v>
      </c>
      <c r="AT390" s="3">
        <f t="shared" ref="AT390:AT411" si="213">IF(ISERROR(R390-Q390),"-",R390-Q390)</f>
        <v>3</v>
      </c>
      <c r="AU390" s="3">
        <f t="shared" ref="AU390:AU411" si="214">IF(ISERROR(U390-T390),"-",U390-T390)</f>
        <v>1</v>
      </c>
      <c r="AV390" s="3" t="str">
        <f t="shared" ref="AV390:AV411" si="215">IF(ISERROR(X390-W390),"-",X390-W390)</f>
        <v>-</v>
      </c>
      <c r="AW390" s="3" t="str">
        <f t="shared" ref="AW390:AW411" si="216">IF(ISERROR(AA390-Z390),"-",AA390-Z390)</f>
        <v>-</v>
      </c>
      <c r="AX390" s="3">
        <f t="shared" ref="AX390:AX411" si="217">IF(ISERROR(AD390-AC390),"-",AD390-AC390)</f>
        <v>7</v>
      </c>
      <c r="AY390" s="3">
        <f t="shared" ref="AY390:AY411" si="218">IF(ISERROR(AG390-AF390),"-",AG390-AF390)</f>
        <v>5</v>
      </c>
      <c r="AZ390" s="3">
        <f t="shared" ref="AZ390:AZ411" si="219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20">J390-D390</f>
        <v>31</v>
      </c>
      <c r="BC390" s="9">
        <f t="shared" ref="BC390:BC411" si="221">IF(ISERROR(V390-S390),"-",V390-S390)</f>
        <v>20</v>
      </c>
      <c r="BD390" s="3">
        <f t="shared" ref="BD390:BD411" si="222">J390-D390</f>
        <v>31</v>
      </c>
      <c r="BE390" s="3">
        <f t="shared" ref="BE390:BE411" si="223">AE390-AB390</f>
        <v>50</v>
      </c>
      <c r="BF390" s="3">
        <f t="shared" si="208"/>
        <v>35</v>
      </c>
    </row>
    <row r="391" spans="1:58" s="3" customFormat="1" x14ac:dyDescent="0.2">
      <c r="A391" s="3" t="s">
        <v>460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03"/>
        <v>36</v>
      </c>
      <c r="F391" s="3">
        <f t="shared" si="204"/>
        <v>37</v>
      </c>
      <c r="G391" s="3">
        <v>39</v>
      </c>
      <c r="H391" s="3">
        <f t="shared" si="205"/>
        <v>40</v>
      </c>
      <c r="I391" s="3">
        <f t="shared" si="20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06"/>
        <v>115</v>
      </c>
      <c r="S391" s="3">
        <v>115</v>
      </c>
      <c r="T391" s="100">
        <f t="shared" si="20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24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09"/>
        <v>1</v>
      </c>
      <c r="AQ391" s="3">
        <f t="shared" si="210"/>
        <v>1</v>
      </c>
      <c r="AR391" s="3" t="str">
        <f t="shared" si="211"/>
        <v>-</v>
      </c>
      <c r="AS391" s="3" t="str">
        <f t="shared" si="212"/>
        <v>-</v>
      </c>
      <c r="AT391" s="3">
        <f t="shared" si="213"/>
        <v>3</v>
      </c>
      <c r="AU391" s="3">
        <f t="shared" si="214"/>
        <v>1</v>
      </c>
      <c r="AV391" s="3" t="str">
        <f t="shared" si="215"/>
        <v>-</v>
      </c>
      <c r="AW391" s="3" t="str">
        <f t="shared" si="216"/>
        <v>-</v>
      </c>
      <c r="AX391" s="3">
        <f t="shared" si="217"/>
        <v>10</v>
      </c>
      <c r="AY391" s="3">
        <f t="shared" si="218"/>
        <v>6</v>
      </c>
      <c r="AZ391" s="3">
        <f t="shared" si="219"/>
        <v>1</v>
      </c>
      <c r="BA391" s="3">
        <f>IF(ISERROR(LEN(VLOOKUP(A391,Seqs!A:E,2,FALSE))-AL391),"-",LEN(VLOOKUP(A391,Seqs!A:E,2,FALSE))-AL391)</f>
        <v>3</v>
      </c>
      <c r="BB391" s="16">
        <f t="shared" si="220"/>
        <v>31</v>
      </c>
      <c r="BC391" s="9">
        <f t="shared" si="221"/>
        <v>20</v>
      </c>
      <c r="BD391" s="3">
        <f t="shared" si="222"/>
        <v>31</v>
      </c>
      <c r="BE391" s="3">
        <f t="shared" si="223"/>
        <v>53</v>
      </c>
      <c r="BF391" s="3">
        <f t="shared" si="208"/>
        <v>36</v>
      </c>
    </row>
    <row r="392" spans="1:58" s="3" customFormat="1" x14ac:dyDescent="0.2">
      <c r="A392" s="3" t="s">
        <v>461</v>
      </c>
      <c r="B392" s="3" t="str">
        <f>LOWER(VLOOKUP(A392,Xtal_Templ!A:B,2,FALSE))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03"/>
        <v>36</v>
      </c>
      <c r="F392" s="3">
        <f t="shared" si="204"/>
        <v>37</v>
      </c>
      <c r="G392" s="3">
        <v>39</v>
      </c>
      <c r="H392" s="3">
        <f t="shared" si="205"/>
        <v>40</v>
      </c>
      <c r="I392" s="3">
        <f t="shared" si="20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06"/>
        <v>115</v>
      </c>
      <c r="S392" s="3">
        <v>115</v>
      </c>
      <c r="T392" s="100">
        <f t="shared" si="20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24"/>
        <v>1</v>
      </c>
      <c r="AO392" s="3" t="str">
        <f>IF(ISERROR(MATCH(A392,'SegEnds_Xtal_Prot#'!B:B, 0)), "NoXtal", "Xtal")</f>
        <v>NoXtal</v>
      </c>
      <c r="AP392" s="3">
        <f t="shared" si="209"/>
        <v>1</v>
      </c>
      <c r="AQ392" s="3">
        <f t="shared" si="210"/>
        <v>1</v>
      </c>
      <c r="AR392" s="3" t="str">
        <f t="shared" si="211"/>
        <v>-</v>
      </c>
      <c r="AS392" s="3" t="str">
        <f t="shared" si="212"/>
        <v>-</v>
      </c>
      <c r="AT392" s="3">
        <f t="shared" si="213"/>
        <v>3</v>
      </c>
      <c r="AU392" s="3">
        <f t="shared" si="214"/>
        <v>1</v>
      </c>
      <c r="AV392" s="3" t="str">
        <f t="shared" si="215"/>
        <v>-</v>
      </c>
      <c r="AW392" s="3" t="str">
        <f t="shared" si="216"/>
        <v>-</v>
      </c>
      <c r="AX392" s="3">
        <f t="shared" si="217"/>
        <v>10</v>
      </c>
      <c r="AY392" s="3">
        <f t="shared" si="218"/>
        <v>6</v>
      </c>
      <c r="AZ392" s="3">
        <f t="shared" si="219"/>
        <v>1</v>
      </c>
      <c r="BA392" s="3">
        <f>IF(ISERROR(LEN(VLOOKUP(A392,Seqs!A:E,2,FALSE))-AL392),"-",LEN(VLOOKUP(A392,Seqs!A:E,2,FALSE))-AL392)</f>
        <v>13</v>
      </c>
      <c r="BB392" s="16">
        <f t="shared" si="220"/>
        <v>31</v>
      </c>
      <c r="BC392" s="9">
        <f t="shared" si="221"/>
        <v>20</v>
      </c>
      <c r="BD392" s="3">
        <f t="shared" si="222"/>
        <v>31</v>
      </c>
      <c r="BE392" s="3">
        <f t="shared" si="223"/>
        <v>53</v>
      </c>
      <c r="BF392" s="3">
        <f t="shared" si="208"/>
        <v>36</v>
      </c>
    </row>
    <row r="393" spans="1:58" s="3" customFormat="1" x14ac:dyDescent="0.2">
      <c r="A393" s="3" t="s">
        <v>462</v>
      </c>
      <c r="B393" s="3" t="str">
        <f>LOWER(VLOOKUP(A393,Xtal_Templ!A:B,2,FALSE))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03"/>
        <v>36</v>
      </c>
      <c r="F393" s="3">
        <f t="shared" si="204"/>
        <v>37</v>
      </c>
      <c r="G393" s="3">
        <v>39</v>
      </c>
      <c r="H393" s="3">
        <f t="shared" si="205"/>
        <v>40</v>
      </c>
      <c r="I393" s="3">
        <f t="shared" si="205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06"/>
        <v>115</v>
      </c>
      <c r="S393" s="3">
        <v>115</v>
      </c>
      <c r="T393" s="100">
        <f t="shared" si="207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24"/>
        <v>1</v>
      </c>
      <c r="AO393" s="3" t="str">
        <f>IF(ISERROR(MATCH(A393,'SegEnds_Xtal_Prot#'!B:B, 0)), "NoXtal", "Xtal")</f>
        <v>NoXtal</v>
      </c>
      <c r="AP393" s="3">
        <f t="shared" si="209"/>
        <v>1</v>
      </c>
      <c r="AQ393" s="3">
        <f t="shared" si="210"/>
        <v>1</v>
      </c>
      <c r="AR393" s="3" t="str">
        <f t="shared" si="211"/>
        <v>-</v>
      </c>
      <c r="AS393" s="3" t="str">
        <f t="shared" si="212"/>
        <v>-</v>
      </c>
      <c r="AT393" s="3">
        <f t="shared" si="213"/>
        <v>3</v>
      </c>
      <c r="AU393" s="3">
        <f t="shared" si="214"/>
        <v>1</v>
      </c>
      <c r="AV393" s="3" t="str">
        <f t="shared" si="215"/>
        <v>-</v>
      </c>
      <c r="AW393" s="3" t="str">
        <f t="shared" si="216"/>
        <v>-</v>
      </c>
      <c r="AX393" s="3">
        <f t="shared" si="217"/>
        <v>10</v>
      </c>
      <c r="AY393" s="3">
        <f t="shared" si="218"/>
        <v>6</v>
      </c>
      <c r="AZ393" s="3">
        <f t="shared" si="219"/>
        <v>1</v>
      </c>
      <c r="BA393" s="3">
        <f>IF(ISERROR(LEN(VLOOKUP(A393,Seqs!A:E,2,FALSE))-AL393),"-",LEN(VLOOKUP(A393,Seqs!A:E,2,FALSE))-AL393)</f>
        <v>23</v>
      </c>
      <c r="BB393" s="16">
        <f t="shared" si="220"/>
        <v>31</v>
      </c>
      <c r="BC393" s="9">
        <f t="shared" si="221"/>
        <v>20</v>
      </c>
      <c r="BD393" s="3">
        <f t="shared" si="222"/>
        <v>31</v>
      </c>
      <c r="BE393" s="3">
        <f t="shared" si="223"/>
        <v>53</v>
      </c>
      <c r="BF393" s="3">
        <f t="shared" si="208"/>
        <v>36</v>
      </c>
    </row>
    <row r="394" spans="1:58" s="3" customFormat="1" x14ac:dyDescent="0.2">
      <c r="A394" s="3" t="s">
        <v>463</v>
      </c>
      <c r="B394" s="3" t="str">
        <f>LOWER(VLOOKUP(A394,Xtal_Templ!A:B,2,FALSE))</f>
        <v>drd2_human</v>
      </c>
      <c r="C394" s="3">
        <f>VLOOKUP($A394,'SegEnds_NonXtal_BW#'!$A:$Z,3,FALSE)+D394-50</f>
        <v>6</v>
      </c>
      <c r="D394" s="3">
        <v>24</v>
      </c>
      <c r="E394" s="3">
        <f t="shared" si="203"/>
        <v>36</v>
      </c>
      <c r="F394" s="3">
        <f t="shared" si="204"/>
        <v>37</v>
      </c>
      <c r="G394" s="3">
        <v>39</v>
      </c>
      <c r="H394" s="3">
        <f t="shared" si="205"/>
        <v>40</v>
      </c>
      <c r="I394" s="3">
        <f t="shared" si="205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06"/>
        <v>115</v>
      </c>
      <c r="S394" s="3">
        <v>115</v>
      </c>
      <c r="T394" s="100">
        <f t="shared" si="207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147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24"/>
        <v>1</v>
      </c>
      <c r="AO394" s="3" t="str">
        <f>IF(ISERROR(MATCH(A394,'SegEnds_Xtal_Prot#'!B:B, 0)), "NoXtal", "Xtal")</f>
        <v>NoXtal</v>
      </c>
      <c r="AP394" s="3">
        <f t="shared" si="209"/>
        <v>1</v>
      </c>
      <c r="AQ394" s="3">
        <f t="shared" si="210"/>
        <v>1</v>
      </c>
      <c r="AR394" s="3" t="str">
        <f t="shared" si="211"/>
        <v>-</v>
      </c>
      <c r="AS394" s="3" t="str">
        <f t="shared" si="212"/>
        <v>-</v>
      </c>
      <c r="AT394" s="3">
        <f t="shared" si="213"/>
        <v>3</v>
      </c>
      <c r="AU394" s="3">
        <f t="shared" si="214"/>
        <v>1</v>
      </c>
      <c r="AV394" s="3" t="str">
        <f t="shared" si="215"/>
        <v>-</v>
      </c>
      <c r="AW394" s="3" t="str">
        <f t="shared" si="216"/>
        <v>-</v>
      </c>
      <c r="AX394" s="3">
        <f t="shared" si="217"/>
        <v>10</v>
      </c>
      <c r="AY394" s="3">
        <f t="shared" si="218"/>
        <v>6</v>
      </c>
      <c r="AZ394" s="3">
        <f t="shared" si="219"/>
        <v>1</v>
      </c>
      <c r="BA394" s="3">
        <f>IF(ISERROR(LEN(VLOOKUP(A394,Seqs!A:E,2,FALSE))-AL394),"-",LEN(VLOOKUP(A394,Seqs!A:E,2,FALSE))-AL394)</f>
        <v>13</v>
      </c>
      <c r="BB394" s="16">
        <f t="shared" si="220"/>
        <v>31</v>
      </c>
      <c r="BC394" s="9">
        <f t="shared" si="221"/>
        <v>20</v>
      </c>
      <c r="BD394" s="3">
        <f t="shared" si="222"/>
        <v>31</v>
      </c>
      <c r="BE394" s="3">
        <f t="shared" si="223"/>
        <v>53</v>
      </c>
      <c r="BF394" s="3">
        <f t="shared" si="208"/>
        <v>36</v>
      </c>
    </row>
    <row r="395" spans="1:58" s="3" customFormat="1" x14ac:dyDescent="0.2">
      <c r="A395" s="3" t="s">
        <v>464</v>
      </c>
      <c r="B395" s="3" t="str">
        <f>LOWER(VLOOKUP(A395,Xtal_Templ!A:B,2,FALSE))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03"/>
        <v>45</v>
      </c>
      <c r="F395" s="3">
        <f t="shared" si="204"/>
        <v>46</v>
      </c>
      <c r="G395" s="3">
        <v>48</v>
      </c>
      <c r="H395" s="3">
        <f t="shared" si="205"/>
        <v>49</v>
      </c>
      <c r="I395" s="3">
        <f t="shared" si="205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06"/>
        <v>126</v>
      </c>
      <c r="S395" s="3">
        <v>126</v>
      </c>
      <c r="T395" s="100">
        <f t="shared" si="207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24"/>
        <v>1</v>
      </c>
      <c r="AO395" s="3" t="str">
        <f>IF(ISERROR(MATCH(A395,'SegEnds_Xtal_Prot#'!B:B, 0)), "NoXtal", "Xtal")</f>
        <v>NoXtal</v>
      </c>
      <c r="AP395" s="3">
        <f t="shared" si="209"/>
        <v>1</v>
      </c>
      <c r="AQ395" s="3">
        <f t="shared" si="210"/>
        <v>1</v>
      </c>
      <c r="AR395" s="3" t="str">
        <f t="shared" si="211"/>
        <v>-</v>
      </c>
      <c r="AS395" s="3" t="str">
        <f t="shared" si="212"/>
        <v>-</v>
      </c>
      <c r="AT395" s="3">
        <f t="shared" si="213"/>
        <v>3</v>
      </c>
      <c r="AU395" s="3">
        <f t="shared" si="214"/>
        <v>1</v>
      </c>
      <c r="AV395" s="3" t="str">
        <f t="shared" si="215"/>
        <v>-</v>
      </c>
      <c r="AW395" s="3" t="str">
        <f t="shared" si="216"/>
        <v>-</v>
      </c>
      <c r="AX395" s="3">
        <f t="shared" si="217"/>
        <v>10</v>
      </c>
      <c r="AY395" s="3">
        <f t="shared" si="218"/>
        <v>6</v>
      </c>
      <c r="AZ395" s="3">
        <f t="shared" si="219"/>
        <v>1</v>
      </c>
      <c r="BA395" s="3">
        <f>IF(ISERROR(LEN(VLOOKUP(A395,Seqs!A:E,2,FALSE))-AL395),"-",LEN(VLOOKUP(A395,Seqs!A:E,2,FALSE))-AL395)</f>
        <v>19</v>
      </c>
      <c r="BB395" s="16">
        <f t="shared" si="220"/>
        <v>31</v>
      </c>
      <c r="BC395" s="9">
        <f t="shared" si="221"/>
        <v>20</v>
      </c>
      <c r="BD395" s="3">
        <f t="shared" si="222"/>
        <v>31</v>
      </c>
      <c r="BE395" s="3">
        <f t="shared" si="223"/>
        <v>53</v>
      </c>
      <c r="BF395" s="3">
        <f t="shared" si="208"/>
        <v>36</v>
      </c>
    </row>
    <row r="396" spans="1:58" s="3" customFormat="1" x14ac:dyDescent="0.2">
      <c r="A396" s="3" t="s">
        <v>465</v>
      </c>
      <c r="B396" s="3" t="str">
        <f>LOWER(VLOOKUP(A396,Xtal_Templ!A:B,2,FALSE))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03"/>
        <v>64</v>
      </c>
      <c r="F396" s="3">
        <f t="shared" si="204"/>
        <v>65</v>
      </c>
      <c r="G396" s="3">
        <v>67</v>
      </c>
      <c r="H396" s="3">
        <f t="shared" si="205"/>
        <v>68</v>
      </c>
      <c r="I396" s="3">
        <f t="shared" si="205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06"/>
        <v>144</v>
      </c>
      <c r="S396" s="3">
        <v>144</v>
      </c>
      <c r="T396" s="100">
        <f t="shared" si="207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24"/>
        <v>1</v>
      </c>
      <c r="AO396" s="3" t="str">
        <f>IF(ISERROR(MATCH(A396,'SegEnds_Xtal_Prot#'!B:B, 0)), "NoXtal", "Xtal")</f>
        <v>NoXtal</v>
      </c>
      <c r="AP396" s="3">
        <f t="shared" si="209"/>
        <v>1</v>
      </c>
      <c r="AQ396" s="3">
        <f t="shared" si="210"/>
        <v>1</v>
      </c>
      <c r="AR396" s="3" t="str">
        <f t="shared" si="211"/>
        <v>-</v>
      </c>
      <c r="AS396" s="3" t="str">
        <f t="shared" si="212"/>
        <v>-</v>
      </c>
      <c r="AT396" s="3">
        <f t="shared" si="213"/>
        <v>3</v>
      </c>
      <c r="AU396" s="3">
        <f t="shared" si="214"/>
        <v>1</v>
      </c>
      <c r="AV396" s="3" t="str">
        <f t="shared" si="215"/>
        <v>-</v>
      </c>
      <c r="AW396" s="3" t="str">
        <f t="shared" si="216"/>
        <v>-</v>
      </c>
      <c r="AX396" s="3">
        <f t="shared" si="217"/>
        <v>10</v>
      </c>
      <c r="AY396" s="3">
        <f t="shared" si="218"/>
        <v>5</v>
      </c>
      <c r="AZ396" s="3">
        <f t="shared" si="219"/>
        <v>1</v>
      </c>
      <c r="BA396" s="3">
        <f>IF(ISERROR(LEN(VLOOKUP(A396,Seqs!A:E,2,FALSE))-AL396),"-",LEN(VLOOKUP(A396,Seqs!A:E,2,FALSE))-AL396)</f>
        <v>10</v>
      </c>
      <c r="BB396" s="16">
        <f t="shared" si="220"/>
        <v>31</v>
      </c>
      <c r="BC396" s="9">
        <f t="shared" si="221"/>
        <v>20</v>
      </c>
      <c r="BD396" s="3">
        <f t="shared" si="222"/>
        <v>31</v>
      </c>
      <c r="BE396" s="3">
        <f t="shared" si="223"/>
        <v>53</v>
      </c>
      <c r="BF396" s="3">
        <f t="shared" si="208"/>
        <v>35</v>
      </c>
    </row>
    <row r="397" spans="1:58" s="3" customFormat="1" x14ac:dyDescent="0.2">
      <c r="A397" s="3" t="s">
        <v>466</v>
      </c>
      <c r="B397" s="3" t="str">
        <f>LOWER(VLOOKUP(A397,Xtal_Templ!A:B,2,FALSE))</f>
        <v>5ht2a_human</v>
      </c>
      <c r="C397" s="3">
        <f>VLOOKUP($A397,'SegEnds_NonXtal_BW#'!$A:$Z,3,FALSE)+D397-50</f>
        <v>18</v>
      </c>
      <c r="D397" s="3">
        <v>36</v>
      </c>
      <c r="E397" s="3">
        <f t="shared" si="203"/>
        <v>48</v>
      </c>
      <c r="F397" s="3">
        <f t="shared" si="204"/>
        <v>49</v>
      </c>
      <c r="G397" s="3">
        <v>51</v>
      </c>
      <c r="H397" s="3">
        <f t="shared" si="205"/>
        <v>52</v>
      </c>
      <c r="I397" s="3">
        <f t="shared" si="205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06"/>
        <v>128</v>
      </c>
      <c r="S397" s="3">
        <v>128</v>
      </c>
      <c r="T397" s="100">
        <f t="shared" si="207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165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24"/>
        <v>1</v>
      </c>
      <c r="AO397" s="3" t="str">
        <f>IF(ISERROR(MATCH(A397,'SegEnds_Xtal_Prot#'!B:B, 0)), "NoXtal", "Xtal")</f>
        <v>NoXtal</v>
      </c>
      <c r="AP397" s="3">
        <f t="shared" si="209"/>
        <v>1</v>
      </c>
      <c r="AQ397" s="3">
        <f t="shared" si="210"/>
        <v>1</v>
      </c>
      <c r="AR397" s="3" t="str">
        <f t="shared" si="211"/>
        <v>-</v>
      </c>
      <c r="AS397" s="3" t="str">
        <f t="shared" si="212"/>
        <v>-</v>
      </c>
      <c r="AT397" s="3">
        <f t="shared" si="213"/>
        <v>3</v>
      </c>
      <c r="AU397" s="3">
        <f t="shared" si="214"/>
        <v>1</v>
      </c>
      <c r="AV397" s="3" t="str">
        <f t="shared" si="215"/>
        <v>-</v>
      </c>
      <c r="AW397" s="3" t="str">
        <f t="shared" si="216"/>
        <v>-</v>
      </c>
      <c r="AX397" s="3">
        <f t="shared" si="217"/>
        <v>10</v>
      </c>
      <c r="AY397" s="3">
        <f t="shared" si="218"/>
        <v>5</v>
      </c>
      <c r="AZ397" s="3">
        <f t="shared" si="219"/>
        <v>1</v>
      </c>
      <c r="BA397" s="3">
        <f>IF(ISERROR(LEN(VLOOKUP(A397,Seqs!A:E,2,FALSE))-AL397),"-",LEN(VLOOKUP(A397,Seqs!A:E,2,FALSE))-AL397)</f>
        <v>10</v>
      </c>
      <c r="BB397" s="16">
        <f t="shared" si="220"/>
        <v>31</v>
      </c>
      <c r="BC397" s="9">
        <f t="shared" si="221"/>
        <v>20</v>
      </c>
      <c r="BD397" s="3">
        <f t="shared" si="222"/>
        <v>31</v>
      </c>
      <c r="BE397" s="3">
        <f t="shared" si="223"/>
        <v>53</v>
      </c>
      <c r="BF397" s="3">
        <f t="shared" si="208"/>
        <v>35</v>
      </c>
    </row>
    <row r="398" spans="1:58" s="3" customFormat="1" x14ac:dyDescent="0.2">
      <c r="A398" s="3" t="s">
        <v>467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03"/>
        <v>36</v>
      </c>
      <c r="F398" s="3">
        <f t="shared" si="204"/>
        <v>37</v>
      </c>
      <c r="G398" s="3">
        <v>39</v>
      </c>
      <c r="H398" s="3">
        <f t="shared" si="205"/>
        <v>40</v>
      </c>
      <c r="I398" s="3">
        <f t="shared" si="205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06"/>
        <v>116</v>
      </c>
      <c r="S398" s="3">
        <v>116</v>
      </c>
      <c r="T398" s="100">
        <f t="shared" si="207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24"/>
        <v>1</v>
      </c>
      <c r="AO398" s="3" t="str">
        <f>IF(ISERROR(MATCH(A398,'SegEnds_Xtal_Prot#'!B:B, 0)), "NoXtal", "Xtal")</f>
        <v>NoXtal</v>
      </c>
      <c r="AP398" s="3">
        <f t="shared" si="209"/>
        <v>1</v>
      </c>
      <c r="AQ398" s="3">
        <f t="shared" si="210"/>
        <v>1</v>
      </c>
      <c r="AR398" s="3" t="str">
        <f t="shared" si="211"/>
        <v>-</v>
      </c>
      <c r="AS398" s="3" t="str">
        <f t="shared" si="212"/>
        <v>-</v>
      </c>
      <c r="AT398" s="3">
        <f t="shared" si="213"/>
        <v>3</v>
      </c>
      <c r="AU398" s="3">
        <f t="shared" si="214"/>
        <v>1</v>
      </c>
      <c r="AV398" s="3" t="str">
        <f t="shared" si="215"/>
        <v>-</v>
      </c>
      <c r="AW398" s="3" t="str">
        <f t="shared" si="216"/>
        <v>-</v>
      </c>
      <c r="AX398" s="3">
        <f t="shared" si="217"/>
        <v>10</v>
      </c>
      <c r="AY398" s="3">
        <f t="shared" si="218"/>
        <v>5</v>
      </c>
      <c r="AZ398" s="3">
        <f t="shared" si="219"/>
        <v>1</v>
      </c>
      <c r="BA398" s="3">
        <f>IF(ISERROR(LEN(VLOOKUP(A398,Seqs!A:E,2,FALSE))-AL398),"-",LEN(VLOOKUP(A398,Seqs!A:E,2,FALSE))-AL398)</f>
        <v>7</v>
      </c>
      <c r="BB398" s="16">
        <f t="shared" si="220"/>
        <v>31</v>
      </c>
      <c r="BC398" s="9">
        <f t="shared" si="221"/>
        <v>20</v>
      </c>
      <c r="BD398" s="3">
        <f t="shared" si="222"/>
        <v>31</v>
      </c>
      <c r="BE398" s="3">
        <f t="shared" si="223"/>
        <v>53</v>
      </c>
      <c r="BF398" s="3">
        <f t="shared" si="208"/>
        <v>35</v>
      </c>
    </row>
    <row r="399" spans="1:58" s="3" customFormat="1" x14ac:dyDescent="0.2">
      <c r="A399" s="3" t="s">
        <v>468</v>
      </c>
      <c r="B399" s="3" t="str">
        <f>LOWER(VLOOKUP(A399,Xtal_Templ!A:B,2,FALSE))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03"/>
        <v>36</v>
      </c>
      <c r="F399" s="3">
        <f t="shared" si="204"/>
        <v>37</v>
      </c>
      <c r="G399" s="3">
        <v>39</v>
      </c>
      <c r="H399" s="3">
        <f t="shared" si="205"/>
        <v>40</v>
      </c>
      <c r="I399" s="3">
        <f t="shared" si="205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06"/>
        <v>116</v>
      </c>
      <c r="S399" s="3">
        <v>116</v>
      </c>
      <c r="T399" s="100">
        <f t="shared" si="207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24"/>
        <v>1</v>
      </c>
      <c r="AO399" s="3" t="str">
        <f>IF(ISERROR(MATCH(A399,'SegEnds_Xtal_Prot#'!B:B, 0)), "NoXtal", "Xtal")</f>
        <v>NoXtal</v>
      </c>
      <c r="AP399" s="3">
        <f t="shared" si="209"/>
        <v>1</v>
      </c>
      <c r="AQ399" s="3">
        <f t="shared" si="210"/>
        <v>1</v>
      </c>
      <c r="AR399" s="3" t="str">
        <f t="shared" si="211"/>
        <v>-</v>
      </c>
      <c r="AS399" s="3" t="str">
        <f t="shared" si="212"/>
        <v>-</v>
      </c>
      <c r="AT399" s="3">
        <f t="shared" si="213"/>
        <v>3</v>
      </c>
      <c r="AU399" s="3">
        <f t="shared" si="214"/>
        <v>1</v>
      </c>
      <c r="AV399" s="3" t="str">
        <f t="shared" si="215"/>
        <v>-</v>
      </c>
      <c r="AW399" s="3" t="str">
        <f t="shared" si="216"/>
        <v>-</v>
      </c>
      <c r="AX399" s="3">
        <f t="shared" si="217"/>
        <v>10</v>
      </c>
      <c r="AY399" s="3">
        <f t="shared" si="218"/>
        <v>6</v>
      </c>
      <c r="AZ399" s="3">
        <f t="shared" si="219"/>
        <v>1</v>
      </c>
      <c r="BA399" s="3">
        <f>IF(ISERROR(LEN(VLOOKUP(A399,Seqs!A:E,2,FALSE))-AL399),"-",LEN(VLOOKUP(A399,Seqs!A:E,2,FALSE))-AL399)</f>
        <v>13</v>
      </c>
      <c r="BB399" s="16">
        <f t="shared" si="220"/>
        <v>31</v>
      </c>
      <c r="BC399" s="9">
        <f t="shared" si="221"/>
        <v>20</v>
      </c>
      <c r="BD399" s="3">
        <f t="shared" si="222"/>
        <v>31</v>
      </c>
      <c r="BE399" s="3">
        <f t="shared" si="223"/>
        <v>53</v>
      </c>
      <c r="BF399" s="3">
        <f t="shared" si="208"/>
        <v>36</v>
      </c>
    </row>
    <row r="400" spans="1:58" s="3" customFormat="1" x14ac:dyDescent="0.2">
      <c r="A400" s="3" t="s">
        <v>469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03"/>
        <v>36</v>
      </c>
      <c r="F400" s="3">
        <f t="shared" si="204"/>
        <v>37</v>
      </c>
      <c r="G400" s="3">
        <v>39</v>
      </c>
      <c r="H400" s="3">
        <f t="shared" si="205"/>
        <v>40</v>
      </c>
      <c r="I400" s="3">
        <f t="shared" si="20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06"/>
        <v>115</v>
      </c>
      <c r="S400" s="3">
        <v>115</v>
      </c>
      <c r="T400" s="100">
        <f t="shared" si="20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24"/>
        <v>1</v>
      </c>
      <c r="AO400" s="3" t="str">
        <f>IF(ISERROR(MATCH(A400,'SegEnds_Xtal_Prot#'!B:B, 0)), "NoXtal", "Xtal")</f>
        <v>NoXtal</v>
      </c>
      <c r="AP400" s="3">
        <f t="shared" si="209"/>
        <v>1</v>
      </c>
      <c r="AQ400" s="3">
        <f t="shared" si="210"/>
        <v>1</v>
      </c>
      <c r="AR400" s="3" t="str">
        <f t="shared" si="211"/>
        <v>-</v>
      </c>
      <c r="AS400" s="3" t="str">
        <f t="shared" si="212"/>
        <v>-</v>
      </c>
      <c r="AT400" s="3">
        <f t="shared" si="213"/>
        <v>3</v>
      </c>
      <c r="AU400" s="3">
        <f t="shared" si="214"/>
        <v>1</v>
      </c>
      <c r="AV400" s="3" t="str">
        <f t="shared" si="215"/>
        <v>-</v>
      </c>
      <c r="AW400" s="3" t="str">
        <f t="shared" si="216"/>
        <v>-</v>
      </c>
      <c r="AX400" s="3">
        <f t="shared" si="217"/>
        <v>10</v>
      </c>
      <c r="AY400" s="3">
        <f t="shared" si="218"/>
        <v>6</v>
      </c>
      <c r="AZ400" s="3">
        <f t="shared" si="219"/>
        <v>1</v>
      </c>
      <c r="BA400" s="3">
        <f>IF(ISERROR(LEN(VLOOKUP(A400,Seqs!A:E,2,FALSE))-AL400),"-",LEN(VLOOKUP(A400,Seqs!A:E,2,FALSE))-AL400)</f>
        <v>13</v>
      </c>
      <c r="BB400" s="16">
        <f t="shared" si="220"/>
        <v>31</v>
      </c>
      <c r="BC400" s="9">
        <f t="shared" si="221"/>
        <v>20</v>
      </c>
      <c r="BD400" s="3">
        <f t="shared" si="222"/>
        <v>31</v>
      </c>
      <c r="BE400" s="3">
        <f t="shared" si="223"/>
        <v>53</v>
      </c>
      <c r="BF400" s="3">
        <f t="shared" si="208"/>
        <v>36</v>
      </c>
    </row>
    <row r="401" spans="1:58" s="3" customFormat="1" x14ac:dyDescent="0.2">
      <c r="A401" s="3" t="s">
        <v>929</v>
      </c>
      <c r="B401" s="3" t="str">
        <f>LOWER(VLOOKUP(A401,Xtal_Templ!A:B,2,FALSE))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03"/>
        <v>36</v>
      </c>
      <c r="F401" s="3">
        <f t="shared" si="204"/>
        <v>37</v>
      </c>
      <c r="G401" s="3">
        <v>39</v>
      </c>
      <c r="H401" s="3">
        <f t="shared" si="205"/>
        <v>40</v>
      </c>
      <c r="I401" s="3">
        <f t="shared" si="20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06"/>
        <v>115</v>
      </c>
      <c r="S401" s="3">
        <v>115</v>
      </c>
      <c r="T401" s="100">
        <f t="shared" si="20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24"/>
        <v>1</v>
      </c>
      <c r="AO401" s="3" t="str">
        <f>IF(ISERROR(MATCH(A401,'SegEnds_Xtal_Prot#'!B:B, 0)), "NoXtal", "Xtal")</f>
        <v>NoXtal</v>
      </c>
      <c r="AP401" s="3">
        <f t="shared" si="209"/>
        <v>1</v>
      </c>
      <c r="AQ401" s="3">
        <f t="shared" si="210"/>
        <v>1</v>
      </c>
      <c r="AR401" s="3" t="str">
        <f t="shared" si="211"/>
        <v>-</v>
      </c>
      <c r="AS401" s="3" t="str">
        <f t="shared" si="212"/>
        <v>-</v>
      </c>
      <c r="AT401" s="3">
        <f t="shared" si="213"/>
        <v>3</v>
      </c>
      <c r="AU401" s="3">
        <f t="shared" si="214"/>
        <v>1</v>
      </c>
      <c r="AV401" s="3" t="str">
        <f t="shared" si="215"/>
        <v>-</v>
      </c>
      <c r="AW401" s="3" t="str">
        <f t="shared" si="216"/>
        <v>-</v>
      </c>
      <c r="AX401" s="3">
        <f t="shared" si="217"/>
        <v>13</v>
      </c>
      <c r="AY401" s="3">
        <f t="shared" si="218"/>
        <v>5</v>
      </c>
      <c r="AZ401" s="3">
        <f t="shared" si="219"/>
        <v>1</v>
      </c>
      <c r="BA401" s="3">
        <f>IF(ISERROR(LEN(VLOOKUP(A401,Seqs!A:E,2,FALSE))-AL401),"-",LEN(VLOOKUP(A401,Seqs!A:E,2,FALSE))-AL401)</f>
        <v>3</v>
      </c>
      <c r="BB401" s="16">
        <f t="shared" si="220"/>
        <v>31</v>
      </c>
      <c r="BC401" s="9">
        <f t="shared" si="221"/>
        <v>20</v>
      </c>
      <c r="BD401" s="3">
        <f t="shared" si="222"/>
        <v>31</v>
      </c>
      <c r="BE401" s="3">
        <f t="shared" si="223"/>
        <v>56</v>
      </c>
      <c r="BF401" s="3">
        <f t="shared" si="208"/>
        <v>33</v>
      </c>
    </row>
    <row r="402" spans="1:58" s="3" customFormat="1" x14ac:dyDescent="0.2">
      <c r="A402" s="3" t="s">
        <v>470</v>
      </c>
      <c r="B402" s="3" t="str">
        <f>LOWER(VLOOKUP(A402,Xtal_Templ!A:B,2,FALSE))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03"/>
        <v>36</v>
      </c>
      <c r="F402" s="3">
        <f t="shared" si="204"/>
        <v>37</v>
      </c>
      <c r="G402" s="3">
        <v>39</v>
      </c>
      <c r="H402" s="3">
        <f t="shared" si="205"/>
        <v>40</v>
      </c>
      <c r="I402" s="3">
        <f t="shared" si="20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06"/>
        <v>115</v>
      </c>
      <c r="S402" s="3">
        <v>115</v>
      </c>
      <c r="T402" s="100">
        <f t="shared" si="207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24"/>
        <v>1</v>
      </c>
      <c r="AO402" s="3" t="str">
        <f>IF(ISERROR(MATCH(A402,'SegEnds_Xtal_Prot#'!B:B, 0)), "NoXtal", "Xtal")</f>
        <v>NoXtal</v>
      </c>
      <c r="AP402" s="3">
        <f t="shared" si="209"/>
        <v>1</v>
      </c>
      <c r="AQ402" s="3">
        <f t="shared" si="210"/>
        <v>1</v>
      </c>
      <c r="AR402" s="3" t="str">
        <f t="shared" si="211"/>
        <v>-</v>
      </c>
      <c r="AS402" s="3" t="str">
        <f t="shared" si="212"/>
        <v>-</v>
      </c>
      <c r="AT402" s="3">
        <f t="shared" si="213"/>
        <v>3</v>
      </c>
      <c r="AU402" s="3">
        <f t="shared" si="214"/>
        <v>1</v>
      </c>
      <c r="AV402" s="3" t="str">
        <f t="shared" si="215"/>
        <v>-</v>
      </c>
      <c r="AW402" s="3" t="str">
        <f t="shared" si="216"/>
        <v>-</v>
      </c>
      <c r="AX402" s="3">
        <f t="shared" si="217"/>
        <v>10</v>
      </c>
      <c r="AY402" s="3">
        <f t="shared" si="218"/>
        <v>6</v>
      </c>
      <c r="AZ402" s="3">
        <f t="shared" si="219"/>
        <v>1</v>
      </c>
      <c r="BA402" s="3">
        <f>IF(ISERROR(LEN(VLOOKUP(A402,Seqs!A:E,2,FALSE))-AL402),"-",LEN(VLOOKUP(A402,Seqs!A:E,2,FALSE))-AL402)</f>
        <v>13</v>
      </c>
      <c r="BB402" s="16">
        <f t="shared" si="220"/>
        <v>31</v>
      </c>
      <c r="BC402" s="9">
        <f t="shared" si="221"/>
        <v>20</v>
      </c>
      <c r="BD402" s="3">
        <f t="shared" si="222"/>
        <v>31</v>
      </c>
      <c r="BE402" s="3">
        <f t="shared" si="223"/>
        <v>53</v>
      </c>
      <c r="BF402" s="3">
        <f t="shared" si="208"/>
        <v>36</v>
      </c>
    </row>
    <row r="403" spans="1:58" s="3" customFormat="1" x14ac:dyDescent="0.2">
      <c r="A403" s="3" t="s">
        <v>471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03"/>
        <v>36</v>
      </c>
      <c r="F403" s="3">
        <f t="shared" si="204"/>
        <v>37</v>
      </c>
      <c r="G403" s="3">
        <v>39</v>
      </c>
      <c r="H403" s="3">
        <f t="shared" si="205"/>
        <v>40</v>
      </c>
      <c r="I403" s="3">
        <f t="shared" si="20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06"/>
        <v>115</v>
      </c>
      <c r="S403" s="3">
        <v>115</v>
      </c>
      <c r="T403" s="100">
        <f t="shared" si="207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24"/>
        <v>1</v>
      </c>
      <c r="AO403" s="3" t="str">
        <f>IF(ISERROR(MATCH(A403,'SegEnds_Xtal_Prot#'!B:B, 0)), "NoXtal", "Xtal")</f>
        <v>NoXtal</v>
      </c>
      <c r="AP403" s="3">
        <f t="shared" si="209"/>
        <v>1</v>
      </c>
      <c r="AQ403" s="3">
        <f t="shared" si="210"/>
        <v>1</v>
      </c>
      <c r="AR403" s="3" t="str">
        <f t="shared" si="211"/>
        <v>-</v>
      </c>
      <c r="AS403" s="3" t="str">
        <f t="shared" si="212"/>
        <v>-</v>
      </c>
      <c r="AT403" s="3">
        <f t="shared" si="213"/>
        <v>3</v>
      </c>
      <c r="AU403" s="3">
        <f t="shared" si="214"/>
        <v>1</v>
      </c>
      <c r="AV403" s="3" t="str">
        <f t="shared" si="215"/>
        <v>-</v>
      </c>
      <c r="AW403" s="3" t="str">
        <f t="shared" si="216"/>
        <v>-</v>
      </c>
      <c r="AX403" s="3">
        <f t="shared" si="217"/>
        <v>10</v>
      </c>
      <c r="AY403" s="3">
        <f t="shared" si="218"/>
        <v>6</v>
      </c>
      <c r="AZ403" s="3">
        <f t="shared" si="219"/>
        <v>1</v>
      </c>
      <c r="BA403" s="3">
        <f>IF(ISERROR(LEN(VLOOKUP(A403,Seqs!A:E,2,FALSE))-AL403),"-",LEN(VLOOKUP(A403,Seqs!A:E,2,FALSE))-AL403)</f>
        <v>3</v>
      </c>
      <c r="BB403" s="16">
        <f t="shared" si="220"/>
        <v>31</v>
      </c>
      <c r="BC403" s="9">
        <f t="shared" si="221"/>
        <v>20</v>
      </c>
      <c r="BD403" s="3">
        <f t="shared" si="222"/>
        <v>31</v>
      </c>
      <c r="BE403" s="3">
        <f t="shared" si="223"/>
        <v>53</v>
      </c>
      <c r="BF403" s="3">
        <f t="shared" si="208"/>
        <v>36</v>
      </c>
    </row>
    <row r="404" spans="1:58" s="3" customFormat="1" x14ac:dyDescent="0.2">
      <c r="A404" s="3" t="s">
        <v>472</v>
      </c>
      <c r="B404" s="3" t="str">
        <f>LOWER(VLOOKUP(A404,Xtal_Templ!A:B,2,FALSE))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03"/>
        <v>47</v>
      </c>
      <c r="F404" s="3">
        <f t="shared" si="204"/>
        <v>48</v>
      </c>
      <c r="G404" s="3">
        <v>50</v>
      </c>
      <c r="H404" s="3">
        <f t="shared" si="205"/>
        <v>51</v>
      </c>
      <c r="I404" s="3">
        <f t="shared" si="205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06"/>
        <v>127</v>
      </c>
      <c r="S404" s="3">
        <v>127</v>
      </c>
      <c r="T404" s="100">
        <f t="shared" si="207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24"/>
        <v>1</v>
      </c>
      <c r="AO404" s="3" t="str">
        <f>IF(ISERROR(MATCH(A404,'SegEnds_Xtal_Prot#'!B:B, 0)), "NoXtal", "Xtal")</f>
        <v>NoXtal</v>
      </c>
      <c r="AP404" s="3">
        <f t="shared" si="209"/>
        <v>1</v>
      </c>
      <c r="AQ404" s="3">
        <f t="shared" si="210"/>
        <v>1</v>
      </c>
      <c r="AR404" s="3" t="str">
        <f t="shared" si="211"/>
        <v>-</v>
      </c>
      <c r="AS404" s="3" t="str">
        <f t="shared" si="212"/>
        <v>-</v>
      </c>
      <c r="AT404" s="3">
        <f t="shared" si="213"/>
        <v>3</v>
      </c>
      <c r="AU404" s="3">
        <f t="shared" si="214"/>
        <v>1</v>
      </c>
      <c r="AV404" s="3" t="str">
        <f t="shared" si="215"/>
        <v>-</v>
      </c>
      <c r="AW404" s="3" t="str">
        <f t="shared" si="216"/>
        <v>-</v>
      </c>
      <c r="AX404" s="3">
        <f t="shared" si="217"/>
        <v>10</v>
      </c>
      <c r="AY404" s="3">
        <f t="shared" si="218"/>
        <v>5</v>
      </c>
      <c r="AZ404" s="3">
        <f t="shared" si="219"/>
        <v>1</v>
      </c>
      <c r="BA404" s="3">
        <f>IF(ISERROR(LEN(VLOOKUP(A404,Seqs!A:E,2,FALSE))-AL404),"-",LEN(VLOOKUP(A404,Seqs!A:E,2,FALSE))-AL404)</f>
        <v>5</v>
      </c>
      <c r="BB404" s="16">
        <f t="shared" si="220"/>
        <v>31</v>
      </c>
      <c r="BC404" s="9">
        <f t="shared" si="221"/>
        <v>20</v>
      </c>
      <c r="BD404" s="3">
        <f t="shared" si="222"/>
        <v>31</v>
      </c>
      <c r="BE404" s="3">
        <f t="shared" si="223"/>
        <v>53</v>
      </c>
      <c r="BF404" s="3">
        <f t="shared" si="208"/>
        <v>35</v>
      </c>
    </row>
    <row r="405" spans="1:58" s="3" customFormat="1" x14ac:dyDescent="0.2">
      <c r="A405" s="3" t="s">
        <v>474</v>
      </c>
      <c r="B405" s="3" t="str">
        <f>LOWER(VLOOKUP(A405,Xtal_Templ!A:B,2,FALSE))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03"/>
        <v>36</v>
      </c>
      <c r="F405" s="3">
        <f t="shared" si="204"/>
        <v>37</v>
      </c>
      <c r="G405" s="3">
        <v>39</v>
      </c>
      <c r="H405" s="3">
        <f t="shared" si="205"/>
        <v>40</v>
      </c>
      <c r="I405" s="3">
        <f t="shared" si="20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06"/>
        <v>112</v>
      </c>
      <c r="S405" s="3">
        <v>112</v>
      </c>
      <c r="T405" s="100">
        <f t="shared" si="20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24"/>
        <v>1</v>
      </c>
      <c r="AO405" s="3" t="str">
        <f>IF(ISERROR(MATCH(A405,'SegEnds_Xtal_Prot#'!B:B, 0)), "NoXtal", "Xtal")</f>
        <v>NoXtal</v>
      </c>
      <c r="AP405" s="3">
        <f t="shared" si="209"/>
        <v>1</v>
      </c>
      <c r="AQ405" s="3">
        <f t="shared" si="210"/>
        <v>1</v>
      </c>
      <c r="AR405" s="3" t="str">
        <f t="shared" si="211"/>
        <v>-</v>
      </c>
      <c r="AS405" s="3" t="str">
        <f t="shared" si="212"/>
        <v>-</v>
      </c>
      <c r="AT405" s="3">
        <f t="shared" si="213"/>
        <v>3</v>
      </c>
      <c r="AU405" s="3">
        <f t="shared" si="214"/>
        <v>1</v>
      </c>
      <c r="AV405" s="3" t="str">
        <f t="shared" si="215"/>
        <v>-</v>
      </c>
      <c r="AW405" s="3" t="str">
        <f t="shared" si="216"/>
        <v>-</v>
      </c>
      <c r="AX405" s="3">
        <f t="shared" si="217"/>
        <v>10</v>
      </c>
      <c r="AY405" s="3">
        <f t="shared" si="218"/>
        <v>5</v>
      </c>
      <c r="AZ405" s="3">
        <f t="shared" si="219"/>
        <v>1</v>
      </c>
      <c r="BA405" s="3">
        <f>IF(ISERROR(LEN(VLOOKUP(A405,Seqs!A:E,2,FALSE))-AL405),"-",LEN(VLOOKUP(A405,Seqs!A:E,2,FALSE))-AL405)</f>
        <v>5</v>
      </c>
      <c r="BB405" s="16">
        <f t="shared" si="220"/>
        <v>31</v>
      </c>
      <c r="BC405" s="9">
        <f t="shared" si="221"/>
        <v>20</v>
      </c>
      <c r="BD405" s="3">
        <f t="shared" si="222"/>
        <v>31</v>
      </c>
      <c r="BE405" s="3">
        <f t="shared" si="223"/>
        <v>53</v>
      </c>
      <c r="BF405" s="3">
        <f t="shared" si="208"/>
        <v>35</v>
      </c>
    </row>
    <row r="406" spans="1:58" s="3" customFormat="1" x14ac:dyDescent="0.2">
      <c r="A406" s="3" t="s">
        <v>475</v>
      </c>
      <c r="B406" s="3" t="str">
        <f>LOWER(VLOOKUP(A406,Xtal_Templ!A:B,2,FALSE))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03"/>
        <v>36</v>
      </c>
      <c r="F406" s="3">
        <f t="shared" si="204"/>
        <v>37</v>
      </c>
      <c r="G406" s="3">
        <v>39</v>
      </c>
      <c r="H406" s="3">
        <f t="shared" si="205"/>
        <v>40</v>
      </c>
      <c r="I406" s="3">
        <f t="shared" si="20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06"/>
        <v>116</v>
      </c>
      <c r="S406" s="3">
        <v>116</v>
      </c>
      <c r="T406" s="100">
        <f t="shared" si="20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24"/>
        <v>1</v>
      </c>
      <c r="AO406" s="3" t="str">
        <f>IF(ISERROR(MATCH(A406,'SegEnds_Xtal_Prot#'!B:B, 0)), "NoXtal", "Xtal")</f>
        <v>NoXtal</v>
      </c>
      <c r="AP406" s="3">
        <f t="shared" si="209"/>
        <v>1</v>
      </c>
      <c r="AQ406" s="3">
        <f t="shared" si="210"/>
        <v>1</v>
      </c>
      <c r="AR406" s="3" t="str">
        <f t="shared" si="211"/>
        <v>-</v>
      </c>
      <c r="AS406" s="3" t="str">
        <f t="shared" si="212"/>
        <v>-</v>
      </c>
      <c r="AT406" s="3">
        <f t="shared" si="213"/>
        <v>3</v>
      </c>
      <c r="AU406" s="3">
        <f t="shared" si="214"/>
        <v>1</v>
      </c>
      <c r="AV406" s="3" t="str">
        <f t="shared" si="215"/>
        <v>-</v>
      </c>
      <c r="AW406" s="3" t="str">
        <f t="shared" si="216"/>
        <v>-</v>
      </c>
      <c r="AX406" s="3">
        <f t="shared" si="217"/>
        <v>10</v>
      </c>
      <c r="AY406" s="3">
        <f t="shared" si="218"/>
        <v>6</v>
      </c>
      <c r="AZ406" s="3">
        <f t="shared" si="219"/>
        <v>1</v>
      </c>
      <c r="BA406" s="3">
        <f>IF(ISERROR(LEN(VLOOKUP(A406,Seqs!A:E,2,FALSE))-AL406),"-",LEN(VLOOKUP(A406,Seqs!A:E,2,FALSE))-AL406)</f>
        <v>15</v>
      </c>
      <c r="BB406" s="16">
        <f t="shared" si="220"/>
        <v>31</v>
      </c>
      <c r="BC406" s="9">
        <f t="shared" si="221"/>
        <v>20</v>
      </c>
      <c r="BD406" s="3">
        <f t="shared" si="222"/>
        <v>31</v>
      </c>
      <c r="BE406" s="3">
        <f t="shared" si="223"/>
        <v>53</v>
      </c>
      <c r="BF406" s="3">
        <f t="shared" si="208"/>
        <v>36</v>
      </c>
    </row>
    <row r="407" spans="1:58" s="3" customFormat="1" x14ac:dyDescent="0.2">
      <c r="A407" s="3" t="s">
        <v>476</v>
      </c>
      <c r="B407" s="3" t="str">
        <f>LOWER(VLOOKUP(A407,Xtal_Templ!A:B,2,FALSE))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03"/>
        <v>36</v>
      </c>
      <c r="F407" s="3">
        <f t="shared" si="204"/>
        <v>37</v>
      </c>
      <c r="G407" s="3">
        <v>39</v>
      </c>
      <c r="H407" s="3">
        <f t="shared" si="205"/>
        <v>40</v>
      </c>
      <c r="I407" s="3">
        <f t="shared" si="20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06"/>
        <v>115</v>
      </c>
      <c r="S407" s="3">
        <v>115</v>
      </c>
      <c r="T407" s="100">
        <f t="shared" si="207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24"/>
        <v>1</v>
      </c>
      <c r="AO407" s="3" t="str">
        <f>IF(ISERROR(MATCH(A407,'SegEnds_Xtal_Prot#'!B:B, 0)), "NoXtal", "Xtal")</f>
        <v>NoXtal</v>
      </c>
      <c r="AP407" s="3">
        <f t="shared" si="209"/>
        <v>1</v>
      </c>
      <c r="AQ407" s="3">
        <f t="shared" si="210"/>
        <v>1</v>
      </c>
      <c r="AR407" s="3" t="str">
        <f t="shared" si="211"/>
        <v>-</v>
      </c>
      <c r="AS407" s="3" t="str">
        <f t="shared" si="212"/>
        <v>-</v>
      </c>
      <c r="AT407" s="3">
        <f t="shared" si="213"/>
        <v>3</v>
      </c>
      <c r="AU407" s="3">
        <f t="shared" si="214"/>
        <v>1</v>
      </c>
      <c r="AV407" s="3" t="str">
        <f t="shared" si="215"/>
        <v>-</v>
      </c>
      <c r="AW407" s="3" t="str">
        <f t="shared" si="216"/>
        <v>-</v>
      </c>
      <c r="AX407" s="3">
        <f t="shared" si="217"/>
        <v>10</v>
      </c>
      <c r="AY407" s="3">
        <f t="shared" si="218"/>
        <v>6</v>
      </c>
      <c r="AZ407" s="3">
        <f t="shared" si="219"/>
        <v>1</v>
      </c>
      <c r="BA407" s="3">
        <f>IF(ISERROR(LEN(VLOOKUP(A407,Seqs!A:E,2,FALSE))-AL407),"-",LEN(VLOOKUP(A407,Seqs!A:E,2,FALSE))-AL407)</f>
        <v>2</v>
      </c>
      <c r="BB407" s="16">
        <f t="shared" si="220"/>
        <v>31</v>
      </c>
      <c r="BC407" s="9">
        <f t="shared" si="221"/>
        <v>20</v>
      </c>
      <c r="BD407" s="3">
        <f t="shared" si="222"/>
        <v>31</v>
      </c>
      <c r="BE407" s="3">
        <f t="shared" si="223"/>
        <v>53</v>
      </c>
      <c r="BF407" s="3">
        <f t="shared" si="208"/>
        <v>36</v>
      </c>
    </row>
    <row r="408" spans="1:58" s="3" customFormat="1" x14ac:dyDescent="0.2">
      <c r="A408" s="3" t="s">
        <v>477</v>
      </c>
      <c r="B408" s="3" t="str">
        <f>LOWER(VLOOKUP(A408,Xtal_Templ!A:B,2,FALSE))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03"/>
        <v>36</v>
      </c>
      <c r="F408" s="3">
        <f t="shared" si="204"/>
        <v>37</v>
      </c>
      <c r="G408" s="3">
        <v>39</v>
      </c>
      <c r="H408" s="3">
        <f t="shared" si="205"/>
        <v>40</v>
      </c>
      <c r="I408" s="3">
        <f t="shared" si="20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06"/>
        <v>112</v>
      </c>
      <c r="S408" s="3">
        <v>112</v>
      </c>
      <c r="T408" s="100">
        <f t="shared" si="207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24"/>
        <v>1</v>
      </c>
      <c r="AO408" s="3" t="str">
        <f>IF(ISERROR(MATCH(A408,'SegEnds_Xtal_Prot#'!B:B, 0)), "NoXtal", "Xtal")</f>
        <v>NoXtal</v>
      </c>
      <c r="AP408" s="3">
        <f t="shared" si="209"/>
        <v>1</v>
      </c>
      <c r="AQ408" s="3">
        <f t="shared" si="210"/>
        <v>1</v>
      </c>
      <c r="AR408" s="3" t="str">
        <f t="shared" si="211"/>
        <v>-</v>
      </c>
      <c r="AS408" s="3" t="str">
        <f t="shared" si="212"/>
        <v>-</v>
      </c>
      <c r="AT408" s="3">
        <f t="shared" si="213"/>
        <v>3</v>
      </c>
      <c r="AU408" s="3">
        <f t="shared" si="214"/>
        <v>1</v>
      </c>
      <c r="AV408" s="3" t="str">
        <f t="shared" si="215"/>
        <v>-</v>
      </c>
      <c r="AW408" s="3" t="str">
        <f t="shared" si="216"/>
        <v>-</v>
      </c>
      <c r="AX408" s="3">
        <f t="shared" si="217"/>
        <v>10</v>
      </c>
      <c r="AY408" s="3">
        <f t="shared" si="218"/>
        <v>6</v>
      </c>
      <c r="AZ408" s="3">
        <f t="shared" si="219"/>
        <v>1</v>
      </c>
      <c r="BA408" s="3">
        <f>IF(ISERROR(LEN(VLOOKUP(A408,Seqs!A:E,2,FALSE))-AL408),"-",LEN(VLOOKUP(A408,Seqs!A:E,2,FALSE))-AL408)</f>
        <v>10</v>
      </c>
      <c r="BB408" s="16">
        <f t="shared" si="220"/>
        <v>31</v>
      </c>
      <c r="BC408" s="9">
        <f t="shared" si="221"/>
        <v>20</v>
      </c>
      <c r="BD408" s="3">
        <f t="shared" si="222"/>
        <v>31</v>
      </c>
      <c r="BE408" s="3">
        <f t="shared" si="223"/>
        <v>53</v>
      </c>
      <c r="BF408" s="3">
        <f t="shared" si="208"/>
        <v>36</v>
      </c>
    </row>
    <row r="409" spans="1:58" s="3" customFormat="1" x14ac:dyDescent="0.2">
      <c r="A409" s="3" t="s">
        <v>478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03"/>
        <v>36</v>
      </c>
      <c r="F409" s="3">
        <f t="shared" si="204"/>
        <v>37</v>
      </c>
      <c r="G409" s="3">
        <v>39</v>
      </c>
      <c r="H409" s="3">
        <f t="shared" si="205"/>
        <v>40</v>
      </c>
      <c r="I409" s="3">
        <f t="shared" si="205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06"/>
        <v>116</v>
      </c>
      <c r="S409" s="3">
        <v>116</v>
      </c>
      <c r="T409" s="100">
        <f t="shared" si="20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24"/>
        <v>1</v>
      </c>
      <c r="AO409" s="3" t="str">
        <f>IF(ISERROR(MATCH(A409,'SegEnds_Xtal_Prot#'!B:B, 0)), "NoXtal", "Xtal")</f>
        <v>NoXtal</v>
      </c>
      <c r="AP409" s="3">
        <f t="shared" si="209"/>
        <v>1</v>
      </c>
      <c r="AQ409" s="3">
        <f t="shared" si="210"/>
        <v>1</v>
      </c>
      <c r="AR409" s="3" t="str">
        <f t="shared" si="211"/>
        <v>-</v>
      </c>
      <c r="AS409" s="3" t="str">
        <f t="shared" si="212"/>
        <v>-</v>
      </c>
      <c r="AT409" s="3">
        <f t="shared" si="213"/>
        <v>3</v>
      </c>
      <c r="AU409" s="3">
        <f t="shared" si="214"/>
        <v>1</v>
      </c>
      <c r="AV409" s="3" t="str">
        <f t="shared" si="215"/>
        <v>-</v>
      </c>
      <c r="AW409" s="3" t="str">
        <f t="shared" si="216"/>
        <v>-</v>
      </c>
      <c r="AX409" s="3">
        <f t="shared" si="217"/>
        <v>10</v>
      </c>
      <c r="AY409" s="3">
        <f t="shared" si="218"/>
        <v>6</v>
      </c>
      <c r="AZ409" s="3">
        <f t="shared" si="219"/>
        <v>1</v>
      </c>
      <c r="BA409" s="3">
        <f>IF(ISERROR(LEN(VLOOKUP(A409,Seqs!A:E,2,FALSE))-AL409),"-",LEN(VLOOKUP(A409,Seqs!A:E,2,FALSE))-AL409)</f>
        <v>16</v>
      </c>
      <c r="BB409" s="16">
        <f t="shared" si="220"/>
        <v>31</v>
      </c>
      <c r="BC409" s="9">
        <f t="shared" si="221"/>
        <v>20</v>
      </c>
      <c r="BD409" s="3">
        <f t="shared" si="222"/>
        <v>31</v>
      </c>
      <c r="BE409" s="3">
        <f t="shared" si="223"/>
        <v>53</v>
      </c>
      <c r="BF409" s="3">
        <f t="shared" si="208"/>
        <v>36</v>
      </c>
    </row>
    <row r="410" spans="1:58" s="3" customFormat="1" x14ac:dyDescent="0.2">
      <c r="A410" s="3" t="s">
        <v>479</v>
      </c>
      <c r="B410" s="3" t="str">
        <f>LOWER(VLOOKUP(A410,Xtal_Templ!A:B,2,FALSE))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03"/>
        <v>36</v>
      </c>
      <c r="F410" s="3">
        <f t="shared" si="204"/>
        <v>37</v>
      </c>
      <c r="G410" s="3">
        <v>39</v>
      </c>
      <c r="H410" s="3">
        <f t="shared" si="205"/>
        <v>40</v>
      </c>
      <c r="I410" s="3">
        <f t="shared" si="205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06"/>
        <v>116</v>
      </c>
      <c r="S410" s="3">
        <v>116</v>
      </c>
      <c r="T410" s="100">
        <f t="shared" si="207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24"/>
        <v>1</v>
      </c>
      <c r="AO410" s="3" t="str">
        <f>IF(ISERROR(MATCH(A410,'SegEnds_Xtal_Prot#'!B:B, 0)), "NoXtal", "Xtal")</f>
        <v>NoXtal</v>
      </c>
      <c r="AP410" s="3">
        <f t="shared" si="209"/>
        <v>1</v>
      </c>
      <c r="AQ410" s="3">
        <f t="shared" si="210"/>
        <v>1</v>
      </c>
      <c r="AR410" s="3" t="str">
        <f t="shared" si="211"/>
        <v>-</v>
      </c>
      <c r="AS410" s="3" t="str">
        <f t="shared" si="212"/>
        <v>-</v>
      </c>
      <c r="AT410" s="3">
        <f t="shared" si="213"/>
        <v>3</v>
      </c>
      <c r="AU410" s="3">
        <f t="shared" si="214"/>
        <v>1</v>
      </c>
      <c r="AV410" s="3" t="str">
        <f t="shared" si="215"/>
        <v>-</v>
      </c>
      <c r="AW410" s="3" t="str">
        <f t="shared" si="216"/>
        <v>-</v>
      </c>
      <c r="AX410" s="3">
        <f t="shared" si="217"/>
        <v>10</v>
      </c>
      <c r="AY410" s="3">
        <f t="shared" si="218"/>
        <v>6</v>
      </c>
      <c r="AZ410" s="3">
        <f t="shared" si="219"/>
        <v>1</v>
      </c>
      <c r="BA410" s="3">
        <f>IF(ISERROR(LEN(VLOOKUP(A410,Seqs!A:E,2,FALSE))-AL410),"-",LEN(VLOOKUP(A410,Seqs!A:E,2,FALSE))-AL410)</f>
        <v>7</v>
      </c>
      <c r="BB410" s="16">
        <f t="shared" si="220"/>
        <v>31</v>
      </c>
      <c r="BC410" s="9">
        <f t="shared" si="221"/>
        <v>20</v>
      </c>
      <c r="BD410" s="3">
        <f t="shared" si="222"/>
        <v>31</v>
      </c>
      <c r="BE410" s="3">
        <f t="shared" si="223"/>
        <v>53</v>
      </c>
      <c r="BF410" s="3">
        <f t="shared" si="208"/>
        <v>36</v>
      </c>
    </row>
    <row r="411" spans="1:58" s="3" customFormat="1" x14ac:dyDescent="0.2">
      <c r="A411" s="3" t="s">
        <v>480</v>
      </c>
      <c r="B411" s="3" t="str">
        <f>LOWER(VLOOKUP(A411,Xtal_Templ!A:B,2,FALSE))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03"/>
        <v>36</v>
      </c>
      <c r="F411" s="3">
        <f t="shared" si="204"/>
        <v>37</v>
      </c>
      <c r="G411" s="3">
        <v>39</v>
      </c>
      <c r="H411" s="3">
        <f t="shared" si="205"/>
        <v>40</v>
      </c>
      <c r="I411" s="3">
        <f t="shared" si="205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06"/>
        <v>116</v>
      </c>
      <c r="S411" s="3">
        <v>116</v>
      </c>
      <c r="T411" s="100">
        <f t="shared" si="207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24"/>
        <v>1</v>
      </c>
      <c r="AO411" s="3" t="str">
        <f>IF(ISERROR(MATCH(A411,'SegEnds_Xtal_Prot#'!B:B, 0)), "NoXtal", "Xtal")</f>
        <v>NoXtal</v>
      </c>
      <c r="AP411" s="3">
        <f t="shared" si="209"/>
        <v>1</v>
      </c>
      <c r="AQ411" s="3">
        <f t="shared" si="210"/>
        <v>1</v>
      </c>
      <c r="AR411" s="3" t="str">
        <f t="shared" si="211"/>
        <v>-</v>
      </c>
      <c r="AS411" s="3" t="str">
        <f t="shared" si="212"/>
        <v>-</v>
      </c>
      <c r="AT411" s="3">
        <f t="shared" si="213"/>
        <v>3</v>
      </c>
      <c r="AU411" s="3">
        <f t="shared" si="214"/>
        <v>1</v>
      </c>
      <c r="AV411" s="3" t="str">
        <f t="shared" si="215"/>
        <v>-</v>
      </c>
      <c r="AW411" s="3" t="str">
        <f t="shared" si="216"/>
        <v>-</v>
      </c>
      <c r="AX411" s="3">
        <f t="shared" si="217"/>
        <v>10</v>
      </c>
      <c r="AY411" s="3">
        <f t="shared" si="218"/>
        <v>6</v>
      </c>
      <c r="AZ411" s="3">
        <f t="shared" si="219"/>
        <v>1</v>
      </c>
      <c r="BA411" s="3">
        <f>IF(ISERROR(LEN(VLOOKUP(A411,Seqs!A:E,2,FALSE))-AL411),"-",LEN(VLOOKUP(A411,Seqs!A:E,2,FALSE))-AL411)</f>
        <v>13</v>
      </c>
      <c r="BB411" s="16">
        <f t="shared" si="220"/>
        <v>31</v>
      </c>
      <c r="BC411" s="9">
        <f t="shared" si="221"/>
        <v>20</v>
      </c>
      <c r="BD411" s="3">
        <f t="shared" si="222"/>
        <v>31</v>
      </c>
      <c r="BE411" s="3">
        <f t="shared" si="223"/>
        <v>53</v>
      </c>
      <c r="BF411" s="3">
        <f t="shared" si="208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30" priority="7" operator="containsText" text="FALSE">
      <formula>NOT(ISERROR(SEARCH("FALSE",AN2)))</formula>
    </cfRule>
  </conditionalFormatting>
  <conditionalFormatting sqref="AP1:BA1048576">
    <cfRule type="cellIs" dxfId="29" priority="5" operator="lessThan">
      <formula>1</formula>
    </cfRule>
  </conditionalFormatting>
  <conditionalFormatting sqref="E2:F411">
    <cfRule type="expression" dxfId="28" priority="25">
      <formula>NOT(OR(C2&lt;E2,C2="-",E2="-"))</formula>
    </cfRule>
  </conditionalFormatting>
  <conditionalFormatting sqref="K2:L2 K3 K4:L411">
    <cfRule type="expression" dxfId="27" priority="29">
      <formula>NOT(OR(G2&lt;K2,G2="-",K2="-"))</formula>
    </cfRule>
  </conditionalFormatting>
  <conditionalFormatting sqref="N2:O2 N4:N18 O3:O18 N19:O411">
    <cfRule type="expression" dxfId="26" priority="31">
      <formula>NOT(OR(I2&lt;N2,I2="-",N2="-"))</formula>
    </cfRule>
  </conditionalFormatting>
  <conditionalFormatting sqref="Q2:R411">
    <cfRule type="expression" dxfId="25" priority="33">
      <formula>NOT(OR(K2&lt;Q2,K2="-",Q2="-"))</formula>
    </cfRule>
  </conditionalFormatting>
  <conditionalFormatting sqref="T2:U411">
    <cfRule type="expression" dxfId="24" priority="35">
      <formula>NOT(OR(M2&lt;T2,M2="-",T2="-"))</formula>
    </cfRule>
  </conditionalFormatting>
  <conditionalFormatting sqref="W2:X411">
    <cfRule type="expression" dxfId="23" priority="37">
      <formula>NOT(OR(O2&lt;W2,O2="-",W2="-"))</formula>
    </cfRule>
  </conditionalFormatting>
  <conditionalFormatting sqref="Z2:AA411">
    <cfRule type="expression" dxfId="22" priority="39">
      <formula>NOT(OR(Q2&lt;Z2,Q2="-",Z2="-"))</formula>
    </cfRule>
  </conditionalFormatting>
  <conditionalFormatting sqref="AC2:AD411">
    <cfRule type="expression" dxfId="21" priority="41">
      <formula>NOT(OR(S2&lt;AC2,S2="-",AC2="-"))</formula>
    </cfRule>
  </conditionalFormatting>
  <conditionalFormatting sqref="AF2:AG411">
    <cfRule type="expression" dxfId="20" priority="43">
      <formula>NOT(OR(U2&lt;AF2,U2="-",AF2="-"))</formula>
    </cfRule>
  </conditionalFormatting>
  <conditionalFormatting sqref="AI2:AJ411">
    <cfRule type="expression" dxfId="19" priority="45">
      <formula>NOT(OR(W2&lt;AI2,W2="-",AI2="-"))</formula>
    </cfRule>
  </conditionalFormatting>
  <conditionalFormatting sqref="AL2:AL411">
    <cfRule type="expression" dxfId="18" priority="47">
      <formula>NOT(OR(Y2&lt;AL2,Y2="-",AL2="-"))</formula>
    </cfRule>
  </conditionalFormatting>
  <conditionalFormatting sqref="L3">
    <cfRule type="expression" dxfId="17" priority="3">
      <formula>NOT(OR(H3&lt;L3,H3="-",L3="-"))</formula>
    </cfRule>
  </conditionalFormatting>
  <conditionalFormatting sqref="N3">
    <cfRule type="expression" dxfId="16" priority="4">
      <formula>NOT(OR(I3&lt;N3,I3="-",N3="-"))</formula>
    </cfRule>
  </conditionalFormatting>
  <conditionalFormatting sqref="F2">
    <cfRule type="cellIs" dxfId="15" priority="2" operator="lessThan">
      <formula>$E$2</formula>
    </cfRule>
  </conditionalFormatting>
  <conditionalFormatting sqref="AN1:AN1048576">
    <cfRule type="cellIs" dxfId="14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128" activePane="bottomLeft" state="frozenSplit"/>
      <selection pane="bottomLeft" activeCell="A148" sqref="A1:A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1203</v>
      </c>
      <c r="C1" s="30" t="s">
        <v>99</v>
      </c>
      <c r="D1" s="30" t="s">
        <v>1226</v>
      </c>
      <c r="E1" s="30" t="s">
        <v>1469</v>
      </c>
      <c r="F1" s="55" t="s">
        <v>13</v>
      </c>
      <c r="G1" s="20" t="s">
        <v>5</v>
      </c>
      <c r="H1" s="4" t="s">
        <v>1363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1319</v>
      </c>
      <c r="P1" s="53" t="s">
        <v>1323</v>
      </c>
      <c r="Q1" s="53" t="s">
        <v>1366</v>
      </c>
      <c r="R1" s="20" t="s">
        <v>9</v>
      </c>
      <c r="S1" s="20" t="s">
        <v>1322</v>
      </c>
      <c r="T1" s="20" t="s">
        <v>12</v>
      </c>
      <c r="U1" s="20" t="s">
        <v>1324</v>
      </c>
      <c r="V1" s="26" t="s">
        <v>1309</v>
      </c>
      <c r="W1" s="30" t="s">
        <v>1310</v>
      </c>
      <c r="X1" s="30" t="s">
        <v>1311</v>
      </c>
      <c r="Y1" s="30" t="s">
        <v>1312</v>
      </c>
      <c r="Z1" s="30" t="s">
        <v>1313</v>
      </c>
      <c r="AA1" s="103" t="s">
        <v>1383</v>
      </c>
      <c r="AB1" s="26" t="s">
        <v>1314</v>
      </c>
      <c r="AC1" s="26" t="s">
        <v>1315</v>
      </c>
      <c r="AD1" s="26" t="s">
        <v>1316</v>
      </c>
      <c r="AE1" s="26" t="s">
        <v>1317</v>
      </c>
      <c r="AF1" s="30" t="s">
        <v>1318</v>
      </c>
      <c r="AG1" s="26" t="s">
        <v>1320</v>
      </c>
      <c r="AH1" s="30" t="s">
        <v>1321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aa1r_human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1469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1319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1319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1319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1319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909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911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pd2r2_human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oprk_human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1171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1172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1322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1322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1440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1451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ntr1_human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ntr1_human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ntr1_human</v>
      </c>
      <c r="C148" s="2" t="str">
        <f>VLOOKUP(A148,Classification!A:D,2,FALSE)</f>
        <v>A</v>
      </c>
      <c r="D148" s="2" t="str">
        <f>IF(ISERROR(MATCH(A148,'SegEnds_Xtal_Prot#'!B:B, 0)), "NoXtal", "Xtal")</f>
        <v>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913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915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1322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917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hrh1_human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5ht2a_human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oprd_mouse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1173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919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919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919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921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1363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mtr1a_human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5ht2a_human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ox2r_human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1174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drd4_human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5ht2a_human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mtr1b_human</v>
      </c>
      <c r="C216" s="2" t="str">
        <f>VLOOKUP(A216,Classification!A:D,2,FALSE)</f>
        <v>A</v>
      </c>
      <c r="D216" s="2" t="str">
        <f>IF(ISERROR(MATCH(A216,'SegEnds_Xtal_Prot#'!B:B, 0)), "NoXtal", "Xtal")</f>
        <v>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mtr1a_human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1175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oprk_human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1322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1322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1322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1322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1322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1322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ccr5_human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S262" s="106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pd2r2_human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1322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1322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1322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pe2r4_human</v>
      </c>
      <c r="C268" s="2" t="str">
        <f>VLOOKUP(A268,Classification!A:D,2,FALSE)</f>
        <v>A</v>
      </c>
      <c r="D268" s="2" t="str">
        <f>IF(ISERROR(MATCH(A268,'SegEnds_Xtal_Prot#'!B:B, 0)), "NoXtal", "Xtal")</f>
        <v>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F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ta2r_human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1322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1322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oprk_human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1322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1322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1322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1322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1322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1322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5ht2a_human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pe2r3_human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A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ta2r_human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2" t="s">
        <v>5</v>
      </c>
      <c r="H295" s="4"/>
      <c r="I295" s="2" t="s">
        <v>21</v>
      </c>
      <c r="S295" s="2" t="s">
        <v>1322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923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1507</v>
      </c>
      <c r="B298" s="2" t="str">
        <f>LOWER(VLOOKUP(A298,Xtal_Templ!A:B,2,FALSE))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1323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LOWER(VLOOKUP(A300,Xtal_Templ!A:B,2,FALSE))</f>
        <v>calrl_human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H300" s="4"/>
      <c r="J300" s="106" t="s">
        <v>25</v>
      </c>
      <c r="P300" s="2" t="s">
        <v>1323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1323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1323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1323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1323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LOWER(VLOOKUP(A305,Xtal_Templ!A:B,2,FALSE))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1323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1323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1323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LOWER(VLOOKUP(A308,Xtal_Templ!A:B,2,FALSE))</f>
        <v>pth1r_human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1323</v>
      </c>
      <c r="T308" s="4" t="s">
        <v>12</v>
      </c>
      <c r="V308" s="28" t="str">
        <f>MID(VLOOKUP($A308,Seqs!$A:$B,2,FALSE),VLOOKUP($A308,'SegEnds_NonXtal_Prot#'!A:AL,10,FALSE),1)</f>
        <v>N</v>
      </c>
      <c r="W308" s="49" t="str">
        <f>MID(VLOOKUP($A308,Seqs!$A:$B,2,FALSE),VLOOKUP($A308,'SegEnds_NonXtal_Prot#'!A:AL,10,FALSE)+6,1)</f>
        <v>T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E</v>
      </c>
      <c r="Z308" s="49" t="str">
        <f>MID(VLOOKUP($A308,Seqs!$A:$B,2,FALSE),VLOOKUP($A308,'SegEnds_NonXtal_Prot#'!A:AL,10,FALSE)+9,1)</f>
        <v>C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D</v>
      </c>
      <c r="AC308" s="49" t="str">
        <f>MID(VLOOKUP($A308,Seqs!$A:$B,2,FALSE),VLOOKUP($A308,'SegEnds_NonXtal_Prot#'!$A:$AL,22,FALSE)+7,1)</f>
        <v>S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A</v>
      </c>
      <c r="AF308" s="49" t="str">
        <f>MID(VLOOKUP($A308,Seqs!$A:$B,2,FALSE),VLOOKUP($A308,'SegEnds_NonXtal_Prot#'!$A:$AL,22,FALSE)+10,1)</f>
        <v>L</v>
      </c>
      <c r="AG308" s="28" t="str">
        <f>MID(VLOOKUP($A308,Seqs!$A:$B,2,FALSE),VLOOKUP($A308,'SegEnds_NonXtal_Prot#'!$A:$AL,28,FALSE)-4,1)</f>
        <v>Q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LOWER(VLOOKUP(A309,Xtal_Templ!A:B,2,FALSE))</f>
        <v>pth1r_human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1323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LOWER(VLOOKUP(A310,Xtal_Templ!A:B,2,FALSE))</f>
        <v>pth1r_human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1323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LOWER(VLOOKUP(A311,Xtal_Templ!A:B,2,FALSE))</f>
        <v>pth1r_human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1323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1323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1323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1420</v>
      </c>
      <c r="B314" s="2" t="str">
        <f>LOWER(VLOOKUP(A314,Xtal_Templ!A:B,2,FALSE))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1323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1176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1177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1178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1179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1180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1181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1182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1183</v>
      </c>
      <c r="B322" s="2" t="str">
        <f>LOWER(VLOOKUP(A322,Xtal_Templ!A:B,2,FALSE))</f>
        <v>pth1r_human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1184</v>
      </c>
      <c r="B323" s="2" t="str">
        <f>LOWER(VLOOKUP(A323,Xtal_Templ!A:B,2,FALSE))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1185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1186</v>
      </c>
      <c r="B325" s="2" t="str">
        <f>LOWER(VLOOKUP(A325,Xtal_Templ!A:B,2,FALSE))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1187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1188</v>
      </c>
      <c r="B327" s="2" t="str">
        <f>LOWER(VLOOKUP(A327,Xtal_Templ!A:B,2,FALSE))</f>
        <v>calrl_human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1189</v>
      </c>
      <c r="B328" s="2" t="str">
        <f>LOWER(VLOOKUP(A328,Xtal_Templ!A:B,2,FALSE))</f>
        <v>calrl_human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1190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1191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1192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1193</v>
      </c>
      <c r="B332" s="2" t="str">
        <f>LOWER(VLOOKUP(A332,Xtal_Templ!A:B,2,FALSE))</f>
        <v>pth1r_human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1194</v>
      </c>
      <c r="B333" s="2" t="str">
        <f>LOWER(VLOOKUP(A333,Xtal_Templ!A:B,2,FALSE))</f>
        <v>pth1r_human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1195</v>
      </c>
      <c r="B334" s="2" t="str">
        <f>LOWER(VLOOKUP(A334,Xtal_Templ!A:B,2,FALSE))</f>
        <v>pth1r_human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1196</v>
      </c>
      <c r="B335" s="2" t="str">
        <f>LOWER(VLOOKUP(A335,Xtal_Templ!A:B,2,FALSE))</f>
        <v>pth1r_human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1197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1198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1199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1200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1201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LOWER(VLOOKUP(A342,Xtal_Templ!A:B,2,FALSE))</f>
        <v>pth1r_human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LOWER(VLOOKUP(A343,Xtal_Templ!A:B,2,FALSE))</f>
        <v>calrl_human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1413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LOWER(VLOOKUP(A346,Xtal_Templ!A:B,2,FALSE))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LOWER(VLOOKUP(A347,Xtal_Templ!A:B,2,FALSE))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1324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1324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1324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1324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1324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1324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1324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1324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1324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1324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1324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1324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1324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1324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1324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1324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1324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1324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1324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1324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1324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1324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LOWER(VLOOKUP(A370,Xtal_Templ!A:B,2,FALSE))</f>
        <v>fzd4_human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1323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LOWER(VLOOKUP(A371,Xtal_Templ!A:B,2,FALSE))</f>
        <v>fzd4_human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1323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LOWER(VLOOKUP(A372,Xtal_Templ!A:B,2,FALSE))</f>
        <v>fzd4_human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1323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LOWER(VLOOKUP(A373,Xtal_Templ!A:B,2,FALSE))</f>
        <v>fzd4_human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1323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Xtal</v>
      </c>
      <c r="H374" s="4"/>
      <c r="P374" s="2" t="s">
        <v>1323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1323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1323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1323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1323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1323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LOWER(VLOOKUP(A380,Xtal_Templ!A:B,2,FALSE))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1323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1495</v>
      </c>
      <c r="B381" s="2" t="str">
        <f>LOWER(VLOOKUP(A381,Xtal_Templ!A:B,2,FALSE))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1323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LOWER(VLOOKUP(A382,Xtal_Templ!A:B,2,FALSE))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LOWER(VLOOKUP(A383,Xtal_Templ!A:B,2,FALSE))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LOWER(VLOOKUP(A384,Xtal_Templ!A:B,2,FALSE))</f>
        <v>pe2r4_human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LOWER(VLOOKUP(A385,Xtal_Templ!A:B,2,FALSE))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LOWER(VLOOKUP(A386,Xtal_Templ!A:B,2,FALSE))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LOWER(VLOOKUP(A387,Xtal_Templ!A:B,2,FALSE))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LOWER(VLOOKUP(A388,Xtal_Templ!A:B,2,FALSE))</f>
        <v>5ht2a_human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LOWER(VLOOKUP(A389,Xtal_Templ!A:B,2,FALSE))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LOWER(VLOOKUP(A392,Xtal_Templ!A:B,2,FALSE))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LOWER(VLOOKUP(A393,Xtal_Templ!A:B,2,FALSE))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LOWER(VLOOKUP(A394,Xtal_Templ!A:B,2,FALSE))</f>
        <v>drd2_human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LOWER(VLOOKUP(A397,Xtal_Templ!A:B,2,FALSE))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LOWER(VLOOKUP(A398,Xtal_Templ!A:B,2,FALSE))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929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LOWER(VLOOKUP(A400,Xtal_Templ!A:B,2,FALSE))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LOWER(VLOOKUP(A405,Xtal_Templ!A:B,2,FALSE))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5ht2a_human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LOWER(VLOOKUP(A407,Xtal_Templ!A:B,2,FALSE))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LOWER(VLOOKUP(A408,Xtal_Templ!A:B,2,FALSE))</f>
        <v>pd2r2_human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LOWER(VLOOKUP(A409,Xtal_Templ!A:B,2,FALSE))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LOWER(VLOOKUP(A411,Xtal_Templ!A:B,2,FALSE))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3" priority="4" operator="equal">
      <formula>"P"</formula>
    </cfRule>
  </conditionalFormatting>
  <conditionalFormatting sqref="AC1:AC1048576">
    <cfRule type="cellIs" dxfId="12" priority="2" operator="equal">
      <formula>"W"</formula>
    </cfRule>
    <cfRule type="cellIs" dxfId="11" priority="3" operator="equal">
      <formula>"G"</formula>
    </cfRule>
  </conditionalFormatting>
  <conditionalFormatting sqref="AG2:AH411">
    <cfRule type="cellIs" dxfId="10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80" activePane="bottomLeft" state="frozenSplit"/>
      <selection pane="bottomLeft" activeCell="B113" sqref="B113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1156</v>
      </c>
      <c r="C1" s="21" t="s">
        <v>1226</v>
      </c>
      <c r="D1" s="21" t="s">
        <v>1204</v>
      </c>
      <c r="E1" s="21" t="s">
        <v>931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929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877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878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879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880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881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882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876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866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867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868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869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870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871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872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873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874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875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1495</v>
      </c>
      <c r="B44" s="121" t="s">
        <v>1496</v>
      </c>
      <c r="C44" t="s">
        <v>1493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849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853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844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845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846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847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848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850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851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852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854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855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856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857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858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859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860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861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862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863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864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865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1176</v>
      </c>
      <c r="B67" t="s">
        <v>811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1177</v>
      </c>
      <c r="B68" t="s">
        <v>812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1178</v>
      </c>
      <c r="B69" t="s">
        <v>813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814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1179</v>
      </c>
      <c r="B71" t="s">
        <v>815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1180</v>
      </c>
      <c r="B72" t="s">
        <v>816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817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818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819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1181</v>
      </c>
      <c r="B76" t="s">
        <v>820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1182</v>
      </c>
      <c r="B77" t="s">
        <v>821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1183</v>
      </c>
      <c r="B78" t="s">
        <v>822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1184</v>
      </c>
      <c r="B79" t="s">
        <v>823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1185</v>
      </c>
      <c r="B80" t="s">
        <v>824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1186</v>
      </c>
      <c r="B81" t="s">
        <v>825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826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1187</v>
      </c>
      <c r="B83" t="s">
        <v>827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1188</v>
      </c>
      <c r="B84" t="s">
        <v>828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1189</v>
      </c>
      <c r="B85" t="s">
        <v>829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1190</v>
      </c>
      <c r="B86" t="s">
        <v>830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1191</v>
      </c>
      <c r="B87" t="s">
        <v>831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1192</v>
      </c>
      <c r="B88" t="s">
        <v>832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1193</v>
      </c>
      <c r="B89" t="s">
        <v>833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1194</v>
      </c>
      <c r="B90" t="s">
        <v>834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1195</v>
      </c>
      <c r="B91" t="s">
        <v>835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1196</v>
      </c>
      <c r="B92" t="s">
        <v>836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1413</v>
      </c>
      <c r="B93" t="s">
        <v>837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1197</v>
      </c>
      <c r="B94" t="s">
        <v>838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1198</v>
      </c>
      <c r="B95" t="s">
        <v>839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1199</v>
      </c>
      <c r="B96" t="s">
        <v>840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1200</v>
      </c>
      <c r="B97" t="s">
        <v>841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1201</v>
      </c>
      <c r="B98" t="s">
        <v>842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843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1326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1402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1586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809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810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1420</v>
      </c>
      <c r="B115" t="s">
        <v>1419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911</v>
      </c>
      <c r="B116" t="s">
        <v>912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915</v>
      </c>
      <c r="B117" t="s">
        <v>916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917</v>
      </c>
      <c r="B118" t="s">
        <v>918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909</v>
      </c>
      <c r="B119" t="s">
        <v>910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913</v>
      </c>
      <c r="B120" t="s">
        <v>914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921</v>
      </c>
      <c r="B121" t="s">
        <v>922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919</v>
      </c>
      <c r="B122" t="s">
        <v>920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1440</v>
      </c>
      <c r="B123" t="s">
        <v>1441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1507</v>
      </c>
      <c r="B124" t="s">
        <v>1508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1451</v>
      </c>
      <c r="B125" t="s">
        <v>1453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923</v>
      </c>
      <c r="B126" t="s">
        <v>924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1173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1174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1175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1171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1172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1225</v>
      </c>
      <c r="C1" s="31" t="s">
        <v>1226</v>
      </c>
      <c r="D1" s="30" t="s">
        <v>99</v>
      </c>
      <c r="E1" s="26" t="s">
        <v>1224</v>
      </c>
      <c r="F1" s="26" t="s">
        <v>3</v>
      </c>
      <c r="G1" s="30" t="s">
        <v>1208</v>
      </c>
      <c r="H1" s="30" t="s">
        <v>4</v>
      </c>
      <c r="I1" s="30" t="s">
        <v>1210</v>
      </c>
      <c r="J1" s="30" t="s">
        <v>6</v>
      </c>
      <c r="K1" s="30" t="s">
        <v>1209</v>
      </c>
      <c r="L1" s="30" t="s">
        <v>7</v>
      </c>
      <c r="M1" s="30" t="s">
        <v>1211</v>
      </c>
      <c r="N1" s="30" t="s">
        <v>8</v>
      </c>
      <c r="O1" s="30" t="s">
        <v>10</v>
      </c>
      <c r="P1" s="30" t="s">
        <v>11</v>
      </c>
      <c r="Q1" s="30" t="s">
        <v>1207</v>
      </c>
      <c r="R1" s="26" t="s">
        <v>1060</v>
      </c>
      <c r="S1" s="8" t="s">
        <v>1077</v>
      </c>
      <c r="T1" s="8" t="s">
        <v>1062</v>
      </c>
      <c r="U1" s="8" t="s">
        <v>1079</v>
      </c>
      <c r="V1" s="8" t="s">
        <v>1064</v>
      </c>
      <c r="W1" s="8" t="s">
        <v>1092</v>
      </c>
      <c r="X1" s="8" t="s">
        <v>1066</v>
      </c>
      <c r="Y1" s="8" t="s">
        <v>1095</v>
      </c>
      <c r="Z1" s="8" t="s">
        <v>1068</v>
      </c>
      <c r="AA1" s="8" t="s">
        <v>1070</v>
      </c>
      <c r="AB1" s="8" t="s">
        <v>1072</v>
      </c>
      <c r="AC1" s="8" t="s">
        <v>1074</v>
      </c>
      <c r="AD1" s="26" t="s">
        <v>1061</v>
      </c>
      <c r="AE1" s="8" t="s">
        <v>1078</v>
      </c>
      <c r="AF1" s="8" t="s">
        <v>1063</v>
      </c>
      <c r="AG1" s="8" t="s">
        <v>1080</v>
      </c>
      <c r="AH1" s="8" t="s">
        <v>1065</v>
      </c>
      <c r="AI1" s="8" t="s">
        <v>1093</v>
      </c>
      <c r="AJ1" s="8" t="s">
        <v>1067</v>
      </c>
      <c r="AK1" s="8" t="s">
        <v>1096</v>
      </c>
      <c r="AL1" s="8" t="s">
        <v>1069</v>
      </c>
      <c r="AM1" s="8" t="s">
        <v>1071</v>
      </c>
      <c r="AN1" s="8" t="s">
        <v>1073</v>
      </c>
      <c r="AO1" s="8" t="s">
        <v>1075</v>
      </c>
      <c r="AP1" s="26" t="s">
        <v>1212</v>
      </c>
      <c r="AQ1" s="30" t="s">
        <v>1213</v>
      </c>
      <c r="AR1" s="30" t="s">
        <v>1214</v>
      </c>
      <c r="AS1" s="30" t="s">
        <v>1215</v>
      </c>
      <c r="AT1" s="30" t="s">
        <v>1216</v>
      </c>
      <c r="AU1" s="30" t="s">
        <v>1217</v>
      </c>
      <c r="AV1" s="30" t="s">
        <v>1218</v>
      </c>
      <c r="AW1" s="30" t="s">
        <v>1219</v>
      </c>
      <c r="AX1" s="30" t="s">
        <v>1220</v>
      </c>
      <c r="AY1" s="30" t="s">
        <v>1221</v>
      </c>
      <c r="AZ1" s="30" t="s">
        <v>1222</v>
      </c>
      <c r="BA1" s="30" t="s">
        <v>1223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VHTAYLVLSSLAMFTCLCGMAGNSMVIWLLGFRNPFCIYILNLAAADLLFLFSMASTLSLETQTDKVHELMKRLMYFAYTVGLSLLTAISTQRCLSVLFPRHLSAWVCGLLWTLCLLMNGLTSSFCFRVDMVQAALIMGVLTPVMTLSSLTLFVWVRRSSQRQPTRLFVVVLASVLVFLICSLPLSIYWFVLYWLQVLCFSLSRLSSSVSSSANPVIYFLVGSRRSHRLPTRSLGT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VHTAYLVLSSLAMFTCLCGMAGNSMVIWLLGFR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23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32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'SegEnds_NonXtal_Prot#'!A183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KSVLLYTLSFIYIFIFVIGMIANSVVVWVNIQAYDTHCYILNLAIADLWVVLTIPVWVVSLVQGELTCKVTHLIFSINLFGSIFFLTCMSVDRYLSITYKKMVRRVVCILVWLLAFCVSLPDTYYLWLIGMELVSVVLGFAVPFSIIAVFYFLLARAISASKHSSRKIIFSYVVVFLVCWLPYHVAVLLDIFSILHTCRLEHALFTALHVTQCLSLVHCCVNPVLYSFINRNYRYELMKAFIFK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KSVLLYTLSFIYIFIFVIGMIANSVVVWVNIQA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40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32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LLASIIQRVFVWVVSAVTCFGNIFVICMRPYIKLYAMSIISLCCADCLMGIYLFVIGGFDLKFLWMESTHCQLVGSLAILSTEVSVLLLTFLTLEKYICIVYGKCRTITVLILIWITGFIVAFIPLSNAQIYSVAIFLGINLAAFIIIVFSYGSMFYSVHQSAITAIRNQVKKEMILAKRFFFIVFTDALCWIPIFVVKFLSLLQGTITSWVVIFILPINSALNPILYTLTTRPFKEMIHRFWYNYRQRKSMDS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293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25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DEELAKVEIGVLATVLVLATGGNLAVLLTLGQLSRMHLFVLHLALTDLAVALFQVLPQLLWDIQGPDLLCRAVKYLQVLSMFASTYMLLAMTLDRYLAVCHPGQSTYLLIAAPWLLAAIFSLPQVFIFFPWGPRAYLTWTTLAIFVLPVTMLTACYSLICHEICKNLKVKTQAWNTISRAKIRTVKMTFVIVLAYIACWAPFFSVQMWSVWDNAPDEDSTNVAFTISMLLGNLNSCCNPWIYMGFNSHLLPRPLRHLACCG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FPWGPRAYLTWTTLAIFVLPVTMLTACYSLICHEICKNLKVKTQAW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NSHLLPRPLRHLACCG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192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357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45</v>
      </c>
      <c r="AY68" s="4">
        <f t="shared" si="47"/>
        <v>37</v>
      </c>
      <c r="AZ68" s="4">
        <f t="shared" si="48"/>
        <v>32</v>
      </c>
      <c r="BA68" s="4">
        <f t="shared" si="49"/>
        <v>15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RLWEVITIAAVTAVVSLITIVGNVLVMISFKVNTVNNYYLLSLACADLIIGIFSMNLYTTYILMGSLACDLWLALDYVASNASVMNLLVISFDRYFSITRTPKRAGIMIGLAWLISFILWAPAILCWQYLVGEPTITFGTAIAAFYIPVSVMTILYCRIYRETEKRTKDLADLRVVLVKERKAAQTLSAILLAFIITWTPYNIMVLVSTFCPVTLWHLGYWLCYVNSTVNPICYALCNRTFRKTFKMLLLC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NRTFRKTFKMLLLC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512</v>
      </c>
      <c r="AP89" s="5">
        <f t="shared" si="38"/>
        <v>32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13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SGPQKTAVAVLCTLLGLLSALENVAVLYLILSSKPSYLFIGSLAGADFLASVVFACSFVNFHVSKAVFLLKIGSVTMTFTASVGSLLLTAIDRYLCLRYTRGRALVTLGIMWVLSALVSYLPLMGPNDYLLSWLLFIAFLFSGIIYTYGHVLWKAHQHVASLSGVPGMARMRLDVRLAKTLGLVLAVLLICWFPVLALMAHSLATSDQVKKAFAFCSMLCLINSMVNPVIYALRSGEIRSSAHHCLAHWKK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PAPLLAGVTATCVALFVVGIAGNLLTMLVVSRFTTTNLYLSSMAFSDLLIFLCMPLDLVRLWQYGDLLCKLFQFVSESCTYATVLTITALSVERYFAICFTKGRVKLVIFVIWAVAFCSAGPIFVLVVRSGLLTVMVWVSSIFFFLPVFCLTVLYSLIGRKLWRRRRGDSLRDQNHKQTVKMLAVVVFAFILCWLPFHVGRYLFSKSAQISQYCNLVSFVLFYLSAAINPILYNIMSKKYRVAVFRLLGFEP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VRSGLLTVMVWVSSIFFFLPVFCLTVLYSLIGRKLWRRRRGD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205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GVSLCFTLNLAVADTLIGVAISGLLTDQLSRPTQKTLCSLRMAFVTSSAAASVLTVMLITFDRYLAIKQSGFVAGACIAGLWLVSYLIGFLPLGIPMFQFHPHFVLTLSCVGFFPAMLLFVFFYCDMLKIASMHSQQIRGYRSPRTPSDFKALRTVSVLIGSFALSWTPFLITGIVQVACYLVLERYLWLLGVGNSLLNPLIYAYWQKEVRLQLYHMALG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/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</v>
      </c>
      <c r="R144" s="5">
        <f>VLOOKUP($A144,'SegEnds_NonXtal_Prot#'!$A:$AL,3,FALSE)</f>
        <v>-1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147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296</v>
      </c>
      <c r="AP144" s="5">
        <f t="shared" si="63"/>
        <v>33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29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13</v>
      </c>
    </row>
    <row r="145" spans="1:53" x14ac:dyDescent="0.2">
      <c r="A145" s="1" t="str">
        <f>'SegEnds_NonXtal_Prot#'!A117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SSMLYWLFLPSSLLAAATLAVSPLLLVTILRNQEPHYLLPANILLSDLAYILLHMLISSSSLGGRMACGILTDAVFAACTSTILSFTAIVLHTYLAVIHSHGAAWKAVALIWLVACCFPTFLIWLEQGASYILPPSMGTQPGCGLLVIVTYTSILCVLFLCTALIANGQGYSRARGTLLIHSVLITLYVSTGVVFSLDMVLTGTHTWLLAANSEVLMMLPRAMLTYLYLLRYRQLLGMVRGHLPSRR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TYLYLLRYRQLLGMVRGHLPSRR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339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22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ERRLPGSAVGWLVCGGLSLLANAWGILSVGAKKPLEFLLCTLAATHMLNVAVPIATYSVVQLNEGLCKVFVSTFYTLTLATCFSVTSLSYHRMWMVCWAKKQAVHTVMGIWMVSFILSALPAVGGLGFGVCFLLLVGGSVAMGVICTAIALFQTLAVQVGRQADRREPAKTSLQTTGLVTTIVFIYDCLMGFPVLVVSFSSLRAPWMALCVLWCSVAQALLLPVFLWACDRYRADLKAVRE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69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LGVVHWVSLVLYCLAFVLGIPGNAIVIWFTGFKTVTTLWFLNLAIADFIFLLFLPLYISYVAMGIWLCKANSFTAQLNMFASVFFLTVISLDHYIHLIHTLKNSLIVIIFIWLLASLIGGPALYFRRHHVLTWVKFIIGYLFPLLTMSICYLCLIFKVKKRSSRHFWTILVVVVAFVVCWTPYHLFSIWELTIHHVMQAGIPLSTGLAFLNSCLNPILYVLISKKFQARFRSSVAEI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LGVVHWVSLVLYCLAFVLGIPGNAIVIWFTGFK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34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32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VPYTSVFLPVFYTAVFLTGVLGNLVLMGALHFKRLIDIFIINLAASDFIFLVTLPLWVDKEASGSFLCKGSSYMISVNMHCSVLLLTCMSVDRYLAIVWRTDCAYVVCASIWFISCLLGLPTLLSRIKLIWSLVALIFTFFVPLLSIVTCYCCIARKLCAHGKHNKKLKKSIKIIFIVVAAFLVSWLPFNTFKFLAIVSHYLPSAILQLGMEVSGPLAFANSCVNPFIYYIFDSYIRRAIVHCLCPC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VPYTSVFLPVFYTAVFLTGVLGNLVLMGALHFK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29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32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EYKIAALVFYSCIFIIGLFVNITALWVFSCTTTVTIYMMNVALVDLIFIMTLPFRMFYYAKGEYFCQILGALTVFYPSIALWLLAFISADRYMAIVQNTCKAVLACVGVWIMTLTTTTPLLLLYIYLKAVNVLNLTRLTFFFLIPLFIMIGCYLVIIHNLLHGKLKPKVKEKSIRIIITLLVQVLVCFMPFHICFAFLMLGYNPWGAFTTFLMNLSTCLDVILYYIVSKQFQARVISVML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FCLLEVLIIVFLTVLIISGNIIVIFVFHCAHHTTSYFIQTMAYADLFVGVSCVVPSLSLLHPVEESLTCQIFGFVVSVLKSVSMASLACISIDRYIAITKTPWRLRLCIFLIWLYSTLVFLPSFFHWTDSYFTLFIVMMLYAPAALIVCFTYFNIFRICQQHTKDISETGEVQACPDKRYAMVLFRITSVFYILWLPYIIYFLLESSTRFASFLTTWLAISNSFCNCVIYSLSNSVFQRGLKRLS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FCLLEVLIIVFLTVLIISGNIIVIFVFHCA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</v>
      </c>
      <c r="R159" s="5">
        <f>VLOOKUP($A159,'SegEnds_NonXtal_Prot#'!$A:$AL,3,FALSE)</f>
        <v>27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168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319</v>
      </c>
      <c r="AP159" s="5">
        <f t="shared" si="63"/>
        <v>29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11</v>
      </c>
    </row>
    <row r="160" spans="1:53" x14ac:dyDescent="0.2">
      <c r="A160" s="1" t="str">
        <f>'SegEnds_NonXtal_Prot#'!A135</f>
        <v>gpr25_human</v>
      </c>
      <c r="B160" s="1" t="str">
        <f t="shared" si="50"/>
        <v>LPYGYVYIPALYLAAFAVGLLGNAFVVWLLAGRRLVDTFVLHLAAADLGFVLTLPLWAAAAALGDGLCKLSSFALAGTRCAGALLLAGMSVDRYLAVVKTPRCALASCCGVWAVALLAGLPSLVYRAFQGLSLLLLLLTFVLPLVVTLFCYCRISRRLRRRARRNSLRIIFAIESTFVGSWLPFSALRAVFHLARLGPCPLLLALRWGLTIATCLAFVNSCANPLIYLLLDRSFRARALDGACGR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APASKMIIALSLYISSIIGTITNGLYLWVLRFKTVNTLLFFHLILSYFISTMILPFMATSQLQGTALCKVFNGTLSLGMFTSVFFLSAIGLDRYLLTLHTPRWASSIVLGVWISAAALSIPYLIFRIHVACFISRFLLGFLLPFFIIIFCYERVASKVKERSSKPFKVMMTAIISFFVCWMPYHIHQGLLLTTLELTLILTVLTTSFNTIFSPTLYLFVGENFKKVFKKSILAL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APASKMIIALSLYISSIIGTITNGLYLWVLRFK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25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32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SVVDVCIFETVVIVLLTFLIIAGNLTVIFVFHCAHYTTSYFIQTMAYADLFVGVSCLVPTLSLLHGVHESLTCQVFGYIISVLKSVSMACLACISVDRYLAITKTPCRLRICIILIWIYSCLIFLPSFFGWGKPTSAYFTGFIVCLLYAPAAFVVCFTYFHIFKICRQHTKEINSSRETGHSPDRRYAMVLFRITSVFYMLWLPYIIYFLLESSRPTLSFLTTWLAISNSFCNCVIYSLSNSVFRLGLRRLSET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SVVDVCIFETVVIVLLTFLIIAGNLTVIFVFHCA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TPCRLRICIILIWIYSCLIFLPSFFGWGKP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NSVFRLGLRRLSET</v>
      </c>
      <c r="R172" s="5">
        <f>VLOOKUP($A172,'SegEnds_NonXtal_Prot#'!$A:$AL,3,FALSE)</f>
        <v>35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183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334</v>
      </c>
      <c r="AP172" s="5">
        <f t="shared" si="63"/>
        <v>33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29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13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SVLGYRYVAVSWGVVVAVTGTVGNVLTLLALAIQTRFNLLIANLTLADLLYCTLLQPFSVDTYLHLGATFCRVFGLLLFASNSVSILTLCLIALGRYLLIAHSAKGIVLALVSTWVVGVASFAPLWPIYILVASIHSNHVARTDEAMPGRFQELDSRLASGGPSEGISSEPVPDSSSEFGKVTRMCFAVFLCFALSYIPFLLLNILDARVVVHMLAANLTWLNGCINPVLYAAMNRQFRQAYGSILKR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SVLGYRYVAVSWGVVVAVTGTVGNVLTLLALAIQ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15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33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SLLAIILLSVALAVGLPGNSFVVWSILKRSVTALMVLNLALADLAVLLTAPFFLHFLAQGLAGCRLCHYVCGVSMYASVLLITAMSLDRSLAVARTKAMARRVLAGIWVLSFLLATPVLAYRYPSEGHRAFHLIFEAVTGFLLPFLAVVASYSDIGRRLQARSRRTGRLVVLIILTFAAFWLPYHVVNLAEAGRALALGLVGKRLSLARNVLIALAFLSSSVNPVLYACAGGGLLRSAGVGFVAKLLE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GGGLLRSAGVGFVAKLLE</v>
      </c>
      <c r="R194" s="5">
        <f>VLOOKUP($A194,'SegEnds_NonXtal_Prot#'!$A:$AL,3,FALSE)</f>
        <v>18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306</v>
      </c>
      <c r="AP194" s="5">
        <f t="shared" ref="AP194:AP257" si="88">IFERROR(AD194-R194,"-")</f>
        <v>28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17</v>
      </c>
    </row>
    <row r="195" spans="1:53" x14ac:dyDescent="0.2">
      <c r="A195" s="1" t="str">
        <f>'SegEnds_NonXtal_Prot#'!A173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YNQTLSFTVLTCIISLVGLTGNAVVLWLLGYRNAVSIYILNLAAADFLFLSFQIIRLPLRLIIRKILVSVMTFPYFTGLSMLSAISTERCLSVLWPTHLSAVVCVLLWGLSLLFSMLEWRFCSSWCETSDFIPVAWLIFLCVVLCVSSLVLLVRILCGSRLTRLYVTILLTVLVFLLCGLPFGILGALIYRMLNLEVLYCHVYLVCMSLSSLNSSANPIIYFFVGSFRQRQNRQ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LNLEVLYCHVYLVCMSLSSLNSSANPIIYFFV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244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31</v>
      </c>
      <c r="BA207" s="4">
        <f t="shared" si="99"/>
        <v>9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PLGALVPVTAVCLCLFVVGVSGNVVTVMLIGRYTTTNLYLGSMAVSDLLILLGLPFDLYRLWRSGPLLCRLSLYVGEGCTYATLLHMTALSVERYLAICRTRRRVRALIAVLWAVALLSAGPFLFLVAQLGALRVMLWVTTAYFFLPFLCLSILYGLIGRELWSSRRPLSGRERGHRQTVRVLLVVVLAFIICWLPFHVGRIIYINTDSRMMYFSQYFNIVALQLFYLSASINPILYNLISKKYRAAAFKLLLARK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PLGALVPVTAVCLCLFVVGVSGNVVTVMLIGRY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AQLGALRVMLWVTTAYFFLPFLCLSILYGLIGRELWSSRRPL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SKKYRAAAFKLLLARK</v>
      </c>
      <c r="R209" s="5">
        <f>VLOOKUP($A209,'SegEnds_NonXtal_Prot#'!$A:$AL,3,FALSE)</f>
        <v>34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240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32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41</v>
      </c>
      <c r="AY209" s="4">
        <f t="shared" si="97"/>
        <v>37</v>
      </c>
      <c r="AZ209" s="4">
        <f t="shared" si="98"/>
        <v>32</v>
      </c>
      <c r="BA209" s="4">
        <f t="shared" si="99"/>
        <v>15</v>
      </c>
    </row>
    <row r="210" spans="1:53" x14ac:dyDescent="0.2">
      <c r="A210" s="1" t="str">
        <f>'SegEnds_NonXtal_Prot#'!A191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'SegEnds_NonXtal_Prot#'!A192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'SegEnds_NonXtal_Prot#'!A196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'SegEnds_NonXtal_Prot#'!A199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ALRLMVALAYGLVGAIGLLGNLAVLWVLSNCGPPSDTFVFNLALADLGLALTLPFWAAESALDGGALCKMVLTATVLNVYASIFLITALSVARYWVVAMSLFWARIATLAVWAAAALVTVPTAVFGPSRYWLGAYQLQRVVLAFMVPLGVITTSYLLLLAFLQRQDSRVVARSVRILVASFFLCWFPNHVVTLWGVLVKFDNSTFYTIQTYVFPVTTCLAHSNSCLNPVLYCLLRREPRQALAGTFR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325</v>
      </c>
      <c r="AP244" s="5">
        <f t="shared" si="88"/>
        <v>30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12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PLLARAELALLSIVFVAVALSNGLVLAALARRWAPIHVFIGHLCLADLAVALFQVLPQLAWKARGPDALCRAVKYLQMVGMYASSYMILAMTLDRHRAICRSGAHWNRPVLVAWAFSLLLSLPQLFIFPWGRRTYVTWIALMVFVAPTLGIAACQVLIFREIHASLVPGPSERAHVSAAVAKTVRMTLVIVVVYVLCWAPFFLVQLWAAWDEGAPFVLLMLLASLNSCTNPWIYASFSSSVSSELRSLLCCAR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344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15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'SegEnds_NonXtal_Prot#'!A269</f>
        <v>gp146_human</v>
      </c>
      <c r="B278" s="1" t="str">
        <f t="shared" si="100"/>
        <v>QLGLSLLSLLGLVVGVPVGLCYNALLVLANLHSYFVNMAVAGLVLSALAPVHLLGPPSSRGGEVHVALQIPFNVSSLVAMYSTALLSLDHYIERALSVYNTRHVCGFVWGGALLTSFSSLLFYNAEAADATLVFIGYVVPALATLYALVLLSRVRREDRDTGRLEPSAHRLLVATVCTQFGLWTPHYLILLGHTVIISRDAHYLGLLHFVKDFSKLLAFSSSFVTPLLYRYMNQSFPSKLQRLMKKL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23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32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SRRVRLVFLGVILVVAVAGNTTVLCRLCGGRKMDFLLVQLALADLYACGGTALSQLAWELLGAATGDLACRFLQLLQASGRGASAHLVVLIALERRRAVRLRPLPARALAALGWLLALLLALPPAFVVWHLQVYAFYEAVAGFVAPVTVLGVACGHLLSVWWRHRPQAPAPAPSALPRAKVQSLKMSLLLALLFVGCELPYFAARLAAAWSGDWEGEGLSAALRVVAMANSALNPFVYLFFQAGDCRLRRQLR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GDWEGEGLSAALRVVAMANSALNPFVYLFF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326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29</v>
      </c>
      <c r="BA280" s="4">
        <f t="shared" si="124"/>
        <v>11</v>
      </c>
    </row>
    <row r="281" spans="1:53" x14ac:dyDescent="0.2">
      <c r="A281" s="1" t="str">
        <f>'SegEnds_NonXtal_Prot#'!A272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ITLSAIMIFILFVSFLGNLVVCLMVYQKSAINILLASLAFADMLLAVLNMPFALVTILTTGKFFCRVSAMFFWLFVIEGVAILLIISIDRFLIIVQNPYRAKVLIAVSWATSFCVAFPLAVGNPDLYQAYVILISLISFFIPFLVILYSFMGILNTLRHNALRIHSYPSIDMGFKTRAFTTILILFAVFIVCWAPFTTYSLVATFSYQHNFFEISTWLLWLCYLKSALNPLIYYWRIKKFHDACLDMMPK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YQHNFFEISTWLLWLCYLKSALNPLIYYWR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345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29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29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36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28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VQVVLILAYCSIILLGVIGNSLVIHVVIKFTVTNFFIANLAVADLLVNTLCLPFTLTYTLMGGPVLCHLVPYAQGLAVQVSTITLTVIALDRHRCIVYSKRISFLIIGLAWGISALLASPLAIFRIYGTVYSLSSLLILYVLPLGIISFSYTRIWSKLKNHVSPGNDHYHQRRQKTTKMLVCVVVVFAVSWLPLHAFQLAVDIDDLKEYKLIFTVFHIIAMCSTFANPLLYGWMNSNYRKAFLSAF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NDHYHQRRQKTTKMLVCVVVVFAVSWLPLHAFQLAVDID</v>
      </c>
      <c r="P296" s="4" t="str">
        <f t="shared" si="111"/>
        <v>DLKEYKLIFTVFHIIAMCSTFANPLLYGWM</v>
      </c>
      <c r="Q296" s="4" t="str">
        <f t="shared" si="112"/>
        <v>NSNYRKAFLSAF</v>
      </c>
      <c r="R296" s="5">
        <f>VLOOKUP($A296,'SegEnds_NonXtal_Prot#'!$A:$AL,3,FALSE)</f>
        <v>49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256</v>
      </c>
      <c r="AB296" s="5">
        <f>VLOOKUP($A296,'SegEnds_NonXtal_Prot#'!$A:$AL,33,FALSE)</f>
        <v>299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29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38</v>
      </c>
      <c r="AZ296" s="4">
        <f t="shared" si="123"/>
        <v>29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LARVEVAVLCLILLLALSGNACVLLALRTTSRLFFFMKHLSIADLVVAVFQVLPQLLWDIYGPDLLCRLVKYLQVVGMFASTYLLLLMSLDRCLAICQRRRTDRLAVLATWLGCLVASAPQVHIFWGPKAYITWITLAVYIVPVIVLAACYGLISFKIWQNLRLKTAAAKLISKAKIRTVKMTFIIVLAFIVCWTPFFFVQMWSVWDEASAFIIVMLLASLNSCCNPWIYMLFTGHLFHELVQRF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38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29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EARVRILISVVYWVVCALGLAGNLLVLYLMKSMKSSINLFVTNLALTDFQFVLTLPFWAVENALGKAMCKIVSMVTSMNMYASVFFLTAMSVTRYHSVASCCFSAKALCVWIWALAALASLPSAIFSWLGLYHSQKVLLGFVLPLGIIILCYLLLVRFIADRRAAGTKRPTGASARRLSKVTKSVTIVVLSFFLCWLPNQALTTWSILIKFNSQEYFLCQVYAFPVSVCLAHSNSCLNPVLYCLVRREFRKALKSLLWRI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LAEEESYFSTVKIIYTVGHSISIVALFVAITILVALCPRNYVHTQLFTTFILKAGAVFLKDAALVLCKVSVAASHFATMTNFSWLLAEAVYLNCLLASRAFWWLVLAGWGLPVLFTGTWVSCKLAFEYWWIIKGPIVLSVGVNFGLFLNIIRILVRKLHTQSQYWRLSKSTLFLIPLFGIHYIIFNFLGIRLPLELGLGSFQGFIVAILYCFLNQEVRTEISRKWHGHDPELLPAWRTR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GYSTSLVTLTTAMVILCRFRKLHCTRNFIHMNLFVSFMLRFIKDWILYAEQDSNHCFISTVECKAVMVFIEGLYLFTLLVETFFPERRYFYWYTIIGWGTPTTVWATLRLYFDDTGCWDMNDSTALWWVIKGPVGIIVILVQKLQSPDMGGNESSIYLRLARSTLIHYTVFAFSPENVSKRERLVFELGLGSFQGLYCFLNGEVQAEIKRKWRSWKVNRYFAVDFKHRHPSLASSGVNGGTQLSILS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GYSTSLVTLTTAMVILCRFRKLHCTRNFIHMNLFVSFMLR</v>
      </c>
      <c r="G315" s="4" t="str">
        <f t="shared" si="102"/>
        <v>AISV</v>
      </c>
      <c r="H315" s="4" t="str">
        <f t="shared" si="103"/>
        <v>FIKDWILYAEQDSNHCFISTVECKAVMV</v>
      </c>
      <c r="I315" s="4" t="str">
        <f t="shared" si="104"/>
        <v/>
      </c>
      <c r="J315" s="4" t="str">
        <f t="shared" si="105"/>
        <v>FIEGLYLFTLLVETFFPERRYFYWYTIIGWGTPT</v>
      </c>
      <c r="K315" s="4" t="str">
        <f t="shared" si="106"/>
        <v/>
      </c>
      <c r="L315" s="4" t="str">
        <f t="shared" si="107"/>
        <v>TVWATLRLYFDDTGCWDMNDSTALWWVIKGPV</v>
      </c>
      <c r="M315" s="4" t="str">
        <f t="shared" si="108"/>
        <v>IMV</v>
      </c>
      <c r="N315" s="4" t="str">
        <f t="shared" si="109"/>
        <v>GIIVILVQKLQSPDMGGNESSIYLRLARSTL</v>
      </c>
      <c r="O315" s="4" t="str">
        <f t="shared" si="110"/>
        <v>IHYTVFAFSPENVSKRERLVFELGLGSFQG</v>
      </c>
      <c r="P315" s="4" t="str">
        <f t="shared" si="111"/>
        <v>LYCFLNGEVQAEIKRKWRSWKVNRYF</v>
      </c>
      <c r="Q315" s="4" t="str">
        <f t="shared" si="112"/>
        <v>AVDFKHRHPSLASSGVNGGTQLSILS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30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FLTNETREREVFDRLGMIYTVGYSVSLASLTVAVLILAYFCTRNYIHMHLFLSFMLRAVSIFVKDAVLYSGATGYAGCRVAVTFFLYFLATNYYWILVEGLYLHSLIFMSEKKYLWGFTVFGWGLPAVFVAVWVSVRATLAKKWIIQVPILASIVLNFILFINIVRVLATKLDTRQQYRKLLKSTLVLMPLFGVHYIVFMATGTLWQVQMHYEMLFNSFQGFFVAIIYCFCNGEVQAEIKKSWSRWTLALDFKRKAR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30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QPDISIGKQEFFERLYVMYTVGYSISFGSLAVAILIIGYFCTRNYIHMHLFVSFMLRATSIFVKDRVVHAHIGQYIGCKIAVVMFIYFLATNYYWILVEGLYLHNLIFVSDTKYLWGFILIGWGFPAAFVAAWAVARATLAIKWIYQAPILAAIGLNFILFLNTVRVLATKIDTRKQYRKLAKSTLVLVLVFGVHYIVFVCLGLGWEIRMHCELFFNSFQGFFVSIIYCYCNGEVQAEVKKMWSRWNLSVDWKRTPP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30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NDSSNEKRHSYLLKLKVMYTVGYSSSLVMLLVALGILCAFCTRNYIHMHLFVSFILRALSNFIKDAVLAGCKLVMVLFQYCIMANYSWLLVEGLYLHTLLAISERKYLQGFVAFGWGSPAIFVALWAIARHFLEIWWIIRGPVILSILINFILFINILRILMRKLNEVSHYKRLARSTLLLIPLFGIHYIVFAFSMEIQLFFELALGSFQGLVVAVLYCFLNGEVQLEVQKKWQQWHLREFPLHPVA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NDSSNEKRHSYLLKLKVMYTVGYSSSLVMLLVALGILCAF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SERKYLQGFVAFGWGSPAIFVALWAIARHFLE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128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250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39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31</v>
      </c>
      <c r="AW318" s="4">
        <f t="shared" si="120"/>
        <v>2</v>
      </c>
      <c r="AX318" s="4">
        <f t="shared" si="121"/>
        <v>30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AASLDEQQTMFYGSVKTGYTIGYGLSLATLLVATAILSLFCTRNYIHMHLFISFILRAAAVFIKDLALVGCKAAMVFFQYCVMANFFWLLVEGLYLYTLLAVSERKYFWGYILIGWGVPSTFTMVWTIARIHFELWWIIKGPILTSILVNFILFICIIRILLQKLSDSSPYSRLARSTLLLIPLFGVHYIMFAFFPEVKMVFELVVGSFQGFVVAILYCFLNGEVQAELRRKWRRWHLQGVLGWNPK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AASLDEQQTMFYGSVKTGYTIGYGLSLATLLVATAILSLF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128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39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30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SDPEDESKITFYILVKAIYTLGYSVSLMSLATGSIILCLFCTRNYIHLNLFLSFILRAISVLVKDDVLVGCKLSLVFLQYCIMANFFWLLVEGLYLHTLLVAPPRRCFLAYLLIGWGLPTVCIGAWTAARLYLEPWWVIRIPILISIIVNFVLFISIIRILLQKLNDQSQYKRLAKSTLLLIPLFGVHYMVFAVFSKYQILFELCLGSFQGLVVAVLYCFLNSEVQCELKRKWRSRCPTPSASRDYR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30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DISRRENGEVLPLKIVTYAAVSLSLAALLVAFVLLSLVSNLHSIHKHLAVALFLSQLVFVIGINQFLCTVVAILLHYIYMSTFAWTLVESLHVYRMLTEIDTGPMRFYYVVGWGIPAIVTGLAVGLDPQGYQDTLIWSFAGPIGAVIIINTVTSVLSAKVSCQRKGIVSLLRTAFLLLLLISATWLLGLLAALSFHYLFAIFSGLQGPFVLLFHCVLNQEVRKHLKGVLGGRKL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IDTGPMRFYYVVGWGIPAIVTGLAVGLDPQGY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GIVSLLRTAFLLLLLISATWLLGLLA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2566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2674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31</v>
      </c>
      <c r="AW348" s="4">
        <f t="shared" si="145"/>
        <v>2</v>
      </c>
      <c r="AX348" s="4">
        <f t="shared" si="146"/>
        <v>33</v>
      </c>
      <c r="AY348" s="4">
        <f t="shared" si="147"/>
        <v>25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50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50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50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50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50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50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50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50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22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workbookViewId="0">
      <selection activeCell="J8" sqref="J8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1157</v>
      </c>
      <c r="B1" s="32" t="s">
        <v>1115</v>
      </c>
      <c r="C1" s="32" t="s">
        <v>1403</v>
      </c>
      <c r="D1" s="33" t="s">
        <v>1227</v>
      </c>
      <c r="E1" s="32" t="s">
        <v>1404</v>
      </c>
      <c r="F1" s="32" t="s">
        <v>1405</v>
      </c>
      <c r="G1" s="85" t="s">
        <v>1368</v>
      </c>
      <c r="H1" s="32" t="s">
        <v>1493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457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465</v>
      </c>
      <c r="B5" s="1" t="s">
        <v>158</v>
      </c>
      <c r="C5" t="s">
        <v>909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929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1186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1196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1201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1194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1192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1183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1190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1184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1185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1189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1182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1181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1187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1197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1191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1195</v>
      </c>
      <c r="B37" s="1" t="s">
        <v>409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1413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1193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1176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1177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1178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418</v>
      </c>
      <c r="B44" s="1" t="s">
        <v>409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1200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1199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1180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1198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1179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1188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481</v>
      </c>
      <c r="B53" s="1" t="s">
        <v>158</v>
      </c>
      <c r="C53" t="s">
        <v>1171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484</v>
      </c>
      <c r="B54" s="1" t="s">
        <v>364</v>
      </c>
      <c r="C54" t="s">
        <v>1171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466</v>
      </c>
      <c r="B58" s="1" t="s">
        <v>132</v>
      </c>
      <c r="C58" t="s">
        <v>917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474</v>
      </c>
      <c r="B59" s="1" t="s">
        <v>1171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459</v>
      </c>
      <c r="B60" s="1" t="s">
        <v>360</v>
      </c>
      <c r="C60" t="s">
        <v>1175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477</v>
      </c>
      <c r="B64" s="1" t="s">
        <v>278</v>
      </c>
      <c r="C64" t="s">
        <v>923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3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220</v>
      </c>
      <c r="B77" s="1" t="s">
        <v>138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230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248</v>
      </c>
      <c r="B86" s="1" t="s">
        <v>1174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361</v>
      </c>
      <c r="B94" s="1" t="s">
        <v>473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281</v>
      </c>
      <c r="B104" s="1" t="s">
        <v>909</v>
      </c>
      <c r="C104" t="s">
        <v>909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909</v>
      </c>
      <c r="C105" t="s">
        <v>909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NoXtal</v>
      </c>
      <c r="J105" s="3"/>
    </row>
    <row r="106" spans="1:10" x14ac:dyDescent="0.2">
      <c r="A106" s="3" t="s">
        <v>909</v>
      </c>
      <c r="B106" s="1" t="s">
        <v>909</v>
      </c>
      <c r="C106" t="s">
        <v>909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909</v>
      </c>
      <c r="C107" t="s">
        <v>909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387</v>
      </c>
      <c r="B110" s="1" t="s">
        <v>191</v>
      </c>
      <c r="C110" t="s">
        <v>911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259</v>
      </c>
      <c r="B111" s="1" t="s">
        <v>191</v>
      </c>
      <c r="C111" t="s">
        <v>911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212</v>
      </c>
      <c r="B112" s="1" t="s">
        <v>133</v>
      </c>
      <c r="C112" t="s">
        <v>911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311</v>
      </c>
      <c r="B113" s="1" t="s">
        <v>311</v>
      </c>
      <c r="C113" t="s">
        <v>911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911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376</v>
      </c>
      <c r="B115" s="1" t="s">
        <v>138</v>
      </c>
      <c r="C115" t="s">
        <v>911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279</v>
      </c>
      <c r="B116" s="1" t="s">
        <v>126</v>
      </c>
      <c r="C116" t="s">
        <v>911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911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911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911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911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911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911</v>
      </c>
      <c r="B122" s="1" t="s">
        <v>911</v>
      </c>
      <c r="C122" t="s">
        <v>911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191</v>
      </c>
      <c r="C123" t="s">
        <v>911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191</v>
      </c>
      <c r="C124" t="s">
        <v>911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304</v>
      </c>
      <c r="B128" s="1" t="s">
        <v>360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374</v>
      </c>
      <c r="B141" s="1" t="s">
        <v>336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292</v>
      </c>
      <c r="B142" s="1" t="s">
        <v>360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NoXtal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3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1171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201</v>
      </c>
      <c r="B172" s="1" t="s">
        <v>360</v>
      </c>
      <c r="C172" t="s">
        <v>1171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202</v>
      </c>
      <c r="B173" s="1" t="s">
        <v>360</v>
      </c>
      <c r="C173" t="s">
        <v>1171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3" t="s">
        <v>1171</v>
      </c>
      <c r="B174" s="1" t="s">
        <v>1171</v>
      </c>
      <c r="C174" t="s">
        <v>1171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1171</v>
      </c>
      <c r="C175" t="s">
        <v>1171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1171</v>
      </c>
      <c r="C176" t="s">
        <v>1171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203</v>
      </c>
      <c r="B177" s="1" t="s">
        <v>360</v>
      </c>
      <c r="C177" t="s">
        <v>1171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293</v>
      </c>
      <c r="B178" s="1" t="s">
        <v>360</v>
      </c>
      <c r="C178" t="s">
        <v>1171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3" t="s">
        <v>273</v>
      </c>
      <c r="B183" s="1" t="s">
        <v>1174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3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263</v>
      </c>
      <c r="B186" s="1" t="s">
        <v>1175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3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3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1172</v>
      </c>
      <c r="B194" s="1" t="s">
        <v>1172</v>
      </c>
      <c r="C194" t="s">
        <v>1172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3" t="s">
        <v>198</v>
      </c>
      <c r="B195" s="1" t="s">
        <v>356</v>
      </c>
      <c r="C195" t="s">
        <v>1172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3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411</v>
      </c>
      <c r="B197" s="1" t="s">
        <v>409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3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3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3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3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3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3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106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3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3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3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3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3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3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3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3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3" t="s">
        <v>183</v>
      </c>
      <c r="B237" s="1" t="s">
        <v>183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Xtal</v>
      </c>
      <c r="J237" s="3"/>
    </row>
    <row r="238" spans="1:10" x14ac:dyDescent="0.2">
      <c r="A238" s="3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362</v>
      </c>
      <c r="B239" s="1" t="s">
        <v>364</v>
      </c>
      <c r="C239" t="s">
        <v>913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3" t="s">
        <v>209</v>
      </c>
      <c r="B240" s="1" t="s">
        <v>127</v>
      </c>
      <c r="C240" t="s">
        <v>913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330</v>
      </c>
      <c r="B241" s="1" t="s">
        <v>913</v>
      </c>
      <c r="C241" t="s">
        <v>913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3" t="s">
        <v>127</v>
      </c>
      <c r="B242" s="1" t="s">
        <v>127</v>
      </c>
      <c r="C242" t="s">
        <v>913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Xtal</v>
      </c>
      <c r="J242" s="3"/>
    </row>
    <row r="243" spans="1:10" x14ac:dyDescent="0.2">
      <c r="A243" s="3" t="s">
        <v>913</v>
      </c>
      <c r="B243" s="1" t="s">
        <v>913</v>
      </c>
      <c r="C243" t="s">
        <v>913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310</v>
      </c>
      <c r="B244" s="1" t="s">
        <v>127</v>
      </c>
      <c r="C244" t="s">
        <v>913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3" t="s">
        <v>216</v>
      </c>
      <c r="B245" s="1" t="s">
        <v>133</v>
      </c>
      <c r="C245" t="s">
        <v>913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318</v>
      </c>
      <c r="B246" s="1" t="s">
        <v>913</v>
      </c>
      <c r="C246" t="s">
        <v>913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319</v>
      </c>
      <c r="B247" s="1" t="s">
        <v>913</v>
      </c>
      <c r="C247" t="s">
        <v>913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256</v>
      </c>
      <c r="B248" s="1" t="s">
        <v>913</v>
      </c>
      <c r="C248" t="s">
        <v>913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224</v>
      </c>
      <c r="B249" s="1" t="s">
        <v>360</v>
      </c>
      <c r="C249" t="s">
        <v>913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321</v>
      </c>
      <c r="B250" s="1" t="s">
        <v>335</v>
      </c>
      <c r="C250" t="s">
        <v>915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268</v>
      </c>
      <c r="B251" s="1" t="s">
        <v>917</v>
      </c>
      <c r="C251" t="s">
        <v>915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300</v>
      </c>
      <c r="B252" s="1" t="s">
        <v>335</v>
      </c>
      <c r="C252" t="s">
        <v>915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3" t="s">
        <v>915</v>
      </c>
      <c r="B254" s="1" t="s">
        <v>915</v>
      </c>
      <c r="C254" t="s">
        <v>915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384</v>
      </c>
      <c r="B255" s="1" t="s">
        <v>335</v>
      </c>
      <c r="C255" t="s">
        <v>915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3" t="s">
        <v>360</v>
      </c>
      <c r="B256" s="1" t="s">
        <v>360</v>
      </c>
      <c r="C256" t="s">
        <v>915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3" t="s">
        <v>200</v>
      </c>
      <c r="B257" s="1" t="s">
        <v>1175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3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3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3" t="s">
        <v>205</v>
      </c>
      <c r="B263" s="1" t="s">
        <v>336</v>
      </c>
      <c r="C263" t="s">
        <v>917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382</v>
      </c>
      <c r="B264" s="1" t="s">
        <v>336</v>
      </c>
      <c r="C264" t="s">
        <v>917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385</v>
      </c>
      <c r="B265" s="1" t="s">
        <v>336</v>
      </c>
      <c r="C265" t="s">
        <v>917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917</v>
      </c>
      <c r="B266" s="1" t="s">
        <v>917</v>
      </c>
      <c r="C266" t="s">
        <v>917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3" t="s">
        <v>337</v>
      </c>
      <c r="B267" s="1" t="s">
        <v>917</v>
      </c>
      <c r="C267" t="s">
        <v>917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3" t="s">
        <v>381</v>
      </c>
      <c r="B268" s="1" t="s">
        <v>336</v>
      </c>
      <c r="C268" t="s">
        <v>917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397</v>
      </c>
      <c r="B269" s="1" t="s">
        <v>1175</v>
      </c>
      <c r="C269" t="s">
        <v>917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207</v>
      </c>
      <c r="B270" s="1" t="s">
        <v>336</v>
      </c>
      <c r="C270" t="s">
        <v>917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336</v>
      </c>
      <c r="C271" t="s">
        <v>917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210</v>
      </c>
      <c r="B272" s="1" t="s">
        <v>160</v>
      </c>
      <c r="C272" t="s">
        <v>917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217</v>
      </c>
      <c r="B273" s="1" t="s">
        <v>278</v>
      </c>
      <c r="C273" t="s">
        <v>1173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320</v>
      </c>
      <c r="B274" s="1" t="s">
        <v>915</v>
      </c>
      <c r="C274" t="s">
        <v>1173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299</v>
      </c>
      <c r="B275" s="1" t="s">
        <v>336</v>
      </c>
      <c r="C275" t="s">
        <v>1173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399</v>
      </c>
      <c r="B276" s="1" t="s">
        <v>913</v>
      </c>
      <c r="C276" t="s">
        <v>1173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218</v>
      </c>
      <c r="B277" s="1" t="s">
        <v>132</v>
      </c>
      <c r="C277" t="s">
        <v>1173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1173</v>
      </c>
      <c r="B278" s="1" t="s">
        <v>1173</v>
      </c>
      <c r="C278" t="s">
        <v>1173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3" t="s">
        <v>396</v>
      </c>
      <c r="B279" s="1" t="s">
        <v>126</v>
      </c>
      <c r="C279" t="s">
        <v>1173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3" t="s">
        <v>282</v>
      </c>
      <c r="B280" s="1" t="s">
        <v>336</v>
      </c>
      <c r="C280" t="s">
        <v>1173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394</v>
      </c>
      <c r="B281" s="1" t="s">
        <v>1173</v>
      </c>
      <c r="C281" t="s">
        <v>1173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398</v>
      </c>
      <c r="B282" s="1" t="s">
        <v>127</v>
      </c>
      <c r="C282" t="s">
        <v>1173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383</v>
      </c>
      <c r="B283" s="1" t="s">
        <v>336</v>
      </c>
      <c r="C283" t="s">
        <v>1173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919</v>
      </c>
      <c r="B284" s="1" t="s">
        <v>919</v>
      </c>
      <c r="C284" t="s">
        <v>919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3" t="s">
        <v>332</v>
      </c>
      <c r="B285" s="1" t="s">
        <v>919</v>
      </c>
      <c r="C285" t="s">
        <v>919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3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3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3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334</v>
      </c>
      <c r="B291" s="1" t="s">
        <v>919</v>
      </c>
      <c r="C291" t="s">
        <v>921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339</v>
      </c>
      <c r="C292" t="s">
        <v>921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921</v>
      </c>
      <c r="B293" s="1" t="s">
        <v>921</v>
      </c>
      <c r="C293" t="s">
        <v>921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3" t="s">
        <v>270</v>
      </c>
      <c r="B294" s="1" t="s">
        <v>132</v>
      </c>
      <c r="C294" t="s">
        <v>1174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3" t="s">
        <v>326</v>
      </c>
      <c r="B295" s="1" t="s">
        <v>1175</v>
      </c>
      <c r="C295" t="s">
        <v>1174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344</v>
      </c>
      <c r="B296" s="1" t="s">
        <v>1175</v>
      </c>
      <c r="C296" t="s">
        <v>1174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1174</v>
      </c>
      <c r="B297" s="1" t="s">
        <v>1174</v>
      </c>
      <c r="C297" t="s">
        <v>1174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267</v>
      </c>
      <c r="B298" s="1" t="s">
        <v>191</v>
      </c>
      <c r="C298" t="s">
        <v>1174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3" t="s">
        <v>222</v>
      </c>
      <c r="B299" s="1" t="s">
        <v>1175</v>
      </c>
      <c r="C299" t="s">
        <v>1174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323</v>
      </c>
      <c r="B300" s="1" t="s">
        <v>1174</v>
      </c>
      <c r="C300" t="s">
        <v>1174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315</v>
      </c>
      <c r="B301" s="1" t="s">
        <v>314</v>
      </c>
      <c r="C301" t="s">
        <v>1174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215</v>
      </c>
      <c r="B302" s="1" t="s">
        <v>311</v>
      </c>
      <c r="C302" t="s">
        <v>1174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232</v>
      </c>
      <c r="B303" s="1" t="s">
        <v>1174</v>
      </c>
      <c r="C303" t="s">
        <v>1174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328</v>
      </c>
      <c r="B304" s="1" t="s">
        <v>325</v>
      </c>
      <c r="C304" t="s">
        <v>1175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369</v>
      </c>
      <c r="B305" s="1" t="s">
        <v>1175</v>
      </c>
      <c r="C305" t="s">
        <v>1175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359</v>
      </c>
      <c r="B306" s="1" t="s">
        <v>364</v>
      </c>
      <c r="C306" t="s">
        <v>1175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324</v>
      </c>
      <c r="B307" s="1" t="s">
        <v>133</v>
      </c>
      <c r="C307" t="s">
        <v>1175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247</v>
      </c>
      <c r="B308" s="1" t="s">
        <v>191</v>
      </c>
      <c r="C308" t="s">
        <v>1175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260</v>
      </c>
      <c r="B309" s="1" t="s">
        <v>132</v>
      </c>
      <c r="C309" t="s">
        <v>1175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244</v>
      </c>
      <c r="B310" s="1" t="s">
        <v>35</v>
      </c>
      <c r="C310" t="s">
        <v>1175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3" t="s">
        <v>368</v>
      </c>
      <c r="B311" s="1" t="s">
        <v>1175</v>
      </c>
      <c r="C311" t="s">
        <v>1175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1174</v>
      </c>
      <c r="C312" t="s">
        <v>1175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327</v>
      </c>
      <c r="B313" s="1" t="s">
        <v>325</v>
      </c>
      <c r="C313" t="s">
        <v>1175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312</v>
      </c>
      <c r="B314" s="1" t="s">
        <v>312</v>
      </c>
      <c r="C314" t="s">
        <v>1175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Xtal</v>
      </c>
      <c r="J314" s="3"/>
    </row>
    <row r="315" spans="1:10" x14ac:dyDescent="0.2">
      <c r="A315" s="3" t="s">
        <v>208</v>
      </c>
      <c r="B315" s="1" t="s">
        <v>1175</v>
      </c>
      <c r="C315" t="s">
        <v>1175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3" t="s">
        <v>167</v>
      </c>
      <c r="B316" s="1" t="s">
        <v>1174</v>
      </c>
      <c r="C316" t="s">
        <v>1175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325</v>
      </c>
      <c r="B317" s="1" t="s">
        <v>325</v>
      </c>
      <c r="C317" t="s">
        <v>1175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3" t="s">
        <v>163</v>
      </c>
      <c r="B318" s="1" t="s">
        <v>196</v>
      </c>
      <c r="C318" t="s">
        <v>1175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3" t="s">
        <v>269</v>
      </c>
      <c r="B319" s="1" t="s">
        <v>1175</v>
      </c>
      <c r="C319" t="s">
        <v>1175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1175</v>
      </c>
      <c r="B320" s="1" t="s">
        <v>1175</v>
      </c>
      <c r="C320" t="s">
        <v>1175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3" t="s">
        <v>242</v>
      </c>
      <c r="B321" s="1" t="s">
        <v>1175</v>
      </c>
      <c r="C321" t="s">
        <v>1175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3" t="s">
        <v>372</v>
      </c>
      <c r="B322" s="1" t="s">
        <v>1175</v>
      </c>
      <c r="C322" t="s">
        <v>1175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322</v>
      </c>
      <c r="B323" s="1" t="s">
        <v>1174</v>
      </c>
      <c r="C323" t="s">
        <v>1175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314</v>
      </c>
      <c r="B324" s="1" t="s">
        <v>314</v>
      </c>
      <c r="C324" t="s">
        <v>1175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3" t="s">
        <v>316</v>
      </c>
      <c r="B325" s="1" t="s">
        <v>314</v>
      </c>
      <c r="C325" t="s">
        <v>1175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3" t="s">
        <v>223</v>
      </c>
      <c r="B326" s="1" t="s">
        <v>159</v>
      </c>
      <c r="C326" t="s">
        <v>1175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225</v>
      </c>
      <c r="B327" s="1" t="s">
        <v>193</v>
      </c>
      <c r="C327" t="s">
        <v>1175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313</v>
      </c>
      <c r="B328" s="1" t="s">
        <v>311</v>
      </c>
      <c r="C328" t="s">
        <v>1175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329</v>
      </c>
      <c r="B329" s="1" t="s">
        <v>325</v>
      </c>
      <c r="C329" t="s">
        <v>1175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3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3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3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NoXtal</v>
      </c>
      <c r="J338" s="3"/>
    </row>
    <row r="339" spans="1:10" x14ac:dyDescent="0.2">
      <c r="A339" s="3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3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Xtal</v>
      </c>
      <c r="J343" s="3"/>
    </row>
    <row r="344" spans="1:10" x14ac:dyDescent="0.2">
      <c r="A344" s="3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3" t="s">
        <v>290</v>
      </c>
      <c r="B345" s="1" t="s">
        <v>371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3" t="s">
        <v>1440</v>
      </c>
      <c r="B346" s="1" t="s">
        <v>1440</v>
      </c>
      <c r="C346" t="s">
        <v>1440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>OR(D346=F346,AND(D346="T",F346="A"),AND(D346="B2",F346="B1"),D346="O")</f>
        <v>1</v>
      </c>
      <c r="H346" s="10" t="str">
        <f>IF(ISERROR(MATCH(A346,'SegEnds_Xtal_Prot#'!B:B, 0)), "NoXtal", "Xtal")</f>
        <v>Xtal</v>
      </c>
      <c r="J346" s="3"/>
    </row>
    <row r="347" spans="1:10" x14ac:dyDescent="0.2">
      <c r="A347" s="3" t="s">
        <v>1451</v>
      </c>
      <c r="B347" s="1" t="s">
        <v>1451</v>
      </c>
      <c r="C347" t="s">
        <v>1451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3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H348" s="10" t="str">
        <f>IF(ISERROR(MATCH(A348,'SegEnds_Xtal_Prot#'!B:B, 0)), "NoXtal", "Xtal")</f>
        <v>NoXtal</v>
      </c>
      <c r="J348" s="3"/>
    </row>
    <row r="349" spans="1:10" x14ac:dyDescent="0.2">
      <c r="A349" s="3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3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257</v>
      </c>
      <c r="B358" s="1" t="s">
        <v>371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Xtal</v>
      </c>
      <c r="J363" s="3"/>
    </row>
    <row r="364" spans="1:10" x14ac:dyDescent="0.2">
      <c r="A364" s="3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3" t="s">
        <v>307</v>
      </c>
      <c r="B365" s="1" t="s">
        <v>360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3" t="s">
        <v>371</v>
      </c>
      <c r="B366" s="1" t="s">
        <v>371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Xtal</v>
      </c>
      <c r="J366" s="3"/>
    </row>
    <row r="367" spans="1:10" x14ac:dyDescent="0.2">
      <c r="A367" s="3" t="s">
        <v>234</v>
      </c>
      <c r="B367" s="1" t="s">
        <v>173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3" t="s">
        <v>365</v>
      </c>
      <c r="B368" s="1" t="s">
        <v>473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3" t="s">
        <v>253</v>
      </c>
      <c r="B369" s="1" t="s">
        <v>371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364</v>
      </c>
      <c r="B370" s="1" t="s">
        <v>364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Xtal</v>
      </c>
      <c r="J370" s="3"/>
    </row>
    <row r="371" spans="1:10" x14ac:dyDescent="0.2">
      <c r="A371" s="3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3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3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302</v>
      </c>
      <c r="B374" s="1" t="s">
        <v>1171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Xtal</v>
      </c>
      <c r="J376" s="3"/>
    </row>
    <row r="377" spans="1:10" x14ac:dyDescent="0.2">
      <c r="A377" s="3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3" t="s">
        <v>243</v>
      </c>
      <c r="B378" s="1" t="s">
        <v>336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NoXtal</v>
      </c>
      <c r="J378" s="3"/>
    </row>
    <row r="379" spans="1:10" x14ac:dyDescent="0.2">
      <c r="A379" s="3" t="s">
        <v>349</v>
      </c>
      <c r="B379" s="1" t="s">
        <v>356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3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3" t="s">
        <v>363</v>
      </c>
      <c r="B388" s="1" t="s">
        <v>363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Xtal</v>
      </c>
      <c r="J388" s="3"/>
    </row>
    <row r="389" spans="1:10" x14ac:dyDescent="0.2">
      <c r="A389" s="3" t="s">
        <v>473</v>
      </c>
      <c r="B389" s="1" t="s">
        <v>473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6">OR(D389=F389,AND(D389="T",F389="A"),AND(D389="B2",F389="B1"),D389="O")</f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3" t="s">
        <v>213</v>
      </c>
      <c r="B390" s="1" t="s">
        <v>132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NoXtal</v>
      </c>
      <c r="J390" s="3"/>
    </row>
    <row r="391" spans="1:10" x14ac:dyDescent="0.2">
      <c r="A391" s="3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3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H392" s="10" t="str">
        <f>IF(ISERROR(MATCH(A392,'SegEnds_Xtal_Prot#'!B:B, 0)), "NoXtal", "Xtal")</f>
        <v>Xtal</v>
      </c>
      <c r="J392" s="3"/>
    </row>
    <row r="393" spans="1:10" x14ac:dyDescent="0.2">
      <c r="A393" s="3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3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6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3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6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448</v>
      </c>
      <c r="B396" s="1" t="s">
        <v>450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453</v>
      </c>
      <c r="B397" s="1" t="s">
        <v>450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446</v>
      </c>
      <c r="B398" s="1" t="s">
        <v>450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450</v>
      </c>
      <c r="B399" s="1" t="s">
        <v>450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H399" s="10" t="str">
        <f>IF(ISERROR(MATCH(A399,'SegEnds_Xtal_Prot#'!B:B, 0)), "NoXtal", "Xtal")</f>
        <v>Xtal</v>
      </c>
      <c r="J399" s="3"/>
    </row>
    <row r="400" spans="1:10" x14ac:dyDescent="0.2">
      <c r="A400" s="3" t="s">
        <v>447</v>
      </c>
      <c r="B400" s="1" t="s">
        <v>450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3" t="s">
        <v>455</v>
      </c>
      <c r="B401" s="1" t="s">
        <v>450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3" t="s">
        <v>451</v>
      </c>
      <c r="B402" s="1" t="s">
        <v>450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454</v>
      </c>
      <c r="B403" s="1" t="s">
        <v>450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449</v>
      </c>
      <c r="B404" s="1" t="s">
        <v>450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452</v>
      </c>
      <c r="B405" s="1" t="s">
        <v>450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6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6"/>
        <v>1</v>
      </c>
      <c r="H406" s="10" t="str">
        <f>IF(ISERROR(MATCH(A406,'SegEnds_Xtal_Prot#'!B:B, 0)), "NoXtal", "Xtal")</f>
        <v>Xtal</v>
      </c>
      <c r="J406" s="3"/>
    </row>
    <row r="407" spans="1:10" x14ac:dyDescent="0.2">
      <c r="A407" s="3" t="s">
        <v>923</v>
      </c>
      <c r="B407" s="1" t="s">
        <v>923</v>
      </c>
      <c r="C407" t="s">
        <v>923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6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3" t="s">
        <v>221</v>
      </c>
      <c r="B408" s="1" t="s">
        <v>104</v>
      </c>
      <c r="C408" t="s">
        <v>923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6"/>
        <v>1</v>
      </c>
      <c r="H408" s="10" t="str">
        <f>IF(ISERROR(MATCH(A408,'SegEnds_Xtal_Prot#'!B:B, 0)), "NoXtal", "Xtal")</f>
        <v>NoXtal</v>
      </c>
      <c r="J408" s="3"/>
    </row>
    <row r="409" spans="1:10" x14ac:dyDescent="0.2">
      <c r="A409" s="1" t="s">
        <v>1420</v>
      </c>
      <c r="B409" s="1" t="s">
        <v>1420</v>
      </c>
      <c r="C409" t="s">
        <v>1420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1" t="s">
        <v>1495</v>
      </c>
      <c r="B410" s="1" t="s">
        <v>1495</v>
      </c>
      <c r="C410" s="122" t="s">
        <v>1495</v>
      </c>
      <c r="D410" s="28" t="str">
        <f>VLOOKUP(A410,Classification!$A:$D,2,FALSE)</f>
        <v>F</v>
      </c>
      <c r="E410" s="49" t="str">
        <f>VLOOKUP(B410,Classification!$A:$D,2,FALSE)</f>
        <v>F</v>
      </c>
      <c r="F410" s="15" t="str">
        <f>VLOOKUP(C410,Classification!$A:$D,2,FALSE)</f>
        <v>F</v>
      </c>
      <c r="G410" s="15" t="b">
        <f>OR(D410=F410,AND(D410="T",F410="A"),AND(D410="B2",F410="B1"),D410="O")</f>
        <v>1</v>
      </c>
      <c r="H410" s="10" t="str">
        <f>IF(ISERROR(MATCH(A410,'SegEnds_Xtal_Prot#'!B:B, 0)), "NoXtal", "Xtal")</f>
        <v>Xtal</v>
      </c>
    </row>
    <row r="411" spans="1:10" x14ac:dyDescent="0.2">
      <c r="A411" s="1" t="s">
        <v>1507</v>
      </c>
      <c r="B411" s="1" t="s">
        <v>1507</v>
      </c>
      <c r="C411" s="122" t="s">
        <v>1507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>OR(D411=F411,AND(D411="T",F411="A"),AND(D411="B2",F411="B1"),D411="O")</f>
        <v>1</v>
      </c>
      <c r="H411" s="10" t="str">
        <f>IF(ISERROR(MATCH(A411,'SegEnds_Xtal_Prot#'!B:B, 0)), "NoXtal", "Xtal")</f>
        <v>Xtal</v>
      </c>
    </row>
    <row r="434" spans="4:7" ht="17" customHeight="1" x14ac:dyDescent="0.2">
      <c r="D434" s="7"/>
      <c r="E434" s="7"/>
      <c r="F434" s="7"/>
      <c r="G434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2:G1048576">
    <cfRule type="cellIs" dxfId="9" priority="5" operator="equal">
      <formula>FALSE</formula>
    </cfRule>
  </conditionalFormatting>
  <conditionalFormatting sqref="G2:G411">
    <cfRule type="cellIs" dxfId="8" priority="4" operator="equal">
      <formula>FALSE</formula>
    </cfRule>
  </conditionalFormatting>
  <conditionalFormatting sqref="H2:H1048576">
    <cfRule type="cellIs" dxfId="7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931</v>
      </c>
      <c r="C1" s="10" t="s">
        <v>934</v>
      </c>
      <c r="D1" s="10" t="s">
        <v>935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936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936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936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936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936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936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936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936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936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936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936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936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938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938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938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938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938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938</v>
      </c>
    </row>
    <row r="20" spans="1:4" x14ac:dyDescent="0.2">
      <c r="A20" s="3" t="s">
        <v>138</v>
      </c>
      <c r="B20" s="3" t="s">
        <v>1</v>
      </c>
      <c r="C20" s="3" t="s">
        <v>937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937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937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937</v>
      </c>
      <c r="D23" s="3" t="s">
        <v>15</v>
      </c>
    </row>
    <row r="24" spans="1:4" x14ac:dyDescent="0.2">
      <c r="A24" s="3" t="s">
        <v>414</v>
      </c>
      <c r="B24" s="3" t="s">
        <v>943</v>
      </c>
      <c r="C24" s="3" t="s">
        <v>944</v>
      </c>
      <c r="D24" s="3" t="s">
        <v>945</v>
      </c>
    </row>
    <row r="25" spans="1:4" x14ac:dyDescent="0.2">
      <c r="A25" s="3" t="s">
        <v>415</v>
      </c>
      <c r="B25" s="3" t="s">
        <v>943</v>
      </c>
      <c r="C25" s="3" t="s">
        <v>944</v>
      </c>
      <c r="D25" s="3" t="s">
        <v>945</v>
      </c>
    </row>
    <row r="26" spans="1:4" x14ac:dyDescent="0.2">
      <c r="A26" s="3" t="s">
        <v>416</v>
      </c>
      <c r="B26" s="3" t="s">
        <v>943</v>
      </c>
      <c r="C26" s="3" t="s">
        <v>944</v>
      </c>
      <c r="D26" s="3" t="s">
        <v>945</v>
      </c>
    </row>
    <row r="27" spans="1:4" x14ac:dyDescent="0.2">
      <c r="A27" s="3" t="s">
        <v>417</v>
      </c>
      <c r="B27" s="3" t="s">
        <v>943</v>
      </c>
      <c r="C27" s="3" t="s">
        <v>944</v>
      </c>
      <c r="D27" s="3" t="s">
        <v>945</v>
      </c>
    </row>
    <row r="28" spans="1:4" x14ac:dyDescent="0.2">
      <c r="A28" s="3" t="s">
        <v>418</v>
      </c>
      <c r="B28" s="3" t="s">
        <v>943</v>
      </c>
      <c r="C28" s="3" t="s">
        <v>944</v>
      </c>
      <c r="D28" s="3" t="s">
        <v>945</v>
      </c>
    </row>
    <row r="29" spans="1:4" x14ac:dyDescent="0.2">
      <c r="A29" s="3" t="s">
        <v>419</v>
      </c>
      <c r="B29" s="3" t="s">
        <v>943</v>
      </c>
      <c r="C29" s="3" t="s">
        <v>944</v>
      </c>
      <c r="D29" s="3" t="s">
        <v>945</v>
      </c>
    </row>
    <row r="30" spans="1:4" x14ac:dyDescent="0.2">
      <c r="A30" s="3" t="s">
        <v>420</v>
      </c>
      <c r="B30" s="3" t="s">
        <v>943</v>
      </c>
      <c r="C30" s="3" t="s">
        <v>944</v>
      </c>
      <c r="D30" s="3" t="s">
        <v>945</v>
      </c>
    </row>
    <row r="31" spans="1:4" x14ac:dyDescent="0.2">
      <c r="A31" s="3" t="s">
        <v>421</v>
      </c>
      <c r="B31" s="3" t="s">
        <v>943</v>
      </c>
      <c r="C31" s="3" t="s">
        <v>944</v>
      </c>
      <c r="D31" s="3" t="s">
        <v>945</v>
      </c>
    </row>
    <row r="32" spans="1:4" x14ac:dyDescent="0.2">
      <c r="A32" s="3" t="s">
        <v>422</v>
      </c>
      <c r="B32" s="3" t="s">
        <v>943</v>
      </c>
      <c r="C32" s="3" t="s">
        <v>944</v>
      </c>
      <c r="D32" s="3" t="s">
        <v>945</v>
      </c>
    </row>
    <row r="33" spans="1:4" x14ac:dyDescent="0.2">
      <c r="A33" s="3" t="s">
        <v>423</v>
      </c>
      <c r="B33" s="3" t="s">
        <v>943</v>
      </c>
      <c r="C33" s="3" t="s">
        <v>944</v>
      </c>
      <c r="D33" s="3" t="s">
        <v>945</v>
      </c>
    </row>
    <row r="34" spans="1:4" x14ac:dyDescent="0.2">
      <c r="A34" s="3" t="s">
        <v>424</v>
      </c>
      <c r="B34" s="3" t="s">
        <v>943</v>
      </c>
      <c r="C34" s="3" t="s">
        <v>944</v>
      </c>
      <c r="D34" s="3" t="s">
        <v>945</v>
      </c>
    </row>
    <row r="35" spans="1:4" x14ac:dyDescent="0.2">
      <c r="A35" s="3" t="s">
        <v>425</v>
      </c>
      <c r="B35" s="3" t="s">
        <v>943</v>
      </c>
      <c r="C35" s="3" t="s">
        <v>944</v>
      </c>
      <c r="D35" s="3" t="s">
        <v>945</v>
      </c>
    </row>
    <row r="36" spans="1:4" x14ac:dyDescent="0.2">
      <c r="A36" s="3" t="s">
        <v>426</v>
      </c>
      <c r="B36" s="3" t="s">
        <v>943</v>
      </c>
      <c r="C36" s="3" t="s">
        <v>944</v>
      </c>
      <c r="D36" s="3" t="s">
        <v>945</v>
      </c>
    </row>
    <row r="37" spans="1:4" x14ac:dyDescent="0.2">
      <c r="A37" s="3" t="s">
        <v>427</v>
      </c>
      <c r="B37" s="3" t="s">
        <v>943</v>
      </c>
      <c r="C37" s="3" t="s">
        <v>944</v>
      </c>
      <c r="D37" s="3" t="s">
        <v>945</v>
      </c>
    </row>
    <row r="38" spans="1:4" x14ac:dyDescent="0.2">
      <c r="A38" s="3" t="s">
        <v>428</v>
      </c>
      <c r="B38" s="3" t="s">
        <v>943</v>
      </c>
      <c r="C38" s="3" t="s">
        <v>944</v>
      </c>
      <c r="D38" s="3" t="s">
        <v>945</v>
      </c>
    </row>
    <row r="39" spans="1:4" x14ac:dyDescent="0.2">
      <c r="A39" s="3" t="s">
        <v>429</v>
      </c>
      <c r="B39" s="3" t="s">
        <v>943</v>
      </c>
      <c r="C39" s="3" t="s">
        <v>944</v>
      </c>
      <c r="D39" s="3" t="s">
        <v>945</v>
      </c>
    </row>
    <row r="40" spans="1:4" x14ac:dyDescent="0.2">
      <c r="A40" s="3" t="s">
        <v>430</v>
      </c>
      <c r="B40" s="3" t="s">
        <v>943</v>
      </c>
      <c r="C40" s="3" t="s">
        <v>944</v>
      </c>
      <c r="D40" s="3" t="s">
        <v>945</v>
      </c>
    </row>
    <row r="41" spans="1:4" x14ac:dyDescent="0.2">
      <c r="A41" s="3" t="s">
        <v>431</v>
      </c>
      <c r="B41" s="3" t="s">
        <v>943</v>
      </c>
      <c r="C41" s="3" t="s">
        <v>944</v>
      </c>
      <c r="D41" s="3" t="s">
        <v>945</v>
      </c>
    </row>
    <row r="42" spans="1:4" x14ac:dyDescent="0.2">
      <c r="A42" s="3" t="s">
        <v>432</v>
      </c>
      <c r="B42" s="3" t="s">
        <v>943</v>
      </c>
      <c r="C42" s="3" t="s">
        <v>944</v>
      </c>
      <c r="D42" s="3" t="s">
        <v>945</v>
      </c>
    </row>
    <row r="43" spans="1:4" x14ac:dyDescent="0.2">
      <c r="A43" s="3" t="s">
        <v>433</v>
      </c>
      <c r="B43" s="3" t="s">
        <v>943</v>
      </c>
      <c r="C43" s="3" t="s">
        <v>944</v>
      </c>
      <c r="D43" s="3" t="s">
        <v>945</v>
      </c>
    </row>
    <row r="44" spans="1:4" x14ac:dyDescent="0.2">
      <c r="A44" s="3" t="s">
        <v>434</v>
      </c>
      <c r="B44" s="3" t="s">
        <v>943</v>
      </c>
      <c r="C44" s="3" t="s">
        <v>944</v>
      </c>
      <c r="D44" s="3" t="s">
        <v>945</v>
      </c>
    </row>
    <row r="45" spans="1:4" x14ac:dyDescent="0.2">
      <c r="A45" s="3" t="s">
        <v>435</v>
      </c>
      <c r="B45" s="3" t="s">
        <v>943</v>
      </c>
      <c r="C45" s="3" t="s">
        <v>944</v>
      </c>
      <c r="D45" s="3" t="s">
        <v>945</v>
      </c>
    </row>
    <row r="46" spans="1:4" x14ac:dyDescent="0.2">
      <c r="A46" s="3" t="s">
        <v>1413</v>
      </c>
      <c r="B46" s="3" t="s">
        <v>943</v>
      </c>
      <c r="C46" s="3" t="s">
        <v>944</v>
      </c>
      <c r="D46" s="3" t="s">
        <v>945</v>
      </c>
    </row>
    <row r="47" spans="1:4" x14ac:dyDescent="0.2">
      <c r="A47" s="3" t="s">
        <v>436</v>
      </c>
      <c r="B47" s="3" t="s">
        <v>943</v>
      </c>
      <c r="C47" s="3" t="s">
        <v>944</v>
      </c>
      <c r="D47" s="3" t="s">
        <v>945</v>
      </c>
    </row>
    <row r="48" spans="1:4" x14ac:dyDescent="0.2">
      <c r="A48" s="3" t="s">
        <v>437</v>
      </c>
      <c r="B48" s="3" t="s">
        <v>943</v>
      </c>
      <c r="C48" s="3" t="s">
        <v>944</v>
      </c>
      <c r="D48" s="3" t="s">
        <v>945</v>
      </c>
    </row>
    <row r="49" spans="1:4" x14ac:dyDescent="0.2">
      <c r="A49" s="3" t="s">
        <v>438</v>
      </c>
      <c r="B49" s="3" t="s">
        <v>943</v>
      </c>
      <c r="C49" s="3" t="s">
        <v>944</v>
      </c>
      <c r="D49" s="3" t="s">
        <v>945</v>
      </c>
    </row>
    <row r="50" spans="1:4" x14ac:dyDescent="0.2">
      <c r="A50" s="3" t="s">
        <v>439</v>
      </c>
      <c r="B50" s="3" t="s">
        <v>943</v>
      </c>
      <c r="C50" s="3" t="s">
        <v>944</v>
      </c>
      <c r="D50" s="3" t="s">
        <v>945</v>
      </c>
    </row>
    <row r="51" spans="1:4" x14ac:dyDescent="0.2">
      <c r="A51" s="3" t="s">
        <v>440</v>
      </c>
      <c r="B51" s="3" t="s">
        <v>943</v>
      </c>
      <c r="C51" s="3" t="s">
        <v>944</v>
      </c>
      <c r="D51" s="3" t="s">
        <v>945</v>
      </c>
    </row>
    <row r="52" spans="1:4" x14ac:dyDescent="0.2">
      <c r="A52" s="3" t="s">
        <v>441</v>
      </c>
      <c r="B52" s="3" t="s">
        <v>943</v>
      </c>
      <c r="C52" s="3" t="s">
        <v>944</v>
      </c>
      <c r="D52" s="3" t="s">
        <v>945</v>
      </c>
    </row>
    <row r="53" spans="1:4" x14ac:dyDescent="0.2">
      <c r="A53" s="3" t="s">
        <v>442</v>
      </c>
      <c r="B53" s="3" t="s">
        <v>943</v>
      </c>
      <c r="C53" s="3" t="s">
        <v>944</v>
      </c>
      <c r="D53" s="3" t="s">
        <v>945</v>
      </c>
    </row>
    <row r="54" spans="1:4" x14ac:dyDescent="0.2">
      <c r="A54" s="3" t="s">
        <v>443</v>
      </c>
      <c r="B54" s="3" t="s">
        <v>943</v>
      </c>
      <c r="C54" s="3" t="s">
        <v>944</v>
      </c>
      <c r="D54" s="3" t="s">
        <v>945</v>
      </c>
    </row>
    <row r="55" spans="1:4" x14ac:dyDescent="0.2">
      <c r="A55" s="3" t="s">
        <v>444</v>
      </c>
      <c r="B55" s="3" t="s">
        <v>943</v>
      </c>
      <c r="C55" s="3" t="s">
        <v>944</v>
      </c>
      <c r="D55" s="3" t="s">
        <v>945</v>
      </c>
    </row>
    <row r="56" spans="1:4" x14ac:dyDescent="0.2">
      <c r="A56" s="3" t="s">
        <v>445</v>
      </c>
      <c r="B56" s="3" t="s">
        <v>943</v>
      </c>
      <c r="C56" s="3" t="s">
        <v>944</v>
      </c>
      <c r="D56" s="3" t="s">
        <v>945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940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940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940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940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940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940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940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940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940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940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941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941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942</v>
      </c>
    </row>
    <row r="70" spans="1:4" x14ac:dyDescent="0.2">
      <c r="A70" s="3" t="s">
        <v>235</v>
      </c>
      <c r="B70" s="3" t="s">
        <v>1</v>
      </c>
      <c r="C70" s="3" t="s">
        <v>974</v>
      </c>
      <c r="D70" s="3" t="s">
        <v>975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947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947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947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946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946</v>
      </c>
    </row>
    <row r="76" spans="1:4" x14ac:dyDescent="0.2">
      <c r="A76" s="3" t="s">
        <v>401</v>
      </c>
      <c r="B76" s="3" t="s">
        <v>949</v>
      </c>
      <c r="C76" s="3" t="s">
        <v>17</v>
      </c>
      <c r="D76" s="3" t="s">
        <v>950</v>
      </c>
    </row>
    <row r="77" spans="1:4" x14ac:dyDescent="0.2">
      <c r="A77" s="3" t="s">
        <v>402</v>
      </c>
      <c r="B77" s="3" t="s">
        <v>949</v>
      </c>
      <c r="C77" s="3" t="s">
        <v>17</v>
      </c>
      <c r="D77" s="3" t="s">
        <v>950</v>
      </c>
    </row>
    <row r="78" spans="1:4" x14ac:dyDescent="0.2">
      <c r="A78" s="3" t="s">
        <v>105</v>
      </c>
      <c r="B78" s="3" t="s">
        <v>27</v>
      </c>
      <c r="C78" s="3" t="s">
        <v>951</v>
      </c>
      <c r="D78" s="3" t="s">
        <v>952</v>
      </c>
    </row>
    <row r="79" spans="1:4" x14ac:dyDescent="0.2">
      <c r="A79" s="3" t="s">
        <v>114</v>
      </c>
      <c r="B79" s="3" t="s">
        <v>27</v>
      </c>
      <c r="C79" s="3" t="s">
        <v>951</v>
      </c>
      <c r="D79" s="3" t="s">
        <v>952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956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956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955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932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932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932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932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932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932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932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932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932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932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932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932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932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932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932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932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932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932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932</v>
      </c>
    </row>
    <row r="102" spans="1:4" x14ac:dyDescent="0.2">
      <c r="A102" s="3" t="s">
        <v>1030</v>
      </c>
      <c r="B102" s="3" t="s">
        <v>1</v>
      </c>
      <c r="C102" s="3" t="s">
        <v>29</v>
      </c>
      <c r="D102" s="3" t="s">
        <v>932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932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932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932</v>
      </c>
    </row>
    <row r="106" spans="1:4" x14ac:dyDescent="0.2">
      <c r="A106" s="3" t="s">
        <v>1507</v>
      </c>
      <c r="B106" s="3" t="s">
        <v>1</v>
      </c>
      <c r="C106" s="3" t="s">
        <v>17</v>
      </c>
      <c r="D106" s="3" t="s">
        <v>932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932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953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953</v>
      </c>
    </row>
    <row r="110" spans="1:4" x14ac:dyDescent="0.2">
      <c r="A110" s="3" t="s">
        <v>197</v>
      </c>
      <c r="B110" s="3" t="s">
        <v>1</v>
      </c>
      <c r="C110" s="3" t="s">
        <v>944</v>
      </c>
      <c r="D110" s="3" t="s">
        <v>960</v>
      </c>
    </row>
    <row r="111" spans="1:4" x14ac:dyDescent="0.2">
      <c r="A111" s="3" t="s">
        <v>212</v>
      </c>
      <c r="B111" s="3" t="s">
        <v>1</v>
      </c>
      <c r="C111" s="3" t="s">
        <v>944</v>
      </c>
      <c r="D111" s="3" t="s">
        <v>960</v>
      </c>
    </row>
    <row r="112" spans="1:4" x14ac:dyDescent="0.2">
      <c r="A112" s="3" t="s">
        <v>214</v>
      </c>
      <c r="B112" s="3" t="s">
        <v>1</v>
      </c>
      <c r="C112" s="3" t="s">
        <v>944</v>
      </c>
      <c r="D112" s="3" t="s">
        <v>960</v>
      </c>
    </row>
    <row r="113" spans="1:4" x14ac:dyDescent="0.2">
      <c r="A113" s="3" t="s">
        <v>215</v>
      </c>
      <c r="B113" s="3" t="s">
        <v>1</v>
      </c>
      <c r="C113" s="3" t="s">
        <v>944</v>
      </c>
      <c r="D113" s="3" t="s">
        <v>960</v>
      </c>
    </row>
    <row r="114" spans="1:4" x14ac:dyDescent="0.2">
      <c r="A114" s="3" t="s">
        <v>216</v>
      </c>
      <c r="B114" s="3" t="s">
        <v>1</v>
      </c>
      <c r="C114" s="3" t="s">
        <v>944</v>
      </c>
      <c r="D114" s="3" t="s">
        <v>960</v>
      </c>
    </row>
    <row r="115" spans="1:4" x14ac:dyDescent="0.2">
      <c r="A115" s="3" t="s">
        <v>217</v>
      </c>
      <c r="B115" s="3" t="s">
        <v>1</v>
      </c>
      <c r="C115" s="3" t="s">
        <v>944</v>
      </c>
      <c r="D115" s="3" t="s">
        <v>960</v>
      </c>
    </row>
    <row r="116" spans="1:4" x14ac:dyDescent="0.2">
      <c r="A116" s="3" t="s">
        <v>218</v>
      </c>
      <c r="B116" s="3" t="s">
        <v>1</v>
      </c>
      <c r="C116" s="3" t="s">
        <v>944</v>
      </c>
      <c r="D116" s="3" t="s">
        <v>960</v>
      </c>
    </row>
    <row r="117" spans="1:4" x14ac:dyDescent="0.2">
      <c r="A117" s="3" t="s">
        <v>219</v>
      </c>
      <c r="B117" s="3" t="s">
        <v>1</v>
      </c>
      <c r="C117" s="3" t="s">
        <v>944</v>
      </c>
      <c r="D117" s="3" t="s">
        <v>960</v>
      </c>
    </row>
    <row r="118" spans="1:4" x14ac:dyDescent="0.2">
      <c r="A118" s="3" t="s">
        <v>220</v>
      </c>
      <c r="B118" s="3" t="s">
        <v>1</v>
      </c>
      <c r="C118" s="3" t="s">
        <v>944</v>
      </c>
      <c r="D118" s="3" t="s">
        <v>960</v>
      </c>
    </row>
    <row r="119" spans="1:4" x14ac:dyDescent="0.2">
      <c r="A119" s="3" t="s">
        <v>221</v>
      </c>
      <c r="B119" s="3" t="s">
        <v>1</v>
      </c>
      <c r="C119" s="3" t="s">
        <v>944</v>
      </c>
      <c r="D119" s="3" t="s">
        <v>960</v>
      </c>
    </row>
    <row r="120" spans="1:4" x14ac:dyDescent="0.2">
      <c r="A120" s="3" t="s">
        <v>222</v>
      </c>
      <c r="B120" s="3" t="s">
        <v>1</v>
      </c>
      <c r="C120" s="3" t="s">
        <v>944</v>
      </c>
      <c r="D120" s="3" t="s">
        <v>960</v>
      </c>
    </row>
    <row r="121" spans="1:4" x14ac:dyDescent="0.2">
      <c r="A121" s="3" t="s">
        <v>223</v>
      </c>
      <c r="B121" s="3" t="s">
        <v>1</v>
      </c>
      <c r="C121" s="3" t="s">
        <v>944</v>
      </c>
      <c r="D121" s="3" t="s">
        <v>960</v>
      </c>
    </row>
    <row r="122" spans="1:4" x14ac:dyDescent="0.2">
      <c r="A122" s="3" t="s">
        <v>224</v>
      </c>
      <c r="B122" s="3" t="s">
        <v>1</v>
      </c>
      <c r="C122" s="3" t="s">
        <v>944</v>
      </c>
      <c r="D122" s="3" t="s">
        <v>960</v>
      </c>
    </row>
    <row r="123" spans="1:4" x14ac:dyDescent="0.2">
      <c r="A123" s="3" t="s">
        <v>225</v>
      </c>
      <c r="B123" s="3" t="s">
        <v>1</v>
      </c>
      <c r="C123" s="3" t="s">
        <v>944</v>
      </c>
      <c r="D123" s="3" t="s">
        <v>960</v>
      </c>
    </row>
    <row r="124" spans="1:4" x14ac:dyDescent="0.2">
      <c r="A124" s="3" t="s">
        <v>226</v>
      </c>
      <c r="B124" s="3" t="s">
        <v>1</v>
      </c>
      <c r="C124" s="3" t="s">
        <v>944</v>
      </c>
      <c r="D124" s="3" t="s">
        <v>960</v>
      </c>
    </row>
    <row r="125" spans="1:4" x14ac:dyDescent="0.2">
      <c r="A125" s="3" t="s">
        <v>227</v>
      </c>
      <c r="B125" s="3" t="s">
        <v>1</v>
      </c>
      <c r="C125" s="3" t="s">
        <v>944</v>
      </c>
      <c r="D125" s="3" t="s">
        <v>960</v>
      </c>
    </row>
    <row r="126" spans="1:4" x14ac:dyDescent="0.2">
      <c r="A126" s="3" t="s">
        <v>228</v>
      </c>
      <c r="B126" s="3" t="s">
        <v>1</v>
      </c>
      <c r="C126" s="3" t="s">
        <v>944</v>
      </c>
      <c r="D126" s="3" t="s">
        <v>960</v>
      </c>
    </row>
    <row r="127" spans="1:4" x14ac:dyDescent="0.2">
      <c r="A127" s="3" t="s">
        <v>229</v>
      </c>
      <c r="B127" s="3" t="s">
        <v>1</v>
      </c>
      <c r="C127" s="3" t="s">
        <v>944</v>
      </c>
      <c r="D127" s="3" t="s">
        <v>960</v>
      </c>
    </row>
    <row r="128" spans="1:4" x14ac:dyDescent="0.2">
      <c r="A128" s="3" t="s">
        <v>230</v>
      </c>
      <c r="B128" s="3" t="s">
        <v>1</v>
      </c>
      <c r="C128" s="3" t="s">
        <v>944</v>
      </c>
      <c r="D128" s="3" t="s">
        <v>960</v>
      </c>
    </row>
    <row r="129" spans="1:4" x14ac:dyDescent="0.2">
      <c r="A129" s="3" t="s">
        <v>231</v>
      </c>
      <c r="B129" s="3" t="s">
        <v>1</v>
      </c>
      <c r="C129" s="3" t="s">
        <v>944</v>
      </c>
      <c r="D129" s="3" t="s">
        <v>960</v>
      </c>
    </row>
    <row r="130" spans="1:4" x14ac:dyDescent="0.2">
      <c r="A130" s="3" t="s">
        <v>232</v>
      </c>
      <c r="B130" s="3" t="s">
        <v>1</v>
      </c>
      <c r="C130" s="3" t="s">
        <v>944</v>
      </c>
      <c r="D130" s="3" t="s">
        <v>960</v>
      </c>
    </row>
    <row r="131" spans="1:4" x14ac:dyDescent="0.2">
      <c r="A131" s="3" t="s">
        <v>233</v>
      </c>
      <c r="B131" s="3" t="s">
        <v>1</v>
      </c>
      <c r="C131" s="3" t="s">
        <v>944</v>
      </c>
      <c r="D131" s="3" t="s">
        <v>960</v>
      </c>
    </row>
    <row r="132" spans="1:4" x14ac:dyDescent="0.2">
      <c r="A132" s="3" t="s">
        <v>234</v>
      </c>
      <c r="B132" s="3" t="s">
        <v>1</v>
      </c>
      <c r="C132" s="3" t="s">
        <v>944</v>
      </c>
      <c r="D132" s="3" t="s">
        <v>960</v>
      </c>
    </row>
    <row r="133" spans="1:4" x14ac:dyDescent="0.2">
      <c r="A133" s="3" t="s">
        <v>237</v>
      </c>
      <c r="B133" s="3" t="s">
        <v>1</v>
      </c>
      <c r="C133" s="3" t="s">
        <v>944</v>
      </c>
      <c r="D133" s="3" t="s">
        <v>960</v>
      </c>
    </row>
    <row r="134" spans="1:4" x14ac:dyDescent="0.2">
      <c r="A134" s="3" t="s">
        <v>238</v>
      </c>
      <c r="B134" s="3" t="s">
        <v>1</v>
      </c>
      <c r="C134" s="3" t="s">
        <v>944</v>
      </c>
      <c r="D134" s="3" t="s">
        <v>960</v>
      </c>
    </row>
    <row r="135" spans="1:4" x14ac:dyDescent="0.2">
      <c r="A135" s="3" t="s">
        <v>239</v>
      </c>
      <c r="B135" s="3" t="s">
        <v>1</v>
      </c>
      <c r="C135" s="3" t="s">
        <v>944</v>
      </c>
      <c r="D135" s="3" t="s">
        <v>960</v>
      </c>
    </row>
    <row r="136" spans="1:4" x14ac:dyDescent="0.2">
      <c r="A136" s="3" t="s">
        <v>240</v>
      </c>
      <c r="B136" s="3" t="s">
        <v>1</v>
      </c>
      <c r="C136" s="3" t="s">
        <v>944</v>
      </c>
      <c r="D136" s="3" t="s">
        <v>960</v>
      </c>
    </row>
    <row r="137" spans="1:4" x14ac:dyDescent="0.2">
      <c r="A137" s="3" t="s">
        <v>242</v>
      </c>
      <c r="B137" s="3" t="s">
        <v>1</v>
      </c>
      <c r="C137" s="3" t="s">
        <v>944</v>
      </c>
      <c r="D137" s="3" t="s">
        <v>960</v>
      </c>
    </row>
    <row r="138" spans="1:4" x14ac:dyDescent="0.2">
      <c r="A138" s="3" t="s">
        <v>243</v>
      </c>
      <c r="B138" s="3" t="s">
        <v>1</v>
      </c>
      <c r="C138" s="3" t="s">
        <v>944</v>
      </c>
      <c r="D138" s="3" t="s">
        <v>960</v>
      </c>
    </row>
    <row r="139" spans="1:4" x14ac:dyDescent="0.2">
      <c r="A139" s="3" t="s">
        <v>244</v>
      </c>
      <c r="B139" s="3" t="s">
        <v>1</v>
      </c>
      <c r="C139" s="3" t="s">
        <v>944</v>
      </c>
      <c r="D139" s="3" t="s">
        <v>960</v>
      </c>
    </row>
    <row r="140" spans="1:4" x14ac:dyDescent="0.2">
      <c r="A140" s="3" t="s">
        <v>245</v>
      </c>
      <c r="B140" s="3" t="s">
        <v>1</v>
      </c>
      <c r="C140" s="3" t="s">
        <v>944</v>
      </c>
      <c r="D140" s="3" t="s">
        <v>960</v>
      </c>
    </row>
    <row r="141" spans="1:4" x14ac:dyDescent="0.2">
      <c r="A141" s="3" t="s">
        <v>246</v>
      </c>
      <c r="B141" s="3" t="s">
        <v>1</v>
      </c>
      <c r="C141" s="3" t="s">
        <v>944</v>
      </c>
      <c r="D141" s="3" t="s">
        <v>960</v>
      </c>
    </row>
    <row r="142" spans="1:4" x14ac:dyDescent="0.2">
      <c r="A142" s="3" t="s">
        <v>247</v>
      </c>
      <c r="B142" s="3" t="s">
        <v>1</v>
      </c>
      <c r="C142" s="3" t="s">
        <v>944</v>
      </c>
      <c r="D142" s="3" t="s">
        <v>960</v>
      </c>
    </row>
    <row r="143" spans="1:4" x14ac:dyDescent="0.2">
      <c r="A143" s="3" t="s">
        <v>248</v>
      </c>
      <c r="B143" s="3" t="s">
        <v>1</v>
      </c>
      <c r="C143" s="3" t="s">
        <v>944</v>
      </c>
      <c r="D143" s="3" t="s">
        <v>960</v>
      </c>
    </row>
    <row r="144" spans="1:4" x14ac:dyDescent="0.2">
      <c r="A144" s="3" t="s">
        <v>249</v>
      </c>
      <c r="B144" s="3" t="s">
        <v>1</v>
      </c>
      <c r="C144" s="3" t="s">
        <v>944</v>
      </c>
      <c r="D144" s="3" t="s">
        <v>960</v>
      </c>
    </row>
    <row r="145" spans="1:4" x14ac:dyDescent="0.2">
      <c r="A145" s="3" t="s">
        <v>250</v>
      </c>
      <c r="B145" s="3" t="s">
        <v>1</v>
      </c>
      <c r="C145" s="3" t="s">
        <v>944</v>
      </c>
      <c r="D145" s="3" t="s">
        <v>960</v>
      </c>
    </row>
    <row r="146" spans="1:4" x14ac:dyDescent="0.2">
      <c r="A146" s="3" t="s">
        <v>251</v>
      </c>
      <c r="B146" s="3" t="s">
        <v>1</v>
      </c>
      <c r="C146" s="3" t="s">
        <v>944</v>
      </c>
      <c r="D146" s="3" t="s">
        <v>960</v>
      </c>
    </row>
    <row r="147" spans="1:4" x14ac:dyDescent="0.2">
      <c r="A147" s="3" t="s">
        <v>252</v>
      </c>
      <c r="B147" s="3" t="s">
        <v>1</v>
      </c>
      <c r="C147" s="3" t="s">
        <v>944</v>
      </c>
      <c r="D147" s="3" t="s">
        <v>960</v>
      </c>
    </row>
    <row r="148" spans="1:4" x14ac:dyDescent="0.2">
      <c r="A148" s="3" t="s">
        <v>253</v>
      </c>
      <c r="B148" s="3" t="s">
        <v>1</v>
      </c>
      <c r="C148" s="3" t="s">
        <v>944</v>
      </c>
      <c r="D148" s="3" t="s">
        <v>960</v>
      </c>
    </row>
    <row r="149" spans="1:4" x14ac:dyDescent="0.2">
      <c r="A149" s="3" t="s">
        <v>254</v>
      </c>
      <c r="B149" s="3" t="s">
        <v>1</v>
      </c>
      <c r="C149" s="3" t="s">
        <v>944</v>
      </c>
      <c r="D149" s="3" t="s">
        <v>960</v>
      </c>
    </row>
    <row r="150" spans="1:4" x14ac:dyDescent="0.2">
      <c r="A150" s="3" t="s">
        <v>255</v>
      </c>
      <c r="B150" s="3" t="s">
        <v>1</v>
      </c>
      <c r="C150" s="3" t="s">
        <v>944</v>
      </c>
      <c r="D150" s="3" t="s">
        <v>960</v>
      </c>
    </row>
    <row r="151" spans="1:4" x14ac:dyDescent="0.2">
      <c r="A151" s="3" t="s">
        <v>256</v>
      </c>
      <c r="B151" s="3" t="s">
        <v>1</v>
      </c>
      <c r="C151" s="3" t="s">
        <v>944</v>
      </c>
      <c r="D151" s="3" t="s">
        <v>960</v>
      </c>
    </row>
    <row r="152" spans="1:4" x14ac:dyDescent="0.2">
      <c r="A152" s="3" t="s">
        <v>257</v>
      </c>
      <c r="B152" s="3" t="s">
        <v>1</v>
      </c>
      <c r="C152" s="3" t="s">
        <v>944</v>
      </c>
      <c r="D152" s="3" t="s">
        <v>960</v>
      </c>
    </row>
    <row r="153" spans="1:4" x14ac:dyDescent="0.2">
      <c r="A153" s="3" t="s">
        <v>259</v>
      </c>
      <c r="B153" s="3" t="s">
        <v>1</v>
      </c>
      <c r="C153" s="3" t="s">
        <v>944</v>
      </c>
      <c r="D153" s="3" t="s">
        <v>960</v>
      </c>
    </row>
    <row r="154" spans="1:4" x14ac:dyDescent="0.2">
      <c r="A154" s="3" t="s">
        <v>260</v>
      </c>
      <c r="B154" s="3" t="s">
        <v>1</v>
      </c>
      <c r="C154" s="3" t="s">
        <v>944</v>
      </c>
      <c r="D154" s="3" t="s">
        <v>960</v>
      </c>
    </row>
    <row r="155" spans="1:4" x14ac:dyDescent="0.2">
      <c r="A155" s="3" t="s">
        <v>262</v>
      </c>
      <c r="B155" s="3" t="s">
        <v>1</v>
      </c>
      <c r="C155" s="3" t="s">
        <v>944</v>
      </c>
      <c r="D155" s="3" t="s">
        <v>960</v>
      </c>
    </row>
    <row r="156" spans="1:4" x14ac:dyDescent="0.2">
      <c r="A156" s="3" t="s">
        <v>263</v>
      </c>
      <c r="B156" s="3" t="s">
        <v>1</v>
      </c>
      <c r="C156" s="3" t="s">
        <v>944</v>
      </c>
      <c r="D156" s="3" t="s">
        <v>960</v>
      </c>
    </row>
    <row r="157" spans="1:4" x14ac:dyDescent="0.2">
      <c r="A157" s="3" t="s">
        <v>264</v>
      </c>
      <c r="B157" s="3" t="s">
        <v>1</v>
      </c>
      <c r="C157" s="3" t="s">
        <v>944</v>
      </c>
      <c r="D157" s="3" t="s">
        <v>960</v>
      </c>
    </row>
    <row r="158" spans="1:4" x14ac:dyDescent="0.2">
      <c r="A158" s="3" t="s">
        <v>265</v>
      </c>
      <c r="B158" s="3" t="s">
        <v>1</v>
      </c>
      <c r="C158" s="3" t="s">
        <v>944</v>
      </c>
      <c r="D158" s="3" t="s">
        <v>960</v>
      </c>
    </row>
    <row r="159" spans="1:4" x14ac:dyDescent="0.2">
      <c r="A159" s="3" t="s">
        <v>266</v>
      </c>
      <c r="B159" s="3" t="s">
        <v>1</v>
      </c>
      <c r="C159" s="3" t="s">
        <v>944</v>
      </c>
      <c r="D159" s="3" t="s">
        <v>960</v>
      </c>
    </row>
    <row r="160" spans="1:4" x14ac:dyDescent="0.2">
      <c r="A160" s="3" t="s">
        <v>267</v>
      </c>
      <c r="B160" s="3" t="s">
        <v>1</v>
      </c>
      <c r="C160" s="3" t="s">
        <v>944</v>
      </c>
      <c r="D160" s="3" t="s">
        <v>960</v>
      </c>
    </row>
    <row r="161" spans="1:4" x14ac:dyDescent="0.2">
      <c r="A161" s="3" t="s">
        <v>268</v>
      </c>
      <c r="B161" s="3" t="s">
        <v>1</v>
      </c>
      <c r="C161" s="3" t="s">
        <v>944</v>
      </c>
      <c r="D161" s="3" t="s">
        <v>960</v>
      </c>
    </row>
    <row r="162" spans="1:4" x14ac:dyDescent="0.2">
      <c r="A162" s="3" t="s">
        <v>269</v>
      </c>
      <c r="B162" s="3" t="s">
        <v>1</v>
      </c>
      <c r="C162" s="3" t="s">
        <v>944</v>
      </c>
      <c r="D162" s="3" t="s">
        <v>960</v>
      </c>
    </row>
    <row r="163" spans="1:4" x14ac:dyDescent="0.2">
      <c r="A163" s="3" t="s">
        <v>270</v>
      </c>
      <c r="B163" s="3" t="s">
        <v>1</v>
      </c>
      <c r="C163" s="3" t="s">
        <v>944</v>
      </c>
      <c r="D163" s="3" t="s">
        <v>960</v>
      </c>
    </row>
    <row r="164" spans="1:4" x14ac:dyDescent="0.2">
      <c r="A164" s="3" t="s">
        <v>271</v>
      </c>
      <c r="B164" s="3" t="s">
        <v>1</v>
      </c>
      <c r="C164" s="3" t="s">
        <v>944</v>
      </c>
      <c r="D164" s="3" t="s">
        <v>960</v>
      </c>
    </row>
    <row r="165" spans="1:4" x14ac:dyDescent="0.2">
      <c r="A165" s="3" t="s">
        <v>272</v>
      </c>
      <c r="B165" s="3" t="s">
        <v>1</v>
      </c>
      <c r="C165" s="3" t="s">
        <v>944</v>
      </c>
      <c r="D165" s="3" t="s">
        <v>960</v>
      </c>
    </row>
    <row r="166" spans="1:4" x14ac:dyDescent="0.2">
      <c r="A166" s="3" t="s">
        <v>273</v>
      </c>
      <c r="B166" s="3" t="s">
        <v>1</v>
      </c>
      <c r="C166" s="3" t="s">
        <v>944</v>
      </c>
      <c r="D166" s="3" t="s">
        <v>960</v>
      </c>
    </row>
    <row r="167" spans="1:4" x14ac:dyDescent="0.2">
      <c r="A167" s="3" t="s">
        <v>283</v>
      </c>
      <c r="B167" s="3" t="s">
        <v>1</v>
      </c>
      <c r="C167" s="3" t="s">
        <v>944</v>
      </c>
      <c r="D167" s="3" t="s">
        <v>960</v>
      </c>
    </row>
    <row r="168" spans="1:4" x14ac:dyDescent="0.2">
      <c r="A168" s="3" t="s">
        <v>284</v>
      </c>
      <c r="B168" s="3" t="s">
        <v>1</v>
      </c>
      <c r="C168" s="3" t="s">
        <v>944</v>
      </c>
      <c r="D168" s="3" t="s">
        <v>960</v>
      </c>
    </row>
    <row r="169" spans="1:4" x14ac:dyDescent="0.2">
      <c r="A169" s="3" t="s">
        <v>285</v>
      </c>
      <c r="B169" s="3" t="s">
        <v>1</v>
      </c>
      <c r="C169" s="3" t="s">
        <v>944</v>
      </c>
      <c r="D169" s="3" t="s">
        <v>960</v>
      </c>
    </row>
    <row r="170" spans="1:4" x14ac:dyDescent="0.2">
      <c r="A170" s="3" t="s">
        <v>294</v>
      </c>
      <c r="B170" s="3" t="s">
        <v>1</v>
      </c>
      <c r="C170" s="3" t="s">
        <v>944</v>
      </c>
      <c r="D170" s="3" t="s">
        <v>960</v>
      </c>
    </row>
    <row r="171" spans="1:4" x14ac:dyDescent="0.2">
      <c r="A171" s="3" t="s">
        <v>295</v>
      </c>
      <c r="B171" s="3" t="s">
        <v>1</v>
      </c>
      <c r="C171" s="3" t="s">
        <v>944</v>
      </c>
      <c r="D171" s="3" t="s">
        <v>960</v>
      </c>
    </row>
    <row r="172" spans="1:4" x14ac:dyDescent="0.2">
      <c r="A172" s="3" t="s">
        <v>301</v>
      </c>
      <c r="B172" s="3" t="s">
        <v>1</v>
      </c>
      <c r="C172" s="3" t="s">
        <v>944</v>
      </c>
      <c r="D172" s="3" t="s">
        <v>960</v>
      </c>
    </row>
    <row r="173" spans="1:4" x14ac:dyDescent="0.2">
      <c r="A173" s="3" t="s">
        <v>302</v>
      </c>
      <c r="B173" s="3" t="s">
        <v>1</v>
      </c>
      <c r="C173" s="3" t="s">
        <v>944</v>
      </c>
      <c r="D173" s="3" t="s">
        <v>960</v>
      </c>
    </row>
    <row r="174" spans="1:4" x14ac:dyDescent="0.2">
      <c r="A174" s="3" t="s">
        <v>303</v>
      </c>
      <c r="B174" s="3" t="s">
        <v>1</v>
      </c>
      <c r="C174" s="3" t="s">
        <v>944</v>
      </c>
      <c r="D174" s="3" t="s">
        <v>960</v>
      </c>
    </row>
    <row r="175" spans="1:4" x14ac:dyDescent="0.2">
      <c r="A175" s="3" t="s">
        <v>304</v>
      </c>
      <c r="B175" s="3" t="s">
        <v>1</v>
      </c>
      <c r="C175" s="3" t="s">
        <v>944</v>
      </c>
      <c r="D175" s="3" t="s">
        <v>960</v>
      </c>
    </row>
    <row r="176" spans="1:4" x14ac:dyDescent="0.2">
      <c r="A176" s="3" t="s">
        <v>305</v>
      </c>
      <c r="B176" s="3" t="s">
        <v>1</v>
      </c>
      <c r="C176" s="3" t="s">
        <v>944</v>
      </c>
      <c r="D176" s="3" t="s">
        <v>960</v>
      </c>
    </row>
    <row r="177" spans="1:4" x14ac:dyDescent="0.2">
      <c r="A177" s="3" t="s">
        <v>306</v>
      </c>
      <c r="B177" s="3" t="s">
        <v>1</v>
      </c>
      <c r="C177" s="3" t="s">
        <v>944</v>
      </c>
      <c r="D177" s="3" t="s">
        <v>960</v>
      </c>
    </row>
    <row r="178" spans="1:4" x14ac:dyDescent="0.2">
      <c r="A178" s="3" t="s">
        <v>307</v>
      </c>
      <c r="B178" s="3" t="s">
        <v>1</v>
      </c>
      <c r="C178" s="3" t="s">
        <v>944</v>
      </c>
      <c r="D178" s="3" t="s">
        <v>960</v>
      </c>
    </row>
    <row r="179" spans="1:4" x14ac:dyDescent="0.2">
      <c r="A179" s="3" t="s">
        <v>308</v>
      </c>
      <c r="B179" s="3" t="s">
        <v>1</v>
      </c>
      <c r="C179" s="3" t="s">
        <v>944</v>
      </c>
      <c r="D179" s="3" t="s">
        <v>960</v>
      </c>
    </row>
    <row r="180" spans="1:4" x14ac:dyDescent="0.2">
      <c r="A180" s="3" t="s">
        <v>313</v>
      </c>
      <c r="B180" s="3" t="s">
        <v>1</v>
      </c>
      <c r="C180" s="3" t="s">
        <v>944</v>
      </c>
      <c r="D180" s="3" t="s">
        <v>960</v>
      </c>
    </row>
    <row r="181" spans="1:4" x14ac:dyDescent="0.2">
      <c r="A181" s="3" t="s">
        <v>331</v>
      </c>
      <c r="B181" s="3" t="s">
        <v>1</v>
      </c>
      <c r="C181" s="3" t="s">
        <v>944</v>
      </c>
      <c r="D181" s="3" t="s">
        <v>960</v>
      </c>
    </row>
    <row r="182" spans="1:4" x14ac:dyDescent="0.2">
      <c r="A182" s="3" t="s">
        <v>349</v>
      </c>
      <c r="B182" s="3" t="s">
        <v>1</v>
      </c>
      <c r="C182" s="3" t="s">
        <v>944</v>
      </c>
      <c r="D182" s="3" t="s">
        <v>960</v>
      </c>
    </row>
    <row r="183" spans="1:4" x14ac:dyDescent="0.2">
      <c r="A183" s="3" t="s">
        <v>350</v>
      </c>
      <c r="B183" s="3" t="s">
        <v>1</v>
      </c>
      <c r="C183" s="3" t="s">
        <v>944</v>
      </c>
      <c r="D183" s="3" t="s">
        <v>960</v>
      </c>
    </row>
    <row r="184" spans="1:4" x14ac:dyDescent="0.2">
      <c r="A184" s="3" t="s">
        <v>370</v>
      </c>
      <c r="B184" s="3" t="s">
        <v>1</v>
      </c>
      <c r="C184" s="3" t="s">
        <v>944</v>
      </c>
      <c r="D184" s="3" t="s">
        <v>960</v>
      </c>
    </row>
    <row r="185" spans="1:4" x14ac:dyDescent="0.2">
      <c r="A185" s="3" t="s">
        <v>388</v>
      </c>
      <c r="B185" s="3" t="s">
        <v>1</v>
      </c>
      <c r="C185" s="3" t="s">
        <v>944</v>
      </c>
      <c r="D185" s="3" t="s">
        <v>960</v>
      </c>
    </row>
    <row r="186" spans="1:4" x14ac:dyDescent="0.2">
      <c r="A186" s="3" t="s">
        <v>389</v>
      </c>
      <c r="B186" s="3" t="s">
        <v>1</v>
      </c>
      <c r="C186" s="3" t="s">
        <v>944</v>
      </c>
      <c r="D186" s="3" t="s">
        <v>960</v>
      </c>
    </row>
    <row r="187" spans="1:4" x14ac:dyDescent="0.2">
      <c r="A187" s="3" t="s">
        <v>390</v>
      </c>
      <c r="B187" s="3" t="s">
        <v>1</v>
      </c>
      <c r="C187" s="3" t="s">
        <v>944</v>
      </c>
      <c r="D187" s="3" t="s">
        <v>960</v>
      </c>
    </row>
    <row r="188" spans="1:4" x14ac:dyDescent="0.2">
      <c r="A188" s="3" t="s">
        <v>391</v>
      </c>
      <c r="B188" s="3" t="s">
        <v>1</v>
      </c>
      <c r="C188" s="3" t="s">
        <v>944</v>
      </c>
      <c r="D188" s="3" t="s">
        <v>960</v>
      </c>
    </row>
    <row r="189" spans="1:4" x14ac:dyDescent="0.2">
      <c r="A189" s="3" t="s">
        <v>392</v>
      </c>
      <c r="B189" s="3" t="s">
        <v>1</v>
      </c>
      <c r="C189" s="3" t="s">
        <v>944</v>
      </c>
      <c r="D189" s="3" t="s">
        <v>960</v>
      </c>
    </row>
    <row r="190" spans="1:4" x14ac:dyDescent="0.2">
      <c r="A190" s="3" t="s">
        <v>393</v>
      </c>
      <c r="B190" s="3" t="s">
        <v>1</v>
      </c>
      <c r="C190" s="3" t="s">
        <v>944</v>
      </c>
      <c r="D190" s="3" t="s">
        <v>960</v>
      </c>
    </row>
    <row r="191" spans="1:4" x14ac:dyDescent="0.2">
      <c r="A191" s="3" t="s">
        <v>108</v>
      </c>
      <c r="B191" s="3" t="s">
        <v>27</v>
      </c>
      <c r="C191" s="3" t="s">
        <v>944</v>
      </c>
      <c r="D191" s="3" t="s">
        <v>973</v>
      </c>
    </row>
    <row r="192" spans="1:4" x14ac:dyDescent="0.2">
      <c r="A192" s="3" t="s">
        <v>109</v>
      </c>
      <c r="B192" s="3" t="s">
        <v>27</v>
      </c>
      <c r="C192" s="3" t="s">
        <v>944</v>
      </c>
      <c r="D192" s="3" t="s">
        <v>973</v>
      </c>
    </row>
    <row r="193" spans="1:4" x14ac:dyDescent="0.2">
      <c r="A193" s="3" t="s">
        <v>110</v>
      </c>
      <c r="B193" s="3" t="s">
        <v>27</v>
      </c>
      <c r="C193" s="3" t="s">
        <v>944</v>
      </c>
      <c r="D193" s="3" t="s">
        <v>973</v>
      </c>
    </row>
    <row r="194" spans="1:4" x14ac:dyDescent="0.2">
      <c r="A194" s="3" t="s">
        <v>111</v>
      </c>
      <c r="B194" s="3" t="s">
        <v>27</v>
      </c>
      <c r="C194" s="3" t="s">
        <v>944</v>
      </c>
      <c r="D194" s="3" t="s">
        <v>973</v>
      </c>
    </row>
    <row r="195" spans="1:4" x14ac:dyDescent="0.2">
      <c r="A195" s="3" t="s">
        <v>112</v>
      </c>
      <c r="B195" s="3" t="s">
        <v>27</v>
      </c>
      <c r="C195" s="3" t="s">
        <v>944</v>
      </c>
      <c r="D195" s="3" t="s">
        <v>973</v>
      </c>
    </row>
    <row r="196" spans="1:4" x14ac:dyDescent="0.2">
      <c r="A196" s="3" t="s">
        <v>113</v>
      </c>
      <c r="B196" s="3" t="s">
        <v>27</v>
      </c>
      <c r="C196" s="3" t="s">
        <v>944</v>
      </c>
      <c r="D196" s="3" t="s">
        <v>973</v>
      </c>
    </row>
    <row r="197" spans="1:4" x14ac:dyDescent="0.2">
      <c r="A197" s="3" t="s">
        <v>121</v>
      </c>
      <c r="B197" s="3" t="s">
        <v>27</v>
      </c>
      <c r="C197" s="3" t="s">
        <v>944</v>
      </c>
      <c r="D197" s="3" t="s">
        <v>973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948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948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948</v>
      </c>
    </row>
    <row r="201" spans="1:4" x14ac:dyDescent="0.2">
      <c r="A201" s="3" t="s">
        <v>38</v>
      </c>
      <c r="B201" s="3" t="s">
        <v>949</v>
      </c>
      <c r="C201" s="3" t="s">
        <v>17</v>
      </c>
      <c r="D201" s="3" t="s">
        <v>957</v>
      </c>
    </row>
    <row r="202" spans="1:4" x14ac:dyDescent="0.2">
      <c r="A202" s="3" t="s">
        <v>403</v>
      </c>
      <c r="B202" s="3" t="s">
        <v>949</v>
      </c>
      <c r="C202" s="3" t="s">
        <v>17</v>
      </c>
      <c r="D202" s="3" t="s">
        <v>957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958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958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958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958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958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959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959</v>
      </c>
    </row>
    <row r="210" spans="1:4" x14ac:dyDescent="0.2">
      <c r="A210" s="3" t="s">
        <v>236</v>
      </c>
      <c r="B210" s="3" t="s">
        <v>1</v>
      </c>
      <c r="C210" s="3" t="s">
        <v>974</v>
      </c>
      <c r="D210" s="3" t="s">
        <v>976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962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962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962</v>
      </c>
    </row>
    <row r="214" spans="1:4" x14ac:dyDescent="0.2">
      <c r="A214" s="3" t="s">
        <v>1148</v>
      </c>
      <c r="B214" s="3" t="s">
        <v>1</v>
      </c>
      <c r="C214" s="3" t="s">
        <v>19</v>
      </c>
      <c r="D214" s="3" t="s">
        <v>961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961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961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961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961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964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964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964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964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964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964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964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964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964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964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964</v>
      </c>
    </row>
    <row r="230" spans="1:4" x14ac:dyDescent="0.2">
      <c r="A230" s="122" t="s">
        <v>1495</v>
      </c>
      <c r="B230" s="3" t="s">
        <v>28</v>
      </c>
      <c r="C230" s="3" t="s">
        <v>29</v>
      </c>
      <c r="D230" s="3" t="s">
        <v>964</v>
      </c>
    </row>
    <row r="231" spans="1:4" x14ac:dyDescent="0.2">
      <c r="A231" s="3" t="s">
        <v>106</v>
      </c>
      <c r="B231" s="3" t="s">
        <v>27</v>
      </c>
      <c r="C231" s="3" t="s">
        <v>966</v>
      </c>
      <c r="D231" s="3" t="s">
        <v>967</v>
      </c>
    </row>
    <row r="232" spans="1:4" x14ac:dyDescent="0.2">
      <c r="A232" s="3" t="s">
        <v>107</v>
      </c>
      <c r="B232" s="3" t="s">
        <v>27</v>
      </c>
      <c r="C232" s="3" t="s">
        <v>966</v>
      </c>
      <c r="D232" s="3" t="s">
        <v>967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968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968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968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970</v>
      </c>
    </row>
    <row r="237" spans="1:4" x14ac:dyDescent="0.2">
      <c r="A237" s="3" t="s">
        <v>404</v>
      </c>
      <c r="B237" s="3" t="s">
        <v>949</v>
      </c>
      <c r="C237" s="3" t="s">
        <v>17</v>
      </c>
      <c r="D237" s="3" t="s">
        <v>969</v>
      </c>
    </row>
    <row r="238" spans="1:4" x14ac:dyDescent="0.2">
      <c r="A238" s="3" t="s">
        <v>405</v>
      </c>
      <c r="B238" s="3" t="s">
        <v>949</v>
      </c>
      <c r="C238" s="3" t="s">
        <v>17</v>
      </c>
      <c r="D238" s="3" t="s">
        <v>969</v>
      </c>
    </row>
    <row r="239" spans="1:4" x14ac:dyDescent="0.2">
      <c r="A239" s="3" t="s">
        <v>406</v>
      </c>
      <c r="B239" s="3" t="s">
        <v>949</v>
      </c>
      <c r="C239" s="3" t="s">
        <v>17</v>
      </c>
      <c r="D239" s="3" t="s">
        <v>969</v>
      </c>
    </row>
    <row r="240" spans="1:4" x14ac:dyDescent="0.2">
      <c r="A240" s="3" t="s">
        <v>407</v>
      </c>
      <c r="B240" s="3" t="s">
        <v>949</v>
      </c>
      <c r="C240" s="3" t="s">
        <v>17</v>
      </c>
      <c r="D240" s="3" t="s">
        <v>969</v>
      </c>
    </row>
    <row r="241" spans="1:4" x14ac:dyDescent="0.2">
      <c r="A241" s="3" t="s">
        <v>32</v>
      </c>
      <c r="B241" s="3" t="s">
        <v>949</v>
      </c>
      <c r="C241" s="3" t="s">
        <v>17</v>
      </c>
      <c r="D241" s="3" t="s">
        <v>969</v>
      </c>
    </row>
    <row r="242" spans="1:4" x14ac:dyDescent="0.2">
      <c r="A242" s="3" t="s">
        <v>411</v>
      </c>
      <c r="B242" s="3" t="s">
        <v>949</v>
      </c>
      <c r="C242" s="3" t="s">
        <v>17</v>
      </c>
      <c r="D242" s="3" t="s">
        <v>969</v>
      </c>
    </row>
    <row r="243" spans="1:4" x14ac:dyDescent="0.2">
      <c r="A243" s="3" t="s">
        <v>1420</v>
      </c>
      <c r="B243" s="3" t="s">
        <v>949</v>
      </c>
      <c r="C243" s="3" t="s">
        <v>17</v>
      </c>
      <c r="D243" s="3" t="s">
        <v>969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963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963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963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971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971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972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972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972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980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980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980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980</v>
      </c>
    </row>
    <row r="256" spans="1:4" x14ac:dyDescent="0.2">
      <c r="A256" s="3" t="s">
        <v>275</v>
      </c>
      <c r="B256" s="3" t="s">
        <v>1</v>
      </c>
      <c r="C256" s="3" t="s">
        <v>978</v>
      </c>
      <c r="D256" s="3" t="s">
        <v>979</v>
      </c>
    </row>
    <row r="257" spans="1:4" x14ac:dyDescent="0.2">
      <c r="A257" s="3" t="s">
        <v>276</v>
      </c>
      <c r="B257" s="3" t="s">
        <v>1</v>
      </c>
      <c r="C257" s="3" t="s">
        <v>978</v>
      </c>
      <c r="D257" s="3" t="s">
        <v>979</v>
      </c>
    </row>
    <row r="258" spans="1:4" x14ac:dyDescent="0.2">
      <c r="A258" s="3" t="s">
        <v>277</v>
      </c>
      <c r="B258" s="3" t="s">
        <v>1</v>
      </c>
      <c r="C258" s="3" t="s">
        <v>978</v>
      </c>
      <c r="D258" s="3" t="s">
        <v>979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981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954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954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954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954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954</v>
      </c>
    </row>
    <row r="265" spans="1:4" x14ac:dyDescent="0.2">
      <c r="A265" s="3" t="s">
        <v>1451</v>
      </c>
      <c r="B265" s="3" t="s">
        <v>1</v>
      </c>
      <c r="C265" s="3" t="s">
        <v>19</v>
      </c>
      <c r="D265" s="3" t="s">
        <v>954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982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982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982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982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982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982</v>
      </c>
    </row>
    <row r="272" spans="1:4" x14ac:dyDescent="0.2">
      <c r="A272" s="3" t="s">
        <v>1440</v>
      </c>
      <c r="B272" s="3" t="s">
        <v>1</v>
      </c>
      <c r="C272" s="3" t="s">
        <v>19</v>
      </c>
      <c r="D272" s="3" t="s">
        <v>982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1008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1008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1008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1008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1008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983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983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939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939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939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939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939</v>
      </c>
    </row>
    <row r="285" spans="1:4" x14ac:dyDescent="0.2">
      <c r="A285" s="3" t="s">
        <v>311</v>
      </c>
      <c r="B285" s="3" t="s">
        <v>1</v>
      </c>
      <c r="C285" s="3" t="s">
        <v>985</v>
      </c>
      <c r="D285" s="3" t="s">
        <v>985</v>
      </c>
    </row>
    <row r="286" spans="1:4" x14ac:dyDescent="0.2">
      <c r="A286" s="3" t="s">
        <v>312</v>
      </c>
      <c r="B286" s="3" t="s">
        <v>1</v>
      </c>
      <c r="C286" s="3" t="s">
        <v>985</v>
      </c>
      <c r="D286" s="3" t="s">
        <v>985</v>
      </c>
    </row>
    <row r="287" spans="1:4" x14ac:dyDescent="0.2">
      <c r="A287" s="3" t="s">
        <v>40</v>
      </c>
      <c r="B287" s="3" t="s">
        <v>27</v>
      </c>
      <c r="C287" s="3" t="s">
        <v>966</v>
      </c>
      <c r="D287" s="3" t="s">
        <v>977</v>
      </c>
    </row>
    <row r="288" spans="1:4" x14ac:dyDescent="0.2">
      <c r="A288" s="3" t="s">
        <v>115</v>
      </c>
      <c r="B288" s="3" t="s">
        <v>27</v>
      </c>
      <c r="C288" s="3" t="s">
        <v>966</v>
      </c>
      <c r="D288" s="3" t="s">
        <v>977</v>
      </c>
    </row>
    <row r="289" spans="1:4" x14ac:dyDescent="0.2">
      <c r="A289" s="3" t="s">
        <v>116</v>
      </c>
      <c r="B289" s="3" t="s">
        <v>27</v>
      </c>
      <c r="C289" s="3" t="s">
        <v>966</v>
      </c>
      <c r="D289" s="3" t="s">
        <v>977</v>
      </c>
    </row>
    <row r="290" spans="1:4" x14ac:dyDescent="0.2">
      <c r="A290" s="3" t="s">
        <v>117</v>
      </c>
      <c r="B290" s="3" t="s">
        <v>27</v>
      </c>
      <c r="C290" s="3" t="s">
        <v>966</v>
      </c>
      <c r="D290" s="3" t="s">
        <v>977</v>
      </c>
    </row>
    <row r="291" spans="1:4" x14ac:dyDescent="0.2">
      <c r="A291" s="3" t="s">
        <v>41</v>
      </c>
      <c r="B291" s="3" t="s">
        <v>27</v>
      </c>
      <c r="C291" s="3" t="s">
        <v>966</v>
      </c>
      <c r="D291" s="3" t="s">
        <v>977</v>
      </c>
    </row>
    <row r="292" spans="1:4" x14ac:dyDescent="0.2">
      <c r="A292" s="3" t="s">
        <v>118</v>
      </c>
      <c r="B292" s="3" t="s">
        <v>27</v>
      </c>
      <c r="C292" s="3" t="s">
        <v>966</v>
      </c>
      <c r="D292" s="3" t="s">
        <v>977</v>
      </c>
    </row>
    <row r="293" spans="1:4" x14ac:dyDescent="0.2">
      <c r="A293" s="3" t="s">
        <v>119</v>
      </c>
      <c r="B293" s="3" t="s">
        <v>27</v>
      </c>
      <c r="C293" s="3" t="s">
        <v>966</v>
      </c>
      <c r="D293" s="3" t="s">
        <v>977</v>
      </c>
    </row>
    <row r="294" spans="1:4" x14ac:dyDescent="0.2">
      <c r="A294" s="3" t="s">
        <v>120</v>
      </c>
      <c r="B294" s="3" t="s">
        <v>27</v>
      </c>
      <c r="C294" s="3" t="s">
        <v>966</v>
      </c>
      <c r="D294" s="3" t="s">
        <v>977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984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987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987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989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990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988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988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991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991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991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991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991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992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992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992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933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933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933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933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933</v>
      </c>
    </row>
    <row r="316" spans="1:4" x14ac:dyDescent="0.2">
      <c r="A316" s="3" t="s">
        <v>1153</v>
      </c>
      <c r="B316" s="3" t="s">
        <v>1</v>
      </c>
      <c r="C316" s="3" t="s">
        <v>17</v>
      </c>
      <c r="D316" s="3" t="s">
        <v>933</v>
      </c>
    </row>
    <row r="317" spans="1:4" x14ac:dyDescent="0.2">
      <c r="A317" s="3" t="s">
        <v>332</v>
      </c>
      <c r="B317" s="3" t="s">
        <v>1</v>
      </c>
      <c r="C317" s="3" t="s">
        <v>993</v>
      </c>
      <c r="D317" s="3" t="s">
        <v>994</v>
      </c>
    </row>
    <row r="318" spans="1:4" x14ac:dyDescent="0.2">
      <c r="A318" s="3" t="s">
        <v>333</v>
      </c>
      <c r="B318" s="3" t="s">
        <v>1</v>
      </c>
      <c r="C318" s="3" t="s">
        <v>993</v>
      </c>
      <c r="D318" s="3" t="s">
        <v>994</v>
      </c>
    </row>
    <row r="319" spans="1:4" x14ac:dyDescent="0.2">
      <c r="A319" s="3" t="s">
        <v>334</v>
      </c>
      <c r="B319" s="3" t="s">
        <v>1</v>
      </c>
      <c r="C319" s="3" t="s">
        <v>993</v>
      </c>
      <c r="D319" s="3" t="s">
        <v>994</v>
      </c>
    </row>
    <row r="320" spans="1:4" x14ac:dyDescent="0.2">
      <c r="A320" s="3" t="s">
        <v>338</v>
      </c>
      <c r="B320" s="3" t="s">
        <v>1</v>
      </c>
      <c r="C320" s="3" t="s">
        <v>993</v>
      </c>
      <c r="D320" s="3" t="s">
        <v>994</v>
      </c>
    </row>
    <row r="321" spans="1:4" x14ac:dyDescent="0.2">
      <c r="A321" s="3" t="s">
        <v>43</v>
      </c>
      <c r="B321" s="3" t="s">
        <v>1</v>
      </c>
      <c r="C321" s="3" t="s">
        <v>993</v>
      </c>
      <c r="D321" s="3" t="s">
        <v>994</v>
      </c>
    </row>
    <row r="322" spans="1:4" x14ac:dyDescent="0.2">
      <c r="A322" s="3" t="s">
        <v>339</v>
      </c>
      <c r="B322" s="3" t="s">
        <v>1</v>
      </c>
      <c r="C322" s="3" t="s">
        <v>993</v>
      </c>
      <c r="D322" s="3" t="s">
        <v>994</v>
      </c>
    </row>
    <row r="323" spans="1:4" x14ac:dyDescent="0.2">
      <c r="A323" s="3" t="s">
        <v>98</v>
      </c>
      <c r="B323" s="3" t="s">
        <v>1</v>
      </c>
      <c r="C323" s="3" t="s">
        <v>993</v>
      </c>
      <c r="D323" s="3" t="s">
        <v>994</v>
      </c>
    </row>
    <row r="324" spans="1:4" x14ac:dyDescent="0.2">
      <c r="A324" s="3" t="s">
        <v>340</v>
      </c>
      <c r="B324" s="3" t="s">
        <v>1</v>
      </c>
      <c r="C324" s="3" t="s">
        <v>993</v>
      </c>
      <c r="D324" s="3" t="s">
        <v>994</v>
      </c>
    </row>
    <row r="325" spans="1:4" x14ac:dyDescent="0.2">
      <c r="A325" s="3" t="s">
        <v>341</v>
      </c>
      <c r="B325" s="3" t="s">
        <v>1</v>
      </c>
      <c r="C325" s="3" t="s">
        <v>993</v>
      </c>
      <c r="D325" s="3" t="s">
        <v>994</v>
      </c>
    </row>
    <row r="326" spans="1:4" x14ac:dyDescent="0.2">
      <c r="A326" s="3" t="s">
        <v>1154</v>
      </c>
      <c r="B326" s="3" t="s">
        <v>1</v>
      </c>
      <c r="C326" s="3" t="s">
        <v>17</v>
      </c>
      <c r="D326" s="3" t="s">
        <v>995</v>
      </c>
    </row>
    <row r="327" spans="1:4" x14ac:dyDescent="0.2">
      <c r="A327" s="3" t="s">
        <v>1155</v>
      </c>
      <c r="B327" s="3" t="s">
        <v>1</v>
      </c>
      <c r="C327" s="3" t="s">
        <v>17</v>
      </c>
      <c r="D327" s="3" t="s">
        <v>995</v>
      </c>
    </row>
    <row r="328" spans="1:4" x14ac:dyDescent="0.2">
      <c r="A328" s="3" t="s">
        <v>481</v>
      </c>
      <c r="B328" s="3" t="s">
        <v>930</v>
      </c>
      <c r="C328" s="3" t="s">
        <v>944</v>
      </c>
      <c r="D328" s="3" t="s">
        <v>965</v>
      </c>
    </row>
    <row r="329" spans="1:4" x14ac:dyDescent="0.2">
      <c r="A329" s="3" t="s">
        <v>482</v>
      </c>
      <c r="B329" s="3" t="s">
        <v>930</v>
      </c>
      <c r="C329" s="3" t="s">
        <v>944</v>
      </c>
      <c r="D329" s="3" t="s">
        <v>965</v>
      </c>
    </row>
    <row r="330" spans="1:4" x14ac:dyDescent="0.2">
      <c r="A330" s="3" t="s">
        <v>485</v>
      </c>
      <c r="B330" s="3" t="s">
        <v>930</v>
      </c>
      <c r="C330" s="3" t="s">
        <v>944</v>
      </c>
      <c r="D330" s="3" t="s">
        <v>965</v>
      </c>
    </row>
    <row r="331" spans="1:4" x14ac:dyDescent="0.2">
      <c r="A331" s="3" t="s">
        <v>486</v>
      </c>
      <c r="B331" s="3" t="s">
        <v>930</v>
      </c>
      <c r="C331" s="3" t="s">
        <v>944</v>
      </c>
      <c r="D331" s="3" t="s">
        <v>965</v>
      </c>
    </row>
    <row r="332" spans="1:4" x14ac:dyDescent="0.2">
      <c r="A332" s="3" t="s">
        <v>483</v>
      </c>
      <c r="B332" s="3" t="s">
        <v>930</v>
      </c>
      <c r="C332" s="3" t="s">
        <v>944</v>
      </c>
      <c r="D332" s="3" t="s">
        <v>965</v>
      </c>
    </row>
    <row r="333" spans="1:4" x14ac:dyDescent="0.2">
      <c r="A333" s="3" t="s">
        <v>484</v>
      </c>
      <c r="B333" s="3" t="s">
        <v>930</v>
      </c>
      <c r="C333" s="3" t="s">
        <v>944</v>
      </c>
      <c r="D333" s="3" t="s">
        <v>965</v>
      </c>
    </row>
    <row r="334" spans="1:4" x14ac:dyDescent="0.2">
      <c r="A334" s="3" t="s">
        <v>343</v>
      </c>
      <c r="B334" s="3" t="s">
        <v>1</v>
      </c>
      <c r="C334" s="3" t="s">
        <v>978</v>
      </c>
      <c r="D334" s="3" t="s">
        <v>996</v>
      </c>
    </row>
    <row r="335" spans="1:4" x14ac:dyDescent="0.2">
      <c r="A335" s="3" t="s">
        <v>345</v>
      </c>
      <c r="B335" s="3" t="s">
        <v>1</v>
      </c>
      <c r="C335" s="3" t="s">
        <v>937</v>
      </c>
      <c r="D335" s="3" t="s">
        <v>998</v>
      </c>
    </row>
    <row r="336" spans="1:4" x14ac:dyDescent="0.2">
      <c r="A336" s="3" t="s">
        <v>346</v>
      </c>
      <c r="B336" s="3" t="s">
        <v>1</v>
      </c>
      <c r="C336" s="3" t="s">
        <v>937</v>
      </c>
      <c r="D336" s="3" t="s">
        <v>998</v>
      </c>
    </row>
    <row r="337" spans="1:4" x14ac:dyDescent="0.2">
      <c r="A337" s="3" t="s">
        <v>347</v>
      </c>
      <c r="B337" s="3" t="s">
        <v>1</v>
      </c>
      <c r="C337" s="3" t="s">
        <v>937</v>
      </c>
      <c r="D337" s="3" t="s">
        <v>998</v>
      </c>
    </row>
    <row r="338" spans="1:4" x14ac:dyDescent="0.2">
      <c r="A338" s="3" t="s">
        <v>348</v>
      </c>
      <c r="B338" s="3" t="s">
        <v>1</v>
      </c>
      <c r="C338" s="3" t="s">
        <v>937</v>
      </c>
      <c r="D338" s="3" t="s">
        <v>998</v>
      </c>
    </row>
    <row r="339" spans="1:4" x14ac:dyDescent="0.2">
      <c r="A339" s="3" t="s">
        <v>351</v>
      </c>
      <c r="B339" s="3" t="s">
        <v>1</v>
      </c>
      <c r="C339" s="3" t="s">
        <v>937</v>
      </c>
      <c r="D339" s="3" t="s">
        <v>998</v>
      </c>
    </row>
    <row r="340" spans="1:4" x14ac:dyDescent="0.2">
      <c r="A340" s="3" t="s">
        <v>352</v>
      </c>
      <c r="B340" s="3" t="s">
        <v>1</v>
      </c>
      <c r="C340" s="3" t="s">
        <v>937</v>
      </c>
      <c r="D340" s="3" t="s">
        <v>998</v>
      </c>
    </row>
    <row r="341" spans="1:4" x14ac:dyDescent="0.2">
      <c r="A341" s="3" t="s">
        <v>353</v>
      </c>
      <c r="B341" s="3" t="s">
        <v>1</v>
      </c>
      <c r="C341" s="3" t="s">
        <v>937</v>
      </c>
      <c r="D341" s="3" t="s">
        <v>998</v>
      </c>
    </row>
    <row r="342" spans="1:4" x14ac:dyDescent="0.2">
      <c r="A342" s="3" t="s">
        <v>354</v>
      </c>
      <c r="B342" s="3" t="s">
        <v>1</v>
      </c>
      <c r="C342" s="3" t="s">
        <v>937</v>
      </c>
      <c r="D342" s="3" t="s">
        <v>998</v>
      </c>
    </row>
    <row r="343" spans="1:4" x14ac:dyDescent="0.2">
      <c r="A343" s="3" t="s">
        <v>409</v>
      </c>
      <c r="B343" s="3" t="s">
        <v>949</v>
      </c>
      <c r="C343" s="3" t="s">
        <v>17</v>
      </c>
      <c r="D343" s="3" t="s">
        <v>1005</v>
      </c>
    </row>
    <row r="344" spans="1:4" x14ac:dyDescent="0.2">
      <c r="A344" s="3" t="s">
        <v>410</v>
      </c>
      <c r="B344" s="3" t="s">
        <v>949</v>
      </c>
      <c r="C344" s="3" t="s">
        <v>17</v>
      </c>
      <c r="D344" s="3" t="s">
        <v>1005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1006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1004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1002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1002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1003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1001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1001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1001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1001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1001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1001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1001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1001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1001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1000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1000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1000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1000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1007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1007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1007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1007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1009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1009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1009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1009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1009</v>
      </c>
    </row>
    <row r="372" spans="1:4" x14ac:dyDescent="0.2">
      <c r="A372" s="3" t="s">
        <v>386</v>
      </c>
      <c r="B372" s="3" t="s">
        <v>1</v>
      </c>
      <c r="C372" s="3" t="s">
        <v>978</v>
      </c>
      <c r="D372" s="3" t="s">
        <v>1010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986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986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986</v>
      </c>
    </row>
    <row r="376" spans="1:4" x14ac:dyDescent="0.2">
      <c r="A376" s="3" t="s">
        <v>122</v>
      </c>
      <c r="B376" s="3" t="s">
        <v>27</v>
      </c>
      <c r="C376" s="3" t="s">
        <v>993</v>
      </c>
      <c r="D376" s="3" t="s">
        <v>1014</v>
      </c>
    </row>
    <row r="377" spans="1:4" x14ac:dyDescent="0.2">
      <c r="A377" s="3" t="s">
        <v>123</v>
      </c>
      <c r="B377" s="3" t="s">
        <v>27</v>
      </c>
      <c r="C377" s="3" t="s">
        <v>993</v>
      </c>
      <c r="D377" s="3" t="s">
        <v>1014</v>
      </c>
    </row>
    <row r="378" spans="1:4" x14ac:dyDescent="0.2">
      <c r="A378" s="3" t="s">
        <v>124</v>
      </c>
      <c r="B378" s="3" t="s">
        <v>27</v>
      </c>
      <c r="C378" s="3" t="s">
        <v>993</v>
      </c>
      <c r="D378" s="3" t="s">
        <v>1014</v>
      </c>
    </row>
    <row r="379" spans="1:4" x14ac:dyDescent="0.2">
      <c r="A379" s="3" t="s">
        <v>456</v>
      </c>
      <c r="B379" s="3" t="s">
        <v>1158</v>
      </c>
      <c r="C379" s="3" t="s">
        <v>993</v>
      </c>
      <c r="D379" s="3" t="s">
        <v>1011</v>
      </c>
    </row>
    <row r="380" spans="1:4" x14ac:dyDescent="0.2">
      <c r="A380" s="3" t="s">
        <v>457</v>
      </c>
      <c r="B380" s="3" t="s">
        <v>1158</v>
      </c>
      <c r="C380" s="3" t="s">
        <v>993</v>
      </c>
      <c r="D380" s="3" t="s">
        <v>1011</v>
      </c>
    </row>
    <row r="381" spans="1:4" x14ac:dyDescent="0.2">
      <c r="A381" s="3" t="s">
        <v>458</v>
      </c>
      <c r="B381" s="3" t="s">
        <v>1158</v>
      </c>
      <c r="C381" s="3" t="s">
        <v>993</v>
      </c>
      <c r="D381" s="3" t="s">
        <v>1011</v>
      </c>
    </row>
    <row r="382" spans="1:4" x14ac:dyDescent="0.2">
      <c r="A382" s="3" t="s">
        <v>459</v>
      </c>
      <c r="B382" s="3" t="s">
        <v>1158</v>
      </c>
      <c r="C382" s="3" t="s">
        <v>993</v>
      </c>
      <c r="D382" s="3" t="s">
        <v>1011</v>
      </c>
    </row>
    <row r="383" spans="1:4" x14ac:dyDescent="0.2">
      <c r="A383" s="3" t="s">
        <v>461</v>
      </c>
      <c r="B383" s="3" t="s">
        <v>1158</v>
      </c>
      <c r="C383" s="3" t="s">
        <v>993</v>
      </c>
      <c r="D383" s="3" t="s">
        <v>1011</v>
      </c>
    </row>
    <row r="384" spans="1:4" x14ac:dyDescent="0.2">
      <c r="A384" s="3" t="s">
        <v>462</v>
      </c>
      <c r="B384" s="3" t="s">
        <v>1158</v>
      </c>
      <c r="C384" s="3" t="s">
        <v>993</v>
      </c>
      <c r="D384" s="3" t="s">
        <v>1011</v>
      </c>
    </row>
    <row r="385" spans="1:4" x14ac:dyDescent="0.2">
      <c r="A385" s="3" t="s">
        <v>463</v>
      </c>
      <c r="B385" s="3" t="s">
        <v>1158</v>
      </c>
      <c r="C385" s="3" t="s">
        <v>993</v>
      </c>
      <c r="D385" s="3" t="s">
        <v>1011</v>
      </c>
    </row>
    <row r="386" spans="1:4" x14ac:dyDescent="0.2">
      <c r="A386" s="3" t="s">
        <v>464</v>
      </c>
      <c r="B386" s="3" t="s">
        <v>1158</v>
      </c>
      <c r="C386" s="3" t="s">
        <v>993</v>
      </c>
      <c r="D386" s="3" t="s">
        <v>1011</v>
      </c>
    </row>
    <row r="387" spans="1:4" x14ac:dyDescent="0.2">
      <c r="A387" s="3" t="s">
        <v>465</v>
      </c>
      <c r="B387" s="3" t="s">
        <v>1158</v>
      </c>
      <c r="C387" s="3" t="s">
        <v>993</v>
      </c>
      <c r="D387" s="3" t="s">
        <v>1011</v>
      </c>
    </row>
    <row r="388" spans="1:4" x14ac:dyDescent="0.2">
      <c r="A388" s="3" t="s">
        <v>466</v>
      </c>
      <c r="B388" s="3" t="s">
        <v>1158</v>
      </c>
      <c r="C388" s="3" t="s">
        <v>993</v>
      </c>
      <c r="D388" s="3" t="s">
        <v>1011</v>
      </c>
    </row>
    <row r="389" spans="1:4" x14ac:dyDescent="0.2">
      <c r="A389" s="3" t="s">
        <v>467</v>
      </c>
      <c r="B389" s="3" t="s">
        <v>1158</v>
      </c>
      <c r="C389" s="3" t="s">
        <v>993</v>
      </c>
      <c r="D389" s="3" t="s">
        <v>1011</v>
      </c>
    </row>
    <row r="390" spans="1:4" x14ac:dyDescent="0.2">
      <c r="A390" s="3" t="s">
        <v>468</v>
      </c>
      <c r="B390" s="3" t="s">
        <v>1158</v>
      </c>
      <c r="C390" s="3" t="s">
        <v>993</v>
      </c>
      <c r="D390" s="3" t="s">
        <v>1011</v>
      </c>
    </row>
    <row r="391" spans="1:4" x14ac:dyDescent="0.2">
      <c r="A391" s="3" t="s">
        <v>469</v>
      </c>
      <c r="B391" s="3" t="s">
        <v>1158</v>
      </c>
      <c r="C391" s="3" t="s">
        <v>993</v>
      </c>
      <c r="D391" s="3" t="s">
        <v>1011</v>
      </c>
    </row>
    <row r="392" spans="1:4" x14ac:dyDescent="0.2">
      <c r="A392" s="3" t="s">
        <v>929</v>
      </c>
      <c r="B392" s="3" t="s">
        <v>1158</v>
      </c>
      <c r="C392" s="3" t="s">
        <v>993</v>
      </c>
      <c r="D392" s="3" t="s">
        <v>1011</v>
      </c>
    </row>
    <row r="393" spans="1:4" x14ac:dyDescent="0.2">
      <c r="A393" s="3" t="s">
        <v>470</v>
      </c>
      <c r="B393" s="3" t="s">
        <v>1158</v>
      </c>
      <c r="C393" s="3" t="s">
        <v>993</v>
      </c>
      <c r="D393" s="3" t="s">
        <v>1011</v>
      </c>
    </row>
    <row r="394" spans="1:4" x14ac:dyDescent="0.2">
      <c r="A394" s="3" t="s">
        <v>471</v>
      </c>
      <c r="B394" s="3" t="s">
        <v>1158</v>
      </c>
      <c r="C394" s="3" t="s">
        <v>993</v>
      </c>
      <c r="D394" s="3" t="s">
        <v>1011</v>
      </c>
    </row>
    <row r="395" spans="1:4" x14ac:dyDescent="0.2">
      <c r="A395" s="3" t="s">
        <v>472</v>
      </c>
      <c r="B395" s="3" t="s">
        <v>1158</v>
      </c>
      <c r="C395" s="3" t="s">
        <v>993</v>
      </c>
      <c r="D395" s="3" t="s">
        <v>1011</v>
      </c>
    </row>
    <row r="396" spans="1:4" x14ac:dyDescent="0.2">
      <c r="A396" s="3" t="s">
        <v>474</v>
      </c>
      <c r="B396" s="3" t="s">
        <v>1158</v>
      </c>
      <c r="C396" s="3" t="s">
        <v>993</v>
      </c>
      <c r="D396" s="3" t="s">
        <v>1011</v>
      </c>
    </row>
    <row r="397" spans="1:4" x14ac:dyDescent="0.2">
      <c r="A397" s="3" t="s">
        <v>475</v>
      </c>
      <c r="B397" s="3" t="s">
        <v>1158</v>
      </c>
      <c r="C397" s="3" t="s">
        <v>993</v>
      </c>
      <c r="D397" s="3" t="s">
        <v>1011</v>
      </c>
    </row>
    <row r="398" spans="1:4" x14ac:dyDescent="0.2">
      <c r="A398" s="3" t="s">
        <v>476</v>
      </c>
      <c r="B398" s="3" t="s">
        <v>1158</v>
      </c>
      <c r="C398" s="3" t="s">
        <v>993</v>
      </c>
      <c r="D398" s="3" t="s">
        <v>1011</v>
      </c>
    </row>
    <row r="399" spans="1:4" x14ac:dyDescent="0.2">
      <c r="A399" s="7" t="s">
        <v>477</v>
      </c>
      <c r="B399" s="3" t="s">
        <v>1158</v>
      </c>
      <c r="C399" s="3" t="s">
        <v>993</v>
      </c>
      <c r="D399" s="3" t="s">
        <v>1011</v>
      </c>
    </row>
    <row r="400" spans="1:4" x14ac:dyDescent="0.2">
      <c r="A400" s="3" t="s">
        <v>478</v>
      </c>
      <c r="B400" s="3" t="s">
        <v>1158</v>
      </c>
      <c r="C400" s="3" t="s">
        <v>993</v>
      </c>
      <c r="D400" s="3" t="s">
        <v>1011</v>
      </c>
    </row>
    <row r="401" spans="1:4" x14ac:dyDescent="0.2">
      <c r="A401" s="3" t="s">
        <v>479</v>
      </c>
      <c r="B401" s="3" t="s">
        <v>1158</v>
      </c>
      <c r="C401" s="3" t="s">
        <v>993</v>
      </c>
      <c r="D401" s="3" t="s">
        <v>1011</v>
      </c>
    </row>
    <row r="402" spans="1:4" x14ac:dyDescent="0.2">
      <c r="A402" s="3" t="s">
        <v>480</v>
      </c>
      <c r="B402" s="3" t="s">
        <v>1158</v>
      </c>
      <c r="C402" s="3" t="s">
        <v>993</v>
      </c>
      <c r="D402" s="3" t="s">
        <v>1011</v>
      </c>
    </row>
    <row r="403" spans="1:4" x14ac:dyDescent="0.2">
      <c r="A403" s="3" t="s">
        <v>928</v>
      </c>
      <c r="B403" s="3" t="s">
        <v>1158</v>
      </c>
      <c r="C403" s="3" t="s">
        <v>993</v>
      </c>
      <c r="D403" s="3" t="s">
        <v>1011</v>
      </c>
    </row>
    <row r="404" spans="1:4" x14ac:dyDescent="0.2">
      <c r="A404" s="3" t="s">
        <v>927</v>
      </c>
      <c r="B404" s="3" t="s">
        <v>1158</v>
      </c>
      <c r="C404" s="3" t="s">
        <v>993</v>
      </c>
      <c r="D404" s="3" t="s">
        <v>1011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1013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1012</v>
      </c>
    </row>
    <row r="407" spans="1:4" x14ac:dyDescent="0.2">
      <c r="A407" s="3" t="s">
        <v>925</v>
      </c>
      <c r="B407" s="3" t="s">
        <v>1</v>
      </c>
      <c r="C407" s="3" t="s">
        <v>22</v>
      </c>
      <c r="D407" s="3" t="s">
        <v>1016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1015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997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997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997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997</v>
      </c>
    </row>
    <row r="413" spans="1:4" x14ac:dyDescent="0.2">
      <c r="A413" s="3" t="s">
        <v>408</v>
      </c>
      <c r="B413" s="3" t="s">
        <v>949</v>
      </c>
      <c r="C413" s="3" t="s">
        <v>17</v>
      </c>
      <c r="D413" s="3" t="s">
        <v>999</v>
      </c>
    </row>
    <row r="414" spans="1:4" x14ac:dyDescent="0.2">
      <c r="A414" s="3" t="s">
        <v>926</v>
      </c>
      <c r="B414" s="3" t="s">
        <v>949</v>
      </c>
      <c r="C414" s="3" t="s">
        <v>17</v>
      </c>
      <c r="D414" s="3" t="s">
        <v>999</v>
      </c>
    </row>
    <row r="415" spans="1:4" x14ac:dyDescent="0.2">
      <c r="A415" s="25" t="s">
        <v>412</v>
      </c>
      <c r="B415" s="3" t="s">
        <v>949</v>
      </c>
      <c r="C415" s="3" t="s">
        <v>17</v>
      </c>
      <c r="D415" s="3" t="s">
        <v>999</v>
      </c>
    </row>
    <row r="416" spans="1:4" x14ac:dyDescent="0.2">
      <c r="A416" s="3" t="s">
        <v>413</v>
      </c>
      <c r="B416" s="3" t="s">
        <v>949</v>
      </c>
      <c r="C416" s="3" t="s">
        <v>17</v>
      </c>
      <c r="D416" s="3" t="s">
        <v>999</v>
      </c>
    </row>
    <row r="417" spans="1:4" x14ac:dyDescent="0.2">
      <c r="A417" s="25" t="s">
        <v>883</v>
      </c>
      <c r="B417" s="3" t="s">
        <v>943</v>
      </c>
      <c r="C417" s="3" t="s">
        <v>944</v>
      </c>
      <c r="D417" s="3" t="s">
        <v>945</v>
      </c>
    </row>
    <row r="418" spans="1:4" x14ac:dyDescent="0.2">
      <c r="A418" s="7" t="s">
        <v>884</v>
      </c>
      <c r="B418" s="3" t="s">
        <v>943</v>
      </c>
      <c r="C418" s="3" t="s">
        <v>944</v>
      </c>
      <c r="D418" s="3" t="s">
        <v>945</v>
      </c>
    </row>
    <row r="419" spans="1:4" x14ac:dyDescent="0.2">
      <c r="A419" s="1" t="s">
        <v>885</v>
      </c>
      <c r="B419" s="3" t="s">
        <v>943</v>
      </c>
      <c r="C419" s="3" t="s">
        <v>944</v>
      </c>
      <c r="D419" s="3" t="s">
        <v>945</v>
      </c>
    </row>
    <row r="420" spans="1:4" x14ac:dyDescent="0.2">
      <c r="A420" s="1" t="s">
        <v>886</v>
      </c>
      <c r="B420" s="3" t="s">
        <v>943</v>
      </c>
      <c r="C420" s="3" t="s">
        <v>944</v>
      </c>
      <c r="D420" s="3" t="s">
        <v>945</v>
      </c>
    </row>
    <row r="421" spans="1:4" x14ac:dyDescent="0.2">
      <c r="A421" s="1" t="s">
        <v>887</v>
      </c>
      <c r="B421" s="3" t="s">
        <v>943</v>
      </c>
      <c r="C421" s="3" t="s">
        <v>944</v>
      </c>
      <c r="D421" s="3" t="s">
        <v>945</v>
      </c>
    </row>
    <row r="422" spans="1:4" x14ac:dyDescent="0.2">
      <c r="A422" s="1" t="s">
        <v>888</v>
      </c>
      <c r="B422" s="3" t="s">
        <v>943</v>
      </c>
      <c r="C422" s="3" t="s">
        <v>944</v>
      </c>
      <c r="D422" s="3" t="s">
        <v>945</v>
      </c>
    </row>
    <row r="423" spans="1:4" x14ac:dyDescent="0.2">
      <c r="A423" s="1" t="s">
        <v>889</v>
      </c>
      <c r="B423" s="3" t="s">
        <v>943</v>
      </c>
      <c r="C423" s="3" t="s">
        <v>944</v>
      </c>
      <c r="D423" s="3" t="s">
        <v>945</v>
      </c>
    </row>
    <row r="424" spans="1:4" x14ac:dyDescent="0.2">
      <c r="A424" s="1" t="s">
        <v>890</v>
      </c>
      <c r="B424" s="3" t="s">
        <v>943</v>
      </c>
      <c r="C424" s="3" t="s">
        <v>944</v>
      </c>
      <c r="D424" s="3" t="s">
        <v>945</v>
      </c>
    </row>
    <row r="425" spans="1:4" x14ac:dyDescent="0.2">
      <c r="A425" s="7" t="s">
        <v>891</v>
      </c>
      <c r="B425" s="3" t="s">
        <v>943</v>
      </c>
      <c r="C425" s="3" t="s">
        <v>944</v>
      </c>
      <c r="D425" s="3" t="s">
        <v>945</v>
      </c>
    </row>
    <row r="426" spans="1:4" x14ac:dyDescent="0.2">
      <c r="A426" s="7" t="s">
        <v>892</v>
      </c>
      <c r="B426" s="3" t="s">
        <v>943</v>
      </c>
      <c r="C426" s="3" t="s">
        <v>944</v>
      </c>
      <c r="D426" s="3" t="s">
        <v>945</v>
      </c>
    </row>
    <row r="427" spans="1:4" x14ac:dyDescent="0.2">
      <c r="A427" s="1" t="s">
        <v>893</v>
      </c>
      <c r="B427" s="3" t="s">
        <v>943</v>
      </c>
      <c r="C427" s="3" t="s">
        <v>944</v>
      </c>
      <c r="D427" s="3" t="s">
        <v>945</v>
      </c>
    </row>
    <row r="428" spans="1:4" x14ac:dyDescent="0.2">
      <c r="A428" s="1" t="s">
        <v>894</v>
      </c>
      <c r="B428" s="3" t="s">
        <v>943</v>
      </c>
      <c r="C428" s="3" t="s">
        <v>944</v>
      </c>
      <c r="D428" s="3" t="s">
        <v>945</v>
      </c>
    </row>
    <row r="429" spans="1:4" x14ac:dyDescent="0.2">
      <c r="A429" s="1" t="s">
        <v>895</v>
      </c>
      <c r="B429" s="3" t="s">
        <v>943</v>
      </c>
      <c r="C429" s="3" t="s">
        <v>944</v>
      </c>
      <c r="D429" s="3" t="s">
        <v>945</v>
      </c>
    </row>
    <row r="430" spans="1:4" x14ac:dyDescent="0.2">
      <c r="A430" s="1" t="s">
        <v>896</v>
      </c>
      <c r="B430" s="3" t="s">
        <v>943</v>
      </c>
      <c r="C430" s="3" t="s">
        <v>944</v>
      </c>
      <c r="D430" s="3" t="s">
        <v>945</v>
      </c>
    </row>
    <row r="431" spans="1:4" x14ac:dyDescent="0.2">
      <c r="A431" s="1" t="s">
        <v>897</v>
      </c>
      <c r="B431" s="3" t="s">
        <v>943</v>
      </c>
      <c r="C431" s="3" t="s">
        <v>944</v>
      </c>
      <c r="D431" s="3" t="s">
        <v>945</v>
      </c>
    </row>
    <row r="432" spans="1:4" x14ac:dyDescent="0.2">
      <c r="A432" s="1" t="s">
        <v>898</v>
      </c>
      <c r="B432" s="3" t="s">
        <v>943</v>
      </c>
      <c r="C432" s="3" t="s">
        <v>944</v>
      </c>
      <c r="D432" s="3" t="s">
        <v>945</v>
      </c>
    </row>
    <row r="433" spans="1:4" x14ac:dyDescent="0.2">
      <c r="A433" s="1" t="s">
        <v>899</v>
      </c>
      <c r="B433" s="3" t="s">
        <v>943</v>
      </c>
      <c r="C433" s="3" t="s">
        <v>944</v>
      </c>
      <c r="D433" s="3" t="s">
        <v>945</v>
      </c>
    </row>
    <row r="434" spans="1:4" x14ac:dyDescent="0.2">
      <c r="A434" s="1" t="s">
        <v>900</v>
      </c>
      <c r="B434" s="3" t="s">
        <v>943</v>
      </c>
      <c r="C434" s="3" t="s">
        <v>944</v>
      </c>
      <c r="D434" s="3" t="s">
        <v>945</v>
      </c>
    </row>
    <row r="435" spans="1:4" x14ac:dyDescent="0.2">
      <c r="A435" s="1" t="s">
        <v>901</v>
      </c>
      <c r="B435" s="3" t="s">
        <v>943</v>
      </c>
      <c r="C435" s="3" t="s">
        <v>944</v>
      </c>
      <c r="D435" s="3" t="s">
        <v>945</v>
      </c>
    </row>
    <row r="436" spans="1:4" x14ac:dyDescent="0.2">
      <c r="A436" s="1" t="s">
        <v>902</v>
      </c>
      <c r="B436" s="3" t="s">
        <v>943</v>
      </c>
      <c r="C436" s="3" t="s">
        <v>944</v>
      </c>
      <c r="D436" s="3" t="s">
        <v>945</v>
      </c>
    </row>
    <row r="437" spans="1:4" x14ac:dyDescent="0.2">
      <c r="A437" s="1" t="s">
        <v>903</v>
      </c>
      <c r="B437" s="3" t="s">
        <v>943</v>
      </c>
      <c r="C437" s="3" t="s">
        <v>944</v>
      </c>
      <c r="D437" s="3" t="s">
        <v>945</v>
      </c>
    </row>
    <row r="438" spans="1:4" x14ac:dyDescent="0.2">
      <c r="A438" s="1" t="s">
        <v>904</v>
      </c>
      <c r="B438" s="3" t="s">
        <v>943</v>
      </c>
      <c r="C438" s="3" t="s">
        <v>944</v>
      </c>
      <c r="D438" s="3" t="s">
        <v>945</v>
      </c>
    </row>
    <row r="439" spans="1:4" x14ac:dyDescent="0.2">
      <c r="A439" s="1" t="s">
        <v>905</v>
      </c>
      <c r="B439" s="3" t="s">
        <v>943</v>
      </c>
      <c r="C439" s="3" t="s">
        <v>944</v>
      </c>
      <c r="D439" s="3" t="s">
        <v>945</v>
      </c>
    </row>
    <row r="440" spans="1:4" x14ac:dyDescent="0.2">
      <c r="A440" s="1" t="s">
        <v>906</v>
      </c>
      <c r="B440" s="3" t="s">
        <v>943</v>
      </c>
      <c r="C440" s="3" t="s">
        <v>944</v>
      </c>
      <c r="D440" s="3" t="s">
        <v>945</v>
      </c>
    </row>
    <row r="441" spans="1:4" x14ac:dyDescent="0.2">
      <c r="A441" s="1" t="s">
        <v>907</v>
      </c>
      <c r="B441" s="3" t="s">
        <v>943</v>
      </c>
      <c r="C441" s="3" t="s">
        <v>944</v>
      </c>
      <c r="D441" s="3" t="s">
        <v>945</v>
      </c>
    </row>
    <row r="442" spans="1:4" x14ac:dyDescent="0.2">
      <c r="A442" s="1" t="s">
        <v>908</v>
      </c>
      <c r="B442" s="3" t="s">
        <v>943</v>
      </c>
      <c r="C442" s="3" t="s">
        <v>944</v>
      </c>
      <c r="D442" s="3" t="s">
        <v>945</v>
      </c>
    </row>
    <row r="443" spans="1:4" x14ac:dyDescent="0.2">
      <c r="A443" s="7" t="s">
        <v>460</v>
      </c>
      <c r="B443" s="3" t="s">
        <v>1158</v>
      </c>
      <c r="C443" s="3" t="s">
        <v>993</v>
      </c>
      <c r="D443" s="3" t="s">
        <v>1011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1128</v>
      </c>
      <c r="C1" s="17" t="s">
        <v>31</v>
      </c>
      <c r="D1" s="17" t="s">
        <v>30</v>
      </c>
      <c r="E1" s="17" t="s">
        <v>1100</v>
      </c>
      <c r="F1" s="17" t="s">
        <v>1098</v>
      </c>
      <c r="G1" s="17" t="s">
        <v>1115</v>
      </c>
      <c r="H1" s="17" t="s">
        <v>1099</v>
      </c>
      <c r="I1" s="83" t="s">
        <v>1145</v>
      </c>
      <c r="J1" s="19" t="s">
        <v>1137</v>
      </c>
      <c r="K1" s="19" t="s">
        <v>1135</v>
      </c>
      <c r="L1" s="19" t="s">
        <v>1134</v>
      </c>
      <c r="M1" s="19" t="s">
        <v>1136</v>
      </c>
      <c r="N1" s="19" t="s">
        <v>1138</v>
      </c>
      <c r="O1" s="19" t="s">
        <v>1107</v>
      </c>
      <c r="P1" s="17" t="s">
        <v>1020</v>
      </c>
      <c r="Q1" s="17" t="s">
        <v>1102</v>
      </c>
      <c r="R1" s="17" t="s">
        <v>1129</v>
      </c>
      <c r="S1" s="17" t="s">
        <v>1126</v>
      </c>
      <c r="T1" s="17" t="s">
        <v>1125</v>
      </c>
      <c r="U1" s="17" t="s">
        <v>1133</v>
      </c>
      <c r="V1" s="17" t="s">
        <v>1131</v>
      </c>
      <c r="W1" s="22" t="s">
        <v>1132</v>
      </c>
      <c r="X1" s="17" t="s">
        <v>1109</v>
      </c>
    </row>
    <row r="2" spans="1:24" ht="17" thickTop="1" x14ac:dyDescent="0.2">
      <c r="A2" s="3" t="s">
        <v>1139</v>
      </c>
      <c r="B2" s="3" t="str">
        <f t="shared" ref="B2:B13" si="0">CONCATENATE(C2,"_",D2)</f>
        <v>US28_hcmva_4XT1</v>
      </c>
      <c r="C2" s="2" t="s">
        <v>42</v>
      </c>
      <c r="D2" s="3" t="s">
        <v>1123</v>
      </c>
      <c r="E2" s="3" t="s">
        <v>1105</v>
      </c>
      <c r="F2" s="3" t="s">
        <v>1111</v>
      </c>
      <c r="G2" s="3" t="s">
        <v>1124</v>
      </c>
      <c r="H2" s="3" t="s">
        <v>1114</v>
      </c>
      <c r="I2" s="16" t="s">
        <v>1142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1127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1122</v>
      </c>
    </row>
    <row r="3" spans="1:24" x14ac:dyDescent="0.2">
      <c r="A3" s="3" t="s">
        <v>1141</v>
      </c>
      <c r="B3" s="3" t="str">
        <f t="shared" si="0"/>
        <v>OPRM_mouse_5C1M</v>
      </c>
      <c r="C3" s="3" t="s">
        <v>44</v>
      </c>
      <c r="D3" s="3" t="s">
        <v>84</v>
      </c>
      <c r="E3" s="3" t="s">
        <v>1105</v>
      </c>
      <c r="F3" s="3" t="s">
        <v>1111</v>
      </c>
      <c r="G3" s="3" t="s">
        <v>1124</v>
      </c>
      <c r="H3" s="3" t="s">
        <v>1114</v>
      </c>
      <c r="I3" s="16" t="s">
        <v>1142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1127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1122</v>
      </c>
    </row>
    <row r="4" spans="1:24" x14ac:dyDescent="0.2">
      <c r="A4" s="3" t="s">
        <v>1140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1105</v>
      </c>
      <c r="F4" s="14" t="s">
        <v>24</v>
      </c>
      <c r="G4" s="3" t="s">
        <v>1124</v>
      </c>
      <c r="H4" s="3" t="s">
        <v>1114</v>
      </c>
      <c r="I4" s="16" t="s">
        <v>1142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1117</v>
      </c>
      <c r="P4" s="15" t="s">
        <v>1019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1105</v>
      </c>
      <c r="F5" s="3" t="s">
        <v>1101</v>
      </c>
      <c r="G5" s="3" t="s">
        <v>1124</v>
      </c>
      <c r="H5" s="3" t="s">
        <v>1114</v>
      </c>
      <c r="I5" s="16" t="s">
        <v>1143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1117</v>
      </c>
      <c r="P5" s="15" t="s">
        <v>1018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1110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1105</v>
      </c>
      <c r="F6" s="3" t="s">
        <v>16</v>
      </c>
      <c r="G6" s="3" t="s">
        <v>1147</v>
      </c>
      <c r="H6" s="3" t="s">
        <v>1114</v>
      </c>
      <c r="I6" s="16" t="s">
        <v>1143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1116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1105</v>
      </c>
      <c r="F7" s="3" t="s">
        <v>1111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1118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1112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1105</v>
      </c>
      <c r="F8" s="3" t="s">
        <v>1111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1118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1112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1105</v>
      </c>
      <c r="F9" s="3" t="s">
        <v>1111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1118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1112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1113</v>
      </c>
      <c r="E10" s="3" t="s">
        <v>1105</v>
      </c>
      <c r="F10" s="3" t="s">
        <v>1111</v>
      </c>
      <c r="H10" s="3" t="s">
        <v>1114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1112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1046</v>
      </c>
      <c r="E11" s="3" t="s">
        <v>1105</v>
      </c>
      <c r="F11" s="3" t="s">
        <v>1111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1112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1028</v>
      </c>
      <c r="E12" s="3" t="s">
        <v>1105</v>
      </c>
      <c r="F12" s="3" t="s">
        <v>1101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1117</v>
      </c>
      <c r="P12" s="15" t="s">
        <v>1018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1110</v>
      </c>
    </row>
    <row r="13" spans="1:24" x14ac:dyDescent="0.2">
      <c r="B13" s="3" t="str">
        <f t="shared" si="0"/>
        <v>FFAR1_human_4PHU</v>
      </c>
      <c r="C13" s="2" t="s">
        <v>1148</v>
      </c>
      <c r="D13" s="14" t="s">
        <v>52</v>
      </c>
      <c r="E13" s="3" t="s">
        <v>1104</v>
      </c>
      <c r="F13" s="3" t="s">
        <v>23</v>
      </c>
      <c r="G13" s="3" t="s">
        <v>1149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1034</v>
      </c>
      <c r="E14" s="3" t="s">
        <v>1104</v>
      </c>
      <c r="F14" s="14"/>
      <c r="I14" s="16" t="s">
        <v>1142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1104</v>
      </c>
      <c r="F15" s="3" t="s">
        <v>23</v>
      </c>
      <c r="G15" s="3" t="s">
        <v>1146</v>
      </c>
      <c r="I15" s="16" t="s">
        <v>1142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1116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1026</v>
      </c>
      <c r="E16" s="3" t="s">
        <v>1104</v>
      </c>
      <c r="F16" s="3" t="s">
        <v>23</v>
      </c>
      <c r="G16" s="3" t="s">
        <v>1124</v>
      </c>
      <c r="I16" s="16" t="s">
        <v>1144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1116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1119</v>
      </c>
      <c r="E17" s="3" t="s">
        <v>1104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1119</v>
      </c>
      <c r="E18" s="3" t="s">
        <v>1104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1104</v>
      </c>
      <c r="F19" s="3" t="s">
        <v>23</v>
      </c>
      <c r="G19" s="3" t="s">
        <v>1150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1119</v>
      </c>
      <c r="E20" s="3" t="s">
        <v>1104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1097</v>
      </c>
      <c r="D21" s="3" t="s">
        <v>1119</v>
      </c>
      <c r="E21" s="3" t="s">
        <v>1104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1017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1106</v>
      </c>
      <c r="E22" s="3" t="s">
        <v>1104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1021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1108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1130</v>
      </c>
      <c r="E23" s="3" t="s">
        <v>1104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1117</v>
      </c>
      <c r="P23" s="15" t="s">
        <v>1019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1121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1120</v>
      </c>
      <c r="E24" s="3" t="s">
        <v>1104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1117</v>
      </c>
      <c r="P24" s="15" t="s">
        <v>1019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1121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1104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1018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1103</v>
      </c>
      <c r="E26" s="3" t="s">
        <v>1104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1018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1060</v>
      </c>
      <c r="C1" s="8" t="s">
        <v>1061</v>
      </c>
      <c r="D1" s="8" t="s">
        <v>1077</v>
      </c>
      <c r="E1" s="8" t="s">
        <v>1078</v>
      </c>
      <c r="F1" s="8" t="s">
        <v>1062</v>
      </c>
      <c r="G1" s="8" t="s">
        <v>1063</v>
      </c>
      <c r="H1" s="8" t="s">
        <v>1079</v>
      </c>
      <c r="I1" s="8" t="s">
        <v>1080</v>
      </c>
      <c r="J1" s="8" t="s">
        <v>1064</v>
      </c>
      <c r="K1" s="8" t="s">
        <v>1065</v>
      </c>
      <c r="L1" s="8" t="s">
        <v>1092</v>
      </c>
      <c r="M1" s="8" t="s">
        <v>1093</v>
      </c>
      <c r="N1" s="8" t="s">
        <v>1066</v>
      </c>
      <c r="O1" s="8" t="s">
        <v>1067</v>
      </c>
      <c r="P1" s="8" t="s">
        <v>1095</v>
      </c>
      <c r="Q1" s="8" t="s">
        <v>1096</v>
      </c>
      <c r="R1" s="8" t="s">
        <v>1068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</row>
    <row r="2" spans="1:25" x14ac:dyDescent="0.2">
      <c r="A2" s="1" t="s">
        <v>1325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26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2019-08-15T14:58:07Z</dcterms:modified>
  <cp:category/>
  <cp:contentStatus/>
</cp:coreProperties>
</file>